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Área de Trabalho\CP 01-2026\"/>
    </mc:Choice>
  </mc:AlternateContent>
  <xr:revisionPtr revIDLastSave="0" documentId="8_{ADB3352E-21C2-45AE-BC9F-7CCE91E55E94}" xr6:coauthVersionLast="47" xr6:coauthVersionMax="47" xr10:uidLastSave="{00000000-0000-0000-0000-000000000000}"/>
  <bookViews>
    <workbookView xWindow="-120" yWindow="-120" windowWidth="24240" windowHeight="13140" tabRatio="769" activeTab="1" xr2:uid="{5E9787EC-09C3-4A65-9613-819DF768D08D}"/>
  </bookViews>
  <sheets>
    <sheet name="CAPA" sheetId="6" r:id="rId1"/>
    <sheet name="I-RESUMO" sheetId="7" r:id="rId2"/>
    <sheet name="II-PO" sheetId="8" r:id="rId3"/>
    <sheet name="III-PA" sheetId="10" r:id="rId4"/>
    <sheet name="IV-MEMORIAL" sheetId="2" r:id="rId5"/>
    <sheet name="V-COMPOSIÇÕES PRÓPRIAS" sheetId="5" r:id="rId6"/>
    <sheet name="VII-CURVA ABC" sheetId="12" r:id="rId7"/>
    <sheet name="VI-BDI CONSTRUÇÃO" sheetId="14" r:id="rId8"/>
    <sheet name="VIII-CRONOGRAMA" sheetId="1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______________ABR95" localSheetId="6">[1]Consultoria!#REF!</definedName>
    <definedName name="__________________ABR95" localSheetId="8">[1]Consultoria!#REF!</definedName>
    <definedName name="__________________ABR95">[1]Consultoria!#REF!</definedName>
    <definedName name="__________________ABR96" localSheetId="6">[1]Consultoria!#REF!</definedName>
    <definedName name="__________________ABR96" localSheetId="8">[1]Consultoria!#REF!</definedName>
    <definedName name="__________________ABR96">[1]Consultoria!#REF!</definedName>
    <definedName name="__________________ABR97" localSheetId="8">[1]Consultoria!#REF!</definedName>
    <definedName name="__________________ABR97">[1]Consultoria!#REF!</definedName>
    <definedName name="__________________ABR98" localSheetId="8">[1]Consultoria!#REF!</definedName>
    <definedName name="__________________ABR98">[1]Consultoria!#REF!</definedName>
    <definedName name="__________________ABR99" localSheetId="8">[1]Consultoria!#REF!</definedName>
    <definedName name="__________________ABR99">[1]Consultoria!#REF!</definedName>
    <definedName name="__________________AGO95">[1]Consultoria!#REF!</definedName>
    <definedName name="__________________AGO96">[1]Consultoria!#REF!</definedName>
    <definedName name="__________________AGO97">[1]Consultoria!#REF!</definedName>
    <definedName name="__________________AGO98">[1]Consultoria!#REF!</definedName>
    <definedName name="__________________AGO99">[1]Consultoria!#REF!</definedName>
    <definedName name="__________________DEZ94">[1]Consultoria!#REF!</definedName>
    <definedName name="__________________DEZ95">[1]Consultoria!#REF!</definedName>
    <definedName name="__________________DEZ96">[1]Consultoria!#REF!</definedName>
    <definedName name="__________________DEZ97">[1]Consultoria!#REF!</definedName>
    <definedName name="__________________DEZ98">[1]Consultoria!#REF!</definedName>
    <definedName name="__________________DEZ99">[1]Consultoria!#REF!</definedName>
    <definedName name="__________________FEV95">[1]Consultoria!#REF!</definedName>
    <definedName name="__________________FEV96">[1]Consultoria!#REF!</definedName>
    <definedName name="__________________FEV97">[1]Consultoria!#REF!</definedName>
    <definedName name="__________________FEV98">[1]Consultoria!#REF!</definedName>
    <definedName name="__________________FEV99">[1]Consultoria!#REF!</definedName>
    <definedName name="__________________JAN95">[1]Consultoria!#REF!</definedName>
    <definedName name="__________________JAN96">[1]Consultoria!#REF!</definedName>
    <definedName name="__________________JAN97">[1]Consultoria!#REF!</definedName>
    <definedName name="__________________JAN98">[1]Consultoria!#REF!</definedName>
    <definedName name="__________________JAN99">[1]Consultoria!#REF!</definedName>
    <definedName name="__________________JUL95">[1]Consultoria!#REF!</definedName>
    <definedName name="__________________JUL96">[1]Consultoria!#REF!</definedName>
    <definedName name="__________________JUL97">[1]Consultoria!#REF!</definedName>
    <definedName name="__________________JUL98">[1]Consultoria!#REF!</definedName>
    <definedName name="__________________JUL99">[1]Consultoria!#REF!</definedName>
    <definedName name="__________________JUN95">[1]Consultoria!#REF!</definedName>
    <definedName name="__________________JUN96">[1]Consultoria!#REF!</definedName>
    <definedName name="__________________JUN97">[1]Consultoria!#REF!</definedName>
    <definedName name="__________________JUN98">[1]Consultoria!#REF!</definedName>
    <definedName name="__________________JUN99">[1]Consultoria!#REF!</definedName>
    <definedName name="__________________MAI95">[1]Consultoria!#REF!</definedName>
    <definedName name="__________________MAI96">[1]Consultoria!#REF!</definedName>
    <definedName name="__________________MAI97">[1]Consultoria!#REF!</definedName>
    <definedName name="__________________MAI98">[1]Consultoria!#REF!</definedName>
    <definedName name="__________________MAI99">[1]Consultoria!#REF!</definedName>
    <definedName name="__________________MAR95">[1]Consultoria!#REF!</definedName>
    <definedName name="__________________MAR96">[1]Consultoria!#REF!</definedName>
    <definedName name="__________________MAR97">[1]Consultoria!#REF!</definedName>
    <definedName name="__________________MAR98">[1]Consultoria!#REF!</definedName>
    <definedName name="__________________MAR99">[1]Consultoria!#REF!</definedName>
    <definedName name="__________________NOV94">[1]Consultoria!#REF!</definedName>
    <definedName name="__________________NOV95">[1]Consultoria!#REF!</definedName>
    <definedName name="__________________NOV96">[1]Consultoria!#REF!</definedName>
    <definedName name="__________________NOV97">[1]Consultoria!#REF!</definedName>
    <definedName name="__________________NOV98">[1]Consultoria!#REF!</definedName>
    <definedName name="__________________NOV99">[1]Consultoria!#REF!</definedName>
    <definedName name="__________________OUT94">[1]Consultoria!#REF!</definedName>
    <definedName name="__________________OUT95">[1]Consultoria!#REF!</definedName>
    <definedName name="__________________OUT96">[1]Consultoria!#REF!</definedName>
    <definedName name="__________________OUT97">[1]Consultoria!#REF!</definedName>
    <definedName name="__________________OUT98">[1]Consultoria!#REF!</definedName>
    <definedName name="__________________OUT99">[1]Consultoria!#REF!</definedName>
    <definedName name="__________________SET94">[1]Consultoria!#REF!</definedName>
    <definedName name="__________________SET95">[1]Consultoria!#REF!</definedName>
    <definedName name="__________________SET96">[1]Consultoria!#REF!</definedName>
    <definedName name="__________________SET97">[1]Consultoria!#REF!</definedName>
    <definedName name="__________________SET98">[1]Consultoria!#REF!</definedName>
    <definedName name="__________________SET99">[1]Consultoria!#REF!</definedName>
    <definedName name="________________ABR95">[1]Consultoria!#REF!</definedName>
    <definedName name="________________ABR96">[1]Consultoria!#REF!</definedName>
    <definedName name="________________ABR97">[1]Consultoria!#REF!</definedName>
    <definedName name="________________ABR98">[1]Consultoria!#REF!</definedName>
    <definedName name="________________ABR99">[1]Consultoria!#REF!</definedName>
    <definedName name="________________AGO95">[1]Consultoria!#REF!</definedName>
    <definedName name="________________AGO96">[1]Consultoria!#REF!</definedName>
    <definedName name="________________AGO97">[1]Consultoria!#REF!</definedName>
    <definedName name="________________AGO98">[1]Consultoria!#REF!</definedName>
    <definedName name="________________AGO99">[1]Consultoria!#REF!</definedName>
    <definedName name="________________DEZ94">[1]Consultoria!#REF!</definedName>
    <definedName name="________________DEZ95">[1]Consultoria!#REF!</definedName>
    <definedName name="________________DEZ96">[1]Consultoria!#REF!</definedName>
    <definedName name="________________DEZ97">[1]Consultoria!#REF!</definedName>
    <definedName name="________________DEZ98">[1]Consultoria!#REF!</definedName>
    <definedName name="________________DEZ99">[1]Consultoria!#REF!</definedName>
    <definedName name="________________FEV95">[1]Consultoria!#REF!</definedName>
    <definedName name="________________FEV96">[1]Consultoria!#REF!</definedName>
    <definedName name="________________FEV97">[1]Consultoria!#REF!</definedName>
    <definedName name="________________FEV98">[1]Consultoria!#REF!</definedName>
    <definedName name="________________FEV99">[1]Consultoria!#REF!</definedName>
    <definedName name="________________JAN95">[1]Consultoria!#REF!</definedName>
    <definedName name="________________JAN96">[1]Consultoria!#REF!</definedName>
    <definedName name="________________JAN97">[1]Consultoria!#REF!</definedName>
    <definedName name="________________JAN98">[1]Consultoria!#REF!</definedName>
    <definedName name="________________JAN99">[1]Consultoria!#REF!</definedName>
    <definedName name="________________JUL95">[1]Consultoria!#REF!</definedName>
    <definedName name="________________JUL96">[1]Consultoria!#REF!</definedName>
    <definedName name="________________JUL97">[1]Consultoria!#REF!</definedName>
    <definedName name="________________JUL98">[1]Consultoria!#REF!</definedName>
    <definedName name="________________JUL99">[1]Consultoria!#REF!</definedName>
    <definedName name="________________JUN95">[1]Consultoria!#REF!</definedName>
    <definedName name="________________JUN96">[1]Consultoria!#REF!</definedName>
    <definedName name="________________JUN97">[1]Consultoria!#REF!</definedName>
    <definedName name="________________JUN98">[1]Consultoria!#REF!</definedName>
    <definedName name="________________JUN99">[1]Consultoria!#REF!</definedName>
    <definedName name="________________MAI95">[1]Consultoria!#REF!</definedName>
    <definedName name="________________MAI96">[1]Consultoria!#REF!</definedName>
    <definedName name="________________MAI97">[1]Consultoria!#REF!</definedName>
    <definedName name="________________MAI98">[1]Consultoria!#REF!</definedName>
    <definedName name="________________MAI99">[1]Consultoria!#REF!</definedName>
    <definedName name="________________MAR95">[1]Consultoria!#REF!</definedName>
    <definedName name="________________MAR96">[1]Consultoria!#REF!</definedName>
    <definedName name="________________MAR97">[1]Consultoria!#REF!</definedName>
    <definedName name="________________MAR98">[1]Consultoria!#REF!</definedName>
    <definedName name="________________MAR99">[1]Consultoria!#REF!</definedName>
    <definedName name="________________NOV94">[1]Consultoria!#REF!</definedName>
    <definedName name="________________NOV95">[1]Consultoria!#REF!</definedName>
    <definedName name="________________NOV96">[1]Consultoria!#REF!</definedName>
    <definedName name="________________NOV97">[1]Consultoria!#REF!</definedName>
    <definedName name="________________NOV98">[1]Consultoria!#REF!</definedName>
    <definedName name="________________NOV99">[1]Consultoria!#REF!</definedName>
    <definedName name="________________OUT94">[1]Consultoria!#REF!</definedName>
    <definedName name="________________OUT95">[1]Consultoria!#REF!</definedName>
    <definedName name="________________OUT96">[1]Consultoria!#REF!</definedName>
    <definedName name="________________OUT97">[1]Consultoria!#REF!</definedName>
    <definedName name="________________OUT98">[1]Consultoria!#REF!</definedName>
    <definedName name="________________OUT99">[1]Consultoria!#REF!</definedName>
    <definedName name="________________SET94">[1]Consultoria!#REF!</definedName>
    <definedName name="________________SET95">[1]Consultoria!#REF!</definedName>
    <definedName name="________________SET96">[1]Consultoria!#REF!</definedName>
    <definedName name="________________SET97">[1]Consultoria!#REF!</definedName>
    <definedName name="________________SET98">[1]Consultoria!#REF!</definedName>
    <definedName name="________________SET99">[1]Consultoria!#REF!</definedName>
    <definedName name="_______________ABR95">[1]Consultoria!#REF!</definedName>
    <definedName name="_______________ABR96">[1]Consultoria!#REF!</definedName>
    <definedName name="_______________ABR97">[1]Consultoria!#REF!</definedName>
    <definedName name="_______________ABR98">[1]Consultoria!#REF!</definedName>
    <definedName name="_______________ABR99">[1]Consultoria!#REF!</definedName>
    <definedName name="_______________AGO95">[1]Consultoria!#REF!</definedName>
    <definedName name="_______________AGO96">[1]Consultoria!#REF!</definedName>
    <definedName name="_______________AGO97">[1]Consultoria!#REF!</definedName>
    <definedName name="_______________AGO98">[1]Consultoria!#REF!</definedName>
    <definedName name="_______________AGO99">[1]Consultoria!#REF!</definedName>
    <definedName name="_______________DEZ94">[1]Consultoria!#REF!</definedName>
    <definedName name="_______________DEZ95">[1]Consultoria!#REF!</definedName>
    <definedName name="_______________DEZ96">[1]Consultoria!#REF!</definedName>
    <definedName name="_______________DEZ97">[1]Consultoria!#REF!</definedName>
    <definedName name="_______________DEZ98">[1]Consultoria!#REF!</definedName>
    <definedName name="_______________DEZ99">[1]Consultoria!#REF!</definedName>
    <definedName name="_______________FEV95">[1]Consultoria!#REF!</definedName>
    <definedName name="_______________FEV96">[1]Consultoria!#REF!</definedName>
    <definedName name="_______________FEV97">[1]Consultoria!#REF!</definedName>
    <definedName name="_______________FEV98">[1]Consultoria!#REF!</definedName>
    <definedName name="_______________FEV99">[1]Consultoria!#REF!</definedName>
    <definedName name="_______________JAN95">[1]Consultoria!#REF!</definedName>
    <definedName name="_______________JAN96">[1]Consultoria!#REF!</definedName>
    <definedName name="_______________JAN97">[1]Consultoria!#REF!</definedName>
    <definedName name="_______________JAN98">[1]Consultoria!#REF!</definedName>
    <definedName name="_______________JAN99">[1]Consultoria!#REF!</definedName>
    <definedName name="_______________JUL95">[1]Consultoria!#REF!</definedName>
    <definedName name="_______________JUL96">[1]Consultoria!#REF!</definedName>
    <definedName name="_______________JUL97">[1]Consultoria!#REF!</definedName>
    <definedName name="_______________JUL98">[1]Consultoria!#REF!</definedName>
    <definedName name="_______________JUL99">[1]Consultoria!#REF!</definedName>
    <definedName name="_______________JUN95">[1]Consultoria!#REF!</definedName>
    <definedName name="_______________JUN96">[1]Consultoria!#REF!</definedName>
    <definedName name="_______________JUN97">[1]Consultoria!#REF!</definedName>
    <definedName name="_______________JUN98">[1]Consultoria!#REF!</definedName>
    <definedName name="_______________JUN99">[1]Consultoria!#REF!</definedName>
    <definedName name="_______________MAI95">[1]Consultoria!#REF!</definedName>
    <definedName name="_______________MAI96">[1]Consultoria!#REF!</definedName>
    <definedName name="_______________MAI97">[1]Consultoria!#REF!</definedName>
    <definedName name="_______________MAI98">[1]Consultoria!#REF!</definedName>
    <definedName name="_______________MAI99">[1]Consultoria!#REF!</definedName>
    <definedName name="_______________MAR95">[1]Consultoria!#REF!</definedName>
    <definedName name="_______________MAR96">[1]Consultoria!#REF!</definedName>
    <definedName name="_______________MAR97">[1]Consultoria!#REF!</definedName>
    <definedName name="_______________MAR98">[1]Consultoria!#REF!</definedName>
    <definedName name="_______________MAR99">[1]Consultoria!#REF!</definedName>
    <definedName name="_______________NOV94">[1]Consultoria!#REF!</definedName>
    <definedName name="_______________NOV95">[1]Consultoria!#REF!</definedName>
    <definedName name="_______________NOV96">[1]Consultoria!#REF!</definedName>
    <definedName name="_______________NOV97">[1]Consultoria!#REF!</definedName>
    <definedName name="_______________NOV98">[1]Consultoria!#REF!</definedName>
    <definedName name="_______________NOV99">[1]Consultoria!#REF!</definedName>
    <definedName name="_______________OUT94">[1]Consultoria!#REF!</definedName>
    <definedName name="_______________OUT95">[1]Consultoria!#REF!</definedName>
    <definedName name="_______________OUT96">[1]Consultoria!#REF!</definedName>
    <definedName name="_______________OUT97">[1]Consultoria!#REF!</definedName>
    <definedName name="_______________OUT98">[1]Consultoria!#REF!</definedName>
    <definedName name="_______________OUT99">[1]Consultoria!#REF!</definedName>
    <definedName name="_______________SET94">[1]Consultoria!#REF!</definedName>
    <definedName name="_______________SET95">[1]Consultoria!#REF!</definedName>
    <definedName name="_______________SET96">[1]Consultoria!#REF!</definedName>
    <definedName name="_______________SET97">[1]Consultoria!#REF!</definedName>
    <definedName name="_______________SET98">[1]Consultoria!#REF!</definedName>
    <definedName name="_______________SET99">[1]Consultoria!#REF!</definedName>
    <definedName name="______________ABR95">[1]Consultoria!#REF!</definedName>
    <definedName name="______________ABR96">[1]Consultoria!#REF!</definedName>
    <definedName name="______________ABR97">[1]Consultoria!#REF!</definedName>
    <definedName name="______________ABR98">[1]Consultoria!#REF!</definedName>
    <definedName name="______________ABR99">[1]Consultoria!#REF!</definedName>
    <definedName name="______________AGO95">[1]Consultoria!#REF!</definedName>
    <definedName name="______________AGO96">[1]Consultoria!#REF!</definedName>
    <definedName name="______________AGO97">[1]Consultoria!#REF!</definedName>
    <definedName name="______________AGO98">[1]Consultoria!#REF!</definedName>
    <definedName name="______________AGO99">[1]Consultoria!#REF!</definedName>
    <definedName name="______________DEZ94">[1]Consultoria!#REF!</definedName>
    <definedName name="______________DEZ95">[1]Consultoria!#REF!</definedName>
    <definedName name="______________DEZ96">[1]Consultoria!#REF!</definedName>
    <definedName name="______________DEZ97">[1]Consultoria!#REF!</definedName>
    <definedName name="______________DEZ98">[1]Consultoria!#REF!</definedName>
    <definedName name="______________DEZ99">[1]Consultoria!#REF!</definedName>
    <definedName name="______________FEV95">[1]Consultoria!#REF!</definedName>
    <definedName name="______________FEV96">[1]Consultoria!#REF!</definedName>
    <definedName name="______________FEV97">[1]Consultoria!#REF!</definedName>
    <definedName name="______________FEV98">[1]Consultoria!#REF!</definedName>
    <definedName name="______________FEV99">[1]Consultoria!#REF!</definedName>
    <definedName name="______________JAN95">[1]Consultoria!#REF!</definedName>
    <definedName name="______________JAN96">[1]Consultoria!#REF!</definedName>
    <definedName name="______________JAN97">[1]Consultoria!#REF!</definedName>
    <definedName name="______________JAN98">[1]Consultoria!#REF!</definedName>
    <definedName name="______________JAN99">[1]Consultoria!#REF!</definedName>
    <definedName name="______________JUL95">[1]Consultoria!#REF!</definedName>
    <definedName name="______________JUL96">[1]Consultoria!#REF!</definedName>
    <definedName name="______________JUL97">[1]Consultoria!#REF!</definedName>
    <definedName name="______________JUL98">[1]Consultoria!#REF!</definedName>
    <definedName name="______________JUL99">[1]Consultoria!#REF!</definedName>
    <definedName name="______________JUN95">[1]Consultoria!#REF!</definedName>
    <definedName name="______________JUN96">[1]Consultoria!#REF!</definedName>
    <definedName name="______________JUN97">[1]Consultoria!#REF!</definedName>
    <definedName name="______________JUN98">[1]Consultoria!#REF!</definedName>
    <definedName name="______________JUN99">[1]Consultoria!#REF!</definedName>
    <definedName name="______________MAI95">[1]Consultoria!#REF!</definedName>
    <definedName name="______________MAI96">[1]Consultoria!#REF!</definedName>
    <definedName name="______________MAI97">[1]Consultoria!#REF!</definedName>
    <definedName name="______________MAI98">[1]Consultoria!#REF!</definedName>
    <definedName name="______________MAI99">[1]Consultoria!#REF!</definedName>
    <definedName name="______________MAR95">[1]Consultoria!#REF!</definedName>
    <definedName name="______________MAR96">[1]Consultoria!#REF!</definedName>
    <definedName name="______________MAR97">[1]Consultoria!#REF!</definedName>
    <definedName name="______________MAR98">[1]Consultoria!#REF!</definedName>
    <definedName name="______________MAR99">[1]Consultoria!#REF!</definedName>
    <definedName name="______________NOV94">[1]Consultoria!#REF!</definedName>
    <definedName name="______________NOV95">[1]Consultoria!#REF!</definedName>
    <definedName name="______________NOV96">[1]Consultoria!#REF!</definedName>
    <definedName name="______________NOV97">[1]Consultoria!#REF!</definedName>
    <definedName name="______________NOV98">[1]Consultoria!#REF!</definedName>
    <definedName name="______________NOV99">[1]Consultoria!#REF!</definedName>
    <definedName name="______________OUT94">[1]Consultoria!#REF!</definedName>
    <definedName name="______________OUT95">[1]Consultoria!#REF!</definedName>
    <definedName name="______________OUT96">[1]Consultoria!#REF!</definedName>
    <definedName name="______________OUT97">[1]Consultoria!#REF!</definedName>
    <definedName name="______________OUT98">[1]Consultoria!#REF!</definedName>
    <definedName name="______________OUT99">[1]Consultoria!#REF!</definedName>
    <definedName name="______________SET94">[1]Consultoria!#REF!</definedName>
    <definedName name="______________SET95">[1]Consultoria!#REF!</definedName>
    <definedName name="______________SET96">[1]Consultoria!#REF!</definedName>
    <definedName name="______________SET97">[1]Consultoria!#REF!</definedName>
    <definedName name="______________SET98">[1]Consultoria!#REF!</definedName>
    <definedName name="______________SET99">[1]Consultoria!#REF!</definedName>
    <definedName name="_____________ABR95">[1]Consultoria!#REF!</definedName>
    <definedName name="_____________ABR96">[1]Consultoria!#REF!</definedName>
    <definedName name="_____________ABR97">[1]Consultoria!#REF!</definedName>
    <definedName name="_____________ABR98">[1]Consultoria!#REF!</definedName>
    <definedName name="_____________ABR99">[1]Consultoria!#REF!</definedName>
    <definedName name="_____________AGO95">[1]Consultoria!#REF!</definedName>
    <definedName name="_____________AGO96">[1]Consultoria!#REF!</definedName>
    <definedName name="_____________AGO97">[1]Consultoria!#REF!</definedName>
    <definedName name="_____________AGO98">[1]Consultoria!#REF!</definedName>
    <definedName name="_____________AGO99">[1]Consultoria!#REF!</definedName>
    <definedName name="_____________DEZ94">[1]Consultoria!#REF!</definedName>
    <definedName name="_____________DEZ95">[1]Consultoria!#REF!</definedName>
    <definedName name="_____________DEZ96">[1]Consultoria!#REF!</definedName>
    <definedName name="_____________DEZ97">[1]Consultoria!#REF!</definedName>
    <definedName name="_____________DEZ98">[1]Consultoria!#REF!</definedName>
    <definedName name="_____________DEZ99">[1]Consultoria!#REF!</definedName>
    <definedName name="_____________FEV95">[1]Consultoria!#REF!</definedName>
    <definedName name="_____________FEV96">[1]Consultoria!#REF!</definedName>
    <definedName name="_____________FEV97">[1]Consultoria!#REF!</definedName>
    <definedName name="_____________FEV98">[1]Consultoria!#REF!</definedName>
    <definedName name="_____________FEV99">[1]Consultoria!#REF!</definedName>
    <definedName name="_____________HUL99">[1]Consultoria!#REF!</definedName>
    <definedName name="_____________JAN95">[1]Consultoria!#REF!</definedName>
    <definedName name="_____________JAN96">[1]Consultoria!#REF!</definedName>
    <definedName name="_____________JAN97">[1]Consultoria!#REF!</definedName>
    <definedName name="_____________JAN98">[1]Consultoria!#REF!</definedName>
    <definedName name="_____________JAN9888">[1]Consultoria!#REF!</definedName>
    <definedName name="_____________JAN99">[1]Consultoria!#REF!</definedName>
    <definedName name="_____________JUL95">[1]Consultoria!#REF!</definedName>
    <definedName name="_____________JUL96">[1]Consultoria!#REF!</definedName>
    <definedName name="_____________JUL97">[1]Consultoria!#REF!</definedName>
    <definedName name="_____________JUL98">[1]Consultoria!#REF!</definedName>
    <definedName name="_____________JUL99">[1]Consultoria!#REF!</definedName>
    <definedName name="_____________JUN95">[1]Consultoria!#REF!</definedName>
    <definedName name="_____________JUN96">[1]Consultoria!#REF!</definedName>
    <definedName name="_____________JUN97">[1]Consultoria!#REF!</definedName>
    <definedName name="_____________JUN98">[1]Consultoria!#REF!</definedName>
    <definedName name="_____________JUN99">[1]Consultoria!#REF!</definedName>
    <definedName name="_____________MAI95">[1]Consultoria!#REF!</definedName>
    <definedName name="_____________MAI96">[1]Consultoria!#REF!</definedName>
    <definedName name="_____________MAI97">[1]Consultoria!#REF!</definedName>
    <definedName name="_____________MAI98">[1]Consultoria!#REF!</definedName>
    <definedName name="_____________MAI99">[1]Consultoria!#REF!</definedName>
    <definedName name="_____________MAI990">[1]Consultoria!#REF!</definedName>
    <definedName name="_____________MAR95">[1]Consultoria!#REF!</definedName>
    <definedName name="_____________MAR96">[1]Consultoria!#REF!</definedName>
    <definedName name="_____________MAR97">[1]Consultoria!#REF!</definedName>
    <definedName name="_____________MAR98">[1]Consultoria!#REF!</definedName>
    <definedName name="_____________MAR99">[1]Consultoria!#REF!</definedName>
    <definedName name="_____________NOV94">[1]Consultoria!#REF!</definedName>
    <definedName name="_____________NOV95">[1]Consultoria!#REF!</definedName>
    <definedName name="_____________NOV96">[1]Consultoria!#REF!</definedName>
    <definedName name="_____________NOV97">[1]Consultoria!#REF!</definedName>
    <definedName name="_____________NOV98">[1]Consultoria!#REF!</definedName>
    <definedName name="_____________NOV99">[1]Consultoria!#REF!</definedName>
    <definedName name="_____________OUT94">[1]Consultoria!#REF!</definedName>
    <definedName name="_____________OUT95">[1]Consultoria!#REF!</definedName>
    <definedName name="_____________OUT96">[1]Consultoria!#REF!</definedName>
    <definedName name="_____________OUT97">[1]Consultoria!#REF!</definedName>
    <definedName name="_____________OUT98">[1]Consultoria!#REF!</definedName>
    <definedName name="_____________OUT99">[1]Consultoria!#REF!</definedName>
    <definedName name="_____________SET94">[1]Consultoria!#REF!</definedName>
    <definedName name="_____________SET95">[1]Consultoria!#REF!</definedName>
    <definedName name="_____________SET96">[1]Consultoria!#REF!</definedName>
    <definedName name="_____________SET97">[1]Consultoria!#REF!</definedName>
    <definedName name="_____________SET98">[1]Consultoria!#REF!</definedName>
    <definedName name="_____________SET99">[1]Consultoria!#REF!</definedName>
    <definedName name="____________ABR95">[1]Consultoria!#REF!</definedName>
    <definedName name="____________ABR96">[1]Consultoria!#REF!</definedName>
    <definedName name="____________ABR97">[1]Consultoria!#REF!</definedName>
    <definedName name="____________ABR98">[1]Consultoria!#REF!</definedName>
    <definedName name="____________ABR99">[1]Consultoria!#REF!</definedName>
    <definedName name="____________AGO95">[1]Consultoria!#REF!</definedName>
    <definedName name="____________AGO96">[1]Consultoria!#REF!</definedName>
    <definedName name="____________AGO97">[1]Consultoria!#REF!</definedName>
    <definedName name="____________AGO98">[1]Consultoria!#REF!</definedName>
    <definedName name="____________AGO99">[1]Consultoria!#REF!</definedName>
    <definedName name="____________DEZ94">[1]Consultoria!#REF!</definedName>
    <definedName name="____________DEZ95">[1]Consultoria!#REF!</definedName>
    <definedName name="____________DEZ96">[1]Consultoria!#REF!</definedName>
    <definedName name="____________DEZ97">[1]Consultoria!#REF!</definedName>
    <definedName name="____________DEZ98">[1]Consultoria!#REF!</definedName>
    <definedName name="____________DEZ99">[1]Consultoria!#REF!</definedName>
    <definedName name="____________FEV95">[1]Consultoria!#REF!</definedName>
    <definedName name="____________FEV96">[1]Consultoria!#REF!</definedName>
    <definedName name="____________FEV97">[1]Consultoria!#REF!</definedName>
    <definedName name="____________FEV98">[1]Consultoria!#REF!</definedName>
    <definedName name="____________FEV99">[1]Consultoria!#REF!</definedName>
    <definedName name="____________HUL99">[1]Consultoria!#REF!</definedName>
    <definedName name="____________JAN95">[1]Consultoria!#REF!</definedName>
    <definedName name="____________JAN96">[1]Consultoria!#REF!</definedName>
    <definedName name="____________JAN97">[1]Consultoria!#REF!</definedName>
    <definedName name="____________JAN98">[1]Consultoria!#REF!</definedName>
    <definedName name="____________JAN9888">[1]Consultoria!#REF!</definedName>
    <definedName name="____________JAN99">[1]Consultoria!#REF!</definedName>
    <definedName name="____________JUL95">[1]Consultoria!#REF!</definedName>
    <definedName name="____________JUL96">[1]Consultoria!#REF!</definedName>
    <definedName name="____________JUL97">[1]Consultoria!#REF!</definedName>
    <definedName name="____________JUL98">[1]Consultoria!#REF!</definedName>
    <definedName name="____________JUL99">[1]Consultoria!#REF!</definedName>
    <definedName name="____________JUN95">[1]Consultoria!#REF!</definedName>
    <definedName name="____________JUN96">[1]Consultoria!#REF!</definedName>
    <definedName name="____________JUN97">[1]Consultoria!#REF!</definedName>
    <definedName name="____________JUN98">[1]Consultoria!#REF!</definedName>
    <definedName name="____________JUN99">[1]Consultoria!#REF!</definedName>
    <definedName name="____________MAI95">[1]Consultoria!#REF!</definedName>
    <definedName name="____________MAI96">[1]Consultoria!#REF!</definedName>
    <definedName name="____________MAI97">[1]Consultoria!#REF!</definedName>
    <definedName name="____________MAI98">[1]Consultoria!#REF!</definedName>
    <definedName name="____________MAI99">[1]Consultoria!#REF!</definedName>
    <definedName name="____________MAI990">[1]Consultoria!#REF!</definedName>
    <definedName name="____________MAR95">[1]Consultoria!#REF!</definedName>
    <definedName name="____________MAR96">[1]Consultoria!#REF!</definedName>
    <definedName name="____________MAR97">[1]Consultoria!#REF!</definedName>
    <definedName name="____________MAR98">[1]Consultoria!#REF!</definedName>
    <definedName name="____________MAR99">[1]Consultoria!#REF!</definedName>
    <definedName name="____________NOV94">[1]Consultoria!#REF!</definedName>
    <definedName name="____________NOV95">[1]Consultoria!#REF!</definedName>
    <definedName name="____________NOV96">[1]Consultoria!#REF!</definedName>
    <definedName name="____________NOV97">[1]Consultoria!#REF!</definedName>
    <definedName name="____________NOV98">[1]Consultoria!#REF!</definedName>
    <definedName name="____________NOV99">[1]Consultoria!#REF!</definedName>
    <definedName name="____________OUT94">[1]Consultoria!#REF!</definedName>
    <definedName name="____________OUT95">[1]Consultoria!#REF!</definedName>
    <definedName name="____________OUT96">[1]Consultoria!#REF!</definedName>
    <definedName name="____________OUT97">[1]Consultoria!#REF!</definedName>
    <definedName name="____________OUT98">[1]Consultoria!#REF!</definedName>
    <definedName name="____________OUT99">[1]Consultoria!#REF!</definedName>
    <definedName name="____________SET94">[1]Consultoria!#REF!</definedName>
    <definedName name="____________SET95">[1]Consultoria!#REF!</definedName>
    <definedName name="____________SET96">[1]Consultoria!#REF!</definedName>
    <definedName name="____________SET97">[1]Consultoria!#REF!</definedName>
    <definedName name="____________SET98">[1]Consultoria!#REF!</definedName>
    <definedName name="____________SET99">[1]Consultoria!#REF!</definedName>
    <definedName name="___________ABR95">[1]Consultoria!#REF!</definedName>
    <definedName name="___________ABR96">[1]Consultoria!#REF!</definedName>
    <definedName name="___________ABR97">[1]Consultoria!#REF!</definedName>
    <definedName name="___________ABR98">[1]Consultoria!#REF!</definedName>
    <definedName name="___________ABR99">[1]Consultoria!#REF!</definedName>
    <definedName name="___________AGO95">[1]Consultoria!#REF!</definedName>
    <definedName name="___________AGO96">[1]Consultoria!#REF!</definedName>
    <definedName name="___________AGO97">[1]Consultoria!#REF!</definedName>
    <definedName name="___________AGO98">[1]Consultoria!#REF!</definedName>
    <definedName name="___________AGO99">[1]Consultoria!#REF!</definedName>
    <definedName name="___________DEZ94">[1]Consultoria!#REF!</definedName>
    <definedName name="___________DEZ95">[1]Consultoria!#REF!</definedName>
    <definedName name="___________DEZ96">[1]Consultoria!#REF!</definedName>
    <definedName name="___________DEZ97">[1]Consultoria!#REF!</definedName>
    <definedName name="___________DEZ98">[1]Consultoria!#REF!</definedName>
    <definedName name="___________DEZ99">[1]Consultoria!#REF!</definedName>
    <definedName name="___________FEV95">[1]Consultoria!#REF!</definedName>
    <definedName name="___________FEV96">[1]Consultoria!#REF!</definedName>
    <definedName name="___________FEV97">[1]Consultoria!#REF!</definedName>
    <definedName name="___________FEV98">[1]Consultoria!#REF!</definedName>
    <definedName name="___________FEV99">[1]Consultoria!#REF!</definedName>
    <definedName name="___________HUL99">[1]Consultoria!#REF!</definedName>
    <definedName name="___________JAN95">[1]Consultoria!#REF!</definedName>
    <definedName name="___________JAN96">[1]Consultoria!#REF!</definedName>
    <definedName name="___________JAN97">[1]Consultoria!#REF!</definedName>
    <definedName name="___________JAN98">[1]Consultoria!#REF!</definedName>
    <definedName name="___________JAN9888">[1]Consultoria!#REF!</definedName>
    <definedName name="___________JAN99">[1]Consultoria!#REF!</definedName>
    <definedName name="___________JUL95">[1]Consultoria!#REF!</definedName>
    <definedName name="___________JUL96">[1]Consultoria!#REF!</definedName>
    <definedName name="___________JUL97">[1]Consultoria!#REF!</definedName>
    <definedName name="___________JUL98">[1]Consultoria!#REF!</definedName>
    <definedName name="___________JUL99">[1]Consultoria!#REF!</definedName>
    <definedName name="___________JUN95">[1]Consultoria!#REF!</definedName>
    <definedName name="___________JUN96">[1]Consultoria!#REF!</definedName>
    <definedName name="___________JUN97">[1]Consultoria!#REF!</definedName>
    <definedName name="___________JUN98">[1]Consultoria!#REF!</definedName>
    <definedName name="___________JUN99">[1]Consultoria!#REF!</definedName>
    <definedName name="___________MAI95">[1]Consultoria!#REF!</definedName>
    <definedName name="___________MAI96">[1]Consultoria!#REF!</definedName>
    <definedName name="___________MAI97">[1]Consultoria!#REF!</definedName>
    <definedName name="___________MAI98">[1]Consultoria!#REF!</definedName>
    <definedName name="___________MAI99">[1]Consultoria!#REF!</definedName>
    <definedName name="___________MAI990">[1]Consultoria!#REF!</definedName>
    <definedName name="___________MAR95">[1]Consultoria!#REF!</definedName>
    <definedName name="___________MAR96">[1]Consultoria!#REF!</definedName>
    <definedName name="___________MAR97">[1]Consultoria!#REF!</definedName>
    <definedName name="___________MAR98">[1]Consultoria!#REF!</definedName>
    <definedName name="___________MAR99">[1]Consultoria!#REF!</definedName>
    <definedName name="___________NOV94">[1]Consultoria!#REF!</definedName>
    <definedName name="___________NOV95">[1]Consultoria!#REF!</definedName>
    <definedName name="___________NOV96">[1]Consultoria!#REF!</definedName>
    <definedName name="___________NOV97">[1]Consultoria!#REF!</definedName>
    <definedName name="___________NOV98">[1]Consultoria!#REF!</definedName>
    <definedName name="___________NOV99">[1]Consultoria!#REF!</definedName>
    <definedName name="___________OUT94">[1]Consultoria!#REF!</definedName>
    <definedName name="___________OUT95">[1]Consultoria!#REF!</definedName>
    <definedName name="___________OUT96">[1]Consultoria!#REF!</definedName>
    <definedName name="___________OUT97">[1]Consultoria!#REF!</definedName>
    <definedName name="___________OUT98">[1]Consultoria!#REF!</definedName>
    <definedName name="___________OUT99">[1]Consultoria!#REF!</definedName>
    <definedName name="___________SET94">[1]Consultoria!#REF!</definedName>
    <definedName name="___________SET95">[1]Consultoria!#REF!</definedName>
    <definedName name="___________SET96">[1]Consultoria!#REF!</definedName>
    <definedName name="___________SET97">[1]Consultoria!#REF!</definedName>
    <definedName name="___________SET98">[1]Consultoria!#REF!</definedName>
    <definedName name="___________SET99">[1]Consultoria!#REF!</definedName>
    <definedName name="__________ABR95">[1]Consultoria!#REF!</definedName>
    <definedName name="__________ABR96">[1]Consultoria!#REF!</definedName>
    <definedName name="__________ABR97">[1]Consultoria!#REF!</definedName>
    <definedName name="__________ABR98">[1]Consultoria!#REF!</definedName>
    <definedName name="__________ABR99">[1]Consultoria!#REF!</definedName>
    <definedName name="__________AGO95">[1]Consultoria!#REF!</definedName>
    <definedName name="__________AGO96">[1]Consultoria!#REF!</definedName>
    <definedName name="__________AGO97">[1]Consultoria!#REF!</definedName>
    <definedName name="__________AGO98">[1]Consultoria!#REF!</definedName>
    <definedName name="__________AGO99">[1]Consultoria!#REF!</definedName>
    <definedName name="__________DEZ94">[1]Consultoria!#REF!</definedName>
    <definedName name="__________DEZ95">[1]Consultoria!#REF!</definedName>
    <definedName name="__________DEZ96">[1]Consultoria!#REF!</definedName>
    <definedName name="__________DEZ97">[1]Consultoria!#REF!</definedName>
    <definedName name="__________DEZ98">[1]Consultoria!#REF!</definedName>
    <definedName name="__________DEZ99">[1]Consultoria!#REF!</definedName>
    <definedName name="__________FEV95">[1]Consultoria!#REF!</definedName>
    <definedName name="__________FEV96">[1]Consultoria!#REF!</definedName>
    <definedName name="__________FEV97">[1]Consultoria!#REF!</definedName>
    <definedName name="__________FEV98">[1]Consultoria!#REF!</definedName>
    <definedName name="__________FEV99">[1]Consultoria!#REF!</definedName>
    <definedName name="__________HUL99">[1]Consultoria!#REF!</definedName>
    <definedName name="__________JAN95">[1]Consultoria!#REF!</definedName>
    <definedName name="__________JAN96">[1]Consultoria!#REF!</definedName>
    <definedName name="__________JAN97">[1]Consultoria!#REF!</definedName>
    <definedName name="__________JAN98">[1]Consultoria!#REF!</definedName>
    <definedName name="__________JAN9888">[1]Consultoria!#REF!</definedName>
    <definedName name="__________JAN99">[1]Consultoria!#REF!</definedName>
    <definedName name="__________JUL95">[1]Consultoria!#REF!</definedName>
    <definedName name="__________JUL96">[1]Consultoria!#REF!</definedName>
    <definedName name="__________JUL97">[1]Consultoria!#REF!</definedName>
    <definedName name="__________JUL98">[1]Consultoria!#REF!</definedName>
    <definedName name="__________JUL99">[1]Consultoria!#REF!</definedName>
    <definedName name="__________JUN95">[1]Consultoria!#REF!</definedName>
    <definedName name="__________JUN96">[1]Consultoria!#REF!</definedName>
    <definedName name="__________JUN97">[1]Consultoria!#REF!</definedName>
    <definedName name="__________JUN98">[1]Consultoria!#REF!</definedName>
    <definedName name="__________JUN99">[1]Consultoria!#REF!</definedName>
    <definedName name="__________MAI95">[1]Consultoria!#REF!</definedName>
    <definedName name="__________MAI96">[1]Consultoria!#REF!</definedName>
    <definedName name="__________MAI97">[1]Consultoria!#REF!</definedName>
    <definedName name="__________MAI98">[1]Consultoria!#REF!</definedName>
    <definedName name="__________MAI99">[1]Consultoria!#REF!</definedName>
    <definedName name="__________MAI990">[1]Consultoria!#REF!</definedName>
    <definedName name="__________MAR95">[1]Consultoria!#REF!</definedName>
    <definedName name="__________MAR96">[1]Consultoria!#REF!</definedName>
    <definedName name="__________MAR97">[1]Consultoria!#REF!</definedName>
    <definedName name="__________MAR98">[1]Consultoria!#REF!</definedName>
    <definedName name="__________MAR99">[1]Consultoria!#REF!</definedName>
    <definedName name="__________NOV94">[1]Consultoria!#REF!</definedName>
    <definedName name="__________NOV95">[1]Consultoria!#REF!</definedName>
    <definedName name="__________NOV96">[1]Consultoria!#REF!</definedName>
    <definedName name="__________NOV97">[1]Consultoria!#REF!</definedName>
    <definedName name="__________NOV98">[1]Consultoria!#REF!</definedName>
    <definedName name="__________NOV99">[1]Consultoria!#REF!</definedName>
    <definedName name="__________OUT94">[1]Consultoria!#REF!</definedName>
    <definedName name="__________OUT95">[1]Consultoria!#REF!</definedName>
    <definedName name="__________OUT96">[1]Consultoria!#REF!</definedName>
    <definedName name="__________OUT97">[1]Consultoria!#REF!</definedName>
    <definedName name="__________OUT98">[1]Consultoria!#REF!</definedName>
    <definedName name="__________OUT99">[1]Consultoria!#REF!</definedName>
    <definedName name="__________SET94">[1]Consultoria!#REF!</definedName>
    <definedName name="__________SET95">[1]Consultoria!#REF!</definedName>
    <definedName name="__________SET96">[1]Consultoria!#REF!</definedName>
    <definedName name="__________SET97">[1]Consultoria!#REF!</definedName>
    <definedName name="__________SET98">[1]Consultoria!#REF!</definedName>
    <definedName name="__________SET99">[1]Consultoria!#REF!</definedName>
    <definedName name="_________ABR95">[1]Consultoria!#REF!</definedName>
    <definedName name="_________ABR96">[1]Consultoria!#REF!</definedName>
    <definedName name="_________ABR97">[1]Consultoria!#REF!</definedName>
    <definedName name="_________ABR98">[1]Consultoria!#REF!</definedName>
    <definedName name="_________ABR99">[1]Consultoria!#REF!</definedName>
    <definedName name="_________AGO95">[1]Consultoria!#REF!</definedName>
    <definedName name="_________AGO96">[1]Consultoria!#REF!</definedName>
    <definedName name="_________AGO97">[1]Consultoria!#REF!</definedName>
    <definedName name="_________AGO98">[1]Consultoria!#REF!</definedName>
    <definedName name="_________AGO99">[1]Consultoria!#REF!</definedName>
    <definedName name="_________DEZ94">[1]Consultoria!#REF!</definedName>
    <definedName name="_________DEZ95">[1]Consultoria!#REF!</definedName>
    <definedName name="_________DEZ96">[1]Consultoria!#REF!</definedName>
    <definedName name="_________DEZ97">[1]Consultoria!#REF!</definedName>
    <definedName name="_________DEZ98">[1]Consultoria!#REF!</definedName>
    <definedName name="_________DEZ99">[1]Consultoria!#REF!</definedName>
    <definedName name="_________FEV95">[1]Consultoria!#REF!</definedName>
    <definedName name="_________FEV96">[1]Consultoria!#REF!</definedName>
    <definedName name="_________FEV97">[1]Consultoria!#REF!</definedName>
    <definedName name="_________FEV98">[1]Consultoria!#REF!</definedName>
    <definedName name="_________FEV99">[1]Consultoria!#REF!</definedName>
    <definedName name="_________JAN95">[1]Consultoria!#REF!</definedName>
    <definedName name="_________JAN96">[1]Consultoria!#REF!</definedName>
    <definedName name="_________JAN97">[1]Consultoria!#REF!</definedName>
    <definedName name="_________JAN98">[1]Consultoria!#REF!</definedName>
    <definedName name="_________JAN99">[1]Consultoria!#REF!</definedName>
    <definedName name="_________JUL95">[1]Consultoria!#REF!</definedName>
    <definedName name="_________JUL96">[1]Consultoria!#REF!</definedName>
    <definedName name="_________JUL97">[1]Consultoria!#REF!</definedName>
    <definedName name="_________JUL98">[1]Consultoria!#REF!</definedName>
    <definedName name="_________JUL99">[1]Consultoria!#REF!</definedName>
    <definedName name="_________JUN95">[1]Consultoria!#REF!</definedName>
    <definedName name="_________JUN96">[1]Consultoria!#REF!</definedName>
    <definedName name="_________JUN97">[1]Consultoria!#REF!</definedName>
    <definedName name="_________JUN98">[1]Consultoria!#REF!</definedName>
    <definedName name="_________JUN99">[1]Consultoria!#REF!</definedName>
    <definedName name="_________MAI95">[1]Consultoria!#REF!</definedName>
    <definedName name="_________MAI96">[1]Consultoria!#REF!</definedName>
    <definedName name="_________MAI97">[1]Consultoria!#REF!</definedName>
    <definedName name="_________MAI98">[1]Consultoria!#REF!</definedName>
    <definedName name="_________MAI99">[1]Consultoria!#REF!</definedName>
    <definedName name="_________MAR95">[1]Consultoria!#REF!</definedName>
    <definedName name="_________MAR96">[1]Consultoria!#REF!</definedName>
    <definedName name="_________MAR97">[1]Consultoria!#REF!</definedName>
    <definedName name="_________MAR98">[1]Consultoria!#REF!</definedName>
    <definedName name="_________MAR99">[1]Consultoria!#REF!</definedName>
    <definedName name="_________NOV94">[1]Consultoria!#REF!</definedName>
    <definedName name="_________NOV95">[1]Consultoria!#REF!</definedName>
    <definedName name="_________NOV96">[1]Consultoria!#REF!</definedName>
    <definedName name="_________NOV97">[1]Consultoria!#REF!</definedName>
    <definedName name="_________NOV98">[1]Consultoria!#REF!</definedName>
    <definedName name="_________NOV99">[1]Consultoria!#REF!</definedName>
    <definedName name="_________OUT94">[1]Consultoria!#REF!</definedName>
    <definedName name="_________OUT95">[1]Consultoria!#REF!</definedName>
    <definedName name="_________OUT96">[1]Consultoria!#REF!</definedName>
    <definedName name="_________OUT97">[1]Consultoria!#REF!</definedName>
    <definedName name="_________OUT98">[1]Consultoria!#REF!</definedName>
    <definedName name="_________OUT99">[1]Consultoria!#REF!</definedName>
    <definedName name="_________SET94">[1]Consultoria!#REF!</definedName>
    <definedName name="_________SET95">[1]Consultoria!#REF!</definedName>
    <definedName name="_________SET96">[1]Consultoria!#REF!</definedName>
    <definedName name="_________SET97">[1]Consultoria!#REF!</definedName>
    <definedName name="_________SET98">[1]Consultoria!#REF!</definedName>
    <definedName name="_________SET99">[1]Consultoria!#REF!</definedName>
    <definedName name="________ABR95">[1]Consultoria!#REF!</definedName>
    <definedName name="________ABR96">[1]Consultoria!#REF!</definedName>
    <definedName name="________ABR97">[1]Consultoria!#REF!</definedName>
    <definedName name="________ABR98">[1]Consultoria!#REF!</definedName>
    <definedName name="________ABR99">[1]Consultoria!#REF!</definedName>
    <definedName name="________AGO95">[1]Consultoria!#REF!</definedName>
    <definedName name="________AGO96">[1]Consultoria!#REF!</definedName>
    <definedName name="________AGO97">[1]Consultoria!#REF!</definedName>
    <definedName name="________AGO98">[1]Consultoria!#REF!</definedName>
    <definedName name="________AGO99">[1]Consultoria!#REF!</definedName>
    <definedName name="________DEZ94">[1]Consultoria!#REF!</definedName>
    <definedName name="________DEZ95">[1]Consultoria!#REF!</definedName>
    <definedName name="________DEZ96">[1]Consultoria!#REF!</definedName>
    <definedName name="________DEZ97">[1]Consultoria!#REF!</definedName>
    <definedName name="________DEZ98">[1]Consultoria!#REF!</definedName>
    <definedName name="________DEZ99">[1]Consultoria!#REF!</definedName>
    <definedName name="________FEV95">[1]Consultoria!#REF!</definedName>
    <definedName name="________FEV96">[1]Consultoria!#REF!</definedName>
    <definedName name="________FEV97">[1]Consultoria!#REF!</definedName>
    <definedName name="________FEV98">[1]Consultoria!#REF!</definedName>
    <definedName name="________FEV99">[1]Consultoria!#REF!</definedName>
    <definedName name="________HUL99">[1]Consultoria!#REF!</definedName>
    <definedName name="________JAN95">[1]Consultoria!#REF!</definedName>
    <definedName name="________JAN96">[1]Consultoria!#REF!</definedName>
    <definedName name="________JAN97">[1]Consultoria!#REF!</definedName>
    <definedName name="________JAN98">[1]Consultoria!#REF!</definedName>
    <definedName name="________JAN9888">[1]Consultoria!#REF!</definedName>
    <definedName name="________JAN99">[1]Consultoria!#REF!</definedName>
    <definedName name="________JUL95">[1]Consultoria!#REF!</definedName>
    <definedName name="________JUL96">[1]Consultoria!#REF!</definedName>
    <definedName name="________JUL97">[1]Consultoria!#REF!</definedName>
    <definedName name="________JUL98">[1]Consultoria!#REF!</definedName>
    <definedName name="________JUL99">[1]Consultoria!#REF!</definedName>
    <definedName name="________JUN95">[1]Consultoria!#REF!</definedName>
    <definedName name="________JUN96">[1]Consultoria!#REF!</definedName>
    <definedName name="________JUN97">[1]Consultoria!#REF!</definedName>
    <definedName name="________JUN98">[1]Consultoria!#REF!</definedName>
    <definedName name="________JUN99">[1]Consultoria!#REF!</definedName>
    <definedName name="________MAI95">[1]Consultoria!#REF!</definedName>
    <definedName name="________MAI96">[1]Consultoria!#REF!</definedName>
    <definedName name="________MAI97">[1]Consultoria!#REF!</definedName>
    <definedName name="________MAI98">[1]Consultoria!#REF!</definedName>
    <definedName name="________MAI99">[1]Consultoria!#REF!</definedName>
    <definedName name="________MAI990">[1]Consultoria!#REF!</definedName>
    <definedName name="________MAR95">[1]Consultoria!#REF!</definedName>
    <definedName name="________MAR96">[1]Consultoria!#REF!</definedName>
    <definedName name="________MAR97">[1]Consultoria!#REF!</definedName>
    <definedName name="________MAR98">[1]Consultoria!#REF!</definedName>
    <definedName name="________MAR99">[1]Consultoria!#REF!</definedName>
    <definedName name="________NOV94">[1]Consultoria!#REF!</definedName>
    <definedName name="________NOV95">[1]Consultoria!#REF!</definedName>
    <definedName name="________NOV96">[1]Consultoria!#REF!</definedName>
    <definedName name="________NOV97">[1]Consultoria!#REF!</definedName>
    <definedName name="________NOV98">[1]Consultoria!#REF!</definedName>
    <definedName name="________NOV99">[1]Consultoria!#REF!</definedName>
    <definedName name="________OUT94">[1]Consultoria!#REF!</definedName>
    <definedName name="________OUT95">[1]Consultoria!#REF!</definedName>
    <definedName name="________OUT96">[1]Consultoria!#REF!</definedName>
    <definedName name="________OUT97">[1]Consultoria!#REF!</definedName>
    <definedName name="________OUT98">[1]Consultoria!#REF!</definedName>
    <definedName name="________OUT99">[1]Consultoria!#REF!</definedName>
    <definedName name="________SET94">[1]Consultoria!#REF!</definedName>
    <definedName name="________SET95">[1]Consultoria!#REF!</definedName>
    <definedName name="________SET96">[1]Consultoria!#REF!</definedName>
    <definedName name="________SET97">[1]Consultoria!#REF!</definedName>
    <definedName name="________SET98">[1]Consultoria!#REF!</definedName>
    <definedName name="________SET99">[1]Consultoria!#REF!</definedName>
    <definedName name="_______ABR95">[1]Consultoria!#REF!</definedName>
    <definedName name="_______ABR96">[1]Consultoria!#REF!</definedName>
    <definedName name="_______ABR97">[1]Consultoria!#REF!</definedName>
    <definedName name="_______ABR98">[1]Consultoria!#REF!</definedName>
    <definedName name="_______ABR99">[1]Consultoria!#REF!</definedName>
    <definedName name="_______AGO95">[1]Consultoria!#REF!</definedName>
    <definedName name="_______AGO96">[1]Consultoria!#REF!</definedName>
    <definedName name="_______AGO97">[1]Consultoria!#REF!</definedName>
    <definedName name="_______AGO98">[1]Consultoria!#REF!</definedName>
    <definedName name="_______AGO99">[1]Consultoria!#REF!</definedName>
    <definedName name="_______DEZ94">[1]Consultoria!#REF!</definedName>
    <definedName name="_______DEZ95">[1]Consultoria!#REF!</definedName>
    <definedName name="_______DEZ96">[1]Consultoria!#REF!</definedName>
    <definedName name="_______DEZ97">[1]Consultoria!#REF!</definedName>
    <definedName name="_______DEZ98">[1]Consultoria!#REF!</definedName>
    <definedName name="_______DEZ99">[1]Consultoria!#REF!</definedName>
    <definedName name="_______FEV95">[1]Consultoria!#REF!</definedName>
    <definedName name="_______FEV96">[1]Consultoria!#REF!</definedName>
    <definedName name="_______FEV97">[1]Consultoria!#REF!</definedName>
    <definedName name="_______FEV98">[1]Consultoria!#REF!</definedName>
    <definedName name="_______FEV99">[1]Consultoria!#REF!</definedName>
    <definedName name="_______HUL99">[1]Consultoria!#REF!</definedName>
    <definedName name="_______JAN95">[1]Consultoria!#REF!</definedName>
    <definedName name="_______JAN96">[1]Consultoria!#REF!</definedName>
    <definedName name="_______JAN97">[1]Consultoria!#REF!</definedName>
    <definedName name="_______JAN98">[1]Consultoria!#REF!</definedName>
    <definedName name="_______JAN9888">[1]Consultoria!#REF!</definedName>
    <definedName name="_______JAN99">[1]Consultoria!#REF!</definedName>
    <definedName name="_______JUL95">[1]Consultoria!#REF!</definedName>
    <definedName name="_______JUL96">[1]Consultoria!#REF!</definedName>
    <definedName name="_______JUL97">[1]Consultoria!#REF!</definedName>
    <definedName name="_______JUL98">[1]Consultoria!#REF!</definedName>
    <definedName name="_______JUL99">[1]Consultoria!#REF!</definedName>
    <definedName name="_______JUN95">[1]Consultoria!#REF!</definedName>
    <definedName name="_______JUN96">[1]Consultoria!#REF!</definedName>
    <definedName name="_______JUN97">[1]Consultoria!#REF!</definedName>
    <definedName name="_______JUN98">[1]Consultoria!#REF!</definedName>
    <definedName name="_______JUN99">[1]Consultoria!#REF!</definedName>
    <definedName name="_______MAI95">[1]Consultoria!#REF!</definedName>
    <definedName name="_______MAI96">[1]Consultoria!#REF!</definedName>
    <definedName name="_______MAI97">[1]Consultoria!#REF!</definedName>
    <definedName name="_______MAI98">[1]Consultoria!#REF!</definedName>
    <definedName name="_______MAI99">[1]Consultoria!#REF!</definedName>
    <definedName name="_______MAI990">[1]Consultoria!#REF!</definedName>
    <definedName name="_______MAR95">[1]Consultoria!#REF!</definedName>
    <definedName name="_______MAR96">[1]Consultoria!#REF!</definedName>
    <definedName name="_______MAR97">[1]Consultoria!#REF!</definedName>
    <definedName name="_______MAR98">[1]Consultoria!#REF!</definedName>
    <definedName name="_______MAR99">[1]Consultoria!#REF!</definedName>
    <definedName name="_______NOV94">[1]Consultoria!#REF!</definedName>
    <definedName name="_______NOV95">[1]Consultoria!#REF!</definedName>
    <definedName name="_______NOV96">[1]Consultoria!#REF!</definedName>
    <definedName name="_______NOV97">[1]Consultoria!#REF!</definedName>
    <definedName name="_______NOV98">[1]Consultoria!#REF!</definedName>
    <definedName name="_______NOV99">[1]Consultoria!#REF!</definedName>
    <definedName name="_______OUT94">[1]Consultoria!#REF!</definedName>
    <definedName name="_______OUT95">[1]Consultoria!#REF!</definedName>
    <definedName name="_______OUT96">[1]Consultoria!#REF!</definedName>
    <definedName name="_______OUT97">[1]Consultoria!#REF!</definedName>
    <definedName name="_______OUT98">[1]Consultoria!#REF!</definedName>
    <definedName name="_______OUT99">[1]Consultoria!#REF!</definedName>
    <definedName name="_______SET94">[1]Consultoria!#REF!</definedName>
    <definedName name="_______SET95">[1]Consultoria!#REF!</definedName>
    <definedName name="_______SET96">[1]Consultoria!#REF!</definedName>
    <definedName name="_______SET97">[1]Consultoria!#REF!</definedName>
    <definedName name="_______SET98">[1]Consultoria!#REF!</definedName>
    <definedName name="_______SET99">[1]Consultoria!#REF!</definedName>
    <definedName name="______ABR95">[1]Consultoria!#REF!</definedName>
    <definedName name="______ABR96">[1]Consultoria!#REF!</definedName>
    <definedName name="______ABR97">[1]Consultoria!#REF!</definedName>
    <definedName name="______ABR98">[1]Consultoria!#REF!</definedName>
    <definedName name="______ABR99">[1]Consultoria!#REF!</definedName>
    <definedName name="______AGO95">[1]Consultoria!#REF!</definedName>
    <definedName name="______AGO96">[1]Consultoria!#REF!</definedName>
    <definedName name="______AGO97">[1]Consultoria!#REF!</definedName>
    <definedName name="______AGO98">[1]Consultoria!#REF!</definedName>
    <definedName name="______AGO99">[1]Consultoria!#REF!</definedName>
    <definedName name="______DEZ94">[1]Consultoria!#REF!</definedName>
    <definedName name="______DEZ95">[1]Consultoria!#REF!</definedName>
    <definedName name="______DEZ96">[1]Consultoria!#REF!</definedName>
    <definedName name="______DEZ97">[1]Consultoria!#REF!</definedName>
    <definedName name="______DEZ98">[1]Consultoria!#REF!</definedName>
    <definedName name="______DEZ99">[1]Consultoria!#REF!</definedName>
    <definedName name="______FEV95">[1]Consultoria!#REF!</definedName>
    <definedName name="______FEV96">[1]Consultoria!#REF!</definedName>
    <definedName name="______FEV97">[1]Consultoria!#REF!</definedName>
    <definedName name="______FEV98">[1]Consultoria!#REF!</definedName>
    <definedName name="______FEV99">[1]Consultoria!#REF!</definedName>
    <definedName name="______HUL99">[1]Consultoria!#REF!</definedName>
    <definedName name="______JAN95">[1]Consultoria!#REF!</definedName>
    <definedName name="______JAN96">[1]Consultoria!#REF!</definedName>
    <definedName name="______JAN97">[1]Consultoria!#REF!</definedName>
    <definedName name="______JAN98">[1]Consultoria!#REF!</definedName>
    <definedName name="______JAN9888">[1]Consultoria!#REF!</definedName>
    <definedName name="______JAN99">[1]Consultoria!#REF!</definedName>
    <definedName name="______JUL95">[1]Consultoria!#REF!</definedName>
    <definedName name="______JUL96">[1]Consultoria!#REF!</definedName>
    <definedName name="______JUL97">[1]Consultoria!#REF!</definedName>
    <definedName name="______JUL98">[1]Consultoria!#REF!</definedName>
    <definedName name="______JUL99">[1]Consultoria!#REF!</definedName>
    <definedName name="______JUN95">[1]Consultoria!#REF!</definedName>
    <definedName name="______JUN96">[1]Consultoria!#REF!</definedName>
    <definedName name="______JUN97">[1]Consultoria!#REF!</definedName>
    <definedName name="______JUN98">[1]Consultoria!#REF!</definedName>
    <definedName name="______JUN99">[1]Consultoria!#REF!</definedName>
    <definedName name="______MAI95">[1]Consultoria!#REF!</definedName>
    <definedName name="______MAI96">[1]Consultoria!#REF!</definedName>
    <definedName name="______MAI97">[1]Consultoria!#REF!</definedName>
    <definedName name="______MAI98">[1]Consultoria!#REF!</definedName>
    <definedName name="______MAI99">[1]Consultoria!#REF!</definedName>
    <definedName name="______MAI990">[1]Consultoria!#REF!</definedName>
    <definedName name="______MAR95">[1]Consultoria!#REF!</definedName>
    <definedName name="______MAR96">[1]Consultoria!#REF!</definedName>
    <definedName name="______MAR97">[1]Consultoria!#REF!</definedName>
    <definedName name="______MAR98">[1]Consultoria!#REF!</definedName>
    <definedName name="______MAR99">[1]Consultoria!#REF!</definedName>
    <definedName name="______NOV94">[1]Consultoria!#REF!</definedName>
    <definedName name="______NOV95">[1]Consultoria!#REF!</definedName>
    <definedName name="______NOV96">[1]Consultoria!#REF!</definedName>
    <definedName name="______NOV97">[1]Consultoria!#REF!</definedName>
    <definedName name="______NOV98">[1]Consultoria!#REF!</definedName>
    <definedName name="______NOV99">[1]Consultoria!#REF!</definedName>
    <definedName name="______OUT94">[1]Consultoria!#REF!</definedName>
    <definedName name="______OUT95">[1]Consultoria!#REF!</definedName>
    <definedName name="______OUT96">[1]Consultoria!#REF!</definedName>
    <definedName name="______OUT97">[1]Consultoria!#REF!</definedName>
    <definedName name="______OUT98">[1]Consultoria!#REF!</definedName>
    <definedName name="______OUT99">[1]Consultoria!#REF!</definedName>
    <definedName name="______SET94">[1]Consultoria!#REF!</definedName>
    <definedName name="______SET95">[1]Consultoria!#REF!</definedName>
    <definedName name="______SET96">[1]Consultoria!#REF!</definedName>
    <definedName name="______SET97">[1]Consultoria!#REF!</definedName>
    <definedName name="______SET98">[1]Consultoria!#REF!</definedName>
    <definedName name="______SET99">[1]Consultoria!#REF!</definedName>
    <definedName name="_____ABR95">[1]Consultoria!#REF!</definedName>
    <definedName name="_____ABR96">[1]Consultoria!#REF!</definedName>
    <definedName name="_____ABR97">[1]Consultoria!#REF!</definedName>
    <definedName name="_____ABR98">[1]Consultoria!#REF!</definedName>
    <definedName name="_____ABR99">[1]Consultoria!#REF!</definedName>
    <definedName name="_____AGO95">[1]Consultoria!#REF!</definedName>
    <definedName name="_____AGO96">[1]Consultoria!#REF!</definedName>
    <definedName name="_____AGO97">[1]Consultoria!#REF!</definedName>
    <definedName name="_____AGO98">[1]Consultoria!#REF!</definedName>
    <definedName name="_____AGO99">[1]Consultoria!#REF!</definedName>
    <definedName name="_____DEZ94">[1]Consultoria!#REF!</definedName>
    <definedName name="_____DEZ95">[1]Consultoria!#REF!</definedName>
    <definedName name="_____DEZ96">[1]Consultoria!#REF!</definedName>
    <definedName name="_____DEZ97">[1]Consultoria!#REF!</definedName>
    <definedName name="_____DEZ98">[1]Consultoria!#REF!</definedName>
    <definedName name="_____DEZ99">[1]Consultoria!#REF!</definedName>
    <definedName name="_____FEV95">[1]Consultoria!#REF!</definedName>
    <definedName name="_____FEV96">[1]Consultoria!#REF!</definedName>
    <definedName name="_____FEV97">[1]Consultoria!#REF!</definedName>
    <definedName name="_____FEV98">[1]Consultoria!#REF!</definedName>
    <definedName name="_____FEV99">[1]Consultoria!#REF!</definedName>
    <definedName name="_____HUL99">[1]Consultoria!#REF!</definedName>
    <definedName name="_____JAN95">[1]Consultoria!#REF!</definedName>
    <definedName name="_____JAN96">[1]Consultoria!#REF!</definedName>
    <definedName name="_____JAN97">[1]Consultoria!#REF!</definedName>
    <definedName name="_____JAN98">[1]Consultoria!#REF!</definedName>
    <definedName name="_____JAN9888">[1]Consultoria!#REF!</definedName>
    <definedName name="_____JAN99">[1]Consultoria!#REF!</definedName>
    <definedName name="_____JUL95">[1]Consultoria!#REF!</definedName>
    <definedName name="_____JUL96">[1]Consultoria!#REF!</definedName>
    <definedName name="_____JUL97">[1]Consultoria!#REF!</definedName>
    <definedName name="_____JUL98">[1]Consultoria!#REF!</definedName>
    <definedName name="_____JUL99">[1]Consultoria!#REF!</definedName>
    <definedName name="_____JUN95">[1]Consultoria!#REF!</definedName>
    <definedName name="_____JUN96">[1]Consultoria!#REF!</definedName>
    <definedName name="_____JUN97">[1]Consultoria!#REF!</definedName>
    <definedName name="_____JUN98">[1]Consultoria!#REF!</definedName>
    <definedName name="_____JUN99">[1]Consultoria!#REF!</definedName>
    <definedName name="_____MAI08">[2]Consultoria!#REF!</definedName>
    <definedName name="_____MAI95">[1]Consultoria!#REF!</definedName>
    <definedName name="_____MAI96">[1]Consultoria!#REF!</definedName>
    <definedName name="_____MAI97">[1]Consultoria!#REF!</definedName>
    <definedName name="_____MAI98">[1]Consultoria!#REF!</definedName>
    <definedName name="_____MAI99">[1]Consultoria!#REF!</definedName>
    <definedName name="_____MAI990">[1]Consultoria!#REF!</definedName>
    <definedName name="_____MAR09">[2]Consultoria!#REF!</definedName>
    <definedName name="_____MAR95">[1]Consultoria!#REF!</definedName>
    <definedName name="_____MAR96">[1]Consultoria!#REF!</definedName>
    <definedName name="_____MAR97">[1]Consultoria!#REF!</definedName>
    <definedName name="_____MAR98">[1]Consultoria!#REF!</definedName>
    <definedName name="_____MAR99">[1]Consultoria!#REF!</definedName>
    <definedName name="_____NOV94">[1]Consultoria!#REF!</definedName>
    <definedName name="_____NOV95">[1]Consultoria!#REF!</definedName>
    <definedName name="_____NOV96">[1]Consultoria!#REF!</definedName>
    <definedName name="_____NOV97">[1]Consultoria!#REF!</definedName>
    <definedName name="_____NOV98">[1]Consultoria!#REF!</definedName>
    <definedName name="_____NOV99">[1]Consultoria!#REF!</definedName>
    <definedName name="_____OUT94">[1]Consultoria!#REF!</definedName>
    <definedName name="_____OUT95">[1]Consultoria!#REF!</definedName>
    <definedName name="_____OUT96">[1]Consultoria!#REF!</definedName>
    <definedName name="_____OUT97">[1]Consultoria!#REF!</definedName>
    <definedName name="_____OUT98">[1]Consultoria!#REF!</definedName>
    <definedName name="_____OUT99">[1]Consultoria!#REF!</definedName>
    <definedName name="_____SET94">[1]Consultoria!#REF!</definedName>
    <definedName name="_____SET95">[1]Consultoria!#REF!</definedName>
    <definedName name="_____SET96">[1]Consultoria!#REF!</definedName>
    <definedName name="_____SET97">[1]Consultoria!#REF!</definedName>
    <definedName name="_____SET98">[1]Consultoria!#REF!</definedName>
    <definedName name="_____SET99">[1]Consultoria!#REF!</definedName>
    <definedName name="____A1" localSheetId="8">#REF!</definedName>
    <definedName name="____A1">#REF!</definedName>
    <definedName name="____a2" localSheetId="8">#REF!</definedName>
    <definedName name="____a2">#REF!</definedName>
    <definedName name="____ABR95" localSheetId="8">[1]Consultoria!#REF!</definedName>
    <definedName name="____ABR95">[1]Consultoria!#REF!</definedName>
    <definedName name="____ABR96">[1]Consultoria!#REF!</definedName>
    <definedName name="____ABR97">[1]Consultoria!#REF!</definedName>
    <definedName name="____ABR98">[1]Consultoria!#REF!</definedName>
    <definedName name="____ABR99">[1]Consultoria!#REF!</definedName>
    <definedName name="____AGO95">[1]Consultoria!#REF!</definedName>
    <definedName name="____AGO96">[1]Consultoria!#REF!</definedName>
    <definedName name="____AGO97">[1]Consultoria!#REF!</definedName>
    <definedName name="____AGO98">[1]Consultoria!#REF!</definedName>
    <definedName name="____AGO99">[1]Consultoria!#REF!</definedName>
    <definedName name="____b1" localSheetId="8">#REF!</definedName>
    <definedName name="____b1">#REF!</definedName>
    <definedName name="____DEZ94">[1]Consultoria!#REF!</definedName>
    <definedName name="____DEZ95">[1]Consultoria!#REF!</definedName>
    <definedName name="____DEZ96">[1]Consultoria!#REF!</definedName>
    <definedName name="____DEZ97">[1]Consultoria!#REF!</definedName>
    <definedName name="____DEZ98">[1]Consultoria!#REF!</definedName>
    <definedName name="____DEZ99">[1]Consultoria!#REF!</definedName>
    <definedName name="____FEV95">[1]Consultoria!#REF!</definedName>
    <definedName name="____FEV96">[1]Consultoria!#REF!</definedName>
    <definedName name="____FEV97">[1]Consultoria!#REF!</definedName>
    <definedName name="____FEV98">[1]Consultoria!#REF!</definedName>
    <definedName name="____FEV99">[1]Consultoria!#REF!</definedName>
    <definedName name="____HUL99">[1]Consultoria!#REF!</definedName>
    <definedName name="____JAN95">[1]Consultoria!#REF!</definedName>
    <definedName name="____JAN96">[1]Consultoria!#REF!</definedName>
    <definedName name="____JAN97">[1]Consultoria!#REF!</definedName>
    <definedName name="____JAN98">[1]Consultoria!#REF!</definedName>
    <definedName name="____JAN9888">[1]Consultoria!#REF!</definedName>
    <definedName name="____JAN99">[1]Consultoria!#REF!</definedName>
    <definedName name="____JUL95">[1]Consultoria!#REF!</definedName>
    <definedName name="____JUL96">[1]Consultoria!#REF!</definedName>
    <definedName name="____JUL97">[1]Consultoria!#REF!</definedName>
    <definedName name="____JUL98">[1]Consultoria!#REF!</definedName>
    <definedName name="____JUL99">[1]Consultoria!#REF!</definedName>
    <definedName name="____JUN95">[1]Consultoria!#REF!</definedName>
    <definedName name="____JUN96">[1]Consultoria!#REF!</definedName>
    <definedName name="____JUN97">[1]Consultoria!#REF!</definedName>
    <definedName name="____JUN98">[1]Consultoria!#REF!</definedName>
    <definedName name="____JUN99">[1]Consultoria!#REF!</definedName>
    <definedName name="____MAI08">[2]Consultoria!#REF!</definedName>
    <definedName name="____MAI95">[1]Consultoria!#REF!</definedName>
    <definedName name="____MAI96">[1]Consultoria!#REF!</definedName>
    <definedName name="____MAI97">[1]Consultoria!#REF!</definedName>
    <definedName name="____MAI98">[1]Consultoria!#REF!</definedName>
    <definedName name="____MAI99">[1]Consultoria!#REF!</definedName>
    <definedName name="____MAI990">[1]Consultoria!#REF!</definedName>
    <definedName name="____MAR09">[2]Consultoria!#REF!</definedName>
    <definedName name="____MAR95">[1]Consultoria!#REF!</definedName>
    <definedName name="____MAR96">[1]Consultoria!#REF!</definedName>
    <definedName name="____MAR97">[1]Consultoria!#REF!</definedName>
    <definedName name="____MAR98">[1]Consultoria!#REF!</definedName>
    <definedName name="____MAR99">[1]Consultoria!#REF!</definedName>
    <definedName name="____NOV94">[1]Consultoria!#REF!</definedName>
    <definedName name="____NOV95">[1]Consultoria!#REF!</definedName>
    <definedName name="____NOV96">[1]Consultoria!#REF!</definedName>
    <definedName name="____NOV97">[1]Consultoria!#REF!</definedName>
    <definedName name="____NOV98">[1]Consultoria!#REF!</definedName>
    <definedName name="____NOV99">[1]Consultoria!#REF!</definedName>
    <definedName name="____OUT94">[1]Consultoria!#REF!</definedName>
    <definedName name="____OUT95">[1]Consultoria!#REF!</definedName>
    <definedName name="____OUT96">[1]Consultoria!#REF!</definedName>
    <definedName name="____OUT97">[1]Consultoria!#REF!</definedName>
    <definedName name="____OUT98">[1]Consultoria!#REF!</definedName>
    <definedName name="____OUT99">[1]Consultoria!#REF!</definedName>
    <definedName name="____SET94">[1]Consultoria!#REF!</definedName>
    <definedName name="____SET95">[1]Consultoria!#REF!</definedName>
    <definedName name="____SET96">[1]Consultoria!#REF!</definedName>
    <definedName name="____SET97">[1]Consultoria!#REF!</definedName>
    <definedName name="____SET98">[1]Consultoria!#REF!</definedName>
    <definedName name="____SET99">[1]Consultoria!#REF!</definedName>
    <definedName name="___A1" localSheetId="8">#REF!</definedName>
    <definedName name="___A1">#REF!</definedName>
    <definedName name="___a2" localSheetId="8">#REF!</definedName>
    <definedName name="___a2">#REF!</definedName>
    <definedName name="___ABR95" localSheetId="8">[1]Consultoria!#REF!</definedName>
    <definedName name="___ABR95">[1]Consultoria!#REF!</definedName>
    <definedName name="___ABR96">[1]Consultoria!#REF!</definedName>
    <definedName name="___ABR97">[1]Consultoria!#REF!</definedName>
    <definedName name="___ABR98">[1]Consultoria!#REF!</definedName>
    <definedName name="___ABR99">[1]Consultoria!#REF!</definedName>
    <definedName name="___AGO95">[1]Consultoria!#REF!</definedName>
    <definedName name="___AGO96">[1]Consultoria!#REF!</definedName>
    <definedName name="___AGO97">[1]Consultoria!#REF!</definedName>
    <definedName name="___AGO98">[1]Consultoria!#REF!</definedName>
    <definedName name="___AGO99">[1]Consultoria!#REF!</definedName>
    <definedName name="___b1" localSheetId="8">#REF!</definedName>
    <definedName name="___b1">#REF!</definedName>
    <definedName name="___DEZ94">[1]Consultoria!#REF!</definedName>
    <definedName name="___DEZ95">[1]Consultoria!#REF!</definedName>
    <definedName name="___DEZ96">[1]Consultoria!#REF!</definedName>
    <definedName name="___DEZ97">[1]Consultoria!#REF!</definedName>
    <definedName name="___DEZ98">[1]Consultoria!#REF!</definedName>
    <definedName name="___DEZ99">[1]Consultoria!#REF!</definedName>
    <definedName name="___FEV95">[1]Consultoria!#REF!</definedName>
    <definedName name="___FEV96">[1]Consultoria!#REF!</definedName>
    <definedName name="___FEV97">[1]Consultoria!#REF!</definedName>
    <definedName name="___FEV98">[1]Consultoria!#REF!</definedName>
    <definedName name="___FEV99">[1]Consultoria!#REF!</definedName>
    <definedName name="___HUL99">[1]Consultoria!#REF!</definedName>
    <definedName name="___JAN95">[1]Consultoria!#REF!</definedName>
    <definedName name="___JAN96">[1]Consultoria!#REF!</definedName>
    <definedName name="___JAN97">[1]Consultoria!#REF!</definedName>
    <definedName name="___JAN98">[1]Consultoria!#REF!</definedName>
    <definedName name="___JAN9888">[1]Consultoria!#REF!</definedName>
    <definedName name="___JAN99">[1]Consultoria!#REF!</definedName>
    <definedName name="___JUL95">[1]Consultoria!#REF!</definedName>
    <definedName name="___JUL96">[1]Consultoria!#REF!</definedName>
    <definedName name="___JUL97">[1]Consultoria!#REF!</definedName>
    <definedName name="___JUL98">[1]Consultoria!#REF!</definedName>
    <definedName name="___JUL99">[1]Consultoria!#REF!</definedName>
    <definedName name="___JUN95">[1]Consultoria!#REF!</definedName>
    <definedName name="___JUN96">[1]Consultoria!#REF!</definedName>
    <definedName name="___JUN97">[1]Consultoria!#REF!</definedName>
    <definedName name="___JUN98">[1]Consultoria!#REF!</definedName>
    <definedName name="___JUN99">[1]Consultoria!#REF!</definedName>
    <definedName name="___MAI08">[2]Consultoria!#REF!</definedName>
    <definedName name="___MAI95">[1]Consultoria!#REF!</definedName>
    <definedName name="___MAI96">[1]Consultoria!#REF!</definedName>
    <definedName name="___MAI97">[1]Consultoria!#REF!</definedName>
    <definedName name="___MAI98">[1]Consultoria!#REF!</definedName>
    <definedName name="___MAI99">[1]Consultoria!#REF!</definedName>
    <definedName name="___MAI990">[1]Consultoria!#REF!</definedName>
    <definedName name="___MAR09">[2]Consultoria!#REF!</definedName>
    <definedName name="___MAR95">[1]Consultoria!#REF!</definedName>
    <definedName name="___MAR96">[1]Consultoria!#REF!</definedName>
    <definedName name="___MAR97">[1]Consultoria!#REF!</definedName>
    <definedName name="___MAR98">[1]Consultoria!#REF!</definedName>
    <definedName name="___MAR99">[1]Consultoria!#REF!</definedName>
    <definedName name="___NOV94">[1]Consultoria!#REF!</definedName>
    <definedName name="___NOV95">[1]Consultoria!#REF!</definedName>
    <definedName name="___NOV96">[1]Consultoria!#REF!</definedName>
    <definedName name="___NOV97">[1]Consultoria!#REF!</definedName>
    <definedName name="___NOV98">[1]Consultoria!#REF!</definedName>
    <definedName name="___NOV99">[1]Consultoria!#REF!</definedName>
    <definedName name="___OUT94">[1]Consultoria!#REF!</definedName>
    <definedName name="___OUT95">[1]Consultoria!#REF!</definedName>
    <definedName name="___OUT96">[1]Consultoria!#REF!</definedName>
    <definedName name="___OUT97">[1]Consultoria!#REF!</definedName>
    <definedName name="___OUT98">[1]Consultoria!#REF!</definedName>
    <definedName name="___OUT99">[1]Consultoria!#REF!</definedName>
    <definedName name="___SET94">[1]Consultoria!#REF!</definedName>
    <definedName name="___SET95">[1]Consultoria!#REF!</definedName>
    <definedName name="___SET96">[1]Consultoria!#REF!</definedName>
    <definedName name="___SET97">[1]Consultoria!#REF!</definedName>
    <definedName name="___SET98">[1]Consultoria!#REF!</definedName>
    <definedName name="___SET99">[1]Consultoria!#REF!</definedName>
    <definedName name="__A1" localSheetId="8">#REF!</definedName>
    <definedName name="__A1">#REF!</definedName>
    <definedName name="__a2" localSheetId="8">#REF!</definedName>
    <definedName name="__a2">#REF!</definedName>
    <definedName name="__ABR95" localSheetId="8">[1]Consultoria!#REF!</definedName>
    <definedName name="__ABR95">[1]Consultoria!#REF!</definedName>
    <definedName name="__ABR96">[1]Consultoria!#REF!</definedName>
    <definedName name="__ABR97">[1]Consultoria!#REF!</definedName>
    <definedName name="__ABR98">[1]Consultoria!#REF!</definedName>
    <definedName name="__ABR99">[1]Consultoria!#REF!</definedName>
    <definedName name="__AGO95">[1]Consultoria!#REF!</definedName>
    <definedName name="__AGO96">[1]Consultoria!#REF!</definedName>
    <definedName name="__AGO97">[1]Consultoria!#REF!</definedName>
    <definedName name="__AGO98">[1]Consultoria!#REF!</definedName>
    <definedName name="__AGO99">[1]Consultoria!#REF!</definedName>
    <definedName name="__b1" localSheetId="8">#REF!</definedName>
    <definedName name="__b1">#REF!</definedName>
    <definedName name="__DEZ94">[1]Consultoria!#REF!</definedName>
    <definedName name="__DEZ95">[1]Consultoria!#REF!</definedName>
    <definedName name="__DEZ96">[1]Consultoria!#REF!</definedName>
    <definedName name="__DEZ97">[1]Consultoria!#REF!</definedName>
    <definedName name="__DEZ98">[1]Consultoria!#REF!</definedName>
    <definedName name="__DEZ99">[1]Consultoria!#REF!</definedName>
    <definedName name="__ESP01" localSheetId="6">#REF!</definedName>
    <definedName name="__ESP01" localSheetId="8">#REF!</definedName>
    <definedName name="__ESP01">#REF!</definedName>
    <definedName name="__ESP02" localSheetId="6">#REF!</definedName>
    <definedName name="__ESP02">#REF!</definedName>
    <definedName name="__ESP03" localSheetId="6">#REF!</definedName>
    <definedName name="__ESP03">#REF!</definedName>
    <definedName name="__ESP04">#REF!</definedName>
    <definedName name="__FEV95" localSheetId="8">[1]Consultoria!#REF!</definedName>
    <definedName name="__FEV95">[1]Consultoria!#REF!</definedName>
    <definedName name="__FEV96" localSheetId="8">[1]Consultoria!#REF!</definedName>
    <definedName name="__FEV96">[1]Consultoria!#REF!</definedName>
    <definedName name="__FEV97" localSheetId="8">[1]Consultoria!#REF!</definedName>
    <definedName name="__FEV97">[1]Consultoria!#REF!</definedName>
    <definedName name="__FEV98" localSheetId="8">[1]Consultoria!#REF!</definedName>
    <definedName name="__FEV98">[1]Consultoria!#REF!</definedName>
    <definedName name="__FEV99">[1]Consultoria!#REF!</definedName>
    <definedName name="__HUL99">[1]Consultoria!#REF!</definedName>
    <definedName name="__JAN95">[1]Consultoria!#REF!</definedName>
    <definedName name="__JAN96">[1]Consultoria!#REF!</definedName>
    <definedName name="__JAN97">[1]Consultoria!#REF!</definedName>
    <definedName name="__JAN98">[1]Consultoria!#REF!</definedName>
    <definedName name="__JAN9888">[1]Consultoria!#REF!</definedName>
    <definedName name="__JAN99">[1]Consultoria!#REF!</definedName>
    <definedName name="__JUL95">[1]Consultoria!#REF!</definedName>
    <definedName name="__JUL96">[1]Consultoria!#REF!</definedName>
    <definedName name="__JUL97">[1]Consultoria!#REF!</definedName>
    <definedName name="__JUL98">[1]Consultoria!#REF!</definedName>
    <definedName name="__JUL99">[1]Consultoria!#REF!</definedName>
    <definedName name="__JUN95">[1]Consultoria!#REF!</definedName>
    <definedName name="__JUN96">[1]Consultoria!#REF!</definedName>
    <definedName name="__JUN97">[1]Consultoria!#REF!</definedName>
    <definedName name="__JUN98">[1]Consultoria!#REF!</definedName>
    <definedName name="__JUN99">[1]Consultoria!#REF!</definedName>
    <definedName name="__MAI08">[2]Consultoria!#REF!</definedName>
    <definedName name="__MAI95">[1]Consultoria!#REF!</definedName>
    <definedName name="__MAI96">[1]Consultoria!#REF!</definedName>
    <definedName name="__MAI97">[1]Consultoria!#REF!</definedName>
    <definedName name="__MAI98">[1]Consultoria!#REF!</definedName>
    <definedName name="__MAI99">[1]Consultoria!#REF!</definedName>
    <definedName name="__MAI990">[1]Consultoria!#REF!</definedName>
    <definedName name="__MAR09">[2]Consultoria!#REF!</definedName>
    <definedName name="__MAR95">[1]Consultoria!#REF!</definedName>
    <definedName name="__MAR96">[1]Consultoria!#REF!</definedName>
    <definedName name="__MAR97">[1]Consultoria!#REF!</definedName>
    <definedName name="__MAR98">[1]Consultoria!#REF!</definedName>
    <definedName name="__MAR99">[1]Consultoria!#REF!</definedName>
    <definedName name="__NOV94">[1]Consultoria!#REF!</definedName>
    <definedName name="__NOV95">[1]Consultoria!#REF!</definedName>
    <definedName name="__NOV96">[1]Consultoria!#REF!</definedName>
    <definedName name="__NOV97">[1]Consultoria!#REF!</definedName>
    <definedName name="__NOV98">[1]Consultoria!#REF!</definedName>
    <definedName name="__NOV99">[1]Consultoria!#REF!</definedName>
    <definedName name="__OUT94">[1]Consultoria!#REF!</definedName>
    <definedName name="__OUT95">[1]Consultoria!#REF!</definedName>
    <definedName name="__OUT96">[1]Consultoria!#REF!</definedName>
    <definedName name="__OUT97">[1]Consultoria!#REF!</definedName>
    <definedName name="__OUT98">[1]Consultoria!#REF!</definedName>
    <definedName name="__OUT99">[1]Consultoria!#REF!</definedName>
    <definedName name="__SET94">[1]Consultoria!#REF!</definedName>
    <definedName name="__SET95">[1]Consultoria!#REF!</definedName>
    <definedName name="__SET96">[1]Consultoria!#REF!</definedName>
    <definedName name="__SET97">[1]Consultoria!#REF!</definedName>
    <definedName name="__SET98">[1]Consultoria!#REF!</definedName>
    <definedName name="__SET99">[1]Consultoria!#REF!</definedName>
    <definedName name="__TOT1" localSheetId="6">#REF!</definedName>
    <definedName name="__TOT1" localSheetId="8">#REF!</definedName>
    <definedName name="__TOT1">#REF!</definedName>
    <definedName name="__TOT2" localSheetId="6">#REF!</definedName>
    <definedName name="__TOT2">#REF!</definedName>
    <definedName name="__TOT3" localSheetId="6">#REF!</definedName>
    <definedName name="__TOT3">#REF!</definedName>
    <definedName name="__TOT4">#REF!</definedName>
    <definedName name="__TOT5">#REF!</definedName>
    <definedName name="__TOT6">#REF!</definedName>
    <definedName name="_A" localSheetId="8">[1]Consultoria!#REF!</definedName>
    <definedName name="_A">[1]Consultoria!#REF!</definedName>
    <definedName name="_A1" localSheetId="8">#REF!</definedName>
    <definedName name="_A1">#REF!</definedName>
    <definedName name="_a2">#REF!</definedName>
    <definedName name="_ABR95" localSheetId="8">[1]Consultoria!#REF!</definedName>
    <definedName name="_ABR95">[1]Consultoria!#REF!</definedName>
    <definedName name="_ABR96" localSheetId="8">[1]Consultoria!#REF!</definedName>
    <definedName name="_ABR96">[1]Consultoria!#REF!</definedName>
    <definedName name="_ABR96_" localSheetId="8">[1]Consultoria!#REF!</definedName>
    <definedName name="_ABR96_">[1]Consultoria!#REF!</definedName>
    <definedName name="_ABR97" localSheetId="8">[1]Consultoria!#REF!</definedName>
    <definedName name="_ABR97">[1]Consultoria!#REF!</definedName>
    <definedName name="_ABR98" localSheetId="8">[1]Consultoria!#REF!</definedName>
    <definedName name="_ABR98">[1]Consultoria!#REF!</definedName>
    <definedName name="_ABR99">[1]Consultoria!#REF!</definedName>
    <definedName name="_AGO95">[1]Consultoria!#REF!</definedName>
    <definedName name="_AGO96">[1]Consultoria!#REF!</definedName>
    <definedName name="_AGO97">[1]Consultoria!#REF!</definedName>
    <definedName name="_AGO98">[1]Consultoria!#REF!</definedName>
    <definedName name="_AGO99">[1]Consultoria!#REF!</definedName>
    <definedName name="_b1" localSheetId="8">#REF!</definedName>
    <definedName name="_b1">#REF!</definedName>
    <definedName name="_DEZ94">[1]Consultoria!#REF!</definedName>
    <definedName name="_DEZ95">[1]Consultoria!#REF!</definedName>
    <definedName name="_DEZ96">[1]Consultoria!#REF!</definedName>
    <definedName name="_DEZ97">[1]Consultoria!#REF!</definedName>
    <definedName name="_DEZ98">[1]Consultoria!#REF!</definedName>
    <definedName name="_DEZ99">[1]Consultoria!#REF!</definedName>
    <definedName name="_ESP01" localSheetId="6">#REF!</definedName>
    <definedName name="_ESP01" localSheetId="8">#REF!</definedName>
    <definedName name="_ESP01">#REF!</definedName>
    <definedName name="_ESP02" localSheetId="6">#REF!</definedName>
    <definedName name="_ESP02">#REF!</definedName>
    <definedName name="_ESP03" localSheetId="6">#REF!</definedName>
    <definedName name="_ESP03">#REF!</definedName>
    <definedName name="_ESP04">#REF!</definedName>
    <definedName name="_FEV95" localSheetId="8">[1]Consultoria!#REF!</definedName>
    <definedName name="_FEV95">[1]Consultoria!#REF!</definedName>
    <definedName name="_FEV96" localSheetId="8">[1]Consultoria!#REF!</definedName>
    <definedName name="_FEV96">[1]Consultoria!#REF!</definedName>
    <definedName name="_FEV97" localSheetId="8">[1]Consultoria!#REF!</definedName>
    <definedName name="_FEV97">[1]Consultoria!#REF!</definedName>
    <definedName name="_FEV98" localSheetId="8">[1]Consultoria!#REF!</definedName>
    <definedName name="_FEV98">[1]Consultoria!#REF!</definedName>
    <definedName name="_FEV99">[1]Consultoria!#REF!</definedName>
    <definedName name="_Fill" localSheetId="8" hidden="1">#REF!</definedName>
    <definedName name="_Fill" hidden="1">#REF!</definedName>
    <definedName name="_xlnm._FilterDatabase" localSheetId="6" hidden="1">'VII-CURVA ABC'!$A$17:$H$17</definedName>
    <definedName name="_HUL99" localSheetId="6">[1]Consultoria!#REF!</definedName>
    <definedName name="_HUL99" localSheetId="8">[1]Consultoria!#REF!</definedName>
    <definedName name="_HUL99">[1]Consultoria!#REF!</definedName>
    <definedName name="_JAN95" localSheetId="6">[1]Consultoria!#REF!</definedName>
    <definedName name="_JAN95" localSheetId="8">[1]Consultoria!#REF!</definedName>
    <definedName name="_JAN95">[1]Consultoria!#REF!</definedName>
    <definedName name="_JAN96" localSheetId="6">[1]Consultoria!#REF!</definedName>
    <definedName name="_JAN96" localSheetId="8">[1]Consultoria!#REF!</definedName>
    <definedName name="_JAN96">[1]Consultoria!#REF!</definedName>
    <definedName name="_JAN97">[1]Consultoria!#REF!</definedName>
    <definedName name="_JAN98">[1]Consultoria!#REF!</definedName>
    <definedName name="_JAN9888">[1]Consultoria!#REF!</definedName>
    <definedName name="_JAN99">[1]Consultoria!#REF!</definedName>
    <definedName name="_JUL95">[1]Consultoria!#REF!</definedName>
    <definedName name="_JUL96">[1]Consultoria!#REF!</definedName>
    <definedName name="_JUL97">[1]Consultoria!#REF!</definedName>
    <definedName name="_JUL98">[1]Consultoria!#REF!</definedName>
    <definedName name="_JUL99">[1]Consultoria!#REF!</definedName>
    <definedName name="_jun" localSheetId="6">#REF!</definedName>
    <definedName name="_jun" localSheetId="8">#REF!</definedName>
    <definedName name="_jun">#REF!</definedName>
    <definedName name="_JUN95" localSheetId="8">[1]Consultoria!#REF!</definedName>
    <definedName name="_JUN95">[1]Consultoria!#REF!</definedName>
    <definedName name="_JUN96" localSheetId="8">[1]Consultoria!#REF!</definedName>
    <definedName name="_JUN96">[1]Consultoria!#REF!</definedName>
    <definedName name="_JUN97">[1]Consultoria!#REF!</definedName>
    <definedName name="_JUN98">[1]Consultoria!#REF!</definedName>
    <definedName name="_JUN99">[1]Consultoria!#REF!</definedName>
    <definedName name="_Key1" hidden="1">#REF!</definedName>
    <definedName name="_Key2" hidden="1">#REF!</definedName>
    <definedName name="_MAI08">[2]Consultoria!#REF!</definedName>
    <definedName name="_MAI95">[1]Consultoria!#REF!</definedName>
    <definedName name="_MAI96">[1]Consultoria!#REF!</definedName>
    <definedName name="_MAI97">[1]Consultoria!#REF!</definedName>
    <definedName name="_MAI98">[1]Consultoria!#REF!</definedName>
    <definedName name="_MAI99">[1]Consultoria!#REF!</definedName>
    <definedName name="_MAI990">[1]Consultoria!#REF!</definedName>
    <definedName name="_MAR09">[2]Consultoria!#REF!</definedName>
    <definedName name="_MAR95">[1]Consultoria!#REF!</definedName>
    <definedName name="_MAR96">[1]Consultoria!#REF!</definedName>
    <definedName name="_MAR97">[1]Consultoria!#REF!</definedName>
    <definedName name="_MAR98">[1]Consultoria!#REF!</definedName>
    <definedName name="_MAR99">[1]Consultoria!#REF!</definedName>
    <definedName name="_NOV40">[1]Consultoria!#REF!</definedName>
    <definedName name="_NOV94">[1]Consultoria!#REF!</definedName>
    <definedName name="_NOV95">[1]Consultoria!#REF!</definedName>
    <definedName name="_NOV96">[1]Consultoria!#REF!</definedName>
    <definedName name="_NOV97">[1]Consultoria!#REF!</definedName>
    <definedName name="_NOV98">[1]Consultoria!#REF!</definedName>
    <definedName name="_NOV99">[1]Consultoria!#REF!</definedName>
    <definedName name="_Order1" hidden="1">255</definedName>
    <definedName name="_Order2" hidden="1">255</definedName>
    <definedName name="_OUT94">[1]Consultoria!#REF!</definedName>
    <definedName name="_OUT95">[1]Consultoria!#REF!</definedName>
    <definedName name="_OUT96">[1]Consultoria!#REF!</definedName>
    <definedName name="_OUT97">[1]Consultoria!#REF!</definedName>
    <definedName name="_OUT98">[1]Consultoria!#REF!</definedName>
    <definedName name="_OUT99">[1]Consultoria!#REF!</definedName>
    <definedName name="_sab" localSheetId="6">#REF!</definedName>
    <definedName name="_sab" localSheetId="8">#REF!</definedName>
    <definedName name="_sab">#REF!</definedName>
    <definedName name="_SET94" localSheetId="8">[1]Consultoria!#REF!</definedName>
    <definedName name="_SET94">[1]Consultoria!#REF!</definedName>
    <definedName name="_SET95" localSheetId="8">[1]Consultoria!#REF!</definedName>
    <definedName name="_SET95">[1]Consultoria!#REF!</definedName>
    <definedName name="_SET96">[1]Consultoria!#REF!</definedName>
    <definedName name="_SET97">[1]Consultoria!#REF!</definedName>
    <definedName name="_SET98">[1]Consultoria!#REF!</definedName>
    <definedName name="_SET99">[1]Consultoria!#REF!</definedName>
    <definedName name="_Sort" hidden="1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A">[3]TERRAPLENAGEM!#REF!</definedName>
    <definedName name="a0" localSheetId="6">#REF!</definedName>
    <definedName name="a0" localSheetId="8">#REF!</definedName>
    <definedName name="a0">#REF!</definedName>
    <definedName name="ABERTA">NA()</definedName>
    <definedName name="ABR00" localSheetId="6">[1]Consultoria!#REF!</definedName>
    <definedName name="ABR00" localSheetId="8">[1]Consultoria!#REF!</definedName>
    <definedName name="ABR00">[1]Consultoria!#REF!</definedName>
    <definedName name="ABR00_6" localSheetId="6">#REF!</definedName>
    <definedName name="ABR00_6" localSheetId="8">#REF!</definedName>
    <definedName name="ABR00_6">#REF!</definedName>
    <definedName name="ABVFDS" localSheetId="6">[1]Consultoria!#REF!</definedName>
    <definedName name="ABVFDS" localSheetId="8">[1]Consultoria!#REF!</definedName>
    <definedName name="ABVFDS">[1]Consultoria!#REF!</definedName>
    <definedName name="AC" localSheetId="6">#REF!</definedName>
    <definedName name="AC" localSheetId="8">#REF!</definedName>
    <definedName name="AC">#REF!</definedName>
    <definedName name="AccessDatabase" hidden="1">"C:\Controle\DER\R. Mato Grosso\ct_matMAT GR0898.mdb"</definedName>
    <definedName name="ACO">NA()</definedName>
    <definedName name="ACRE" hidden="1">#REF!</definedName>
    <definedName name="ademir" localSheetId="5" hidden="1">{#N/A,#N/A,FALSE,"Cronograma";#N/A,#N/A,FALSE,"Cronogr. 2"}</definedName>
    <definedName name="ademir" localSheetId="6" hidden="1">{#N/A,#N/A,FALSE,"Cronograma";#N/A,#N/A,FALSE,"Cronogr. 2"}</definedName>
    <definedName name="ademir" localSheetId="8" hidden="1">{#N/A,#N/A,FALSE,"Cronograma";#N/A,#N/A,FALSE,"Cronogr. 2"}</definedName>
    <definedName name="ademir" hidden="1">{#N/A,#N/A,FALSE,"Cronograma";#N/A,#N/A,FALSE,"Cronogr. 2"}</definedName>
    <definedName name="ADIC">#REF!</definedName>
    <definedName name="ADICO">#REF!</definedName>
    <definedName name="ADM">#REF!</definedName>
    <definedName name="ADMINST">#REF!</definedName>
    <definedName name="AdPeri">#REF!</definedName>
    <definedName name="AERG">#REF!</definedName>
    <definedName name="AGB">#REF!</definedName>
    <definedName name="AGUA">NA()</definedName>
    <definedName name="al">[2]Consultoria!#REF!</definedName>
    <definedName name="ALU">#REF!</definedName>
    <definedName name="Alvenaria_vedação">"$#REF!.$A$76"</definedName>
    <definedName name="ap">#REF!</definedName>
    <definedName name="AREA">#REF!</definedName>
    <definedName name="_xlnm.Extract" localSheetId="6">#REF!</definedName>
    <definedName name="_xlnm.Extract">#REF!</definedName>
    <definedName name="_xlnm.Print_Area" localSheetId="0">CAPA!$A$1:$J$32</definedName>
    <definedName name="_xlnm.Print_Area" localSheetId="3">'III-PA'!$A$1:$J$2661</definedName>
    <definedName name="_xlnm.Print_Area" localSheetId="2">'II-PO'!$A$1:$M$300</definedName>
    <definedName name="_xlnm.Print_Area" localSheetId="1">'I-RESUMO'!$A$1:$F$35</definedName>
    <definedName name="_xlnm.Print_Area" localSheetId="4">'IV-MEMORIAL'!$A$1:$M$2203</definedName>
    <definedName name="_xlnm.Print_Area" localSheetId="5">'V-COMPOSIÇÕES PRÓPRIAS'!$A$1:$K$98</definedName>
    <definedName name="_xlnm.Print_Area" localSheetId="7">'VI-BDI CONSTRUÇÃO'!$A$1:$M$50</definedName>
    <definedName name="_xlnm.Print_Area" localSheetId="6">'VII-CURVA ABC'!$A$1:$H$263</definedName>
    <definedName name="_xlnm.Print_Area" localSheetId="8">'VIII-CRONOGRAMA'!$A$1:$J$61</definedName>
    <definedName name="Área_impressão_IM" localSheetId="6">#REF!</definedName>
    <definedName name="Área_impressão_IM" localSheetId="8">#REF!</definedName>
    <definedName name="Área_impressão_IM">#REF!</definedName>
    <definedName name="Área_impressão_IM_6" localSheetId="6">#REF!</definedName>
    <definedName name="Área_impressão_IM_6" localSheetId="8">#REF!</definedName>
    <definedName name="Área_impressão_IM_6">#REF!</definedName>
    <definedName name="AREA1" localSheetId="6">'[4]Memoria Calculo'!#REF!</definedName>
    <definedName name="AREA1" localSheetId="8">'[4]Memoria Calculo'!#REF!</definedName>
    <definedName name="AREA1">'[4]Memoria Calculo'!#REF!</definedName>
    <definedName name="AREA2" localSheetId="6">'[4]Memoria Calculo'!#REF!</definedName>
    <definedName name="AREA2" localSheetId="8">'[4]Memoria Calculo'!#REF!</definedName>
    <definedName name="AREA2">'[4]Memoria Calculo'!#REF!</definedName>
    <definedName name="Arial" localSheetId="6">#REF!</definedName>
    <definedName name="Arial" localSheetId="8">#REF!</definedName>
    <definedName name="Arial">#REF!</definedName>
    <definedName name="ASDFSA" localSheetId="6">[1]Consultoria!#REF!</definedName>
    <definedName name="ASDFSA" localSheetId="8">[1]Consultoria!#REF!</definedName>
    <definedName name="ASDFSA">[1]Consultoria!#REF!</definedName>
    <definedName name="ASF" localSheetId="6">[1]Consultoria!#REF!</definedName>
    <definedName name="ASF" localSheetId="8">[1]Consultoria!#REF!</definedName>
    <definedName name="ASF">[1]Consultoria!#REF!</definedName>
    <definedName name="Aut_original">[5]PROJETO!#REF!</definedName>
    <definedName name="Aut_resumo">[6]RESUMO_AUT1!#REF!</definedName>
    <definedName name="AuxHab" localSheetId="6">#REF!</definedName>
    <definedName name="AuxHab" localSheetId="8">#REF!</definedName>
    <definedName name="AuxHab">#REF!</definedName>
    <definedName name="_xlnm.Database" localSheetId="6">#REF!</definedName>
    <definedName name="_xlnm.Database" localSheetId="8">#REF!</definedName>
    <definedName name="_xlnm.Database">#REF!</definedName>
    <definedName name="BAS" localSheetId="6">#REF!</definedName>
    <definedName name="BAS">#REF!</definedName>
    <definedName name="BASCARROCERIA" localSheetId="6">[3]TERRAPLENAGEM!#REF!</definedName>
    <definedName name="BASCARROCERIA" localSheetId="8">[3]TERRAPLENAGEM!#REF!</definedName>
    <definedName name="BASCARROCERIA">[3]TERRAPLENAGEM!#REF!</definedName>
    <definedName name="base" localSheetId="6">[1]Consultoria!#REF!</definedName>
    <definedName name="base" localSheetId="8">[1]Consultoria!#REF!</definedName>
    <definedName name="base">[1]Consultoria!#REF!</definedName>
    <definedName name="base_6" localSheetId="6">#REF!</definedName>
    <definedName name="base_6" localSheetId="8">#REF!</definedName>
    <definedName name="base_6">#REF!</definedName>
    <definedName name="Básico" localSheetId="6">#REF!</definedName>
    <definedName name="Básico" localSheetId="8">#REF!</definedName>
    <definedName name="Básico">#REF!</definedName>
    <definedName name="bbb" localSheetId="6">#REF!</definedName>
    <definedName name="bbb">#REF!</definedName>
    <definedName name="BDI">#REF!</definedName>
    <definedName name="BONITO">#REF!</definedName>
    <definedName name="BORIDOS">#REF!</definedName>
    <definedName name="bosta" localSheetId="5" hidden="1">{#N/A,#N/A,FALSE,"Cronograma";#N/A,#N/A,FALSE,"Cronogr. 2"}</definedName>
    <definedName name="bosta" localSheetId="6" hidden="1">{#N/A,#N/A,FALSE,"Cronograma";#N/A,#N/A,FALSE,"Cronogr. 2"}</definedName>
    <definedName name="bosta" localSheetId="8" hidden="1">{#N/A,#N/A,FALSE,"Cronograma";#N/A,#N/A,FALSE,"Cronogr. 2"}</definedName>
    <definedName name="bosta" hidden="1">{#N/A,#N/A,FALSE,"Cronograma";#N/A,#N/A,FALSE,"Cronogr. 2"}</definedName>
    <definedName name="buceta">[1]Consultoria!#REF!</definedName>
    <definedName name="BUEIROMETÁLICO">#REF!</definedName>
    <definedName name="BUEIROSMETALICOS">#REF!</definedName>
    <definedName name="BuiltIn_Print_Area">#REF!</definedName>
    <definedName name="Button_12">"ct_matMAT_GR0898_Lançamento_Lista1"</definedName>
    <definedName name="Button_13">"ct_matMAT_GR0898_Lançamento_Lista2"</definedName>
    <definedName name="CA´L" localSheetId="5" hidden="1">{#N/A,#N/A,FALSE,"Cronograma";#N/A,#N/A,FALSE,"Cronogr. 2"}</definedName>
    <definedName name="CA´L" localSheetId="6" hidden="1">{#N/A,#N/A,FALSE,"Cronograma";#N/A,#N/A,FALSE,"Cronogr. 2"}</definedName>
    <definedName name="CA´L" localSheetId="8" hidden="1">{#N/A,#N/A,FALSE,"Cronograma";#N/A,#N/A,FALSE,"Cronogr. 2"}</definedName>
    <definedName name="CA´L" hidden="1">{#N/A,#N/A,FALSE,"Cronograma";#N/A,#N/A,FALSE,"Cronogr. 2"}</definedName>
    <definedName name="CABO">#N/A</definedName>
    <definedName name="CAIX">#N/A</definedName>
    <definedName name="Camada_brita">"$#REF!.$A$173"</definedName>
    <definedName name="Camada_impermeabilizadora">"$#REF!.$A$46"</definedName>
    <definedName name="CARALHO">#REF!</definedName>
    <definedName name="CARGA">NA()</definedName>
    <definedName name="CARROCERIA">NA()</definedName>
    <definedName name="CBUQ">#REF!</definedName>
    <definedName name="ccccdddd">#REF!</definedName>
    <definedName name="CDT">#N/A</definedName>
    <definedName name="Chapisco">"$#REF!.$A$113"</definedName>
    <definedName name="Cobertura">"$#REF!.$A$164"</definedName>
    <definedName name="COMING">[1]Consultoria!#REF!</definedName>
    <definedName name="COMPOS_PLAY">#REF!</definedName>
    <definedName name="concorrentes" localSheetId="5" hidden="1">{#N/A,#N/A,FALSE,"Cronograma";#N/A,#N/A,FALSE,"Cronogr. 2"}</definedName>
    <definedName name="concorrentes" localSheetId="6" hidden="1">{#N/A,#N/A,FALSE,"Cronograma";#N/A,#N/A,FALSE,"Cronogr. 2"}</definedName>
    <definedName name="concorrentes" localSheetId="8" hidden="1">{#N/A,#N/A,FALSE,"Cronograma";#N/A,#N/A,FALSE,"Cronogr. 2"}</definedName>
    <definedName name="concorrentes" hidden="1">{#N/A,#N/A,FALSE,"Cronograma";#N/A,#N/A,FALSE,"Cronogr. 2"}</definedName>
    <definedName name="COND">#N/A</definedName>
    <definedName name="CONE">#N/A</definedName>
    <definedName name="CONS.ASF.">[3]TERRAPLENAGEM!#REF!</definedName>
    <definedName name="CONS_ASF_" localSheetId="6">#REF!</definedName>
    <definedName name="CONS_ASF_" localSheetId="8">#REF!</definedName>
    <definedName name="CONS_ASF_">#REF!</definedName>
    <definedName name="CONSERVAÇ" localSheetId="6">#REF!</definedName>
    <definedName name="CONSERVAÇ">#REF!</definedName>
    <definedName name="CONSERVAÇÃO" localSheetId="6">[3]TERRAPLENAGEM!#REF!</definedName>
    <definedName name="CONSERVAÇÃO" localSheetId="8">[3]TERRAPLENAGEM!#REF!</definedName>
    <definedName name="CONSERVAÇÃO">[3]TERRAPLENAGEM!#REF!</definedName>
    <definedName name="CONSERVASF" localSheetId="6">#REF!</definedName>
    <definedName name="CONSERVASF" localSheetId="8">#REF!</definedName>
    <definedName name="CONSERVASF">#REF!</definedName>
    <definedName name="Criteria" localSheetId="6">#REF!</definedName>
    <definedName name="Criteria" localSheetId="8">#REF!</definedName>
    <definedName name="Criteria">#REF!</definedName>
    <definedName name="_xlnm.Criteria" localSheetId="6">#REF!</definedName>
    <definedName name="_xlnm.Criteria">#REF!</definedName>
    <definedName name="CRON">#REF!</definedName>
    <definedName name="CTOTAL">#REF!</definedName>
    <definedName name="cu">#REF!</definedName>
    <definedName name="d">#REF!</definedName>
    <definedName name="D.0">#REF!</definedName>
    <definedName name="das">#REF!</definedName>
    <definedName name="data">#REF!</definedName>
    <definedName name="Database">#REF!</definedName>
    <definedName name="ddddd">[1]Consultoria!#REF!</definedName>
    <definedName name="DE">NA()</definedName>
    <definedName name="derterra059">#REF!</definedName>
    <definedName name="DIRETOS">#REF!</definedName>
    <definedName name="Dissídio">#REF!</definedName>
    <definedName name="DIVE">#N/A</definedName>
    <definedName name="Dollars">#REF!</definedName>
    <definedName name="DREN">#REF!</definedName>
    <definedName name="DRENAGEM">[3]TERRAPLENAGEM!#REF!</definedName>
    <definedName name="DSAfkh">[1]Consultoria!#REF!</definedName>
    <definedName name="DU">#REF!</definedName>
    <definedName name="eap">#REF!</definedName>
    <definedName name="ecu">#REF!</definedName>
    <definedName name="edir">[3]TERRAPLENAGEM!#REF!</definedName>
    <definedName name="Elemento_vazado">"$#REF!.$A$109"</definedName>
    <definedName name="EQUI">#N/A</definedName>
    <definedName name="EQUIPAMENTOS">[3]TERRAPLENAGEM!#REF!</definedName>
    <definedName name="erf" localSheetId="6">#REF!</definedName>
    <definedName name="erf" localSheetId="8">#REF!</definedName>
    <definedName name="erf">#REF!</definedName>
    <definedName name="ERT" localSheetId="6">#REF!</definedName>
    <definedName name="ERT" localSheetId="8">#REF!</definedName>
    <definedName name="ERT">#REF!</definedName>
    <definedName name="Escavação">"$#REF!.$A$18"</definedName>
    <definedName name="ESCRIT">#REF!</definedName>
    <definedName name="EsmoH">#REF!</definedName>
    <definedName name="EsmoM">#REF!</definedName>
    <definedName name="EsmoMP">#REF!</definedName>
    <definedName name="espacost">#REF!</definedName>
    <definedName name="ESPADI">#REF!</definedName>
    <definedName name="espbase">#REF!</definedName>
    <definedName name="espbase3a">#REF!</definedName>
    <definedName name="espbaseaco">#REF!</definedName>
    <definedName name="ESPESTAB">#REF!</definedName>
    <definedName name="Esquadrias">"$#REF!.$A$206"</definedName>
    <definedName name="Est">'[7]Adm Local '!$K$312</definedName>
    <definedName name="eta" localSheetId="6">#REF!</definedName>
    <definedName name="eta" localSheetId="8">#REF!</definedName>
    <definedName name="eta">#REF!</definedName>
    <definedName name="Excel_BuiltIn_Database" localSheetId="6">#REF!</definedName>
    <definedName name="Excel_BuiltIn_Database" localSheetId="8">#REF!</definedName>
    <definedName name="Excel_BuiltIn_Database">#REF!</definedName>
    <definedName name="Excel_BuiltIn_Database_6" localSheetId="6">#REF!</definedName>
    <definedName name="Excel_BuiltIn_Database_6" localSheetId="8">#REF!</definedName>
    <definedName name="Excel_BuiltIn_Database_6">#REF!</definedName>
    <definedName name="Excel_BuiltIn_Print_Area_1">#REF!</definedName>
    <definedName name="Excel_BuiltIn_Print_Area_1_1_1">#REF!</definedName>
    <definedName name="Excel_BuiltIn_Print_Area_6">"$#REF!.$A$1:$K$252"</definedName>
    <definedName name="Excel_BuiltIn_Print_Titles_1_1">(#REF!,#REF!)</definedName>
    <definedName name="Excel_BuiltIn_Print_Titles_3_1">('[8]Composição de Custo'!$A:$F,'[8]Composição de Custo'!#REF!)</definedName>
    <definedName name="Excel_BuiltIn_Print_Titles_33">"$#REF!.$A$1:$IU$3"</definedName>
    <definedName name="Extract">#REF!</definedName>
    <definedName name="FATU">#REF!</definedName>
    <definedName name="FDFD">[1]Consultoria!#REF!</definedName>
    <definedName name="fdsafsa">[6]RESUMO_AUT1!#REF!</definedName>
    <definedName name="FEV00">[1]Consultoria!#REF!</definedName>
    <definedName name="FEV00_6">#REF!</definedName>
    <definedName name="FGAFHADFHNSAHFA">#REF!</definedName>
    <definedName name="fghf">[1]Consultoria!#REF!</definedName>
    <definedName name="FGSGRJHHGH">[1]Consultoria!#REF!</definedName>
    <definedName name="Filtro">"$#REF!.$A$237"</definedName>
    <definedName name="FIXA">NA()</definedName>
    <definedName name="FRDES">#REF!</definedName>
    <definedName name="Gas">'[7]Adm Local '!$K$310</definedName>
    <definedName name="GERAL">NA()</definedName>
    <definedName name="GFSDG">[1]Consultoria!#REF!</definedName>
    <definedName name="hfdhsdjshjkdfghshsdhd">#REF!</definedName>
    <definedName name="HORAMÁQUINA">[3]TERRAPLENAGEM!#REF!</definedName>
    <definedName name="HSFHSFSDFHARFHARTAYRYT" localSheetId="6">#REF!</definedName>
    <definedName name="HSFHSFSDFHARFHARTAYRYT" localSheetId="8">#REF!</definedName>
    <definedName name="HSFHSFSDFHARFHARTAYRYT">#REF!</definedName>
    <definedName name="hshgsfghsghshg" localSheetId="6">#REF!</definedName>
    <definedName name="hshgsfghsghshg" localSheetId="8">#REF!</definedName>
    <definedName name="hshgsfghsghshg">#REF!</definedName>
    <definedName name="hwaghwerytweryw" localSheetId="6">#REF!</definedName>
    <definedName name="hwaghwerytweryw" localSheetId="8">#REF!</definedName>
    <definedName name="hwaghwerytweryw">#REF!</definedName>
    <definedName name="ILUM">#N/A</definedName>
    <definedName name="IMPR">#REF!</definedName>
    <definedName name="Imprimir_títulos_IM">#N/A</definedName>
    <definedName name="Inst_hidráulicas">"$#REF!.$A$209"</definedName>
    <definedName name="Inst_sanitárias">"$#REF!.$A$224"</definedName>
    <definedName name="insumos">#REF!</definedName>
    <definedName name="INTE">#N/A</definedName>
    <definedName name="JAN00">[1]Consultoria!#REF!</definedName>
    <definedName name="JAN00_6">#REF!</definedName>
    <definedName name="JAN000">[1]Consultoria!#REF!</definedName>
    <definedName name="jfkjsgkçlajflçhs">#REF!</definedName>
    <definedName name="jgfhd">[1]Consultoria!#REF!</definedName>
    <definedName name="jjjjj">[2]Consultoria!#REF!</definedName>
    <definedName name="jkajlkjdlkfajfkajdçfjaçkdjfaçjf">#REF!</definedName>
    <definedName name="jun00">[1]Consultoria!#REF!</definedName>
    <definedName name="jun00_6">#REF!</definedName>
    <definedName name="km">#REF!</definedName>
    <definedName name="ko">[1]Consultoria!#REF!</definedName>
    <definedName name="LABO">#REF!</definedName>
    <definedName name="laraco">#REF!</definedName>
    <definedName name="LF">#REF!</definedName>
    <definedName name="lml">#REF!</definedName>
    <definedName name="Locação">"$#REF!.$A$8"</definedName>
    <definedName name="Louças_acessórios">"$#REF!.$A$231"</definedName>
    <definedName name="LS">#REF!</definedName>
    <definedName name="MADEIRA">NA()</definedName>
    <definedName name="mai00">[1]Consultoria!#REF!</definedName>
    <definedName name="mai00_6">#REF!</definedName>
    <definedName name="MANU">#REF!</definedName>
    <definedName name="MANUTENÇÃO">#REF!</definedName>
    <definedName name="MAQSERV">#REF!</definedName>
    <definedName name="MAQSERV048">#REF!</definedName>
    <definedName name="MAR00">[1]Consultoria!#REF!</definedName>
    <definedName name="MAR00_6">#REF!</definedName>
    <definedName name="MATERIAIS">[3]TERRAPLENAGEM!#REF!</definedName>
    <definedName name="MC_PARTE2" localSheetId="6">#REF!</definedName>
    <definedName name="MC_PARTE2" localSheetId="8">#REF!</definedName>
    <definedName name="MC_PARTE2">#REF!</definedName>
    <definedName name="MEDIO">NA()</definedName>
    <definedName name="mem" localSheetId="8">[3]TERRAPLENAGEM!#REF!</definedName>
    <definedName name="mem">[3]TERRAPLENAGEM!#REF!</definedName>
    <definedName name="MOB" localSheetId="6">#REF!</definedName>
    <definedName name="MOB" localSheetId="8">#REF!</definedName>
    <definedName name="MOB">#REF!</definedName>
    <definedName name="O.A.E." localSheetId="6">#REF!</definedName>
    <definedName name="O.A.E." localSheetId="8">#REF!</definedName>
    <definedName name="O.A.E.">#REF!</definedName>
    <definedName name="O.COMPLEM." localSheetId="6">#REF!</definedName>
    <definedName name="O.COMPLEM.">#REF!</definedName>
    <definedName name="O_A_E_">#REF!</definedName>
    <definedName name="O_COMPLEM_">#REF!</definedName>
    <definedName name="OAC">[3]TERRAPLENAGEM!#REF!</definedName>
    <definedName name="OAE" localSheetId="6">#REF!</definedName>
    <definedName name="OAE" localSheetId="8">#REF!</definedName>
    <definedName name="OAE">#REF!</definedName>
    <definedName name="OAE_MAR94" localSheetId="6">#REF!</definedName>
    <definedName name="OAE_MAR94" localSheetId="8">#REF!</definedName>
    <definedName name="OAE_MAR94">#REF!</definedName>
    <definedName name="OAE_MAR94_6" localSheetId="6">#REF!</definedName>
    <definedName name="OAE_MAR94_6">#REF!</definedName>
    <definedName name="Orc">#REF!</definedName>
    <definedName name="P">NA()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ADRAO">NA()</definedName>
    <definedName name="panenn">[3]TERRAPLENAGEM!#REF!</definedName>
    <definedName name="PARA">NA()</definedName>
    <definedName name="PassaExtenso" localSheetId="6">[9]!PassaExtenso</definedName>
    <definedName name="PassaExtenso">[9]!PassaExtenso</definedName>
    <definedName name="PAV_MAR94" localSheetId="6">#REF!</definedName>
    <definedName name="PAV_MAR94" localSheetId="8">#REF!</definedName>
    <definedName name="PAV_MAR94">#REF!</definedName>
    <definedName name="PAV_MAR94_6" localSheetId="6">#REF!</definedName>
    <definedName name="PAV_MAR94_6" localSheetId="8">#REF!</definedName>
    <definedName name="PAV_MAR94_6">#REF!</definedName>
    <definedName name="PAVIA" localSheetId="6">#REF!</definedName>
    <definedName name="PAVIA" localSheetId="8">#REF!</definedName>
    <definedName name="PAVIA">#REF!</definedName>
    <definedName name="PAVIMENT." localSheetId="6">[3]TERRAPLENAGEM!#REF!</definedName>
    <definedName name="PAVIMENT." localSheetId="8">[3]TERRAPLENAGEM!#REF!</definedName>
    <definedName name="PAVIMENT.">[3]TERRAPLENAGEM!#REF!</definedName>
    <definedName name="PAVIMENT_" localSheetId="6">#REF!</definedName>
    <definedName name="PAVIMENT_" localSheetId="8">#REF!</definedName>
    <definedName name="PAVIMENT_">#REF!</definedName>
    <definedName name="PAVIMENTA" localSheetId="6">#REF!</definedName>
    <definedName name="PAVIMENTA" localSheetId="8">#REF!</definedName>
    <definedName name="PAVIMENTA">#REF!</definedName>
    <definedName name="PAVIMENTAÇÃO" localSheetId="6">#REF!</definedName>
    <definedName name="PAVIMENTAÇÃO">#REF!</definedName>
    <definedName name="pesquisa">#REF!</definedName>
    <definedName name="Pia_cozinha">"$#REF!.$A$187"</definedName>
    <definedName name="Pilar">"$#REF!.$A$182"</definedName>
    <definedName name="Pintura_cal">"$#REF!.$A$151"</definedName>
    <definedName name="Pintura_óleo">"$#REF!.$A$155"</definedName>
    <definedName name="Piso_cimentado">"$#REF!.$A$67"</definedName>
    <definedName name="PL">#REF!</definedName>
    <definedName name="Placa_de_cimento">"$#REF!.$A$36"</definedName>
    <definedName name="Placa_obra">"$#REF!.$A$176"</definedName>
    <definedName name="planilha">[1]Consultoria!#REF!</definedName>
    <definedName name="PONTEMADEIRA">#REF!</definedName>
    <definedName name="PONTESMADEIRA">#REF!</definedName>
    <definedName name="Popular" localSheetId="5" hidden="1">{#N/A,#N/A,FALSE,"Cronograma";#N/A,#N/A,FALSE,"Cronogr. 2"}</definedName>
    <definedName name="Popular" localSheetId="6" hidden="1">{#N/A,#N/A,FALSE,"Cronograma";#N/A,#N/A,FALSE,"Cronogr. 2"}</definedName>
    <definedName name="Popular" localSheetId="8" hidden="1">{#N/A,#N/A,FALSE,"Cronograma";#N/A,#N/A,FALSE,"Cronogr. 2"}</definedName>
    <definedName name="Popular" hidden="1">{#N/A,#N/A,FALSE,"Cronograma";#N/A,#N/A,FALSE,"Cronogr. 2"}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R">[1]Consultoria!#REF!</definedName>
    <definedName name="PRECOSTUB">[10]Plan3!$A$1:$P$93</definedName>
    <definedName name="Print_Area_MI" localSheetId="6">#REF!</definedName>
    <definedName name="Print_Area_MI" localSheetId="8">#REF!</definedName>
    <definedName name="Print_Area_MI">#REF!</definedName>
    <definedName name="quantidade" localSheetId="6">#REF!</definedName>
    <definedName name="quantidade" localSheetId="8">#REF!</definedName>
    <definedName name="quantidade">#REF!</definedName>
    <definedName name="rasc" localSheetId="6">#REF!-#REF!</definedName>
    <definedName name="rasc" localSheetId="8">#REF!-#REF!</definedName>
    <definedName name="rasc">#REF!-#REF!</definedName>
    <definedName name="RBV">[11]Teor!$C$3:$C$7</definedName>
    <definedName name="REACO" localSheetId="6">#REF!</definedName>
    <definedName name="REACO" localSheetId="8">#REF!</definedName>
    <definedName name="REACO">#REF!</definedName>
    <definedName name="Real" localSheetId="6">#REF!</definedName>
    <definedName name="Real" localSheetId="8">#REF!</definedName>
    <definedName name="Real">#REF!</definedName>
    <definedName name="Reaterro">"$#REF!.$A$56"</definedName>
    <definedName name="Reboco">"$#REF!.$A$127"</definedName>
    <definedName name="RECI">#REF!</definedName>
    <definedName name="REEST">#REF!</definedName>
    <definedName name="Refeição">#REF!</definedName>
    <definedName name="RefParalis">#REF!</definedName>
    <definedName name="REM">#REF!</definedName>
    <definedName name="REMACO">#REF!</definedName>
    <definedName name="REV.PRIMÁRIO">[3]TERRAPLENAGEM!#REF!</definedName>
    <definedName name="REV_PRIMÁRIO" localSheetId="6">#REF!</definedName>
    <definedName name="REV_PRIMÁRIO" localSheetId="8">#REF!</definedName>
    <definedName name="REV_PRIMÁRIO">#REF!</definedName>
    <definedName name="REVESTIMPRIM" localSheetId="6">#REF!</definedName>
    <definedName name="REVESTIMPRIM" localSheetId="8">#REF!</definedName>
    <definedName name="REVESTIMPRIM">#REF!</definedName>
    <definedName name="rio" localSheetId="5" hidden="1">{#N/A,#N/A,FALSE,"Cronograma";#N/A,#N/A,FALSE,"Cronogr. 2"}</definedName>
    <definedName name="rio" localSheetId="6" hidden="1">{#N/A,#N/A,FALSE,"Cronograma";#N/A,#N/A,FALSE,"Cronogr. 2"}</definedName>
    <definedName name="rio" localSheetId="8" hidden="1">{#N/A,#N/A,FALSE,"Cronograma";#N/A,#N/A,FALSE,"Cronogr. 2"}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R">#REF!</definedName>
    <definedName name="RTY">[1]Consultoria!#REF!</definedName>
    <definedName name="S">NA()</definedName>
    <definedName name="sabrinaaa">[1]Consultoria!#REF!</definedName>
    <definedName name="SAGASGA">#REF!</definedName>
    <definedName name="Sal">[12]Sal!$B$4:$G$80</definedName>
    <definedName name="sdgshghs" localSheetId="6">#REF!</definedName>
    <definedName name="sdgshghs" localSheetId="8">#REF!</definedName>
    <definedName name="sdgshghs">#REF!</definedName>
    <definedName name="SE">NA()</definedName>
    <definedName name="segmentos" localSheetId="6">#REF!</definedName>
    <definedName name="segmentos" localSheetId="8">#REF!</definedName>
    <definedName name="segmentos">#REF!</definedName>
    <definedName name="SEGURANÇA" localSheetId="8">#REF!</definedName>
    <definedName name="SEGURANÇA">#REF!</definedName>
    <definedName name="SERVENTE" localSheetId="8">#REF!</definedName>
    <definedName name="SERVENTE">#REF!</definedName>
    <definedName name="sgfskçldfksfçhsçjhs">#REF!</definedName>
    <definedName name="SHARED_FORMULA_0_12_0_12_1">#REF!+1</definedName>
    <definedName name="SHARED_FORMULA_0_246_0_246_1">#REF!+1</definedName>
    <definedName name="SHARED_FORMULA_0_254_0_254_0">#REF!</definedName>
    <definedName name="SHARED_FORMULA_0_7346_0_7346_2">#REF!+1</definedName>
    <definedName name="SHARED_FORMULA_1_13_1_13_1">#REF!-#REF!</definedName>
    <definedName name="SHARED_FORMULA_1_141_1_141_1">#REF!-#REF!</definedName>
    <definedName name="SHARED_FORMULA_1_205_1_205_1">#REF!-#REF!</definedName>
    <definedName name="SHARED_FORMULA_1_77_1_77_1">#REF!-#REF!</definedName>
    <definedName name="SHARED_FORMULA_10_14_10_14_1">ROUND(#REF!*#REF!,2)</definedName>
    <definedName name="SHARED_FORMULA_11_12_11_12_1">ROUND(ROUND(#REF!,2)*ROUND(#REF!,2),2)</definedName>
    <definedName name="SHARED_FORMULA_11_163_11_163_1">IF(#REF!="","",ROUND(ROUND(#REF!,2)*ROUND(#REF!,2),2))</definedName>
    <definedName name="SHARED_FORMULA_11_173_11_173_1">IF(#REF!="","",ROUND(ROUND(#REF!,2)*ROUND(#REF!,2),2))</definedName>
    <definedName name="SHARED_FORMULA_11_185_11_185_1">IF(#REF!="","",ROUND(ROUND(#REF!,2)*ROUND(#REF!,2),2))</definedName>
    <definedName name="SHARED_FORMULA_11_195_11_195_1">IF(#REF!="","",ROUND(ROUND(#REF!,2)*ROUND(#REF!,2),2))</definedName>
    <definedName name="SHARED_FORMULA_11_254_11_254_0">ROUND(#REF!*#REF!*#REF!*#REF!,2)</definedName>
    <definedName name="SHARED_FORMULA_11_78_11_78_1">IF(#REF!="","",ROUND(ROUND(#REF!,2)*ROUND(#REF!,2),2))</definedName>
    <definedName name="SHARED_FORMULA_2_12_2_12_1">#REF!</definedName>
    <definedName name="SHARED_FORMULA_2_125_2_125_1">#REF!</definedName>
    <definedName name="SHARED_FORMULA_2_163_2_163_1">#REF!</definedName>
    <definedName name="SHARED_FORMULA_2_173_2_173_1">#REF!</definedName>
    <definedName name="SHARED_FORMULA_2_185_2_185_1">#REF!</definedName>
    <definedName name="SHARED_FORMULA_2_195_2_195_1">#REF!</definedName>
    <definedName name="SHARED_FORMULA_2_203_2_203_1">#REF!</definedName>
    <definedName name="SHARED_FORMULA_2_240_2_240_1">#REF!</definedName>
    <definedName name="SHARED_FORMULA_2_30_2_30_1">#REF!</definedName>
    <definedName name="SHARED_FORMULA_2_62_2_62_1">#REF!</definedName>
    <definedName name="SHARED_FORMULA_2_87_2_87_1">#REF!</definedName>
    <definedName name="SHARED_FORMULA_3_254_3_254_0">#REF!</definedName>
    <definedName name="SHARED_FORMULA_5_1029_5_1029_7">IF(#REF!="","",#REF!*#REF!)</definedName>
    <definedName name="SHARED_FORMULA_5_106_5_106_7">IF(#REF!="","",#REF!*#REF!)</definedName>
    <definedName name="SHARED_FORMULA_5_1067_5_1067_7">IF(#REF!="","",#REF!*#REF!)</definedName>
    <definedName name="SHARED_FORMULA_5_1098_5_1098_7">IF(#REF!="","",#REF!*#REF!)</definedName>
    <definedName name="SHARED_FORMULA_5_1131_5_1131_7">IF(#REF!="","",#REF!*#REF!)</definedName>
    <definedName name="SHARED_FORMULA_5_1160_5_1160_7">IF(#REF!="","",#REF!*#REF!)</definedName>
    <definedName name="SHARED_FORMULA_5_1191_5_1191_7">IF(#REF!="","",#REF!*#REF!)</definedName>
    <definedName name="SHARED_FORMULA_5_1215_5_1215_7">IF(#REF!="","",#REF!*#REF!)</definedName>
    <definedName name="SHARED_FORMULA_5_1253_5_1253_7">IF(#REF!="","",#REF!*#REF!)</definedName>
    <definedName name="SHARED_FORMULA_5_1284_5_1284_7">IF(#REF!="","",#REF!*#REF!)</definedName>
    <definedName name="SHARED_FORMULA_5_13_5_13_7">IF(#REF!="","",#REF!*#REF!)</definedName>
    <definedName name="SHARED_FORMULA_5_1348_5_1348_7">IF(#REF!="","",#REF!*#REF!)</definedName>
    <definedName name="SHARED_FORMULA_5_1370_5_1370_7">IF(#REF!="","",#REF!*#REF!)</definedName>
    <definedName name="SHARED_FORMULA_5_1401_5_1401_7">IF(#REF!="","",#REF!*#REF!)</definedName>
    <definedName name="SHARED_FORMULA_5_1433_5_1433_7">IF(#REF!="","",#REF!*#REF!)</definedName>
    <definedName name="SHARED_FORMULA_5_168_5_168_7">IF(#REF!="","",#REF!*#REF!)</definedName>
    <definedName name="SHARED_FORMULA_5_200_5_200_7">IF(#REF!="","",#REF!*#REF!)</definedName>
    <definedName name="SHARED_FORMULA_5_230_5_230_7">IF(#REF!="","",#REF!*#REF!)</definedName>
    <definedName name="SHARED_FORMULA_5_263_5_263_7">IF(#REF!="","",#REF!*#REF!)</definedName>
    <definedName name="SHARED_FORMULA_5_293_5_293_7">IF(#REF!="","",#REF!*#REF!)</definedName>
    <definedName name="SHARED_FORMULA_5_325_5_325_7">IF(#REF!="","",#REF!*#REF!)</definedName>
    <definedName name="SHARED_FORMULA_5_355_5_355_7">IF(#REF!="","",#REF!*#REF!)</definedName>
    <definedName name="SHARED_FORMULA_5_386_5_386_7">IF(#REF!="","",#REF!*#REF!)</definedName>
    <definedName name="SHARED_FORMULA_5_416_5_416_7">IF(#REF!="","",#REF!*#REF!)</definedName>
    <definedName name="SHARED_FORMULA_5_44_5_44_7">IF(#REF!="","",#REF!*#REF!)</definedName>
    <definedName name="SHARED_FORMULA_5_441_5_441_0">ROUND(#REF!*#REF!,2)</definedName>
    <definedName name="SHARED_FORMULA_5_449_5_449_7">IF(#REF!="","",#REF!*#REF!)</definedName>
    <definedName name="SHARED_FORMULA_5_480_5_480_7">IF(#REF!="","",#REF!*#REF!)</definedName>
    <definedName name="SHARED_FORMULA_5_509_5_509_7">IF(#REF!="","",#REF!*#REF!)</definedName>
    <definedName name="SHARED_FORMULA_5_540_5_540_7">IF(#REF!="","",#REF!*#REF!)</definedName>
    <definedName name="SHARED_FORMULA_5_571_5_571_7">IF(#REF!="","",#REF!*#REF!)</definedName>
    <definedName name="SHARED_FORMULA_5_603_5_603_7">IF(#REF!="","",#REF!*#REF!)</definedName>
    <definedName name="SHARED_FORMULA_5_635_5_635_7">IF(#REF!="","",#REF!*#REF!)</definedName>
    <definedName name="SHARED_FORMULA_5_664_5_664_7">IF(#REF!="","",#REF!*#REF!)</definedName>
    <definedName name="SHARED_FORMULA_5_695_5_695_7">IF(#REF!="","",#REF!*#REF!)</definedName>
    <definedName name="SHARED_FORMULA_5_719_5_719_7">IF(#REF!="","",#REF!*#REF!)</definedName>
    <definedName name="SHARED_FORMULA_5_75_5_75_7">IF(#REF!="","",#REF!*#REF!)</definedName>
    <definedName name="SHARED_FORMULA_5_750_5_750_7">IF(#REF!="","",#REF!*#REF!)</definedName>
    <definedName name="SHARED_FORMULA_5_788_5_788_7">IF(#REF!="","",#REF!*#REF!)</definedName>
    <definedName name="SHARED_FORMULA_5_812_5_812_7">IF(#REF!="","",#REF!*#REF!)</definedName>
    <definedName name="SHARED_FORMULA_5_874_5_874_7">IF(#REF!="","",ROUND(#REF!*#REF!,2))</definedName>
    <definedName name="SHARED_FORMULA_5_9_5_9_3">ROUND(#REF!*#REF!,2)</definedName>
    <definedName name="SHARED_FORMULA_5_905_5_905_7">IF(#REF!="","",#REF!*#REF!)</definedName>
    <definedName name="SHARED_FORMULA_5_944_5_944_7">IF(#REF!="","",#REF!*#REF!)</definedName>
    <definedName name="SHARED_FORMULA_5_976_5_976_7">IF(#REF!="","",#REF!*#REF!)</definedName>
    <definedName name="SHARED_FORMULA_5_998_5_998_7">IF(#REF!="","",#REF!*#REF!)</definedName>
    <definedName name="SHARED_FORMULA_6_1025_6_1025_7">IF(ISNUMBER(#REF!),INDIRECT(ADDRESS(INT((ROW(#REF!)-2)/31)*31+2,4))*#REF!,"")</definedName>
    <definedName name="SHARED_FORMULA_6_1056_6_1056_7">IF(ISNUMBER(#REF!),INDIRECT(ADDRESS(INT((ROW(#REF!)-2)/31)*31+2,4))*#REF!,"")</definedName>
    <definedName name="SHARED_FORMULA_6_1087_6_1087_7">IF(ISNUMBER(#REF!),INDIRECT(ADDRESS(INT((ROW(#REF!)-2)/31)*31+2,4))*#REF!,"")</definedName>
    <definedName name="SHARED_FORMULA_6_1118_6_1118_7">IF(ISNUMBER(#REF!),INDIRECT(ADDRESS(INT((ROW(#REF!)-2)/31)*31+2,4))*#REF!,"")</definedName>
    <definedName name="SHARED_FORMULA_6_1149_6_1149_7">IF(ISNUMBER(#REF!),INDIRECT(ADDRESS(INT((ROW(#REF!)-2)/31)*31+2,4))*#REF!,"")</definedName>
    <definedName name="SHARED_FORMULA_6_1180_6_1180_7">IF(ISNUMBER(#REF!),INDIRECT(ADDRESS(INT((ROW(#REF!)-2)/31)*31+2,4))*#REF!,"")</definedName>
    <definedName name="SHARED_FORMULA_6_12_6_12_1">IF(#REF!="","",#REF!&amp;#REF!)</definedName>
    <definedName name="SHARED_FORMULA_6_1211_6_1211_7">IF(ISNUMBER(#REF!),INDIRECT(ADDRESS(INT((ROW(#REF!)-2)/31)*31+2,4))*#REF!,"")</definedName>
    <definedName name="SHARED_FORMULA_6_1242_6_1242_7">IF(ISNUMBER(#REF!),INDIRECT(ADDRESS(INT((ROW(#REF!)-2)/31)*31+2,4))*#REF!,"")</definedName>
    <definedName name="SHARED_FORMULA_6_126_6_126_7">IF(ISNUMBER(#REF!),INDIRECT(ADDRESS(INT((ROW(#REF!)-2)/31)*31+2,4))*#REF!,"")</definedName>
    <definedName name="SHARED_FORMULA_6_1273_6_1273_7">IF(ISNUMBER(#REF!),INDIRECT(ADDRESS(INT((ROW(#REF!)-2)/31)*31+2,4))*#REF!,"")</definedName>
    <definedName name="SHARED_FORMULA_6_1304_6_1304_7">IF(ISNUMBER(#REF!),INDIRECT(ADDRESS(INT((ROW(#REF!)-2)/31)*31+2,4))*#REF!,"")</definedName>
    <definedName name="SHARED_FORMULA_6_1335_6_1335_7">IF(ISNUMBER(#REF!),INDIRECT(ADDRESS(INT((ROW(#REF!)-2)/31)*31+2,4))*#REF!,"")</definedName>
    <definedName name="SHARED_FORMULA_6_1366_6_1366_7">IF(ISNUMBER(#REF!),INDIRECT(ADDRESS(INT((ROW(#REF!)-2)/31)*31+2,4))*#REF!,"")</definedName>
    <definedName name="SHARED_FORMULA_6_137_6_137_1">IF(#REF!="","",#REF!&amp;#REF!)</definedName>
    <definedName name="SHARED_FORMULA_6_1397_6_1397_7">IF(ISNUMBER(#REF!),INDIRECT(ADDRESS(INT((ROW(#REF!)-2)/31)*31+2,4))*#REF!,"")</definedName>
    <definedName name="SHARED_FORMULA_6_157_6_157_7">IF(ISNUMBER(#REF!),INDIRECT(ADDRESS(INT((ROW(#REF!)-2)/31)*31+2,4))*#REF!,"")</definedName>
    <definedName name="SHARED_FORMULA_6_162_6_162_1">IF(#REF!="","",#REF!&amp;#REF!)</definedName>
    <definedName name="SHARED_FORMULA_6_172_6_172_1">IF(#REF!="","",#REF!&amp;#REF!)</definedName>
    <definedName name="SHARED_FORMULA_6_184_6_184_1">IF(#REF!="","",#REF!&amp;#REF!)</definedName>
    <definedName name="SHARED_FORMULA_6_188_6_188_7">IF(ISNUMBER(#REF!),INDIRECT(ADDRESS(INT((ROW(#REF!)-2)/31)*31+2,4))*#REF!,"")</definedName>
    <definedName name="SHARED_FORMULA_6_194_6_194_1">IF(#REF!="","",#REF!&amp;#REF!)</definedName>
    <definedName name="SHARED_FORMULA_6_2_6_2_7">IF(ISNUMBER(#REF!),INDIRECT(ADDRESS(INT((ROW(#REF!)-2)/31)*31+2,4))*#REF!,"")</definedName>
    <definedName name="SHARED_FORMULA_6_20_6_20_3">#REF!/#REF!</definedName>
    <definedName name="SHARED_FORMULA_6_219_6_219_7">IF(ISNUMBER(#REF!),INDIRECT(ADDRESS(INT((ROW(#REF!)-2)/31)*31+2,4))*#REF!,"")</definedName>
    <definedName name="SHARED_FORMULA_6_233_6_233_1">IF(#REF!="","",#REF!&amp;#REF!)</definedName>
    <definedName name="SHARED_FORMULA_6_250_6_250_7">IF(ISNUMBER(#REF!),INDIRECT(ADDRESS(INT((ROW(#REF!)-2)/31)*31+2,4))*#REF!,"")</definedName>
    <definedName name="SHARED_FORMULA_6_281_6_281_7">IF(ISNUMBER(#REF!),INDIRECT(ADDRESS(INT((ROW(#REF!)-2)/31)*31+2,4))*#REF!,"")</definedName>
    <definedName name="SHARED_FORMULA_6_312_6_312_7">IF(ISNUMBER(#REF!),INDIRECT(ADDRESS(INT((ROW(#REF!)-2)/31)*31+2,4))*#REF!,"")</definedName>
    <definedName name="SHARED_FORMULA_6_33_6_33_7">IF(ISNUMBER(#REF!),INDIRECT(ADDRESS(INT((ROW(#REF!)-2)/31)*31+2,4))*#REF!,"")</definedName>
    <definedName name="SHARED_FORMULA_6_343_6_343_7">IF(ISNUMBER(#REF!),INDIRECT(ADDRESS(INT((ROW(#REF!)-2)/31)*31+2,4))*#REF!,"")</definedName>
    <definedName name="SHARED_FORMULA_6_374_6_374_7">IF(ISNUMBER(#REF!),INDIRECT(ADDRESS(INT((ROW(#REF!)-2)/31)*31+2,4))*#REF!,"")</definedName>
    <definedName name="SHARED_FORMULA_6_39_6_39_1">ROUND(#REF!*#REF!,2)</definedName>
    <definedName name="SHARED_FORMULA_6_405_6_405_7">IF(ISNUMBER(#REF!),INDIRECT(ADDRESS(INT((ROW(#REF!)-2)/31)*31+2,4))*#REF!,"")</definedName>
    <definedName name="SHARED_FORMULA_6_436_6_436_7">IF(ISNUMBER(#REF!),INDIRECT(ADDRESS(INT((ROW(#REF!)-2)/31)*31+2,4))*#REF!,"")</definedName>
    <definedName name="SHARED_FORMULA_6_467_6_467_7">IF(ISNUMBER(#REF!),INDIRECT(ADDRESS(INT((ROW(#REF!)-2)/31)*31+2,4))*#REF!,"")</definedName>
    <definedName name="SHARED_FORMULA_6_498_6_498_7">IF(ISNUMBER(#REF!),INDIRECT(ADDRESS(INT((ROW(#REF!)-2)/31)*31+2,4))*#REF!,"")</definedName>
    <definedName name="SHARED_FORMULA_6_529_6_529_7">IF(ISNUMBER(#REF!),INDIRECT(ADDRESS(INT((ROW(#REF!)-2)/31)*31+2,4))*#REF!,"")</definedName>
    <definedName name="SHARED_FORMULA_6_560_6_560_7">IF(ISNUMBER(#REF!),INDIRECT(ADDRESS(INT((ROW(#REF!)-2)/31)*31+2,4))*#REF!,"")</definedName>
    <definedName name="SHARED_FORMULA_6_591_6_591_7">IF(ISNUMBER(#REF!),INDIRECT(ADDRESS(INT((ROW(#REF!)-2)/31)*31+2,4))*#REF!,"")</definedName>
    <definedName name="SHARED_FORMULA_6_622_6_622_7">IF(ISNUMBER(#REF!),INDIRECT(ADDRESS(INT((ROW(#REF!)-2)/31)*31+2,4))*#REF!,"")</definedName>
    <definedName name="SHARED_FORMULA_6_64_6_64_7">IF(ISNUMBER(#REF!),INDIRECT(ADDRESS(INT((ROW(#REF!)-2)/31)*31+2,4))*#REF!,"")</definedName>
    <definedName name="SHARED_FORMULA_6_653_6_653_7">IF(ISNUMBER(#REF!),INDIRECT(ADDRESS(INT((ROW(#REF!)-2)/31)*31+2,4))*#REF!,"")</definedName>
    <definedName name="SHARED_FORMULA_6_684_6_684_7">IF(ISNUMBER(#REF!),INDIRECT(ADDRESS(INT((ROW(#REF!)-2)/31)*31+2,4))*#REF!,"")</definedName>
    <definedName name="SHARED_FORMULA_6_715_6_715_7">IF(ISNUMBER(#REF!),INDIRECT(ADDRESS(INT((ROW(#REF!)-2)/31)*31+2,4))*#REF!,"")</definedName>
    <definedName name="SHARED_FORMULA_6_7345_6_7345_2">#REF!+#REF!-#REF!</definedName>
    <definedName name="SHARED_FORMULA_6_746_6_746_7">IF(ISNUMBER(#REF!),INDIRECT(ADDRESS(INT((ROW(#REF!)-2)/31)*31+2,4))*#REF!,"")</definedName>
    <definedName name="SHARED_FORMULA_6_77_6_77_1">IF(#REF!="","",#REF!&amp;#REF!)</definedName>
    <definedName name="SHARED_FORMULA_6_777_6_777_7">IF(ISNUMBER(#REF!),INDIRECT(ADDRESS(INT((ROW(#REF!)-2)/31)*31+2,4))*#REF!,"")</definedName>
    <definedName name="SHARED_FORMULA_6_808_6_808_7">IF(ISNUMBER(#REF!),INDIRECT(ADDRESS(INT((ROW(#REF!)-2)/31)*31+2,4))*#REF!,"")</definedName>
    <definedName name="SHARED_FORMULA_6_839_6_839_7">IF(ISNUMBER(#REF!),INDIRECT(ADDRESS(INT((ROW(#REF!)-2)/31)*31+2,4))*#REF!,"")</definedName>
    <definedName name="SHARED_FORMULA_6_870_6_870_7">IF(ISNUMBER(#REF!),INDIRECT(ADDRESS(INT((ROW(#REF!)-2)/31)*31+2,4))*#REF!,"")</definedName>
    <definedName name="SHARED_FORMULA_6_9_6_9_3">#REF!/#REF!</definedName>
    <definedName name="SHARED_FORMULA_6_901_6_901_7">IF(ISNUMBER(#REF!),INDIRECT(ADDRESS(INT((ROW(#REF!)-2)/31)*31+2,4))*#REF!,"")</definedName>
    <definedName name="SHARED_FORMULA_6_932_6_932_7">IF(ISNUMBER(#REF!),INDIRECT(ADDRESS(INT((ROW(#REF!)-2)/31)*31+2,4))*#REF!,"")</definedName>
    <definedName name="SHARED_FORMULA_6_95_6_95_7">IF(ISNUMBER(#REF!),INDIRECT(ADDRESS(INT((ROW(#REF!)-2)/31)*31+2,4))*#REF!,"")</definedName>
    <definedName name="SHARED_FORMULA_6_963_6_963_7">IF(ISNUMBER(#REF!),INDIRECT(ADDRESS(INT((ROW(#REF!)-2)/31)*31+2,4))*#REF!,"")</definedName>
    <definedName name="SHARED_FORMULA_6_994_6_994_7">IF(ISNUMBER(#REF!),INDIRECT(ADDRESS(INT((ROW(#REF!)-2)/31)*31+2,4))*#REF!,"")</definedName>
    <definedName name="SHARED_FORMULA_7_102_7_102_2">ROUND(#REF!*#REF!,2)</definedName>
    <definedName name="SHARED_FORMULA_7_11_7_11_3">#REF!+#REF!</definedName>
    <definedName name="SHARED_FORMULA_7_114_7_114_2">ROUND(#REF!*#REF!,2)</definedName>
    <definedName name="SHARED_FORMULA_7_187_7_187_2">ROUND(#REF!*#REF!,2)</definedName>
    <definedName name="SHARED_FORMULA_7_23_7_23_2">ROUND(#REF!*#REF!,4)</definedName>
    <definedName name="SHARED_FORMULA_7_239_7_239_0">ROUND(#REF!*#REF!*#REF!*#REF!,2)</definedName>
    <definedName name="SHARED_FORMULA_7_29_7_29_3">#REF!+#REF!</definedName>
    <definedName name="SHARED_FORMULA_7_65_7_65_2">ROUND(#REF!*#REF!,2)</definedName>
    <definedName name="SHARED_FORMULA_7_89_7_89_2">ROUND(#REF!*#REF!,2)</definedName>
    <definedName name="SHARED_FORMULA_8_11_8_11_3">SUM(#REF!)</definedName>
    <definedName name="SHARED_FORMULA_8_14_8_14_1">#REF!</definedName>
    <definedName name="SHARED_FORMULA_9_14_9_14_1">#REF!</definedName>
    <definedName name="SINALIZACAO">#REF!</definedName>
    <definedName name="SINALIZAÇAO">#REF!</definedName>
    <definedName name="SINAPI_AC" hidden="1">#REF!</definedName>
    <definedName name="ss" localSheetId="5" hidden="1">{#N/A,#N/A,FALSE,"Cronograma";#N/A,#N/A,FALSE,"Cronogr. 2"}</definedName>
    <definedName name="ss" localSheetId="6" hidden="1">{#N/A,#N/A,FALSE,"Cronograma";#N/A,#N/A,FALSE,"Cronogr. 2"}</definedName>
    <definedName name="ss" localSheetId="8" hidden="1">{#N/A,#N/A,FALSE,"Cronograma";#N/A,#N/A,FALSE,"Cronogr. 2"}</definedName>
    <definedName name="ss" hidden="1">{#N/A,#N/A,FALSE,"Cronograma";#N/A,#N/A,FALSE,"Cronogr. 2"}</definedName>
    <definedName name="SUP_MAR94">#REF!</definedName>
    <definedName name="SUP_MAR94_6">#REF!</definedName>
    <definedName name="T.0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">#REF!</definedName>
    <definedName name="TABEL.OAE.COMPL.">#REF!</definedName>
    <definedName name="TABEL.PREÇOS">[3]TERRAPLENAGEM!#REF!</definedName>
    <definedName name="TABEL_OAE_COMPL_" localSheetId="6">#REF!</definedName>
    <definedName name="TABEL_OAE_COMPL_" localSheetId="8">#REF!</definedName>
    <definedName name="TABEL_OAE_COMPL_">#REF!</definedName>
    <definedName name="TABEL_PREÇOS" localSheetId="6">#REF!</definedName>
    <definedName name="TABEL_PREÇOS" localSheetId="8">#REF!</definedName>
    <definedName name="TABEL_PREÇOS">#REF!</definedName>
    <definedName name="TABELANOVA" localSheetId="6">#REF!</definedName>
    <definedName name="TABELANOVA">#REF!</definedName>
    <definedName name="TANQUE">NA()</definedName>
    <definedName name="tap">#REF!</definedName>
    <definedName name="tcu">#REF!</definedName>
    <definedName name="Teor">[11]Teor!$A$3:$A$7</definedName>
    <definedName name="Teoriar">[13]Teor!$A$3:$A$7</definedName>
    <definedName name="TER_MAR94" localSheetId="6">#REF!</definedName>
    <definedName name="TER_MAR94" localSheetId="8">#REF!</definedName>
    <definedName name="TER_MAR94">#REF!</definedName>
    <definedName name="TER_MAR94_6" localSheetId="6">#REF!</definedName>
    <definedName name="TER_MAR94_6" localSheetId="8">#REF!</definedName>
    <definedName name="TER_MAR94_6">#REF!</definedName>
    <definedName name="TERRAPL." localSheetId="6">[3]TERRAPLENAGEM!#REF!</definedName>
    <definedName name="TERRAPL." localSheetId="8">[3]TERRAPLENAGEM!#REF!</definedName>
    <definedName name="TERRAPL.">[3]TERRAPLENAGEM!#REF!</definedName>
    <definedName name="TERRAPL_" localSheetId="6">#REF!</definedName>
    <definedName name="TERRAPL_" localSheetId="8">#REF!</definedName>
    <definedName name="TERRAPL_">#REF!</definedName>
    <definedName name="TERRAPLEN" localSheetId="6">#REF!</definedName>
    <definedName name="TERRAPLEN">#REF!</definedName>
    <definedName name="TERRAPLEN." localSheetId="6">#REF!</definedName>
    <definedName name="TERRAPLEN.">#REF!</definedName>
    <definedName name="TERRAPLENAGEM">#REF!</definedName>
    <definedName name="teste">#REF!</definedName>
    <definedName name="_xlnm.Print_Titles" localSheetId="5">'V-COMPOSIÇÕES PRÓPRIAS'!$1:$16</definedName>
    <definedName name="TOPO" localSheetId="6">#REF!</definedName>
    <definedName name="TOPO" localSheetId="8">#REF!</definedName>
    <definedName name="TOPO">#REF!</definedName>
    <definedName name="TOT.P" localSheetId="6">#REF!</definedName>
    <definedName name="TOT.P" localSheetId="8">#REF!</definedName>
    <definedName name="TOT.P">#REF!</definedName>
    <definedName name="TOT1.P" localSheetId="6">#REF!</definedName>
    <definedName name="TOT1.P" localSheetId="8">#REF!</definedName>
    <definedName name="TOT1.P">#REF!</definedName>
    <definedName name="TOTAL1">#REF!</definedName>
    <definedName name="TOTALDRENA">#REF!</definedName>
    <definedName name="TOTALRECI">#REF!</definedName>
    <definedName name="TOTALTSD">#REF!</definedName>
    <definedName name="TOTALUS">#REF!</definedName>
    <definedName name="TRANSP">NA()</definedName>
    <definedName name="transporte">#REF!</definedName>
    <definedName name="TRANSPORTES">[3]TERRAPLENAGEM!#REF!</definedName>
    <definedName name="TRAT" localSheetId="6">#REF!</definedName>
    <definedName name="TRAT" localSheetId="8">#REF!</definedName>
    <definedName name="TRAT">#REF!</definedName>
    <definedName name="TT.1" localSheetId="6">#REF!</definedName>
    <definedName name="TT.1" localSheetId="8">#REF!</definedName>
    <definedName name="TT.1">#REF!</definedName>
    <definedName name="TT.10" localSheetId="6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a">#REF!</definedName>
    <definedName name="TXAP">#REF!</definedName>
    <definedName name="TXCU">#REF!</definedName>
    <definedName name="TXTA">#REF!</definedName>
    <definedName name="unidade">#REF!</definedName>
    <definedName name="unitário">#REF!</definedName>
    <definedName name="URV_MAR94">#REF!</definedName>
    <definedName name="URV_MAR94_6">#REF!</definedName>
    <definedName name="US">#REF!</definedName>
    <definedName name="USINA">#REF!</definedName>
    <definedName name="VALOR.TOTAL">#REF!</definedName>
    <definedName name="VALOR_TOTAL">#REF!</definedName>
    <definedName name="Vazios">[11]Teor!$B$3:$B$7</definedName>
    <definedName name="Veic">'[7]Adm Local '!$K$311</definedName>
    <definedName name="Verga">"$#REF!.$A$179"</definedName>
    <definedName name="VGY">#REF!</definedName>
    <definedName name="wrn.Cronograma." localSheetId="5" hidden="1">{#N/A,#N/A,FALSE,"Cronograma";#N/A,#N/A,FALSE,"Cronogr. 2"}</definedName>
    <definedName name="wrn.Cronograma." localSheetId="6" hidden="1">{#N/A,#N/A,FALSE,"Cronograma";#N/A,#N/A,FALSE,"Cronogr. 2"}</definedName>
    <definedName name="wrn.Cronograma." localSheetId="8" hidden="1">{#N/A,#N/A,FALSE,"Cronograma";#N/A,#N/A,FALSE,"Cronogr. 2"}</definedName>
    <definedName name="wrn.Cronograma." hidden="1">{#N/A,#N/A,FALSE,"Cronograma";#N/A,#N/A,FALSE,"Cronogr. 2"}</definedName>
    <definedName name="wrn.GERAL." localSheetId="5" hidden="1">{#N/A,#N/A,FALSE,"ET-CAPA";#N/A,#N/A,FALSE,"ET-PAG1";#N/A,#N/A,FALSE,"ET-PAG2";#N/A,#N/A,FALSE,"ET-PAG3";#N/A,#N/A,FALSE,"ET-PAG4";#N/A,#N/A,FALSE,"ET-PAG5"}</definedName>
    <definedName name="wrn.GERAL." localSheetId="6" hidden="1">{#N/A,#N/A,FALSE,"ET-CAPA";#N/A,#N/A,FALSE,"ET-PAG1";#N/A,#N/A,FALSE,"ET-PAG2";#N/A,#N/A,FALSE,"ET-PAG3";#N/A,#N/A,FALSE,"ET-PAG4";#N/A,#N/A,FALSE,"ET-PAG5"}</definedName>
    <definedName name="wrn.GERAL." localSheetId="8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WWWWWWWWWWWWWWWWWWWWWWWWWWWWW">#REF!</definedName>
    <definedName name="yd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6" l="1"/>
  <c r="C2191" i="2"/>
  <c r="C2190" i="2"/>
  <c r="C2189" i="2"/>
  <c r="C2188" i="2"/>
  <c r="F1081" i="2"/>
  <c r="F1073" i="2"/>
  <c r="F1065" i="2"/>
  <c r="F1057" i="2"/>
  <c r="F1056" i="2"/>
  <c r="F1030" i="2"/>
  <c r="F1029" i="2"/>
  <c r="F1028" i="2"/>
  <c r="F1020" i="2"/>
  <c r="F1012" i="2"/>
  <c r="F1011" i="2"/>
  <c r="C871" i="2"/>
  <c r="G540" i="2"/>
  <c r="G533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75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43" i="2"/>
  <c r="K27" i="5"/>
  <c r="K26" i="5"/>
  <c r="K25" i="5"/>
  <c r="L24" i="5"/>
  <c r="L70" i="5"/>
  <c r="L17" i="5"/>
  <c r="B148" i="12"/>
  <c r="B146" i="12"/>
  <c r="B54" i="12"/>
  <c r="B152" i="12"/>
  <c r="B93" i="12"/>
  <c r="B94" i="12"/>
  <c r="B130" i="12"/>
  <c r="B70" i="12"/>
  <c r="B26" i="12"/>
  <c r="B102" i="12"/>
  <c r="B118" i="12"/>
  <c r="B64" i="12"/>
  <c r="B79" i="12"/>
  <c r="B100" i="12"/>
  <c r="B112" i="12"/>
  <c r="B60" i="12"/>
  <c r="B88" i="12"/>
  <c r="B82" i="12"/>
  <c r="B97" i="12"/>
  <c r="B52" i="12"/>
  <c r="B71" i="12"/>
  <c r="B104" i="12"/>
  <c r="B142" i="12"/>
  <c r="B39" i="12"/>
  <c r="B76" i="12"/>
  <c r="B51" i="12"/>
  <c r="B151" i="12"/>
  <c r="B69" i="12"/>
  <c r="B84" i="12"/>
  <c r="B37" i="12"/>
  <c r="B91" i="12"/>
  <c r="B75" i="12"/>
  <c r="B115" i="12"/>
  <c r="B162" i="12"/>
  <c r="B41" i="12"/>
  <c r="B49" i="12"/>
  <c r="B30" i="12"/>
  <c r="B20" i="12"/>
  <c r="B208" i="12"/>
  <c r="B72" i="12"/>
  <c r="B176" i="12"/>
  <c r="B23" i="12"/>
  <c r="B131" i="12"/>
  <c r="B87" i="12"/>
  <c r="B57" i="12"/>
  <c r="B122" i="12"/>
  <c r="B85" i="12"/>
  <c r="B68" i="12"/>
  <c r="B42" i="12"/>
  <c r="B29" i="12"/>
  <c r="B63" i="12"/>
  <c r="B31" i="12"/>
  <c r="B138" i="12"/>
  <c r="B103" i="12"/>
  <c r="B44" i="12"/>
  <c r="B28" i="12"/>
  <c r="B92" i="12"/>
  <c r="B107" i="12"/>
  <c r="B22" i="12"/>
  <c r="B65" i="12"/>
  <c r="B38" i="12"/>
  <c r="B35" i="12"/>
  <c r="B125" i="12"/>
  <c r="B48" i="12"/>
  <c r="B34" i="12"/>
  <c r="B74" i="12"/>
  <c r="B62" i="12"/>
  <c r="B95" i="12"/>
  <c r="B73" i="12"/>
  <c r="B81" i="12"/>
  <c r="B58" i="12"/>
  <c r="B89" i="12"/>
  <c r="B27" i="12"/>
  <c r="B32" i="12"/>
  <c r="B18" i="12"/>
  <c r="B33" i="12"/>
  <c r="B77" i="12"/>
  <c r="B24" i="12"/>
  <c r="B25" i="12"/>
  <c r="B43" i="12"/>
  <c r="B45" i="12"/>
  <c r="B40" i="12"/>
  <c r="B66" i="12"/>
  <c r="B106" i="12"/>
  <c r="B98" i="12"/>
  <c r="B96" i="12"/>
  <c r="B59" i="12"/>
  <c r="B145" i="12"/>
  <c r="B120" i="12"/>
  <c r="B175" i="12"/>
  <c r="B223" i="12"/>
  <c r="B205" i="12"/>
  <c r="B189" i="12"/>
  <c r="B187" i="12"/>
  <c r="B184" i="12"/>
  <c r="B239" i="12"/>
  <c r="B191" i="12"/>
  <c r="B181" i="12"/>
  <c r="B195" i="12"/>
  <c r="B216" i="12"/>
  <c r="B217" i="12"/>
  <c r="B185" i="12"/>
  <c r="B179" i="12"/>
  <c r="B171" i="12"/>
  <c r="B157" i="12"/>
  <c r="B116" i="12"/>
  <c r="B218" i="12"/>
  <c r="B197" i="12"/>
  <c r="B245" i="12"/>
  <c r="B200" i="12"/>
  <c r="B247" i="12"/>
  <c r="B154" i="12"/>
  <c r="B143" i="12"/>
  <c r="B105" i="12"/>
  <c r="B149" i="12"/>
  <c r="B174" i="12"/>
  <c r="B227" i="12"/>
  <c r="B220" i="12"/>
  <c r="B214" i="12"/>
  <c r="B212" i="12"/>
  <c r="B222" i="12"/>
  <c r="B204" i="12"/>
  <c r="B163" i="12"/>
  <c r="B127" i="12"/>
  <c r="B170" i="12"/>
  <c r="B199" i="12"/>
  <c r="B250" i="12"/>
  <c r="B243" i="12"/>
  <c r="B233" i="12"/>
  <c r="B229" i="12"/>
  <c r="B178" i="12"/>
  <c r="B244" i="12"/>
  <c r="B226" i="12"/>
  <c r="B168" i="12"/>
  <c r="B164" i="12"/>
  <c r="B136" i="12"/>
  <c r="B211" i="12"/>
  <c r="B215" i="12"/>
  <c r="B196" i="12"/>
  <c r="B161" i="12"/>
  <c r="B225" i="12"/>
  <c r="B169" i="12"/>
  <c r="B150" i="12"/>
  <c r="B221" i="12"/>
  <c r="B234" i="12"/>
  <c r="B213" i="12"/>
  <c r="B173" i="12"/>
  <c r="B248" i="12"/>
  <c r="B158" i="12"/>
  <c r="B132" i="12"/>
  <c r="B235" i="12"/>
  <c r="B192" i="12"/>
  <c r="B241" i="12"/>
  <c r="B206" i="12"/>
  <c r="B183" i="12"/>
  <c r="B188" i="12"/>
  <c r="B246" i="12"/>
  <c r="B201" i="12"/>
  <c r="B237" i="12"/>
  <c r="B219" i="12"/>
  <c r="B210" i="12"/>
  <c r="B194" i="12"/>
  <c r="B240" i="12"/>
  <c r="B160" i="12"/>
  <c r="B249" i="12"/>
  <c r="B186" i="12"/>
  <c r="B124" i="12"/>
  <c r="B167" i="12"/>
  <c r="B155" i="12"/>
  <c r="B252" i="12"/>
  <c r="B230" i="12"/>
  <c r="B253" i="12"/>
  <c r="B231" i="12"/>
  <c r="B128" i="12"/>
  <c r="B228" i="12"/>
  <c r="B108" i="12"/>
  <c r="B159" i="12"/>
  <c r="B133" i="12"/>
  <c r="B193" i="12"/>
  <c r="B242" i="12"/>
  <c r="B207" i="12"/>
  <c r="B177" i="12"/>
  <c r="B209" i="12"/>
  <c r="B190" i="12"/>
  <c r="B165" i="12"/>
  <c r="B238" i="12"/>
  <c r="B251" i="12"/>
  <c r="B232" i="12"/>
  <c r="B172" i="12"/>
  <c r="B203" i="12"/>
  <c r="B236" i="12"/>
  <c r="B153" i="12"/>
  <c r="B135" i="12"/>
  <c r="B86" i="12"/>
  <c r="B121" i="12"/>
  <c r="B123" i="12"/>
  <c r="B83" i="12"/>
  <c r="B129" i="12"/>
  <c r="B78" i="12"/>
  <c r="B47" i="12"/>
  <c r="B119" i="12"/>
  <c r="B134" i="12"/>
  <c r="B137" i="12"/>
  <c r="B180" i="12"/>
  <c r="B147" i="12"/>
  <c r="B156" i="12"/>
  <c r="B198" i="12"/>
  <c r="B114" i="12"/>
  <c r="B99" i="12"/>
  <c r="B46" i="12"/>
  <c r="B139" i="12"/>
  <c r="B202" i="12"/>
  <c r="B166" i="12"/>
  <c r="B110" i="12"/>
  <c r="B117" i="12"/>
  <c r="B61" i="12"/>
  <c r="B144" i="12"/>
  <c r="B224" i="12"/>
  <c r="B182" i="12"/>
  <c r="B113" i="12"/>
  <c r="B109" i="12"/>
  <c r="B141" i="12"/>
  <c r="B67" i="12"/>
  <c r="B140" i="12"/>
  <c r="B21" i="12"/>
  <c r="B80" i="12"/>
  <c r="B55" i="12"/>
  <c r="B101" i="12"/>
  <c r="B56" i="12"/>
  <c r="B111" i="12"/>
  <c r="B126" i="12"/>
  <c r="B90" i="12"/>
  <c r="B36" i="12"/>
  <c r="B50" i="12"/>
  <c r="B53" i="12"/>
  <c r="B2200" i="2"/>
  <c r="B2196" i="2"/>
  <c r="B2185" i="2"/>
  <c r="B2179" i="2"/>
  <c r="B2175" i="2"/>
  <c r="B2153" i="2"/>
  <c r="B2130" i="2"/>
  <c r="B2116" i="2"/>
  <c r="B2084" i="2"/>
  <c r="B2046" i="2"/>
  <c r="B2026" i="2"/>
  <c r="B1988" i="2"/>
  <c r="B1980" i="2"/>
  <c r="B1974" i="2"/>
  <c r="B1968" i="2"/>
  <c r="B1962" i="2"/>
  <c r="B1927" i="2"/>
  <c r="B1921" i="2"/>
  <c r="B1899" i="2"/>
  <c r="B1765" i="2"/>
  <c r="B1625" i="2"/>
  <c r="B1581" i="2"/>
  <c r="B1531" i="2"/>
  <c r="B1463" i="2"/>
  <c r="B1455" i="2"/>
  <c r="B1449" i="2"/>
  <c r="B1443" i="2"/>
  <c r="B1437" i="2"/>
  <c r="B1431" i="2"/>
  <c r="B1425" i="2"/>
  <c r="B1419" i="2"/>
  <c r="B1413" i="2"/>
  <c r="B1407" i="2"/>
  <c r="B1401" i="2"/>
  <c r="B1395" i="2"/>
  <c r="B1389" i="2"/>
  <c r="B1381" i="2"/>
  <c r="B1375" i="2"/>
  <c r="B1369" i="2"/>
  <c r="B1356" i="2"/>
  <c r="B1350" i="2"/>
  <c r="B1344" i="2"/>
  <c r="B1338" i="2"/>
  <c r="B1332" i="2"/>
  <c r="B1326" i="2"/>
  <c r="B1320" i="2"/>
  <c r="B1314" i="2"/>
  <c r="B1308" i="2"/>
  <c r="B1302" i="2"/>
  <c r="B1296" i="2"/>
  <c r="B1290" i="2"/>
  <c r="B1284" i="2"/>
  <c r="B1278" i="2"/>
  <c r="B1272" i="2"/>
  <c r="B1266" i="2"/>
  <c r="B1260" i="2"/>
  <c r="B1254" i="2"/>
  <c r="B1248" i="2"/>
  <c r="B1242" i="2"/>
  <c r="B1211" i="2"/>
  <c r="B1205" i="2"/>
  <c r="B1199" i="2"/>
  <c r="B1193" i="2"/>
  <c r="B1187" i="2"/>
  <c r="B1177" i="2"/>
  <c r="B1171" i="2"/>
  <c r="B1165" i="2"/>
  <c r="B1159" i="2"/>
  <c r="B1143" i="2"/>
  <c r="B1129" i="2"/>
  <c r="B1125" i="2"/>
  <c r="B1114" i="2"/>
  <c r="B1106" i="2"/>
  <c r="B1100" i="2"/>
  <c r="B1094" i="2"/>
  <c r="B1088" i="2"/>
  <c r="B1078" i="2"/>
  <c r="B1070" i="2"/>
  <c r="B1062" i="2"/>
  <c r="B1053" i="2"/>
  <c r="B1045" i="2"/>
  <c r="B1037" i="2"/>
  <c r="B1025" i="2"/>
  <c r="B1017" i="2"/>
  <c r="B1008" i="2"/>
  <c r="B1000" i="2"/>
  <c r="B756" i="2"/>
  <c r="B752" i="2"/>
  <c r="B748" i="2"/>
  <c r="B744" i="2"/>
  <c r="B740" i="2"/>
  <c r="B736" i="2"/>
  <c r="B732" i="2"/>
  <c r="B728" i="2"/>
  <c r="B698" i="2"/>
  <c r="B694" i="2"/>
  <c r="B690" i="2"/>
  <c r="B686" i="2"/>
  <c r="B682" i="2"/>
  <c r="B678" i="2"/>
  <c r="B650" i="2"/>
  <c r="B544" i="2"/>
  <c r="B537" i="2"/>
  <c r="B530" i="2"/>
  <c r="B449" i="2"/>
  <c r="B443" i="2"/>
  <c r="B439" i="2"/>
  <c r="B435" i="2"/>
  <c r="B431" i="2"/>
  <c r="B415" i="2"/>
  <c r="B411" i="2"/>
  <c r="B407" i="2"/>
  <c r="B403" i="2"/>
  <c r="B399" i="2"/>
  <c r="B395" i="2"/>
  <c r="B391" i="2"/>
  <c r="B369" i="2"/>
  <c r="B365" i="2"/>
  <c r="B361" i="2"/>
  <c r="B357" i="2"/>
  <c r="B353" i="2"/>
  <c r="B349" i="2"/>
  <c r="B281" i="2"/>
  <c r="B247" i="2"/>
  <c r="B217" i="2"/>
  <c r="B213" i="2"/>
  <c r="B209" i="2"/>
  <c r="B205" i="2"/>
  <c r="B201" i="2"/>
  <c r="B197" i="2"/>
  <c r="B183" i="2"/>
  <c r="B172" i="2"/>
  <c r="B165" i="2"/>
  <c r="B161" i="2"/>
  <c r="B157" i="2"/>
  <c r="B153" i="2"/>
  <c r="B149" i="2"/>
  <c r="B137" i="2"/>
  <c r="B133" i="2"/>
  <c r="B129" i="2"/>
  <c r="B88" i="2"/>
  <c r="B78" i="2"/>
  <c r="B71" i="2"/>
  <c r="B62" i="2"/>
  <c r="B55" i="2"/>
  <c r="B44" i="2"/>
  <c r="B40" i="2"/>
  <c r="B36" i="2"/>
  <c r="B32" i="2"/>
  <c r="B25" i="2"/>
  <c r="B19" i="2"/>
  <c r="C64" i="2"/>
  <c r="B27" i="8" a="1"/>
  <c r="B27" i="8" s="1"/>
  <c r="C27" i="8" a="1"/>
  <c r="C27" i="8" s="1"/>
  <c r="D27" i="8" a="1"/>
  <c r="D27" i="8"/>
  <c r="E27" i="8" a="1"/>
  <c r="E27" i="8"/>
  <c r="F27" i="8" a="1"/>
  <c r="F27" i="8" s="1"/>
  <c r="I27" i="8" a="1"/>
  <c r="I27" i="8"/>
  <c r="I295" i="8" a="1"/>
  <c r="I295" i="8" s="1"/>
  <c r="F295" i="8" a="1"/>
  <c r="F295" i="8" s="1"/>
  <c r="E295" i="8" a="1"/>
  <c r="E295" i="8" s="1"/>
  <c r="D295" i="8" a="1"/>
  <c r="D295" i="8" s="1"/>
  <c r="C295" i="8" a="1"/>
  <c r="C295" i="8" s="1"/>
  <c r="B295" i="8" a="1"/>
  <c r="B295" i="8" s="1"/>
  <c r="I294" i="8" a="1"/>
  <c r="I294" i="8" s="1"/>
  <c r="F294" i="8" a="1"/>
  <c r="F294" i="8" s="1"/>
  <c r="E294" i="8" a="1"/>
  <c r="E294" i="8" s="1"/>
  <c r="D294" i="8" a="1"/>
  <c r="D294" i="8" s="1"/>
  <c r="C294" i="8" a="1"/>
  <c r="C294" i="8" s="1"/>
  <c r="B294" i="8" a="1"/>
  <c r="B294" i="8" s="1"/>
  <c r="I293" i="8" a="1"/>
  <c r="I293" i="8" s="1"/>
  <c r="F293" i="8" a="1"/>
  <c r="F293" i="8" s="1"/>
  <c r="E293" i="8" a="1"/>
  <c r="E293" i="8" s="1"/>
  <c r="D293" i="8" a="1"/>
  <c r="D293" i="8" s="1"/>
  <c r="C293" i="8" a="1"/>
  <c r="C293" i="8" s="1"/>
  <c r="B293" i="8" a="1"/>
  <c r="B293" i="8" s="1"/>
  <c r="I291" i="8" a="1"/>
  <c r="I291" i="8" s="1"/>
  <c r="F291" i="8" a="1"/>
  <c r="F291" i="8" s="1"/>
  <c r="E291" i="8" a="1"/>
  <c r="E291" i="8" s="1"/>
  <c r="D291" i="8" a="1"/>
  <c r="D291" i="8" s="1"/>
  <c r="C291" i="8" a="1"/>
  <c r="C291" i="8" s="1"/>
  <c r="B291" i="8" a="1"/>
  <c r="B291" i="8" s="1"/>
  <c r="I290" i="8" a="1"/>
  <c r="I290" i="8" s="1"/>
  <c r="F290" i="8" a="1"/>
  <c r="F290" i="8" s="1"/>
  <c r="E290" i="8" a="1"/>
  <c r="E290" i="8" s="1"/>
  <c r="D290" i="8" a="1"/>
  <c r="D290" i="8" s="1"/>
  <c r="C290" i="8" a="1"/>
  <c r="C290" i="8" s="1"/>
  <c r="B290" i="8" a="1"/>
  <c r="B290" i="8" s="1"/>
  <c r="I288" i="8" a="1"/>
  <c r="I288" i="8" s="1"/>
  <c r="F288" i="8" a="1"/>
  <c r="F288" i="8" s="1"/>
  <c r="E288" i="8" a="1"/>
  <c r="E288" i="8" s="1"/>
  <c r="D288" i="8" a="1"/>
  <c r="D288" i="8" s="1"/>
  <c r="C288" i="8" a="1"/>
  <c r="C288" i="8" s="1"/>
  <c r="B288" i="8" a="1"/>
  <c r="B288" i="8" s="1"/>
  <c r="I287" i="8" a="1"/>
  <c r="I287" i="8" s="1"/>
  <c r="F287" i="8" a="1"/>
  <c r="F287" i="8" s="1"/>
  <c r="E287" i="8" a="1"/>
  <c r="E287" i="8" s="1"/>
  <c r="D287" i="8" a="1"/>
  <c r="D287" i="8" s="1"/>
  <c r="C287" i="8" a="1"/>
  <c r="C287" i="8" s="1"/>
  <c r="B287" i="8" a="1"/>
  <c r="B287" i="8" s="1"/>
  <c r="I285" i="8" a="1"/>
  <c r="I285" i="8" s="1"/>
  <c r="F285" i="8" a="1"/>
  <c r="F285" i="8" s="1"/>
  <c r="E285" i="8" a="1"/>
  <c r="E285" i="8" s="1"/>
  <c r="D285" i="8" a="1"/>
  <c r="D285" i="8" s="1"/>
  <c r="C285" i="8" a="1"/>
  <c r="C285" i="8" s="1"/>
  <c r="B285" i="8" a="1"/>
  <c r="B285" i="8" s="1"/>
  <c r="I284" i="8" a="1"/>
  <c r="I284" i="8" s="1"/>
  <c r="F284" i="8" a="1"/>
  <c r="F284" i="8" s="1"/>
  <c r="E284" i="8" a="1"/>
  <c r="E284" i="8" s="1"/>
  <c r="D284" i="8" a="1"/>
  <c r="D284" i="8" s="1"/>
  <c r="C284" i="8" a="1"/>
  <c r="C284" i="8" s="1"/>
  <c r="B284" i="8" a="1"/>
  <c r="B284" i="8" s="1"/>
  <c r="I282" i="8" a="1"/>
  <c r="I282" i="8" s="1"/>
  <c r="F282" i="8" a="1"/>
  <c r="F282" i="8" s="1"/>
  <c r="E282" i="8" a="1"/>
  <c r="E282" i="8" s="1"/>
  <c r="D282" i="8" a="1"/>
  <c r="D282" i="8" s="1"/>
  <c r="C282" i="8" a="1"/>
  <c r="C282" i="8" s="1"/>
  <c r="B282" i="8" a="1"/>
  <c r="B282" i="8" s="1"/>
  <c r="I281" i="8" a="1"/>
  <c r="I281" i="8" s="1"/>
  <c r="F281" i="8" a="1"/>
  <c r="F281" i="8" s="1"/>
  <c r="E281" i="8" a="1"/>
  <c r="E281" i="8" s="1"/>
  <c r="D281" i="8" a="1"/>
  <c r="D281" i="8" s="1"/>
  <c r="C281" i="8" a="1"/>
  <c r="C281" i="8" s="1"/>
  <c r="B281" i="8" a="1"/>
  <c r="B281" i="8" s="1"/>
  <c r="I280" i="8" a="1"/>
  <c r="I280" i="8" s="1"/>
  <c r="F280" i="8" a="1"/>
  <c r="F280" i="8" s="1"/>
  <c r="E280" i="8" a="1"/>
  <c r="E280" i="8" s="1"/>
  <c r="D280" i="8" a="1"/>
  <c r="D280" i="8" s="1"/>
  <c r="C280" i="8" a="1"/>
  <c r="C280" i="8" s="1"/>
  <c r="B280" i="8" a="1"/>
  <c r="B280" i="8" s="1"/>
  <c r="I279" i="8" a="1"/>
  <c r="I279" i="8" s="1"/>
  <c r="F279" i="8" a="1"/>
  <c r="F279" i="8" s="1"/>
  <c r="E279" i="8" a="1"/>
  <c r="E279" i="8" s="1"/>
  <c r="D279" i="8" a="1"/>
  <c r="D279" i="8" s="1"/>
  <c r="C279" i="8" a="1"/>
  <c r="C279" i="8" s="1"/>
  <c r="B279" i="8" a="1"/>
  <c r="B279" i="8" s="1"/>
  <c r="I278" i="8" a="1"/>
  <c r="I278" i="8" s="1"/>
  <c r="F278" i="8" a="1"/>
  <c r="F278" i="8" s="1"/>
  <c r="E278" i="8" a="1"/>
  <c r="E278" i="8" s="1"/>
  <c r="D278" i="8" a="1"/>
  <c r="D278" i="8" s="1"/>
  <c r="C278" i="8" a="1"/>
  <c r="C278" i="8" s="1"/>
  <c r="B278" i="8" a="1"/>
  <c r="B278" i="8" s="1"/>
  <c r="I276" i="8" a="1"/>
  <c r="I276" i="8" s="1"/>
  <c r="F276" i="8" a="1"/>
  <c r="F276" i="8" s="1"/>
  <c r="E276" i="8" a="1"/>
  <c r="E276" i="8" s="1"/>
  <c r="D276" i="8" a="1"/>
  <c r="D276" i="8" s="1"/>
  <c r="C276" i="8" a="1"/>
  <c r="C276" i="8" s="1"/>
  <c r="B276" i="8" a="1"/>
  <c r="B276" i="8" s="1"/>
  <c r="I275" i="8" a="1"/>
  <c r="I275" i="8" s="1"/>
  <c r="F275" i="8" a="1"/>
  <c r="F275" i="8" s="1"/>
  <c r="E275" i="8" a="1"/>
  <c r="E275" i="8" s="1"/>
  <c r="D275" i="8" a="1"/>
  <c r="D275" i="8" s="1"/>
  <c r="C275" i="8" a="1"/>
  <c r="C275" i="8" s="1"/>
  <c r="B275" i="8" a="1"/>
  <c r="B275" i="8" s="1"/>
  <c r="I274" i="8" a="1"/>
  <c r="I274" i="8" s="1"/>
  <c r="F274" i="8" a="1"/>
  <c r="F274" i="8" s="1"/>
  <c r="E274" i="8" a="1"/>
  <c r="E274" i="8" s="1"/>
  <c r="D274" i="8" a="1"/>
  <c r="D274" i="8" s="1"/>
  <c r="C274" i="8" a="1"/>
  <c r="C274" i="8" s="1"/>
  <c r="B274" i="8" a="1"/>
  <c r="B274" i="8" s="1"/>
  <c r="I273" i="8" a="1"/>
  <c r="I273" i="8" s="1"/>
  <c r="F273" i="8" a="1"/>
  <c r="F273" i="8" s="1"/>
  <c r="E273" i="8" a="1"/>
  <c r="E273" i="8" s="1"/>
  <c r="D273" i="8" a="1"/>
  <c r="D273" i="8" s="1"/>
  <c r="C273" i="8" a="1"/>
  <c r="C273" i="8" s="1"/>
  <c r="B273" i="8" a="1"/>
  <c r="B273" i="8" s="1"/>
  <c r="I272" i="8" a="1"/>
  <c r="I272" i="8" s="1"/>
  <c r="F272" i="8" a="1"/>
  <c r="F272" i="8" s="1"/>
  <c r="E272" i="8" a="1"/>
  <c r="E272" i="8" s="1"/>
  <c r="D272" i="8" a="1"/>
  <c r="D272" i="8" s="1"/>
  <c r="C272" i="8" a="1"/>
  <c r="C272" i="8" s="1"/>
  <c r="B272" i="8" a="1"/>
  <c r="B272" i="8" s="1"/>
  <c r="I271" i="8" a="1"/>
  <c r="I271" i="8" s="1"/>
  <c r="F271" i="8" a="1"/>
  <c r="F271" i="8" s="1"/>
  <c r="E271" i="8" a="1"/>
  <c r="E271" i="8" s="1"/>
  <c r="D271" i="8" a="1"/>
  <c r="D271" i="8" s="1"/>
  <c r="C271" i="8" a="1"/>
  <c r="C271" i="8" s="1"/>
  <c r="B271" i="8" a="1"/>
  <c r="B271" i="8" s="1"/>
  <c r="I269" i="8" a="1"/>
  <c r="I269" i="8" s="1"/>
  <c r="F269" i="8" a="1"/>
  <c r="F269" i="8" s="1"/>
  <c r="E269" i="8" a="1"/>
  <c r="E269" i="8" s="1"/>
  <c r="D269" i="8" a="1"/>
  <c r="D269" i="8" s="1"/>
  <c r="C269" i="8" a="1"/>
  <c r="C269" i="8" s="1"/>
  <c r="B269" i="8" a="1"/>
  <c r="B269" i="8" s="1"/>
  <c r="I268" i="8" a="1"/>
  <c r="I268" i="8" s="1"/>
  <c r="F268" i="8" a="1"/>
  <c r="F268" i="8" s="1"/>
  <c r="E268" i="8" a="1"/>
  <c r="E268" i="8" s="1"/>
  <c r="D268" i="8" a="1"/>
  <c r="D268" i="8" s="1"/>
  <c r="C268" i="8" a="1"/>
  <c r="C268" i="8" s="1"/>
  <c r="B268" i="8" a="1"/>
  <c r="B268" i="8" s="1"/>
  <c r="I267" i="8" a="1"/>
  <c r="I267" i="8" s="1"/>
  <c r="F267" i="8" a="1"/>
  <c r="F267" i="8" s="1"/>
  <c r="E267" i="8" a="1"/>
  <c r="E267" i="8" s="1"/>
  <c r="D267" i="8" a="1"/>
  <c r="D267" i="8" s="1"/>
  <c r="C267" i="8" a="1"/>
  <c r="C267" i="8" s="1"/>
  <c r="B267" i="8" a="1"/>
  <c r="B267" i="8" s="1"/>
  <c r="I265" i="8" a="1"/>
  <c r="I265" i="8" s="1"/>
  <c r="F265" i="8" a="1"/>
  <c r="F265" i="8" s="1"/>
  <c r="E265" i="8" a="1"/>
  <c r="E265" i="8" s="1"/>
  <c r="D265" i="8" a="1"/>
  <c r="D265" i="8" s="1"/>
  <c r="C265" i="8" a="1"/>
  <c r="C265" i="8" s="1"/>
  <c r="B265" i="8" a="1"/>
  <c r="B265" i="8" s="1"/>
  <c r="I264" i="8" a="1"/>
  <c r="I264" i="8" s="1"/>
  <c r="F264" i="8" a="1"/>
  <c r="F264" i="8" s="1"/>
  <c r="E264" i="8" a="1"/>
  <c r="E264" i="8" s="1"/>
  <c r="D264" i="8" a="1"/>
  <c r="D264" i="8" s="1"/>
  <c r="C264" i="8" a="1"/>
  <c r="C264" i="8" s="1"/>
  <c r="B264" i="8" a="1"/>
  <c r="B264" i="8" s="1"/>
  <c r="I263" i="8" a="1"/>
  <c r="I263" i="8" s="1"/>
  <c r="F263" i="8" a="1"/>
  <c r="F263" i="8" s="1"/>
  <c r="E263" i="8" a="1"/>
  <c r="E263" i="8" s="1"/>
  <c r="D263" i="8" a="1"/>
  <c r="D263" i="8" s="1"/>
  <c r="C263" i="8" a="1"/>
  <c r="C263" i="8" s="1"/>
  <c r="B263" i="8" a="1"/>
  <c r="B263" i="8" s="1"/>
  <c r="I262" i="8" a="1"/>
  <c r="I262" i="8" s="1"/>
  <c r="F262" i="8" a="1"/>
  <c r="F262" i="8" s="1"/>
  <c r="E262" i="8" a="1"/>
  <c r="E262" i="8" s="1"/>
  <c r="D262" i="8" a="1"/>
  <c r="D262" i="8" s="1"/>
  <c r="C262" i="8" a="1"/>
  <c r="C262" i="8" s="1"/>
  <c r="B262" i="8" a="1"/>
  <c r="B262" i="8" s="1"/>
  <c r="I261" i="8" a="1"/>
  <c r="I261" i="8" s="1"/>
  <c r="F261" i="8" a="1"/>
  <c r="F261" i="8" s="1"/>
  <c r="E261" i="8" a="1"/>
  <c r="E261" i="8" s="1"/>
  <c r="D261" i="8" a="1"/>
  <c r="D261" i="8" s="1"/>
  <c r="C261" i="8" a="1"/>
  <c r="C261" i="8" s="1"/>
  <c r="B261" i="8" a="1"/>
  <c r="B261" i="8" s="1"/>
  <c r="I260" i="8" a="1"/>
  <c r="I260" i="8" s="1"/>
  <c r="F260" i="8" a="1"/>
  <c r="F260" i="8" s="1"/>
  <c r="E260" i="8" a="1"/>
  <c r="E260" i="8" s="1"/>
  <c r="D260" i="8" a="1"/>
  <c r="D260" i="8" s="1"/>
  <c r="C260" i="8" a="1"/>
  <c r="C260" i="8" s="1"/>
  <c r="B260" i="8" a="1"/>
  <c r="B260" i="8" s="1"/>
  <c r="I258" i="8" a="1"/>
  <c r="I258" i="8" s="1"/>
  <c r="F258" i="8" a="1"/>
  <c r="F258" i="8" s="1"/>
  <c r="E258" i="8" a="1"/>
  <c r="E258" i="8" s="1"/>
  <c r="D258" i="8" a="1"/>
  <c r="D258" i="8" s="1"/>
  <c r="C258" i="8" a="1"/>
  <c r="C258" i="8" s="1"/>
  <c r="B258" i="8" a="1"/>
  <c r="B258" i="8" s="1"/>
  <c r="I257" i="8" a="1"/>
  <c r="I257" i="8" s="1"/>
  <c r="F257" i="8" a="1"/>
  <c r="F257" i="8" s="1"/>
  <c r="E257" i="8" a="1"/>
  <c r="E257" i="8" s="1"/>
  <c r="D257" i="8" a="1"/>
  <c r="D257" i="8" s="1"/>
  <c r="C257" i="8" a="1"/>
  <c r="C257" i="8" s="1"/>
  <c r="B257" i="8" a="1"/>
  <c r="B257" i="8" s="1"/>
  <c r="I256" i="8" a="1"/>
  <c r="I256" i="8" s="1"/>
  <c r="F256" i="8" a="1"/>
  <c r="F256" i="8" s="1"/>
  <c r="E256" i="8" a="1"/>
  <c r="E256" i="8" s="1"/>
  <c r="D256" i="8" a="1"/>
  <c r="D256" i="8" s="1"/>
  <c r="C256" i="8" a="1"/>
  <c r="C256" i="8" s="1"/>
  <c r="B256" i="8" a="1"/>
  <c r="B256" i="8" s="1"/>
  <c r="I255" i="8" a="1"/>
  <c r="I255" i="8" s="1"/>
  <c r="F255" i="8" a="1"/>
  <c r="F255" i="8" s="1"/>
  <c r="E255" i="8" a="1"/>
  <c r="E255" i="8" s="1"/>
  <c r="D255" i="8" a="1"/>
  <c r="D255" i="8" s="1"/>
  <c r="C255" i="8" a="1"/>
  <c r="C255" i="8" s="1"/>
  <c r="B255" i="8" a="1"/>
  <c r="B255" i="8" s="1"/>
  <c r="I253" i="8" a="1"/>
  <c r="I253" i="8" s="1"/>
  <c r="F253" i="8" a="1"/>
  <c r="F253" i="8" s="1"/>
  <c r="E253" i="8" a="1"/>
  <c r="E253" i="8" s="1"/>
  <c r="D253" i="8" a="1"/>
  <c r="D253" i="8" s="1"/>
  <c r="C253" i="8" a="1"/>
  <c r="C253" i="8" s="1"/>
  <c r="B253" i="8" a="1"/>
  <c r="B253" i="8" s="1"/>
  <c r="I252" i="8" a="1"/>
  <c r="I252" i="8" s="1"/>
  <c r="F252" i="8" a="1"/>
  <c r="F252" i="8" s="1"/>
  <c r="E252" i="8" a="1"/>
  <c r="E252" i="8" s="1"/>
  <c r="D252" i="8" a="1"/>
  <c r="D252" i="8" s="1"/>
  <c r="C252" i="8" a="1"/>
  <c r="C252" i="8" s="1"/>
  <c r="B252" i="8" a="1"/>
  <c r="B252" i="8" s="1"/>
  <c r="I249" i="8" a="1"/>
  <c r="I249" i="8" s="1"/>
  <c r="F249" i="8" a="1"/>
  <c r="F249" i="8" s="1"/>
  <c r="E249" i="8" a="1"/>
  <c r="E249" i="8" s="1"/>
  <c r="D249" i="8" a="1"/>
  <c r="D249" i="8" s="1"/>
  <c r="C249" i="8" a="1"/>
  <c r="C249" i="8" s="1"/>
  <c r="B249" i="8" a="1"/>
  <c r="B249" i="8" s="1"/>
  <c r="I248" i="8" a="1"/>
  <c r="I248" i="8" s="1"/>
  <c r="F248" i="8" a="1"/>
  <c r="F248" i="8" s="1"/>
  <c r="E248" i="8" a="1"/>
  <c r="E248" i="8" s="1"/>
  <c r="D248" i="8" a="1"/>
  <c r="D248" i="8" s="1"/>
  <c r="C248" i="8" a="1"/>
  <c r="C248" i="8" s="1"/>
  <c r="B248" i="8" a="1"/>
  <c r="B248" i="8" s="1"/>
  <c r="I247" i="8" a="1"/>
  <c r="I247" i="8" s="1"/>
  <c r="F247" i="8" a="1"/>
  <c r="F247" i="8" s="1"/>
  <c r="E247" i="8" a="1"/>
  <c r="E247" i="8" s="1"/>
  <c r="D247" i="8" a="1"/>
  <c r="D247" i="8" s="1"/>
  <c r="C247" i="8" a="1"/>
  <c r="C247" i="8" s="1"/>
  <c r="B247" i="8" a="1"/>
  <c r="B247" i="8" s="1"/>
  <c r="I245" i="8" a="1"/>
  <c r="I245" i="8" s="1"/>
  <c r="F245" i="8" a="1"/>
  <c r="F245" i="8" s="1"/>
  <c r="E245" i="8" a="1"/>
  <c r="E245" i="8" s="1"/>
  <c r="D245" i="8" a="1"/>
  <c r="D245" i="8" s="1"/>
  <c r="C245" i="8" a="1"/>
  <c r="C245" i="8" s="1"/>
  <c r="B245" i="8" a="1"/>
  <c r="B245" i="8" s="1"/>
  <c r="I244" i="8" a="1"/>
  <c r="I244" i="8" s="1"/>
  <c r="F244" i="8" a="1"/>
  <c r="F244" i="8" s="1"/>
  <c r="E244" i="8" a="1"/>
  <c r="E244" i="8" s="1"/>
  <c r="D244" i="8" a="1"/>
  <c r="D244" i="8" s="1"/>
  <c r="C244" i="8" a="1"/>
  <c r="C244" i="8" s="1"/>
  <c r="B244" i="8" a="1"/>
  <c r="B244" i="8" s="1"/>
  <c r="I243" i="8" a="1"/>
  <c r="I243" i="8" s="1"/>
  <c r="F243" i="8" a="1"/>
  <c r="F243" i="8" s="1"/>
  <c r="E243" i="8" a="1"/>
  <c r="E243" i="8" s="1"/>
  <c r="D243" i="8" a="1"/>
  <c r="D243" i="8" s="1"/>
  <c r="C243" i="8" a="1"/>
  <c r="C243" i="8" s="1"/>
  <c r="B243" i="8" a="1"/>
  <c r="B243" i="8" s="1"/>
  <c r="I242" i="8" a="1"/>
  <c r="I242" i="8" s="1"/>
  <c r="F242" i="8" a="1"/>
  <c r="F242" i="8" s="1"/>
  <c r="E242" i="8" a="1"/>
  <c r="E242" i="8" s="1"/>
  <c r="D242" i="8" a="1"/>
  <c r="D242" i="8" s="1"/>
  <c r="C242" i="8" a="1"/>
  <c r="C242" i="8" s="1"/>
  <c r="B242" i="8" a="1"/>
  <c r="B242" i="8" s="1"/>
  <c r="I241" i="8" a="1"/>
  <c r="I241" i="8" s="1"/>
  <c r="F241" i="8" a="1"/>
  <c r="F241" i="8" s="1"/>
  <c r="E241" i="8" a="1"/>
  <c r="E241" i="8" s="1"/>
  <c r="D241" i="8" a="1"/>
  <c r="D241" i="8" s="1"/>
  <c r="C241" i="8" a="1"/>
  <c r="C241" i="8" s="1"/>
  <c r="B241" i="8" a="1"/>
  <c r="B241" i="8" s="1"/>
  <c r="I240" i="8" a="1"/>
  <c r="I240" i="8" s="1"/>
  <c r="F240" i="8" a="1"/>
  <c r="F240" i="8" s="1"/>
  <c r="E240" i="8" a="1"/>
  <c r="E240" i="8" s="1"/>
  <c r="D240" i="8" a="1"/>
  <c r="D240" i="8" s="1"/>
  <c r="C240" i="8" a="1"/>
  <c r="C240" i="8" s="1"/>
  <c r="B240" i="8" a="1"/>
  <c r="B240" i="8" s="1"/>
  <c r="I239" i="8" a="1"/>
  <c r="I239" i="8" s="1"/>
  <c r="F239" i="8" a="1"/>
  <c r="F239" i="8" s="1"/>
  <c r="E239" i="8" a="1"/>
  <c r="E239" i="8" s="1"/>
  <c r="D239" i="8" a="1"/>
  <c r="D239" i="8" s="1"/>
  <c r="C239" i="8" a="1"/>
  <c r="C239" i="8" s="1"/>
  <c r="B239" i="8" a="1"/>
  <c r="B239" i="8" s="1"/>
  <c r="I238" i="8" a="1"/>
  <c r="I238" i="8" s="1"/>
  <c r="F238" i="8" a="1"/>
  <c r="F238" i="8" s="1"/>
  <c r="E238" i="8" a="1"/>
  <c r="E238" i="8" s="1"/>
  <c r="D238" i="8" a="1"/>
  <c r="D238" i="8" s="1"/>
  <c r="C238" i="8" a="1"/>
  <c r="C238" i="8" s="1"/>
  <c r="B238" i="8" a="1"/>
  <c r="B238" i="8" s="1"/>
  <c r="I237" i="8" a="1"/>
  <c r="I237" i="8" s="1"/>
  <c r="F237" i="8" a="1"/>
  <c r="F237" i="8" s="1"/>
  <c r="E237" i="8" a="1"/>
  <c r="E237" i="8" s="1"/>
  <c r="D237" i="8" a="1"/>
  <c r="D237" i="8" s="1"/>
  <c r="C237" i="8" a="1"/>
  <c r="C237" i="8" s="1"/>
  <c r="B237" i="8" a="1"/>
  <c r="B237" i="8" s="1"/>
  <c r="I236" i="8" a="1"/>
  <c r="I236" i="8" s="1"/>
  <c r="F236" i="8" a="1"/>
  <c r="F236" i="8" s="1"/>
  <c r="E236" i="8" a="1"/>
  <c r="E236" i="8" s="1"/>
  <c r="D236" i="8" a="1"/>
  <c r="D236" i="8" s="1"/>
  <c r="C236" i="8" a="1"/>
  <c r="C236" i="8" s="1"/>
  <c r="B236" i="8" a="1"/>
  <c r="B236" i="8" s="1"/>
  <c r="I235" i="8" a="1"/>
  <c r="I235" i="8" s="1"/>
  <c r="F235" i="8" a="1"/>
  <c r="F235" i="8" s="1"/>
  <c r="E235" i="8" a="1"/>
  <c r="E235" i="8" s="1"/>
  <c r="D235" i="8" a="1"/>
  <c r="D235" i="8" s="1"/>
  <c r="C235" i="8" a="1"/>
  <c r="C235" i="8" s="1"/>
  <c r="B235" i="8" a="1"/>
  <c r="B235" i="8" s="1"/>
  <c r="I234" i="8" a="1"/>
  <c r="I234" i="8" s="1"/>
  <c r="F234" i="8" a="1"/>
  <c r="F234" i="8" s="1"/>
  <c r="E234" i="8" a="1"/>
  <c r="E234" i="8" s="1"/>
  <c r="D234" i="8" a="1"/>
  <c r="D234" i="8" s="1"/>
  <c r="C234" i="8" a="1"/>
  <c r="C234" i="8" s="1"/>
  <c r="B234" i="8" a="1"/>
  <c r="B234" i="8" s="1"/>
  <c r="I233" i="8" a="1"/>
  <c r="I233" i="8" s="1"/>
  <c r="F233" i="8" a="1"/>
  <c r="F233" i="8" s="1"/>
  <c r="E233" i="8" a="1"/>
  <c r="E233" i="8" s="1"/>
  <c r="D233" i="8" a="1"/>
  <c r="D233" i="8" s="1"/>
  <c r="C233" i="8" a="1"/>
  <c r="C233" i="8" s="1"/>
  <c r="B233" i="8" a="1"/>
  <c r="B233" i="8" s="1"/>
  <c r="I232" i="8" a="1"/>
  <c r="I232" i="8" s="1"/>
  <c r="F232" i="8" a="1"/>
  <c r="F232" i="8" s="1"/>
  <c r="E232" i="8" a="1"/>
  <c r="E232" i="8" s="1"/>
  <c r="D232" i="8" a="1"/>
  <c r="D232" i="8" s="1"/>
  <c r="C232" i="8" a="1"/>
  <c r="C232" i="8" s="1"/>
  <c r="B232" i="8" a="1"/>
  <c r="B232" i="8" s="1"/>
  <c r="I231" i="8" a="1"/>
  <c r="I231" i="8" s="1"/>
  <c r="F231" i="8" a="1"/>
  <c r="F231" i="8" s="1"/>
  <c r="E231" i="8" a="1"/>
  <c r="E231" i="8" s="1"/>
  <c r="D231" i="8" a="1"/>
  <c r="D231" i="8" s="1"/>
  <c r="C231" i="8" a="1"/>
  <c r="C231" i="8" s="1"/>
  <c r="B231" i="8" a="1"/>
  <c r="B231" i="8" s="1"/>
  <c r="I230" i="8" a="1"/>
  <c r="I230" i="8" s="1"/>
  <c r="F230" i="8" a="1"/>
  <c r="F230" i="8" s="1"/>
  <c r="E230" i="8" a="1"/>
  <c r="E230" i="8" s="1"/>
  <c r="D230" i="8" a="1"/>
  <c r="D230" i="8" s="1"/>
  <c r="C230" i="8" a="1"/>
  <c r="C230" i="8" s="1"/>
  <c r="B230" i="8" a="1"/>
  <c r="B230" i="8" s="1"/>
  <c r="I229" i="8" a="1"/>
  <c r="I229" i="8" s="1"/>
  <c r="F229" i="8" a="1"/>
  <c r="F229" i="8" s="1"/>
  <c r="E229" i="8" a="1"/>
  <c r="E229" i="8" s="1"/>
  <c r="D229" i="8" a="1"/>
  <c r="D229" i="8" s="1"/>
  <c r="C229" i="8" a="1"/>
  <c r="C229" i="8" s="1"/>
  <c r="B229" i="8" a="1"/>
  <c r="B229" i="8" s="1"/>
  <c r="I228" i="8" a="1"/>
  <c r="I228" i="8" s="1"/>
  <c r="F228" i="8" a="1"/>
  <c r="F228" i="8" s="1"/>
  <c r="E228" i="8" a="1"/>
  <c r="E228" i="8" s="1"/>
  <c r="D228" i="8" a="1"/>
  <c r="D228" i="8" s="1"/>
  <c r="C228" i="8" a="1"/>
  <c r="C228" i="8" s="1"/>
  <c r="B228" i="8" a="1"/>
  <c r="B228" i="8" s="1"/>
  <c r="I227" i="8" a="1"/>
  <c r="I227" i="8" s="1"/>
  <c r="F227" i="8" a="1"/>
  <c r="F227" i="8" s="1"/>
  <c r="E227" i="8" a="1"/>
  <c r="E227" i="8" s="1"/>
  <c r="D227" i="8" a="1"/>
  <c r="D227" i="8" s="1"/>
  <c r="C227" i="8" a="1"/>
  <c r="C227" i="8" s="1"/>
  <c r="B227" i="8" a="1"/>
  <c r="B227" i="8" s="1"/>
  <c r="I226" i="8" a="1"/>
  <c r="I226" i="8" s="1"/>
  <c r="F226" i="8" a="1"/>
  <c r="F226" i="8" s="1"/>
  <c r="E226" i="8" a="1"/>
  <c r="E226" i="8" s="1"/>
  <c r="D226" i="8" a="1"/>
  <c r="D226" i="8" s="1"/>
  <c r="C226" i="8" a="1"/>
  <c r="C226" i="8" s="1"/>
  <c r="B226" i="8" a="1"/>
  <c r="B226" i="8" s="1"/>
  <c r="I225" i="8" a="1"/>
  <c r="I225" i="8" s="1"/>
  <c r="F225" i="8" a="1"/>
  <c r="F225" i="8" s="1"/>
  <c r="E225" i="8" a="1"/>
  <c r="E225" i="8" s="1"/>
  <c r="D225" i="8" a="1"/>
  <c r="D225" i="8" s="1"/>
  <c r="C225" i="8" a="1"/>
  <c r="C225" i="8" s="1"/>
  <c r="B225" i="8" a="1"/>
  <c r="B225" i="8" s="1"/>
  <c r="I224" i="8" a="1"/>
  <c r="I224" i="8" s="1"/>
  <c r="F224" i="8" a="1"/>
  <c r="F224" i="8" s="1"/>
  <c r="E224" i="8" a="1"/>
  <c r="E224" i="8" s="1"/>
  <c r="D224" i="8" a="1"/>
  <c r="D224" i="8" s="1"/>
  <c r="C224" i="8" a="1"/>
  <c r="C224" i="8" s="1"/>
  <c r="B224" i="8" a="1"/>
  <c r="B224" i="8" s="1"/>
  <c r="I222" i="8" a="1"/>
  <c r="I222" i="8" s="1"/>
  <c r="F222" i="8" a="1"/>
  <c r="F222" i="8" s="1"/>
  <c r="E222" i="8" a="1"/>
  <c r="E222" i="8" s="1"/>
  <c r="D222" i="8" a="1"/>
  <c r="D222" i="8" s="1"/>
  <c r="C222" i="8" a="1"/>
  <c r="C222" i="8" s="1"/>
  <c r="B222" i="8" a="1"/>
  <c r="B222" i="8" s="1"/>
  <c r="I221" i="8" a="1"/>
  <c r="I221" i="8" s="1"/>
  <c r="F221" i="8" a="1"/>
  <c r="F221" i="8" s="1"/>
  <c r="E221" i="8" a="1"/>
  <c r="E221" i="8" s="1"/>
  <c r="D221" i="8" a="1"/>
  <c r="D221" i="8" s="1"/>
  <c r="C221" i="8" a="1"/>
  <c r="C221" i="8" s="1"/>
  <c r="B221" i="8" a="1"/>
  <c r="B221" i="8" s="1"/>
  <c r="I220" i="8" a="1"/>
  <c r="I220" i="8" s="1"/>
  <c r="F220" i="8" a="1"/>
  <c r="F220" i="8" s="1"/>
  <c r="E220" i="8" a="1"/>
  <c r="E220" i="8" s="1"/>
  <c r="D220" i="8" a="1"/>
  <c r="D220" i="8" s="1"/>
  <c r="C220" i="8" a="1"/>
  <c r="C220" i="8" s="1"/>
  <c r="B220" i="8" a="1"/>
  <c r="B220" i="8" s="1"/>
  <c r="I219" i="8" a="1"/>
  <c r="I219" i="8" s="1"/>
  <c r="F219" i="8" a="1"/>
  <c r="F219" i="8" s="1"/>
  <c r="E219" i="8" a="1"/>
  <c r="E219" i="8" s="1"/>
  <c r="D219" i="8" a="1"/>
  <c r="D219" i="8" s="1"/>
  <c r="C219" i="8" a="1"/>
  <c r="C219" i="8" s="1"/>
  <c r="B219" i="8" a="1"/>
  <c r="B219" i="8" s="1"/>
  <c r="I218" i="8" a="1"/>
  <c r="I218" i="8" s="1"/>
  <c r="F218" i="8" a="1"/>
  <c r="F218" i="8" s="1"/>
  <c r="E218" i="8" a="1"/>
  <c r="E218" i="8" s="1"/>
  <c r="D218" i="8" a="1"/>
  <c r="D218" i="8" s="1"/>
  <c r="C218" i="8" a="1"/>
  <c r="C218" i="8" s="1"/>
  <c r="B218" i="8" a="1"/>
  <c r="B218" i="8" s="1"/>
  <c r="I217" i="8" a="1"/>
  <c r="I217" i="8" s="1"/>
  <c r="F217" i="8" a="1"/>
  <c r="F217" i="8" s="1"/>
  <c r="E217" i="8" a="1"/>
  <c r="E217" i="8" s="1"/>
  <c r="D217" i="8" a="1"/>
  <c r="D217" i="8" s="1"/>
  <c r="C217" i="8" a="1"/>
  <c r="C217" i="8" s="1"/>
  <c r="B217" i="8" a="1"/>
  <c r="B217" i="8" s="1"/>
  <c r="I216" i="8" a="1"/>
  <c r="I216" i="8" s="1"/>
  <c r="F216" i="8" a="1"/>
  <c r="F216" i="8" s="1"/>
  <c r="E216" i="8" a="1"/>
  <c r="E216" i="8" s="1"/>
  <c r="D216" i="8" a="1"/>
  <c r="D216" i="8" s="1"/>
  <c r="C216" i="8" a="1"/>
  <c r="C216" i="8" s="1"/>
  <c r="B216" i="8" a="1"/>
  <c r="B216" i="8" s="1"/>
  <c r="I215" i="8" a="1"/>
  <c r="I215" i="8" s="1"/>
  <c r="F215" i="8" a="1"/>
  <c r="F215" i="8" s="1"/>
  <c r="E215" i="8" a="1"/>
  <c r="E215" i="8" s="1"/>
  <c r="D215" i="8" a="1"/>
  <c r="D215" i="8" s="1"/>
  <c r="C215" i="8" a="1"/>
  <c r="C215" i="8" s="1"/>
  <c r="B215" i="8" a="1"/>
  <c r="B215" i="8" s="1"/>
  <c r="I214" i="8" a="1"/>
  <c r="I214" i="8" s="1"/>
  <c r="F214" i="8" a="1"/>
  <c r="F214" i="8" s="1"/>
  <c r="E214" i="8" a="1"/>
  <c r="E214" i="8" s="1"/>
  <c r="D214" i="8" a="1"/>
  <c r="D214" i="8" s="1"/>
  <c r="C214" i="8" a="1"/>
  <c r="C214" i="8" s="1"/>
  <c r="B214" i="8" a="1"/>
  <c r="B214" i="8" s="1"/>
  <c r="I213" i="8" a="1"/>
  <c r="I213" i="8" s="1"/>
  <c r="F213" i="8" a="1"/>
  <c r="F213" i="8" s="1"/>
  <c r="E213" i="8" a="1"/>
  <c r="E213" i="8" s="1"/>
  <c r="D213" i="8" a="1"/>
  <c r="D213" i="8" s="1"/>
  <c r="C213" i="8" a="1"/>
  <c r="C213" i="8" s="1"/>
  <c r="B213" i="8" a="1"/>
  <c r="B213" i="8" s="1"/>
  <c r="I212" i="8" a="1"/>
  <c r="I212" i="8" s="1"/>
  <c r="F212" i="8" a="1"/>
  <c r="F212" i="8" s="1"/>
  <c r="E212" i="8" a="1"/>
  <c r="E212" i="8" s="1"/>
  <c r="D212" i="8" a="1"/>
  <c r="D212" i="8" s="1"/>
  <c r="C212" i="8" a="1"/>
  <c r="C212" i="8" s="1"/>
  <c r="B212" i="8" a="1"/>
  <c r="B212" i="8" s="1"/>
  <c r="I211" i="8" a="1"/>
  <c r="I211" i="8" s="1"/>
  <c r="F211" i="8" a="1"/>
  <c r="F211" i="8" s="1"/>
  <c r="E211" i="8" a="1"/>
  <c r="E211" i="8" s="1"/>
  <c r="D211" i="8" a="1"/>
  <c r="D211" i="8" s="1"/>
  <c r="C211" i="8" a="1"/>
  <c r="C211" i="8" s="1"/>
  <c r="B211" i="8" a="1"/>
  <c r="B211" i="8" s="1"/>
  <c r="I210" i="8" a="1"/>
  <c r="I210" i="8" s="1"/>
  <c r="F210" i="8" a="1"/>
  <c r="F210" i="8" s="1"/>
  <c r="E210" i="8" a="1"/>
  <c r="E210" i="8" s="1"/>
  <c r="D210" i="8" a="1"/>
  <c r="D210" i="8" s="1"/>
  <c r="C210" i="8" a="1"/>
  <c r="C210" i="8" s="1"/>
  <c r="B210" i="8" a="1"/>
  <c r="B210" i="8" s="1"/>
  <c r="I209" i="8" a="1"/>
  <c r="I209" i="8" s="1"/>
  <c r="F209" i="8" a="1"/>
  <c r="F209" i="8" s="1"/>
  <c r="E209" i="8" a="1"/>
  <c r="E209" i="8" s="1"/>
  <c r="D209" i="8" a="1"/>
  <c r="D209" i="8" s="1"/>
  <c r="C209" i="8" a="1"/>
  <c r="C209" i="8" s="1"/>
  <c r="B209" i="8" a="1"/>
  <c r="B209" i="8" s="1"/>
  <c r="I208" i="8" a="1"/>
  <c r="I208" i="8" s="1"/>
  <c r="F208" i="8" a="1"/>
  <c r="F208" i="8" s="1"/>
  <c r="E208" i="8" a="1"/>
  <c r="E208" i="8" s="1"/>
  <c r="D208" i="8" a="1"/>
  <c r="D208" i="8" s="1"/>
  <c r="C208" i="8" a="1"/>
  <c r="C208" i="8" s="1"/>
  <c r="B208" i="8" a="1"/>
  <c r="B208" i="8" s="1"/>
  <c r="I207" i="8" a="1"/>
  <c r="I207" i="8" s="1"/>
  <c r="F207" i="8" a="1"/>
  <c r="F207" i="8" s="1"/>
  <c r="E207" i="8" a="1"/>
  <c r="E207" i="8" s="1"/>
  <c r="D207" i="8" a="1"/>
  <c r="D207" i="8" s="1"/>
  <c r="C207" i="8" a="1"/>
  <c r="C207" i="8" s="1"/>
  <c r="B207" i="8" a="1"/>
  <c r="B207" i="8" s="1"/>
  <c r="I206" i="8" a="1"/>
  <c r="I206" i="8" s="1"/>
  <c r="F206" i="8" a="1"/>
  <c r="F206" i="8" s="1"/>
  <c r="E206" i="8" a="1"/>
  <c r="E206" i="8" s="1"/>
  <c r="D206" i="8" a="1"/>
  <c r="D206" i="8" s="1"/>
  <c r="C206" i="8" a="1"/>
  <c r="C206" i="8" s="1"/>
  <c r="B206" i="8" a="1"/>
  <c r="B206" i="8" s="1"/>
  <c r="I205" i="8" a="1"/>
  <c r="I205" i="8" s="1"/>
  <c r="F205" i="8" a="1"/>
  <c r="F205" i="8" s="1"/>
  <c r="E205" i="8" a="1"/>
  <c r="E205" i="8" s="1"/>
  <c r="D205" i="8" a="1"/>
  <c r="D205" i="8" s="1"/>
  <c r="C205" i="8" a="1"/>
  <c r="C205" i="8" s="1"/>
  <c r="B205" i="8" a="1"/>
  <c r="B205" i="8" s="1"/>
  <c r="I204" i="8" a="1"/>
  <c r="I204" i="8" s="1"/>
  <c r="F204" i="8" a="1"/>
  <c r="F204" i="8" s="1"/>
  <c r="E204" i="8" a="1"/>
  <c r="E204" i="8" s="1"/>
  <c r="D204" i="8" a="1"/>
  <c r="D204" i="8" s="1"/>
  <c r="C204" i="8" a="1"/>
  <c r="C204" i="8" s="1"/>
  <c r="B204" i="8" a="1"/>
  <c r="B204" i="8" s="1"/>
  <c r="I203" i="8" a="1"/>
  <c r="I203" i="8" s="1"/>
  <c r="F203" i="8" a="1"/>
  <c r="F203" i="8" s="1"/>
  <c r="E203" i="8" a="1"/>
  <c r="E203" i="8" s="1"/>
  <c r="D203" i="8" a="1"/>
  <c r="D203" i="8" s="1"/>
  <c r="C203" i="8" a="1"/>
  <c r="C203" i="8" s="1"/>
  <c r="B203" i="8" a="1"/>
  <c r="B203" i="8" s="1"/>
  <c r="I202" i="8" a="1"/>
  <c r="I202" i="8" s="1"/>
  <c r="F202" i="8" a="1"/>
  <c r="F202" i="8" s="1"/>
  <c r="E202" i="8" a="1"/>
  <c r="E202" i="8" s="1"/>
  <c r="D202" i="8" a="1"/>
  <c r="D202" i="8" s="1"/>
  <c r="C202" i="8" a="1"/>
  <c r="C202" i="8" s="1"/>
  <c r="B202" i="8" a="1"/>
  <c r="B202" i="8" s="1"/>
  <c r="I201" i="8" a="1"/>
  <c r="I201" i="8" s="1"/>
  <c r="F201" i="8" a="1"/>
  <c r="F201" i="8" s="1"/>
  <c r="E201" i="8" a="1"/>
  <c r="E201" i="8" s="1"/>
  <c r="D201" i="8" a="1"/>
  <c r="D201" i="8" s="1"/>
  <c r="C201" i="8" a="1"/>
  <c r="C201" i="8" s="1"/>
  <c r="B201" i="8" a="1"/>
  <c r="B201" i="8" s="1"/>
  <c r="I200" i="8" a="1"/>
  <c r="I200" i="8" s="1"/>
  <c r="F200" i="8" a="1"/>
  <c r="F200" i="8" s="1"/>
  <c r="E200" i="8" a="1"/>
  <c r="E200" i="8" s="1"/>
  <c r="D200" i="8" a="1"/>
  <c r="D200" i="8" s="1"/>
  <c r="C200" i="8" a="1"/>
  <c r="C200" i="8" s="1"/>
  <c r="B200" i="8" a="1"/>
  <c r="B200" i="8" s="1"/>
  <c r="I198" i="8" a="1"/>
  <c r="I198" i="8" s="1"/>
  <c r="F198" i="8" a="1"/>
  <c r="F198" i="8" s="1"/>
  <c r="E198" i="8" a="1"/>
  <c r="E198" i="8" s="1"/>
  <c r="D198" i="8" a="1"/>
  <c r="D198" i="8" s="1"/>
  <c r="C198" i="8" a="1"/>
  <c r="C198" i="8" s="1"/>
  <c r="B198" i="8" a="1"/>
  <c r="B198" i="8" s="1"/>
  <c r="I197" i="8" a="1"/>
  <c r="I197" i="8" s="1"/>
  <c r="F197" i="8" a="1"/>
  <c r="F197" i="8" s="1"/>
  <c r="E197" i="8" a="1"/>
  <c r="E197" i="8" s="1"/>
  <c r="D197" i="8" a="1"/>
  <c r="D197" i="8" s="1"/>
  <c r="C197" i="8" a="1"/>
  <c r="C197" i="8" s="1"/>
  <c r="B197" i="8" a="1"/>
  <c r="B197" i="8" s="1"/>
  <c r="I196" i="8" a="1"/>
  <c r="I196" i="8" s="1"/>
  <c r="F196" i="8" a="1"/>
  <c r="F196" i="8" s="1"/>
  <c r="E196" i="8" a="1"/>
  <c r="E196" i="8" s="1"/>
  <c r="D196" i="8" a="1"/>
  <c r="D196" i="8" s="1"/>
  <c r="C196" i="8" a="1"/>
  <c r="C196" i="8" s="1"/>
  <c r="B196" i="8" a="1"/>
  <c r="B196" i="8" s="1"/>
  <c r="I195" i="8" a="1"/>
  <c r="I195" i="8" s="1"/>
  <c r="F195" i="8" a="1"/>
  <c r="F195" i="8" s="1"/>
  <c r="E195" i="8" a="1"/>
  <c r="E195" i="8" s="1"/>
  <c r="D195" i="8" a="1"/>
  <c r="D195" i="8" s="1"/>
  <c r="C195" i="8" a="1"/>
  <c r="C195" i="8" s="1"/>
  <c r="B195" i="8" a="1"/>
  <c r="B195" i="8" s="1"/>
  <c r="I194" i="8" a="1"/>
  <c r="I194" i="8" s="1"/>
  <c r="F194" i="8" a="1"/>
  <c r="F194" i="8" s="1"/>
  <c r="E194" i="8" a="1"/>
  <c r="E194" i="8" s="1"/>
  <c r="D194" i="8" a="1"/>
  <c r="D194" i="8" s="1"/>
  <c r="C194" i="8" a="1"/>
  <c r="C194" i="8" s="1"/>
  <c r="B194" i="8" a="1"/>
  <c r="B194" i="8" s="1"/>
  <c r="I193" i="8" a="1"/>
  <c r="I193" i="8" s="1"/>
  <c r="F193" i="8" a="1"/>
  <c r="F193" i="8" s="1"/>
  <c r="E193" i="8" a="1"/>
  <c r="E193" i="8" s="1"/>
  <c r="D193" i="8" a="1"/>
  <c r="D193" i="8" s="1"/>
  <c r="C193" i="8" a="1"/>
  <c r="C193" i="8" s="1"/>
  <c r="B193" i="8" a="1"/>
  <c r="B193" i="8" s="1"/>
  <c r="I192" i="8" a="1"/>
  <c r="I192" i="8" s="1"/>
  <c r="F192" i="8" a="1"/>
  <c r="F192" i="8" s="1"/>
  <c r="E192" i="8" a="1"/>
  <c r="E192" i="8" s="1"/>
  <c r="D192" i="8" a="1"/>
  <c r="D192" i="8" s="1"/>
  <c r="C192" i="8" a="1"/>
  <c r="C192" i="8" s="1"/>
  <c r="B192" i="8" a="1"/>
  <c r="B192" i="8" s="1"/>
  <c r="I190" i="8" a="1"/>
  <c r="I190" i="8" s="1"/>
  <c r="F190" i="8" a="1"/>
  <c r="F190" i="8" s="1"/>
  <c r="E190" i="8" a="1"/>
  <c r="E190" i="8" s="1"/>
  <c r="D190" i="8" a="1"/>
  <c r="D190" i="8" s="1"/>
  <c r="C190" i="8" a="1"/>
  <c r="C190" i="8" s="1"/>
  <c r="B190" i="8" a="1"/>
  <c r="B190" i="8" s="1"/>
  <c r="I189" i="8" a="1"/>
  <c r="I189" i="8" s="1"/>
  <c r="F189" i="8" a="1"/>
  <c r="F189" i="8" s="1"/>
  <c r="E189" i="8" a="1"/>
  <c r="E189" i="8" s="1"/>
  <c r="D189" i="8" a="1"/>
  <c r="D189" i="8" s="1"/>
  <c r="C189" i="8" a="1"/>
  <c r="C189" i="8" s="1"/>
  <c r="B189" i="8" a="1"/>
  <c r="B189" i="8" s="1"/>
  <c r="I188" i="8" a="1"/>
  <c r="I188" i="8" s="1"/>
  <c r="F188" i="8" a="1"/>
  <c r="F188" i="8" s="1"/>
  <c r="E188" i="8" a="1"/>
  <c r="E188" i="8" s="1"/>
  <c r="D188" i="8" a="1"/>
  <c r="D188" i="8" s="1"/>
  <c r="C188" i="8" a="1"/>
  <c r="C188" i="8" s="1"/>
  <c r="B188" i="8" a="1"/>
  <c r="B188" i="8" s="1"/>
  <c r="I187" i="8" a="1"/>
  <c r="I187" i="8" s="1"/>
  <c r="F187" i="8" a="1"/>
  <c r="F187" i="8" s="1"/>
  <c r="E187" i="8" a="1"/>
  <c r="E187" i="8" s="1"/>
  <c r="D187" i="8" a="1"/>
  <c r="D187" i="8" s="1"/>
  <c r="C187" i="8" a="1"/>
  <c r="C187" i="8" s="1"/>
  <c r="B187" i="8" a="1"/>
  <c r="B187" i="8" s="1"/>
  <c r="I186" i="8" a="1"/>
  <c r="I186" i="8" s="1"/>
  <c r="F186" i="8" a="1"/>
  <c r="F186" i="8" s="1"/>
  <c r="E186" i="8" a="1"/>
  <c r="E186" i="8" s="1"/>
  <c r="D186" i="8" a="1"/>
  <c r="D186" i="8" s="1"/>
  <c r="C186" i="8" a="1"/>
  <c r="C186" i="8" s="1"/>
  <c r="B186" i="8" a="1"/>
  <c r="B186" i="8" s="1"/>
  <c r="I185" i="8" a="1"/>
  <c r="I185" i="8" s="1"/>
  <c r="F185" i="8" a="1"/>
  <c r="F185" i="8" s="1"/>
  <c r="E185" i="8" a="1"/>
  <c r="E185" i="8" s="1"/>
  <c r="D185" i="8" a="1"/>
  <c r="D185" i="8" s="1"/>
  <c r="C185" i="8" a="1"/>
  <c r="C185" i="8" s="1"/>
  <c r="B185" i="8" a="1"/>
  <c r="B185" i="8" s="1"/>
  <c r="I184" i="8" a="1"/>
  <c r="I184" i="8" s="1"/>
  <c r="F184" i="8" a="1"/>
  <c r="F184" i="8" s="1"/>
  <c r="E184" i="8" a="1"/>
  <c r="E184" i="8" s="1"/>
  <c r="D184" i="8" a="1"/>
  <c r="D184" i="8" s="1"/>
  <c r="C184" i="8" a="1"/>
  <c r="C184" i="8" s="1"/>
  <c r="B184" i="8" a="1"/>
  <c r="B184" i="8" s="1"/>
  <c r="I183" i="8" a="1"/>
  <c r="I183" i="8" s="1"/>
  <c r="F183" i="8" a="1"/>
  <c r="F183" i="8" s="1"/>
  <c r="E183" i="8" a="1"/>
  <c r="E183" i="8" s="1"/>
  <c r="D183" i="8" a="1"/>
  <c r="D183" i="8" s="1"/>
  <c r="C183" i="8" a="1"/>
  <c r="C183" i="8" s="1"/>
  <c r="B183" i="8" a="1"/>
  <c r="B183" i="8" s="1"/>
  <c r="I181" i="8" a="1"/>
  <c r="I181" i="8" s="1"/>
  <c r="F181" i="8" a="1"/>
  <c r="F181" i="8" s="1"/>
  <c r="E181" i="8" a="1"/>
  <c r="E181" i="8" s="1"/>
  <c r="D181" i="8" a="1"/>
  <c r="D181" i="8" s="1"/>
  <c r="C181" i="8" a="1"/>
  <c r="C181" i="8" s="1"/>
  <c r="B181" i="8" a="1"/>
  <c r="B181" i="8" s="1"/>
  <c r="I180" i="8" a="1"/>
  <c r="I180" i="8" s="1"/>
  <c r="F180" i="8" a="1"/>
  <c r="F180" i="8" s="1"/>
  <c r="E180" i="8" a="1"/>
  <c r="E180" i="8" s="1"/>
  <c r="D180" i="8" a="1"/>
  <c r="D180" i="8" s="1"/>
  <c r="C180" i="8" a="1"/>
  <c r="C180" i="8" s="1"/>
  <c r="B180" i="8" a="1"/>
  <c r="B180" i="8" s="1"/>
  <c r="I179" i="8" a="1"/>
  <c r="I179" i="8" s="1"/>
  <c r="F179" i="8" a="1"/>
  <c r="F179" i="8" s="1"/>
  <c r="E179" i="8" a="1"/>
  <c r="E179" i="8" s="1"/>
  <c r="D179" i="8" a="1"/>
  <c r="D179" i="8" s="1"/>
  <c r="C179" i="8" a="1"/>
  <c r="C179" i="8" s="1"/>
  <c r="B179" i="8" a="1"/>
  <c r="B179" i="8" s="1"/>
  <c r="I178" i="8" a="1"/>
  <c r="I178" i="8" s="1"/>
  <c r="F178" i="8" a="1"/>
  <c r="F178" i="8" s="1"/>
  <c r="E178" i="8" a="1"/>
  <c r="E178" i="8" s="1"/>
  <c r="D178" i="8" a="1"/>
  <c r="D178" i="8" s="1"/>
  <c r="C178" i="8" a="1"/>
  <c r="C178" i="8" s="1"/>
  <c r="B178" i="8" a="1"/>
  <c r="B178" i="8" s="1"/>
  <c r="I177" i="8" a="1"/>
  <c r="I177" i="8" s="1"/>
  <c r="F177" i="8" a="1"/>
  <c r="F177" i="8" s="1"/>
  <c r="E177" i="8" a="1"/>
  <c r="E177" i="8" s="1"/>
  <c r="D177" i="8" a="1"/>
  <c r="D177" i="8" s="1"/>
  <c r="C177" i="8" a="1"/>
  <c r="C177" i="8" s="1"/>
  <c r="B177" i="8" a="1"/>
  <c r="B177" i="8" s="1"/>
  <c r="I176" i="8" a="1"/>
  <c r="I176" i="8" s="1"/>
  <c r="F176" i="8" a="1"/>
  <c r="F176" i="8" s="1"/>
  <c r="E176" i="8" a="1"/>
  <c r="E176" i="8" s="1"/>
  <c r="D176" i="8" a="1"/>
  <c r="D176" i="8" s="1"/>
  <c r="C176" i="8" a="1"/>
  <c r="C176" i="8" s="1"/>
  <c r="B176" i="8" a="1"/>
  <c r="B176" i="8" s="1"/>
  <c r="I175" i="8" a="1"/>
  <c r="I175" i="8" s="1"/>
  <c r="F175" i="8" a="1"/>
  <c r="F175" i="8" s="1"/>
  <c r="E175" i="8" a="1"/>
  <c r="E175" i="8" s="1"/>
  <c r="D175" i="8" a="1"/>
  <c r="D175" i="8" s="1"/>
  <c r="C175" i="8" a="1"/>
  <c r="C175" i="8" s="1"/>
  <c r="B175" i="8" a="1"/>
  <c r="B175" i="8" s="1"/>
  <c r="I174" i="8" a="1"/>
  <c r="I174" i="8" s="1"/>
  <c r="F174" i="8" a="1"/>
  <c r="F174" i="8" s="1"/>
  <c r="E174" i="8" a="1"/>
  <c r="E174" i="8" s="1"/>
  <c r="D174" i="8" a="1"/>
  <c r="D174" i="8" s="1"/>
  <c r="C174" i="8" a="1"/>
  <c r="C174" i="8" s="1"/>
  <c r="B174" i="8" a="1"/>
  <c r="B174" i="8" s="1"/>
  <c r="I173" i="8" a="1"/>
  <c r="I173" i="8" s="1"/>
  <c r="F173" i="8" a="1"/>
  <c r="F173" i="8" s="1"/>
  <c r="E173" i="8" a="1"/>
  <c r="E173" i="8" s="1"/>
  <c r="D173" i="8" a="1"/>
  <c r="D173" i="8" s="1"/>
  <c r="C173" i="8" a="1"/>
  <c r="C173" i="8" s="1"/>
  <c r="B173" i="8" a="1"/>
  <c r="B173" i="8" s="1"/>
  <c r="I172" i="8" a="1"/>
  <c r="I172" i="8" s="1"/>
  <c r="F172" i="8" a="1"/>
  <c r="F172" i="8" s="1"/>
  <c r="E172" i="8" a="1"/>
  <c r="E172" i="8" s="1"/>
  <c r="D172" i="8" a="1"/>
  <c r="D172" i="8" s="1"/>
  <c r="C172" i="8" a="1"/>
  <c r="C172" i="8" s="1"/>
  <c r="B172" i="8" a="1"/>
  <c r="B172" i="8" s="1"/>
  <c r="I171" i="8" a="1"/>
  <c r="I171" i="8" s="1"/>
  <c r="F171" i="8" a="1"/>
  <c r="F171" i="8" s="1"/>
  <c r="E171" i="8" a="1"/>
  <c r="E171" i="8" s="1"/>
  <c r="D171" i="8" a="1"/>
  <c r="D171" i="8" s="1"/>
  <c r="C171" i="8" a="1"/>
  <c r="C171" i="8" s="1"/>
  <c r="B171" i="8" a="1"/>
  <c r="B171" i="8" s="1"/>
  <c r="I169" i="8" a="1"/>
  <c r="I169" i="8" s="1"/>
  <c r="F169" i="8" a="1"/>
  <c r="F169" i="8" s="1"/>
  <c r="E169" i="8" a="1"/>
  <c r="E169" i="8" s="1"/>
  <c r="D169" i="8" a="1"/>
  <c r="D169" i="8" s="1"/>
  <c r="C169" i="8" a="1"/>
  <c r="C169" i="8" s="1"/>
  <c r="B169" i="8" a="1"/>
  <c r="B169" i="8" s="1"/>
  <c r="I168" i="8" a="1"/>
  <c r="I168" i="8" s="1"/>
  <c r="F168" i="8" a="1"/>
  <c r="F168" i="8" s="1"/>
  <c r="E168" i="8" a="1"/>
  <c r="E168" i="8" s="1"/>
  <c r="D168" i="8" a="1"/>
  <c r="D168" i="8" s="1"/>
  <c r="C168" i="8" a="1"/>
  <c r="C168" i="8" s="1"/>
  <c r="B168" i="8" a="1"/>
  <c r="B168" i="8" s="1"/>
  <c r="I167" i="8" a="1"/>
  <c r="I167" i="8" s="1"/>
  <c r="F167" i="8" a="1"/>
  <c r="F167" i="8" s="1"/>
  <c r="E167" i="8" a="1"/>
  <c r="E167" i="8" s="1"/>
  <c r="D167" i="8" a="1"/>
  <c r="D167" i="8" s="1"/>
  <c r="C167" i="8" a="1"/>
  <c r="C167" i="8" s="1"/>
  <c r="B167" i="8" a="1"/>
  <c r="B167" i="8" s="1"/>
  <c r="I166" i="8" a="1"/>
  <c r="I166" i="8" s="1"/>
  <c r="F166" i="8" a="1"/>
  <c r="F166" i="8" s="1"/>
  <c r="E166" i="8" a="1"/>
  <c r="E166" i="8" s="1"/>
  <c r="D166" i="8" a="1"/>
  <c r="D166" i="8" s="1"/>
  <c r="C166" i="8" a="1"/>
  <c r="C166" i="8" s="1"/>
  <c r="B166" i="8" a="1"/>
  <c r="B166" i="8" s="1"/>
  <c r="I165" i="8" a="1"/>
  <c r="I165" i="8" s="1"/>
  <c r="F165" i="8" a="1"/>
  <c r="F165" i="8" s="1"/>
  <c r="E165" i="8" a="1"/>
  <c r="E165" i="8" s="1"/>
  <c r="D165" i="8" a="1"/>
  <c r="D165" i="8" s="1"/>
  <c r="C165" i="8" a="1"/>
  <c r="C165" i="8" s="1"/>
  <c r="B165" i="8" a="1"/>
  <c r="B165" i="8" s="1"/>
  <c r="I164" i="8" a="1"/>
  <c r="I164" i="8" s="1"/>
  <c r="F164" i="8" a="1"/>
  <c r="F164" i="8" s="1"/>
  <c r="E164" i="8" a="1"/>
  <c r="E164" i="8" s="1"/>
  <c r="D164" i="8" a="1"/>
  <c r="D164" i="8" s="1"/>
  <c r="C164" i="8" a="1"/>
  <c r="C164" i="8" s="1"/>
  <c r="B164" i="8" a="1"/>
  <c r="B164" i="8" s="1"/>
  <c r="I163" i="8" a="1"/>
  <c r="I163" i="8" s="1"/>
  <c r="F163" i="8" a="1"/>
  <c r="F163" i="8" s="1"/>
  <c r="E163" i="8" a="1"/>
  <c r="E163" i="8" s="1"/>
  <c r="D163" i="8" a="1"/>
  <c r="D163" i="8" s="1"/>
  <c r="C163" i="8" a="1"/>
  <c r="C163" i="8" s="1"/>
  <c r="B163" i="8" a="1"/>
  <c r="B163" i="8" s="1"/>
  <c r="I162" i="8" a="1"/>
  <c r="I162" i="8" s="1"/>
  <c r="F162" i="8" a="1"/>
  <c r="F162" i="8" s="1"/>
  <c r="E162" i="8" a="1"/>
  <c r="E162" i="8" s="1"/>
  <c r="D162" i="8" a="1"/>
  <c r="D162" i="8" s="1"/>
  <c r="C162" i="8" a="1"/>
  <c r="C162" i="8" s="1"/>
  <c r="B162" i="8" a="1"/>
  <c r="B162" i="8" s="1"/>
  <c r="I161" i="8" a="1"/>
  <c r="I161" i="8" s="1"/>
  <c r="F161" i="8" a="1"/>
  <c r="F161" i="8" s="1"/>
  <c r="E161" i="8" a="1"/>
  <c r="E161" i="8" s="1"/>
  <c r="D161" i="8" a="1"/>
  <c r="D161" i="8" s="1"/>
  <c r="C161" i="8" a="1"/>
  <c r="C161" i="8" s="1"/>
  <c r="B161" i="8" a="1"/>
  <c r="B161" i="8" s="1"/>
  <c r="I160" i="8" a="1"/>
  <c r="I160" i="8" s="1"/>
  <c r="F160" i="8" a="1"/>
  <c r="F160" i="8" s="1"/>
  <c r="E160" i="8" a="1"/>
  <c r="E160" i="8" s="1"/>
  <c r="D160" i="8" a="1"/>
  <c r="D160" i="8" s="1"/>
  <c r="C160" i="8" a="1"/>
  <c r="C160" i="8" s="1"/>
  <c r="B160" i="8" a="1"/>
  <c r="B160" i="8" s="1"/>
  <c r="I159" i="8" a="1"/>
  <c r="I159" i="8" s="1"/>
  <c r="F159" i="8" a="1"/>
  <c r="F159" i="8" s="1"/>
  <c r="E159" i="8" a="1"/>
  <c r="E159" i="8" s="1"/>
  <c r="D159" i="8" a="1"/>
  <c r="D159" i="8" s="1"/>
  <c r="C159" i="8" a="1"/>
  <c r="C159" i="8" s="1"/>
  <c r="B159" i="8" a="1"/>
  <c r="B159" i="8" s="1"/>
  <c r="I158" i="8" a="1"/>
  <c r="I158" i="8" s="1"/>
  <c r="F158" i="8" a="1"/>
  <c r="F158" i="8" s="1"/>
  <c r="E158" i="8" a="1"/>
  <c r="E158" i="8" s="1"/>
  <c r="D158" i="8" a="1"/>
  <c r="D158" i="8" s="1"/>
  <c r="C158" i="8" a="1"/>
  <c r="C158" i="8" s="1"/>
  <c r="B158" i="8" a="1"/>
  <c r="B158" i="8" s="1"/>
  <c r="I156" i="8" a="1"/>
  <c r="I156" i="8" s="1"/>
  <c r="F156" i="8" a="1"/>
  <c r="F156" i="8" s="1"/>
  <c r="E156" i="8" a="1"/>
  <c r="E156" i="8" s="1"/>
  <c r="D156" i="8" a="1"/>
  <c r="D156" i="8" s="1"/>
  <c r="C156" i="8" a="1"/>
  <c r="C156" i="8" s="1"/>
  <c r="B156" i="8" a="1"/>
  <c r="B156" i="8" s="1"/>
  <c r="I155" i="8" a="1"/>
  <c r="I155" i="8" s="1"/>
  <c r="F155" i="8" a="1"/>
  <c r="F155" i="8" s="1"/>
  <c r="E155" i="8" a="1"/>
  <c r="E155" i="8" s="1"/>
  <c r="D155" i="8" a="1"/>
  <c r="D155" i="8" s="1"/>
  <c r="C155" i="8" a="1"/>
  <c r="C155" i="8" s="1"/>
  <c r="B155" i="8" a="1"/>
  <c r="B155" i="8" s="1"/>
  <c r="I154" i="8" a="1"/>
  <c r="I154" i="8" s="1"/>
  <c r="F154" i="8" a="1"/>
  <c r="F154" i="8" s="1"/>
  <c r="E154" i="8" a="1"/>
  <c r="E154" i="8" s="1"/>
  <c r="D154" i="8" a="1"/>
  <c r="D154" i="8" s="1"/>
  <c r="C154" i="8" a="1"/>
  <c r="C154" i="8" s="1"/>
  <c r="B154" i="8" a="1"/>
  <c r="B154" i="8" s="1"/>
  <c r="I152" i="8" a="1"/>
  <c r="I152" i="8" s="1"/>
  <c r="F152" i="8" a="1"/>
  <c r="F152" i="8" s="1"/>
  <c r="E152" i="8" a="1"/>
  <c r="E152" i="8" s="1"/>
  <c r="D152" i="8" a="1"/>
  <c r="D152" i="8" s="1"/>
  <c r="C152" i="8" a="1"/>
  <c r="C152" i="8" s="1"/>
  <c r="B152" i="8" a="1"/>
  <c r="B152" i="8" s="1"/>
  <c r="I151" i="8" a="1"/>
  <c r="I151" i="8" s="1"/>
  <c r="F151" i="8" a="1"/>
  <c r="F151" i="8" s="1"/>
  <c r="E151" i="8" a="1"/>
  <c r="E151" i="8" s="1"/>
  <c r="D151" i="8" a="1"/>
  <c r="D151" i="8" s="1"/>
  <c r="C151" i="8" a="1"/>
  <c r="C151" i="8" s="1"/>
  <c r="B151" i="8" a="1"/>
  <c r="B151" i="8" s="1"/>
  <c r="I150" i="8" a="1"/>
  <c r="I150" i="8" s="1"/>
  <c r="F150" i="8" a="1"/>
  <c r="F150" i="8" s="1"/>
  <c r="E150" i="8" a="1"/>
  <c r="E150" i="8" s="1"/>
  <c r="D150" i="8" a="1"/>
  <c r="D150" i="8" s="1"/>
  <c r="C150" i="8" a="1"/>
  <c r="C150" i="8" s="1"/>
  <c r="B150" i="8" a="1"/>
  <c r="B150" i="8" s="1"/>
  <c r="I149" i="8" a="1"/>
  <c r="I149" i="8" s="1"/>
  <c r="F149" i="8" a="1"/>
  <c r="F149" i="8" s="1"/>
  <c r="E149" i="8" a="1"/>
  <c r="E149" i="8" s="1"/>
  <c r="D149" i="8" a="1"/>
  <c r="D149" i="8" s="1"/>
  <c r="C149" i="8" a="1"/>
  <c r="C149" i="8" s="1"/>
  <c r="B149" i="8" a="1"/>
  <c r="B149" i="8" s="1"/>
  <c r="I148" i="8" a="1"/>
  <c r="I148" i="8" s="1"/>
  <c r="F148" i="8" a="1"/>
  <c r="F148" i="8" s="1"/>
  <c r="E148" i="8" a="1"/>
  <c r="E148" i="8" s="1"/>
  <c r="D148" i="8" a="1"/>
  <c r="D148" i="8" s="1"/>
  <c r="C148" i="8" a="1"/>
  <c r="C148" i="8" s="1"/>
  <c r="B148" i="8" a="1"/>
  <c r="B148" i="8" s="1"/>
  <c r="I147" i="8" a="1"/>
  <c r="I147" i="8" s="1"/>
  <c r="F147" i="8" a="1"/>
  <c r="F147" i="8" s="1"/>
  <c r="E147" i="8" a="1"/>
  <c r="E147" i="8" s="1"/>
  <c r="D147" i="8" a="1"/>
  <c r="D147" i="8" s="1"/>
  <c r="C147" i="8" a="1"/>
  <c r="C147" i="8" s="1"/>
  <c r="B147" i="8" a="1"/>
  <c r="B147" i="8" s="1"/>
  <c r="I146" i="8" a="1"/>
  <c r="I146" i="8" s="1"/>
  <c r="F146" i="8" a="1"/>
  <c r="F146" i="8" s="1"/>
  <c r="E146" i="8" a="1"/>
  <c r="E146" i="8" s="1"/>
  <c r="D146" i="8" a="1"/>
  <c r="D146" i="8" s="1"/>
  <c r="C146" i="8" a="1"/>
  <c r="C146" i="8" s="1"/>
  <c r="B146" i="8" a="1"/>
  <c r="B146" i="8" s="1"/>
  <c r="I145" i="8" a="1"/>
  <c r="I145" i="8" s="1"/>
  <c r="F145" i="8" a="1"/>
  <c r="F145" i="8" s="1"/>
  <c r="E145" i="8" a="1"/>
  <c r="E145" i="8" s="1"/>
  <c r="D145" i="8" a="1"/>
  <c r="D145" i="8" s="1"/>
  <c r="C145" i="8" a="1"/>
  <c r="C145" i="8" s="1"/>
  <c r="B145" i="8" a="1"/>
  <c r="B145" i="8" s="1"/>
  <c r="I144" i="8" a="1"/>
  <c r="I144" i="8" s="1"/>
  <c r="F144" i="8" a="1"/>
  <c r="F144" i="8" s="1"/>
  <c r="E144" i="8" a="1"/>
  <c r="E144" i="8" s="1"/>
  <c r="D144" i="8" a="1"/>
  <c r="D144" i="8" s="1"/>
  <c r="C144" i="8" a="1"/>
  <c r="C144" i="8" s="1"/>
  <c r="B144" i="8" a="1"/>
  <c r="B144" i="8" s="1"/>
  <c r="I143" i="8" a="1"/>
  <c r="I143" i="8" s="1"/>
  <c r="F143" i="8" a="1"/>
  <c r="F143" i="8" s="1"/>
  <c r="E143" i="8" a="1"/>
  <c r="E143" i="8" s="1"/>
  <c r="D143" i="8" a="1"/>
  <c r="D143" i="8" s="1"/>
  <c r="C143" i="8" a="1"/>
  <c r="C143" i="8" s="1"/>
  <c r="B143" i="8" a="1"/>
  <c r="B143" i="8" s="1"/>
  <c r="I142" i="8" a="1"/>
  <c r="I142" i="8" s="1"/>
  <c r="F142" i="8" a="1"/>
  <c r="F142" i="8" s="1"/>
  <c r="E142" i="8" a="1"/>
  <c r="E142" i="8" s="1"/>
  <c r="D142" i="8" a="1"/>
  <c r="D142" i="8" s="1"/>
  <c r="C142" i="8" a="1"/>
  <c r="C142" i="8" s="1"/>
  <c r="B142" i="8" a="1"/>
  <c r="B142" i="8" s="1"/>
  <c r="I141" i="8" a="1"/>
  <c r="I141" i="8" s="1"/>
  <c r="F141" i="8" a="1"/>
  <c r="F141" i="8" s="1"/>
  <c r="E141" i="8" a="1"/>
  <c r="E141" i="8" s="1"/>
  <c r="D141" i="8" a="1"/>
  <c r="D141" i="8" s="1"/>
  <c r="C141" i="8" a="1"/>
  <c r="C141" i="8" s="1"/>
  <c r="B141" i="8" a="1"/>
  <c r="B141" i="8" s="1"/>
  <c r="I140" i="8" a="1"/>
  <c r="I140" i="8" s="1"/>
  <c r="F140" i="8" a="1"/>
  <c r="F140" i="8" s="1"/>
  <c r="E140" i="8" a="1"/>
  <c r="E140" i="8" s="1"/>
  <c r="D140" i="8" a="1"/>
  <c r="D140" i="8" s="1"/>
  <c r="C140" i="8" a="1"/>
  <c r="C140" i="8" s="1"/>
  <c r="B140" i="8" a="1"/>
  <c r="B140" i="8" s="1"/>
  <c r="I139" i="8" a="1"/>
  <c r="I139" i="8" s="1"/>
  <c r="F139" i="8" a="1"/>
  <c r="F139" i="8" s="1"/>
  <c r="E139" i="8" a="1"/>
  <c r="E139" i="8" s="1"/>
  <c r="D139" i="8" a="1"/>
  <c r="D139" i="8" s="1"/>
  <c r="C139" i="8" a="1"/>
  <c r="C139" i="8" s="1"/>
  <c r="B139" i="8" a="1"/>
  <c r="B139" i="8" s="1"/>
  <c r="I138" i="8" a="1"/>
  <c r="I138" i="8" s="1"/>
  <c r="F138" i="8" a="1"/>
  <c r="F138" i="8" s="1"/>
  <c r="E138" i="8" a="1"/>
  <c r="E138" i="8" s="1"/>
  <c r="D138" i="8" a="1"/>
  <c r="D138" i="8" s="1"/>
  <c r="C138" i="8" a="1"/>
  <c r="C138" i="8" s="1"/>
  <c r="B138" i="8" a="1"/>
  <c r="B138" i="8" s="1"/>
  <c r="I137" i="8" a="1"/>
  <c r="I137" i="8" s="1"/>
  <c r="F137" i="8" a="1"/>
  <c r="F137" i="8" s="1"/>
  <c r="E137" i="8" a="1"/>
  <c r="E137" i="8" s="1"/>
  <c r="D137" i="8" a="1"/>
  <c r="D137" i="8" s="1"/>
  <c r="C137" i="8" a="1"/>
  <c r="C137" i="8" s="1"/>
  <c r="B137" i="8" a="1"/>
  <c r="B137" i="8" s="1"/>
  <c r="I136" i="8" a="1"/>
  <c r="I136" i="8" s="1"/>
  <c r="F136" i="8" a="1"/>
  <c r="F136" i="8" s="1"/>
  <c r="E136" i="8" a="1"/>
  <c r="E136" i="8" s="1"/>
  <c r="D136" i="8" a="1"/>
  <c r="D136" i="8" s="1"/>
  <c r="C136" i="8" a="1"/>
  <c r="C136" i="8" s="1"/>
  <c r="B136" i="8" a="1"/>
  <c r="B136" i="8" s="1"/>
  <c r="I135" i="8" a="1"/>
  <c r="I135" i="8" s="1"/>
  <c r="F135" i="8" a="1"/>
  <c r="F135" i="8" s="1"/>
  <c r="E135" i="8" a="1"/>
  <c r="E135" i="8" s="1"/>
  <c r="D135" i="8" a="1"/>
  <c r="D135" i="8" s="1"/>
  <c r="C135" i="8" a="1"/>
  <c r="C135" i="8" s="1"/>
  <c r="B135" i="8" a="1"/>
  <c r="B135" i="8" s="1"/>
  <c r="I134" i="8" a="1"/>
  <c r="I134" i="8" s="1"/>
  <c r="F134" i="8" a="1"/>
  <c r="F134" i="8" s="1"/>
  <c r="E134" i="8" a="1"/>
  <c r="E134" i="8" s="1"/>
  <c r="D134" i="8" a="1"/>
  <c r="D134" i="8" s="1"/>
  <c r="C134" i="8" a="1"/>
  <c r="C134" i="8" s="1"/>
  <c r="B134" i="8" a="1"/>
  <c r="B134" i="8" s="1"/>
  <c r="I133" i="8" a="1"/>
  <c r="I133" i="8" s="1"/>
  <c r="F133" i="8" a="1"/>
  <c r="F133" i="8" s="1"/>
  <c r="E133" i="8" a="1"/>
  <c r="E133" i="8" s="1"/>
  <c r="D133" i="8" a="1"/>
  <c r="D133" i="8" s="1"/>
  <c r="C133" i="8" a="1"/>
  <c r="C133" i="8" s="1"/>
  <c r="B133" i="8" a="1"/>
  <c r="B133" i="8" s="1"/>
  <c r="I131" i="8" a="1"/>
  <c r="I131" i="8" s="1"/>
  <c r="F131" i="8" a="1"/>
  <c r="F131" i="8" s="1"/>
  <c r="E131" i="8" a="1"/>
  <c r="E131" i="8" s="1"/>
  <c r="D131" i="8" a="1"/>
  <c r="D131" i="8" s="1"/>
  <c r="C131" i="8" a="1"/>
  <c r="C131" i="8" s="1"/>
  <c r="B131" i="8" a="1"/>
  <c r="B131" i="8" s="1"/>
  <c r="I130" i="8" a="1"/>
  <c r="I130" i="8" s="1"/>
  <c r="F130" i="8" a="1"/>
  <c r="F130" i="8" s="1"/>
  <c r="E130" i="8" a="1"/>
  <c r="E130" i="8" s="1"/>
  <c r="D130" i="8" a="1"/>
  <c r="D130" i="8" s="1"/>
  <c r="C130" i="8" a="1"/>
  <c r="C130" i="8" s="1"/>
  <c r="B130" i="8" a="1"/>
  <c r="B130" i="8" s="1"/>
  <c r="I129" i="8" a="1"/>
  <c r="I129" i="8" s="1"/>
  <c r="F129" i="8" a="1"/>
  <c r="F129" i="8" s="1"/>
  <c r="E129" i="8" a="1"/>
  <c r="E129" i="8" s="1"/>
  <c r="D129" i="8" a="1"/>
  <c r="D129" i="8" s="1"/>
  <c r="C129" i="8" a="1"/>
  <c r="C129" i="8" s="1"/>
  <c r="B129" i="8" a="1"/>
  <c r="B129" i="8" s="1"/>
  <c r="I128" i="8" a="1"/>
  <c r="I128" i="8" s="1"/>
  <c r="F128" i="8" a="1"/>
  <c r="F128" i="8" s="1"/>
  <c r="E128" i="8" a="1"/>
  <c r="E128" i="8" s="1"/>
  <c r="D128" i="8" a="1"/>
  <c r="D128" i="8" s="1"/>
  <c r="C128" i="8" a="1"/>
  <c r="C128" i="8" s="1"/>
  <c r="B128" i="8" a="1"/>
  <c r="B128" i="8" s="1"/>
  <c r="I127" i="8" a="1"/>
  <c r="I127" i="8" s="1"/>
  <c r="F127" i="8" a="1"/>
  <c r="F127" i="8" s="1"/>
  <c r="E127" i="8" a="1"/>
  <c r="E127" i="8" s="1"/>
  <c r="D127" i="8" a="1"/>
  <c r="D127" i="8" s="1"/>
  <c r="C127" i="8" a="1"/>
  <c r="C127" i="8" s="1"/>
  <c r="B127" i="8" a="1"/>
  <c r="B127" i="8" s="1"/>
  <c r="I124" i="8" a="1"/>
  <c r="I124" i="8" s="1"/>
  <c r="F124" i="8" a="1"/>
  <c r="F124" i="8" s="1"/>
  <c r="E124" i="8" a="1"/>
  <c r="E124" i="8" s="1"/>
  <c r="D124" i="8" a="1"/>
  <c r="D124" i="8" s="1"/>
  <c r="C124" i="8" a="1"/>
  <c r="C124" i="8" s="1"/>
  <c r="B124" i="8" a="1"/>
  <c r="B124" i="8" s="1"/>
  <c r="I123" i="8" a="1"/>
  <c r="I123" i="8" s="1"/>
  <c r="F123" i="8" a="1"/>
  <c r="F123" i="8" s="1"/>
  <c r="E123" i="8" a="1"/>
  <c r="E123" i="8" s="1"/>
  <c r="D123" i="8" a="1"/>
  <c r="D123" i="8" s="1"/>
  <c r="C123" i="8" a="1"/>
  <c r="C123" i="8" s="1"/>
  <c r="B123" i="8" a="1"/>
  <c r="B123" i="8" s="1"/>
  <c r="I122" i="8" a="1"/>
  <c r="I122" i="8" s="1"/>
  <c r="F122" i="8" a="1"/>
  <c r="F122" i="8" s="1"/>
  <c r="E122" i="8" a="1"/>
  <c r="E122" i="8" s="1"/>
  <c r="D122" i="8" a="1"/>
  <c r="D122" i="8" s="1"/>
  <c r="C122" i="8" a="1"/>
  <c r="C122" i="8" s="1"/>
  <c r="B122" i="8" a="1"/>
  <c r="B122" i="8" s="1"/>
  <c r="I121" i="8" a="1"/>
  <c r="I121" i="8" s="1"/>
  <c r="F121" i="8" a="1"/>
  <c r="F121" i="8" s="1"/>
  <c r="E121" i="8" a="1"/>
  <c r="E121" i="8" s="1"/>
  <c r="D121" i="8" a="1"/>
  <c r="D121" i="8" s="1"/>
  <c r="C121" i="8" a="1"/>
  <c r="C121" i="8" s="1"/>
  <c r="B121" i="8" a="1"/>
  <c r="B121" i="8" s="1"/>
  <c r="I119" i="8" a="1"/>
  <c r="I119" i="8" s="1"/>
  <c r="F119" i="8" a="1"/>
  <c r="F119" i="8" s="1"/>
  <c r="E119" i="8" a="1"/>
  <c r="E119" i="8" s="1"/>
  <c r="D119" i="8" a="1"/>
  <c r="D119" i="8" s="1"/>
  <c r="C119" i="8" a="1"/>
  <c r="C119" i="8" s="1"/>
  <c r="B119" i="8" a="1"/>
  <c r="B119" i="8" s="1"/>
  <c r="I118" i="8" a="1"/>
  <c r="I118" i="8" s="1"/>
  <c r="F118" i="8" a="1"/>
  <c r="F118" i="8" s="1"/>
  <c r="E118" i="8" a="1"/>
  <c r="E118" i="8" s="1"/>
  <c r="D118" i="8" a="1"/>
  <c r="D118" i="8" s="1"/>
  <c r="C118" i="8" a="1"/>
  <c r="C118" i="8" s="1"/>
  <c r="B118" i="8" a="1"/>
  <c r="B118" i="8" s="1"/>
  <c r="I117" i="8" a="1"/>
  <c r="I117" i="8" s="1"/>
  <c r="F117" i="8" a="1"/>
  <c r="F117" i="8" s="1"/>
  <c r="E117" i="8" a="1"/>
  <c r="E117" i="8" s="1"/>
  <c r="D117" i="8" a="1"/>
  <c r="D117" i="8" s="1"/>
  <c r="C117" i="8" a="1"/>
  <c r="C117" i="8" s="1"/>
  <c r="B117" i="8" a="1"/>
  <c r="B117" i="8" s="1"/>
  <c r="I116" i="8" a="1"/>
  <c r="I116" i="8" s="1"/>
  <c r="F116" i="8" a="1"/>
  <c r="F116" i="8" s="1"/>
  <c r="E116" i="8" a="1"/>
  <c r="E116" i="8" s="1"/>
  <c r="D116" i="8" a="1"/>
  <c r="D116" i="8" s="1"/>
  <c r="C116" i="8" a="1"/>
  <c r="C116" i="8" s="1"/>
  <c r="B116" i="8" a="1"/>
  <c r="B116" i="8" s="1"/>
  <c r="I114" i="8" a="1"/>
  <c r="I114" i="8" s="1"/>
  <c r="F114" i="8" a="1"/>
  <c r="F114" i="8" s="1"/>
  <c r="E114" i="8" a="1"/>
  <c r="E114" i="8" s="1"/>
  <c r="D114" i="8" a="1"/>
  <c r="D114" i="8" s="1"/>
  <c r="C114" i="8" a="1"/>
  <c r="C114" i="8" s="1"/>
  <c r="B114" i="8" a="1"/>
  <c r="B114" i="8" s="1"/>
  <c r="I113" i="8" a="1"/>
  <c r="I113" i="8" s="1"/>
  <c r="F113" i="8" a="1"/>
  <c r="F113" i="8" s="1"/>
  <c r="E113" i="8" a="1"/>
  <c r="E113" i="8" s="1"/>
  <c r="D113" i="8" a="1"/>
  <c r="D113" i="8" s="1"/>
  <c r="C113" i="8" a="1"/>
  <c r="C113" i="8" s="1"/>
  <c r="B113" i="8" a="1"/>
  <c r="B113" i="8" s="1"/>
  <c r="I112" i="8" a="1"/>
  <c r="I112" i="8" s="1"/>
  <c r="F112" i="8" a="1"/>
  <c r="F112" i="8" s="1"/>
  <c r="E112" i="8" a="1"/>
  <c r="E112" i="8" s="1"/>
  <c r="D112" i="8" a="1"/>
  <c r="D112" i="8" s="1"/>
  <c r="C112" i="8" a="1"/>
  <c r="C112" i="8" s="1"/>
  <c r="B112" i="8" a="1"/>
  <c r="B112" i="8" s="1"/>
  <c r="I111" i="8" a="1"/>
  <c r="I111" i="8" s="1"/>
  <c r="F111" i="8" a="1"/>
  <c r="F111" i="8" s="1"/>
  <c r="E111" i="8" a="1"/>
  <c r="E111" i="8" s="1"/>
  <c r="D111" i="8" a="1"/>
  <c r="D111" i="8" s="1"/>
  <c r="C111" i="8" a="1"/>
  <c r="C111" i="8" s="1"/>
  <c r="B111" i="8" a="1"/>
  <c r="B111" i="8" s="1"/>
  <c r="I109" i="8" a="1"/>
  <c r="I109" i="8" s="1"/>
  <c r="F109" i="8" a="1"/>
  <c r="F109" i="8" s="1"/>
  <c r="E109" i="8" a="1"/>
  <c r="E109" i="8" s="1"/>
  <c r="D109" i="8" a="1"/>
  <c r="D109" i="8" s="1"/>
  <c r="C109" i="8" a="1"/>
  <c r="C109" i="8" s="1"/>
  <c r="B109" i="8" a="1"/>
  <c r="B109" i="8" s="1"/>
  <c r="I108" i="8" a="1"/>
  <c r="I108" i="8" s="1"/>
  <c r="F108" i="8" a="1"/>
  <c r="F108" i="8" s="1"/>
  <c r="E108" i="8" a="1"/>
  <c r="E108" i="8" s="1"/>
  <c r="D108" i="8" a="1"/>
  <c r="D108" i="8" s="1"/>
  <c r="C108" i="8" a="1"/>
  <c r="C108" i="8" s="1"/>
  <c r="B108" i="8" a="1"/>
  <c r="B108" i="8" s="1"/>
  <c r="I107" i="8" a="1"/>
  <c r="I107" i="8" s="1"/>
  <c r="F107" i="8" a="1"/>
  <c r="F107" i="8" s="1"/>
  <c r="E107" i="8" a="1"/>
  <c r="E107" i="8" s="1"/>
  <c r="D107" i="8" a="1"/>
  <c r="D107" i="8" s="1"/>
  <c r="C107" i="8" a="1"/>
  <c r="C107" i="8" s="1"/>
  <c r="B107" i="8" a="1"/>
  <c r="B107" i="8" s="1"/>
  <c r="I106" i="8" a="1"/>
  <c r="I106" i="8" s="1"/>
  <c r="F106" i="8" a="1"/>
  <c r="F106" i="8" s="1"/>
  <c r="E106" i="8" a="1"/>
  <c r="E106" i="8" s="1"/>
  <c r="D106" i="8" a="1"/>
  <c r="D106" i="8" s="1"/>
  <c r="C106" i="8" a="1"/>
  <c r="C106" i="8" s="1"/>
  <c r="B106" i="8" a="1"/>
  <c r="B106" i="8" s="1"/>
  <c r="I105" i="8" a="1"/>
  <c r="I105" i="8" s="1"/>
  <c r="F105" i="8" a="1"/>
  <c r="F105" i="8" s="1"/>
  <c r="E105" i="8" a="1"/>
  <c r="E105" i="8" s="1"/>
  <c r="D105" i="8" a="1"/>
  <c r="D105" i="8" s="1"/>
  <c r="C105" i="8" a="1"/>
  <c r="C105" i="8" s="1"/>
  <c r="B105" i="8" a="1"/>
  <c r="B105" i="8" s="1"/>
  <c r="I104" i="8" a="1"/>
  <c r="I104" i="8" s="1"/>
  <c r="F104" i="8" a="1"/>
  <c r="F104" i="8" s="1"/>
  <c r="E104" i="8" a="1"/>
  <c r="E104" i="8" s="1"/>
  <c r="D104" i="8" a="1"/>
  <c r="D104" i="8" s="1"/>
  <c r="C104" i="8" a="1"/>
  <c r="C104" i="8" s="1"/>
  <c r="B104" i="8" a="1"/>
  <c r="B104" i="8" s="1"/>
  <c r="I102" i="8" a="1"/>
  <c r="I102" i="8" s="1"/>
  <c r="F102" i="8" a="1"/>
  <c r="F102" i="8" s="1"/>
  <c r="E102" i="8" a="1"/>
  <c r="E102" i="8" s="1"/>
  <c r="D102" i="8" a="1"/>
  <c r="D102" i="8" s="1"/>
  <c r="C102" i="8" a="1"/>
  <c r="C102" i="8" s="1"/>
  <c r="B102" i="8" a="1"/>
  <c r="B102" i="8" s="1"/>
  <c r="I101" i="8" a="1"/>
  <c r="I101" i="8" s="1"/>
  <c r="F101" i="8" a="1"/>
  <c r="F101" i="8" s="1"/>
  <c r="E101" i="8" a="1"/>
  <c r="E101" i="8" s="1"/>
  <c r="D101" i="8" a="1"/>
  <c r="D101" i="8" s="1"/>
  <c r="C101" i="8" a="1"/>
  <c r="C101" i="8" s="1"/>
  <c r="B101" i="8" a="1"/>
  <c r="B101" i="8" s="1"/>
  <c r="I100" i="8" a="1"/>
  <c r="I100" i="8" s="1"/>
  <c r="F100" i="8" a="1"/>
  <c r="F100" i="8" s="1"/>
  <c r="E100" i="8" a="1"/>
  <c r="E100" i="8" s="1"/>
  <c r="D100" i="8" a="1"/>
  <c r="D100" i="8" s="1"/>
  <c r="C100" i="8" a="1"/>
  <c r="C100" i="8" s="1"/>
  <c r="B100" i="8" a="1"/>
  <c r="B100" i="8" s="1"/>
  <c r="I97" i="8" a="1"/>
  <c r="I97" i="8" s="1"/>
  <c r="F97" i="8" a="1"/>
  <c r="F97" i="8" s="1"/>
  <c r="E97" i="8" a="1"/>
  <c r="E97" i="8" s="1"/>
  <c r="D97" i="8" a="1"/>
  <c r="D97" i="8" s="1"/>
  <c r="C97" i="8" a="1"/>
  <c r="C97" i="8" s="1"/>
  <c r="B97" i="8" a="1"/>
  <c r="B97" i="8" s="1"/>
  <c r="I95" i="8" a="1"/>
  <c r="I95" i="8" s="1"/>
  <c r="F95" i="8" a="1"/>
  <c r="F95" i="8" s="1"/>
  <c r="E95" i="8" a="1"/>
  <c r="E95" i="8" s="1"/>
  <c r="D95" i="8" a="1"/>
  <c r="D95" i="8" s="1"/>
  <c r="C95" i="8" a="1"/>
  <c r="C95" i="8" s="1"/>
  <c r="B95" i="8" a="1"/>
  <c r="B95" i="8" s="1"/>
  <c r="I94" i="8" a="1"/>
  <c r="I94" i="8" s="1"/>
  <c r="F94" i="8" a="1"/>
  <c r="F94" i="8" s="1"/>
  <c r="E94" i="8" a="1"/>
  <c r="E94" i="8" s="1"/>
  <c r="D94" i="8" a="1"/>
  <c r="D94" i="8" s="1"/>
  <c r="C94" i="8" a="1"/>
  <c r="C94" i="8" s="1"/>
  <c r="B94" i="8" a="1"/>
  <c r="B94" i="8" s="1"/>
  <c r="I93" i="8" a="1"/>
  <c r="I93" i="8" s="1"/>
  <c r="F93" i="8" a="1"/>
  <c r="F93" i="8" s="1"/>
  <c r="E93" i="8" a="1"/>
  <c r="E93" i="8" s="1"/>
  <c r="D93" i="8" a="1"/>
  <c r="D93" i="8" s="1"/>
  <c r="C93" i="8" a="1"/>
  <c r="C93" i="8" s="1"/>
  <c r="B93" i="8" a="1"/>
  <c r="B93" i="8" s="1"/>
  <c r="I92" i="8" a="1"/>
  <c r="I92" i="8" s="1"/>
  <c r="F92" i="8" a="1"/>
  <c r="F92" i="8" s="1"/>
  <c r="E92" i="8" a="1"/>
  <c r="E92" i="8" s="1"/>
  <c r="D92" i="8" a="1"/>
  <c r="D92" i="8" s="1"/>
  <c r="C92" i="8" a="1"/>
  <c r="C92" i="8" s="1"/>
  <c r="B92" i="8" a="1"/>
  <c r="B92" i="8" s="1"/>
  <c r="I91" i="8" a="1"/>
  <c r="I91" i="8" s="1"/>
  <c r="F91" i="8" a="1"/>
  <c r="F91" i="8" s="1"/>
  <c r="E91" i="8" a="1"/>
  <c r="E91" i="8" s="1"/>
  <c r="D91" i="8" a="1"/>
  <c r="D91" i="8" s="1"/>
  <c r="C91" i="8" a="1"/>
  <c r="C91" i="8" s="1"/>
  <c r="B91" i="8" a="1"/>
  <c r="B91" i="8" s="1"/>
  <c r="I90" i="8" a="1"/>
  <c r="I90" i="8" s="1"/>
  <c r="F90" i="8" a="1"/>
  <c r="F90" i="8" s="1"/>
  <c r="E90" i="8" a="1"/>
  <c r="E90" i="8" s="1"/>
  <c r="D90" i="8" a="1"/>
  <c r="D90" i="8" s="1"/>
  <c r="C90" i="8" a="1"/>
  <c r="C90" i="8" s="1"/>
  <c r="B90" i="8" a="1"/>
  <c r="B90" i="8" s="1"/>
  <c r="I89" i="8" a="1"/>
  <c r="I89" i="8" s="1"/>
  <c r="F89" i="8" a="1"/>
  <c r="F89" i="8" s="1"/>
  <c r="E89" i="8" a="1"/>
  <c r="E89" i="8" s="1"/>
  <c r="D89" i="8" a="1"/>
  <c r="D89" i="8" s="1"/>
  <c r="C89" i="8" a="1"/>
  <c r="C89" i="8" s="1"/>
  <c r="B89" i="8" a="1"/>
  <c r="B89" i="8" s="1"/>
  <c r="I88" i="8" a="1"/>
  <c r="I88" i="8" s="1"/>
  <c r="F88" i="8" a="1"/>
  <c r="F88" i="8" s="1"/>
  <c r="E88" i="8" a="1"/>
  <c r="E88" i="8" s="1"/>
  <c r="D88" i="8" a="1"/>
  <c r="D88" i="8" s="1"/>
  <c r="C88" i="8" a="1"/>
  <c r="C88" i="8" s="1"/>
  <c r="B88" i="8" a="1"/>
  <c r="B88" i="8" s="1"/>
  <c r="I86" i="8" a="1"/>
  <c r="I86" i="8" s="1"/>
  <c r="F86" i="8" a="1"/>
  <c r="F86" i="8" s="1"/>
  <c r="E86" i="8" a="1"/>
  <c r="E86" i="8" s="1"/>
  <c r="D86" i="8" a="1"/>
  <c r="D86" i="8" s="1"/>
  <c r="C86" i="8" a="1"/>
  <c r="C86" i="8" s="1"/>
  <c r="B86" i="8" a="1"/>
  <c r="B86" i="8" s="1"/>
  <c r="I85" i="8" a="1"/>
  <c r="I85" i="8" s="1"/>
  <c r="F85" i="8" a="1"/>
  <c r="F85" i="8" s="1"/>
  <c r="E85" i="8" a="1"/>
  <c r="E85" i="8" s="1"/>
  <c r="D85" i="8" a="1"/>
  <c r="D85" i="8" s="1"/>
  <c r="C85" i="8" a="1"/>
  <c r="C85" i="8" s="1"/>
  <c r="B85" i="8" a="1"/>
  <c r="B85" i="8" s="1"/>
  <c r="I84" i="8" a="1"/>
  <c r="I84" i="8" s="1"/>
  <c r="F84" i="8" a="1"/>
  <c r="F84" i="8" s="1"/>
  <c r="E84" i="8" a="1"/>
  <c r="E84" i="8" s="1"/>
  <c r="D84" i="8" a="1"/>
  <c r="D84" i="8" s="1"/>
  <c r="C84" i="8" a="1"/>
  <c r="C84" i="8" s="1"/>
  <c r="B84" i="8" a="1"/>
  <c r="B84" i="8" s="1"/>
  <c r="I83" i="8" a="1"/>
  <c r="I83" i="8" s="1"/>
  <c r="F83" i="8" a="1"/>
  <c r="F83" i="8" s="1"/>
  <c r="E83" i="8" a="1"/>
  <c r="E83" i="8" s="1"/>
  <c r="D83" i="8" a="1"/>
  <c r="D83" i="8" s="1"/>
  <c r="C83" i="8" a="1"/>
  <c r="C83" i="8" s="1"/>
  <c r="B83" i="8" a="1"/>
  <c r="B83" i="8" s="1"/>
  <c r="I82" i="8" a="1"/>
  <c r="I82" i="8" s="1"/>
  <c r="F82" i="8" a="1"/>
  <c r="F82" i="8" s="1"/>
  <c r="E82" i="8" a="1"/>
  <c r="E82" i="8" s="1"/>
  <c r="D82" i="8" a="1"/>
  <c r="D82" i="8" s="1"/>
  <c r="C82" i="8" a="1"/>
  <c r="C82" i="8" s="1"/>
  <c r="B82" i="8" a="1"/>
  <c r="B82" i="8" s="1"/>
  <c r="I81" i="8" a="1"/>
  <c r="I81" i="8" s="1"/>
  <c r="F81" i="8" a="1"/>
  <c r="F81" i="8" s="1"/>
  <c r="E81" i="8" a="1"/>
  <c r="E81" i="8" s="1"/>
  <c r="D81" i="8" a="1"/>
  <c r="D81" i="8" s="1"/>
  <c r="C81" i="8" a="1"/>
  <c r="C81" i="8" s="1"/>
  <c r="B81" i="8" a="1"/>
  <c r="B81" i="8" s="1"/>
  <c r="I80" i="8" a="1"/>
  <c r="I80" i="8" s="1"/>
  <c r="F80" i="8" a="1"/>
  <c r="F80" i="8" s="1"/>
  <c r="E80" i="8" a="1"/>
  <c r="E80" i="8" s="1"/>
  <c r="D80" i="8" a="1"/>
  <c r="D80" i="8" s="1"/>
  <c r="C80" i="8" a="1"/>
  <c r="C80" i="8" s="1"/>
  <c r="B80" i="8" a="1"/>
  <c r="B80" i="8" s="1"/>
  <c r="I79" i="8" a="1"/>
  <c r="I79" i="8" s="1"/>
  <c r="F79" i="8" a="1"/>
  <c r="F79" i="8" s="1"/>
  <c r="E79" i="8" a="1"/>
  <c r="E79" i="8" s="1"/>
  <c r="D79" i="8" a="1"/>
  <c r="D79" i="8" s="1"/>
  <c r="C79" i="8" a="1"/>
  <c r="C79" i="8" s="1"/>
  <c r="B79" i="8" a="1"/>
  <c r="B79" i="8" s="1"/>
  <c r="I78" i="8" a="1"/>
  <c r="I78" i="8" s="1"/>
  <c r="F78" i="8" a="1"/>
  <c r="F78" i="8" s="1"/>
  <c r="E78" i="8" a="1"/>
  <c r="E78" i="8" s="1"/>
  <c r="D78" i="8" a="1"/>
  <c r="D78" i="8" s="1"/>
  <c r="C78" i="8" a="1"/>
  <c r="C78" i="8" s="1"/>
  <c r="B78" i="8" a="1"/>
  <c r="B78" i="8" s="1"/>
  <c r="I77" i="8" a="1"/>
  <c r="I77" i="8" s="1"/>
  <c r="F77" i="8" a="1"/>
  <c r="F77" i="8" s="1"/>
  <c r="E77" i="8" a="1"/>
  <c r="E77" i="8" s="1"/>
  <c r="D77" i="8" a="1"/>
  <c r="D77" i="8" s="1"/>
  <c r="C77" i="8" a="1"/>
  <c r="C77" i="8" s="1"/>
  <c r="B77" i="8" a="1"/>
  <c r="B77" i="8" s="1"/>
  <c r="I76" i="8" a="1"/>
  <c r="I76" i="8" s="1"/>
  <c r="F76" i="8" a="1"/>
  <c r="F76" i="8" s="1"/>
  <c r="E76" i="8" a="1"/>
  <c r="E76" i="8" s="1"/>
  <c r="D76" i="8" a="1"/>
  <c r="D76" i="8" s="1"/>
  <c r="C76" i="8" a="1"/>
  <c r="C76" i="8" s="1"/>
  <c r="B76" i="8" a="1"/>
  <c r="B76" i="8" s="1"/>
  <c r="I74" i="8" a="1"/>
  <c r="I74" i="8" s="1"/>
  <c r="F74" i="8" a="1"/>
  <c r="F74" i="8" s="1"/>
  <c r="E74" i="8" a="1"/>
  <c r="E74" i="8" s="1"/>
  <c r="D74" i="8" a="1"/>
  <c r="D74" i="8" s="1"/>
  <c r="C74" i="8" a="1"/>
  <c r="C74" i="8" s="1"/>
  <c r="B74" i="8" a="1"/>
  <c r="B74" i="8" s="1"/>
  <c r="I73" i="8" a="1"/>
  <c r="I73" i="8" s="1"/>
  <c r="F73" i="8" a="1"/>
  <c r="F73" i="8" s="1"/>
  <c r="E73" i="8" a="1"/>
  <c r="E73" i="8" s="1"/>
  <c r="D73" i="8" a="1"/>
  <c r="D73" i="8" s="1"/>
  <c r="C73" i="8" a="1"/>
  <c r="C73" i="8" s="1"/>
  <c r="B73" i="8" a="1"/>
  <c r="B73" i="8" s="1"/>
  <c r="I72" i="8" a="1"/>
  <c r="I72" i="8" s="1"/>
  <c r="F72" i="8" a="1"/>
  <c r="F72" i="8" s="1"/>
  <c r="E72" i="8" a="1"/>
  <c r="E72" i="8" s="1"/>
  <c r="D72" i="8" a="1"/>
  <c r="D72" i="8" s="1"/>
  <c r="C72" i="8" a="1"/>
  <c r="C72" i="8" s="1"/>
  <c r="B72" i="8" a="1"/>
  <c r="B72" i="8" s="1"/>
  <c r="I71" i="8" a="1"/>
  <c r="I71" i="8" s="1"/>
  <c r="F71" i="8" a="1"/>
  <c r="F71" i="8" s="1"/>
  <c r="E71" i="8" a="1"/>
  <c r="E71" i="8" s="1"/>
  <c r="D71" i="8" a="1"/>
  <c r="D71" i="8" s="1"/>
  <c r="C71" i="8" a="1"/>
  <c r="C71" i="8" s="1"/>
  <c r="B71" i="8" a="1"/>
  <c r="B71" i="8" s="1"/>
  <c r="I69" i="8" a="1"/>
  <c r="I69" i="8" s="1"/>
  <c r="F69" i="8" a="1"/>
  <c r="F69" i="8" s="1"/>
  <c r="E69" i="8" a="1"/>
  <c r="E69" i="8" s="1"/>
  <c r="D69" i="8" a="1"/>
  <c r="D69" i="8" s="1"/>
  <c r="C69" i="8" a="1"/>
  <c r="C69" i="8" s="1"/>
  <c r="B69" i="8" a="1"/>
  <c r="B69" i="8" s="1"/>
  <c r="I68" i="8" a="1"/>
  <c r="I68" i="8" s="1"/>
  <c r="F68" i="8" a="1"/>
  <c r="F68" i="8" s="1"/>
  <c r="E68" i="8" a="1"/>
  <c r="E68" i="8" s="1"/>
  <c r="D68" i="8" a="1"/>
  <c r="D68" i="8" s="1"/>
  <c r="C68" i="8" a="1"/>
  <c r="C68" i="8" s="1"/>
  <c r="B68" i="8" a="1"/>
  <c r="B68" i="8" s="1"/>
  <c r="I67" i="8" a="1"/>
  <c r="I67" i="8" s="1"/>
  <c r="F67" i="8" a="1"/>
  <c r="F67" i="8" s="1"/>
  <c r="E67" i="8" a="1"/>
  <c r="E67" i="8" s="1"/>
  <c r="D67" i="8" a="1"/>
  <c r="D67" i="8" s="1"/>
  <c r="C67" i="8" a="1"/>
  <c r="C67" i="8" s="1"/>
  <c r="B67" i="8" a="1"/>
  <c r="B67" i="8" s="1"/>
  <c r="I66" i="8" a="1"/>
  <c r="I66" i="8" s="1"/>
  <c r="F66" i="8" a="1"/>
  <c r="F66" i="8" s="1"/>
  <c r="E66" i="8" a="1"/>
  <c r="E66" i="8" s="1"/>
  <c r="D66" i="8" a="1"/>
  <c r="D66" i="8" s="1"/>
  <c r="C66" i="8" a="1"/>
  <c r="C66" i="8" s="1"/>
  <c r="B66" i="8" a="1"/>
  <c r="B66" i="8" s="1"/>
  <c r="I65" i="8" a="1"/>
  <c r="I65" i="8" s="1"/>
  <c r="F65" i="8" a="1"/>
  <c r="F65" i="8" s="1"/>
  <c r="E65" i="8" a="1"/>
  <c r="E65" i="8" s="1"/>
  <c r="D65" i="8" a="1"/>
  <c r="D65" i="8" s="1"/>
  <c r="C65" i="8" a="1"/>
  <c r="C65" i="8" s="1"/>
  <c r="B65" i="8" a="1"/>
  <c r="B65" i="8" s="1"/>
  <c r="I64" i="8" a="1"/>
  <c r="I64" i="8" s="1"/>
  <c r="F64" i="8" a="1"/>
  <c r="F64" i="8" s="1"/>
  <c r="E64" i="8" a="1"/>
  <c r="E64" i="8" s="1"/>
  <c r="D64" i="8" a="1"/>
  <c r="D64" i="8" s="1"/>
  <c r="C64" i="8" a="1"/>
  <c r="C64" i="8" s="1"/>
  <c r="B64" i="8" a="1"/>
  <c r="B64" i="8" s="1"/>
  <c r="I63" i="8" a="1"/>
  <c r="I63" i="8" s="1"/>
  <c r="F63" i="8" a="1"/>
  <c r="F63" i="8" s="1"/>
  <c r="E63" i="8" a="1"/>
  <c r="E63" i="8" s="1"/>
  <c r="D63" i="8" a="1"/>
  <c r="D63" i="8" s="1"/>
  <c r="C63" i="8" a="1"/>
  <c r="C63" i="8" s="1"/>
  <c r="B63" i="8" a="1"/>
  <c r="B63" i="8" s="1"/>
  <c r="I61" i="8" a="1"/>
  <c r="I61" i="8" s="1"/>
  <c r="F61" i="8" a="1"/>
  <c r="F61" i="8" s="1"/>
  <c r="E61" i="8" a="1"/>
  <c r="E61" i="8" s="1"/>
  <c r="D61" i="8" a="1"/>
  <c r="D61" i="8" s="1"/>
  <c r="C61" i="8" a="1"/>
  <c r="C61" i="8" s="1"/>
  <c r="B61" i="8" a="1"/>
  <c r="B61" i="8" s="1"/>
  <c r="I60" i="8" a="1"/>
  <c r="I60" i="8" s="1"/>
  <c r="F60" i="8" a="1"/>
  <c r="F60" i="8" s="1"/>
  <c r="E60" i="8" a="1"/>
  <c r="E60" i="8" s="1"/>
  <c r="D60" i="8" a="1"/>
  <c r="D60" i="8" s="1"/>
  <c r="C60" i="8" a="1"/>
  <c r="C60" i="8" s="1"/>
  <c r="B60" i="8" a="1"/>
  <c r="B60" i="8" s="1"/>
  <c r="I59" i="8" a="1"/>
  <c r="I59" i="8" s="1"/>
  <c r="F59" i="8" a="1"/>
  <c r="F59" i="8" s="1"/>
  <c r="E59" i="8" a="1"/>
  <c r="E59" i="8" s="1"/>
  <c r="D59" i="8" a="1"/>
  <c r="D59" i="8" s="1"/>
  <c r="C59" i="8" a="1"/>
  <c r="C59" i="8" s="1"/>
  <c r="B59" i="8" a="1"/>
  <c r="B59" i="8" s="1"/>
  <c r="I58" i="8" a="1"/>
  <c r="I58" i="8" s="1"/>
  <c r="F58" i="8" a="1"/>
  <c r="F58" i="8" s="1"/>
  <c r="E58" i="8" a="1"/>
  <c r="E58" i="8" s="1"/>
  <c r="D58" i="8" a="1"/>
  <c r="D58" i="8" s="1"/>
  <c r="C58" i="8" a="1"/>
  <c r="C58" i="8" s="1"/>
  <c r="B58" i="8" a="1"/>
  <c r="B58" i="8" s="1"/>
  <c r="I57" i="8" a="1"/>
  <c r="I57" i="8" s="1"/>
  <c r="F57" i="8" a="1"/>
  <c r="F57" i="8" s="1"/>
  <c r="E57" i="8" a="1"/>
  <c r="E57" i="8" s="1"/>
  <c r="D57" i="8" a="1"/>
  <c r="D57" i="8" s="1"/>
  <c r="C57" i="8" a="1"/>
  <c r="C57" i="8" s="1"/>
  <c r="B57" i="8" a="1"/>
  <c r="B57" i="8" s="1"/>
  <c r="I56" i="8" a="1"/>
  <c r="I56" i="8" s="1"/>
  <c r="F56" i="8" a="1"/>
  <c r="F56" i="8" s="1"/>
  <c r="E56" i="8" a="1"/>
  <c r="E56" i="8" s="1"/>
  <c r="D56" i="8" a="1"/>
  <c r="D56" i="8" s="1"/>
  <c r="C56" i="8" a="1"/>
  <c r="C56" i="8" s="1"/>
  <c r="B56" i="8" a="1"/>
  <c r="B56" i="8" s="1"/>
  <c r="I53" i="8" a="1"/>
  <c r="I53" i="8" s="1"/>
  <c r="F53" i="8" a="1"/>
  <c r="F53" i="8" s="1"/>
  <c r="E53" i="8" a="1"/>
  <c r="E53" i="8" s="1"/>
  <c r="D53" i="8" a="1"/>
  <c r="D53" i="8" s="1"/>
  <c r="C53" i="8" a="1"/>
  <c r="C53" i="8" s="1"/>
  <c r="B53" i="8" a="1"/>
  <c r="B53" i="8" s="1"/>
  <c r="I52" i="8" a="1"/>
  <c r="I52" i="8" s="1"/>
  <c r="F52" i="8" a="1"/>
  <c r="F52" i="8" s="1"/>
  <c r="E52" i="8" a="1"/>
  <c r="E52" i="8" s="1"/>
  <c r="D52" i="8" a="1"/>
  <c r="D52" i="8" s="1"/>
  <c r="C52" i="8" a="1"/>
  <c r="C52" i="8" s="1"/>
  <c r="B52" i="8" a="1"/>
  <c r="B52" i="8" s="1"/>
  <c r="I51" i="8" a="1"/>
  <c r="I51" i="8" s="1"/>
  <c r="F51" i="8" a="1"/>
  <c r="F51" i="8" s="1"/>
  <c r="E51" i="8" a="1"/>
  <c r="E51" i="8" s="1"/>
  <c r="D51" i="8" a="1"/>
  <c r="D51" i="8" s="1"/>
  <c r="C51" i="8" a="1"/>
  <c r="C51" i="8" s="1"/>
  <c r="B51" i="8" a="1"/>
  <c r="B51" i="8" s="1"/>
  <c r="I50" i="8" a="1"/>
  <c r="I50" i="8" s="1"/>
  <c r="F50" i="8" a="1"/>
  <c r="F50" i="8" s="1"/>
  <c r="E50" i="8" a="1"/>
  <c r="E50" i="8" s="1"/>
  <c r="D50" i="8" a="1"/>
  <c r="D50" i="8" s="1"/>
  <c r="C50" i="8" a="1"/>
  <c r="C50" i="8" s="1"/>
  <c r="B50" i="8" a="1"/>
  <c r="B50" i="8" s="1"/>
  <c r="I49" i="8" a="1"/>
  <c r="I49" i="8" s="1"/>
  <c r="F49" i="8" a="1"/>
  <c r="F49" i="8" s="1"/>
  <c r="E49" i="8" a="1"/>
  <c r="E49" i="8" s="1"/>
  <c r="D49" i="8" a="1"/>
  <c r="D49" i="8" s="1"/>
  <c r="C49" i="8" a="1"/>
  <c r="C49" i="8" s="1"/>
  <c r="B49" i="8" a="1"/>
  <c r="B49" i="8" s="1"/>
  <c r="I48" i="8" a="1"/>
  <c r="I48" i="8" s="1"/>
  <c r="F48" i="8" a="1"/>
  <c r="F48" i="8" s="1"/>
  <c r="E48" i="8" a="1"/>
  <c r="E48" i="8" s="1"/>
  <c r="D48" i="8" a="1"/>
  <c r="D48" i="8" s="1"/>
  <c r="C48" i="8" a="1"/>
  <c r="C48" i="8" s="1"/>
  <c r="B48" i="8" a="1"/>
  <c r="B48" i="8" s="1"/>
  <c r="I47" i="8" a="1"/>
  <c r="I47" i="8" s="1"/>
  <c r="F47" i="8" a="1"/>
  <c r="F47" i="8" s="1"/>
  <c r="E47" i="8" a="1"/>
  <c r="E47" i="8" s="1"/>
  <c r="D47" i="8" a="1"/>
  <c r="D47" i="8" s="1"/>
  <c r="C47" i="8" a="1"/>
  <c r="C47" i="8" s="1"/>
  <c r="B47" i="8" a="1"/>
  <c r="B47" i="8" s="1"/>
  <c r="I46" i="8" a="1"/>
  <c r="I46" i="8" s="1"/>
  <c r="F46" i="8" a="1"/>
  <c r="F46" i="8" s="1"/>
  <c r="E46" i="8" a="1"/>
  <c r="E46" i="8" s="1"/>
  <c r="D46" i="8" a="1"/>
  <c r="D46" i="8" s="1"/>
  <c r="C46" i="8" a="1"/>
  <c r="C46" i="8" s="1"/>
  <c r="B46" i="8" a="1"/>
  <c r="B46" i="8" s="1"/>
  <c r="I44" i="8" a="1"/>
  <c r="I44" i="8" s="1"/>
  <c r="F44" i="8" a="1"/>
  <c r="F44" i="8" s="1"/>
  <c r="E44" i="8" a="1"/>
  <c r="E44" i="8" s="1"/>
  <c r="D44" i="8" a="1"/>
  <c r="D44" i="8" s="1"/>
  <c r="C44" i="8" a="1"/>
  <c r="C44" i="8" s="1"/>
  <c r="B44" i="8" a="1"/>
  <c r="B44" i="8" s="1"/>
  <c r="I43" i="8" a="1"/>
  <c r="I43" i="8" s="1"/>
  <c r="F43" i="8" a="1"/>
  <c r="F43" i="8" s="1"/>
  <c r="E43" i="8" a="1"/>
  <c r="E43" i="8" s="1"/>
  <c r="D43" i="8" a="1"/>
  <c r="D43" i="8" s="1"/>
  <c r="C43" i="8" a="1"/>
  <c r="C43" i="8" s="1"/>
  <c r="B43" i="8" a="1"/>
  <c r="B43" i="8" s="1"/>
  <c r="I42" i="8" a="1"/>
  <c r="I42" i="8" s="1"/>
  <c r="F42" i="8" a="1"/>
  <c r="F42" i="8" s="1"/>
  <c r="E42" i="8" a="1"/>
  <c r="E42" i="8" s="1"/>
  <c r="D42" i="8" a="1"/>
  <c r="D42" i="8" s="1"/>
  <c r="C42" i="8" a="1"/>
  <c r="C42" i="8" s="1"/>
  <c r="B42" i="8" a="1"/>
  <c r="B42" i="8" s="1"/>
  <c r="I41" i="8" a="1"/>
  <c r="I41" i="8" s="1"/>
  <c r="F41" i="8" a="1"/>
  <c r="F41" i="8" s="1"/>
  <c r="E41" i="8" a="1"/>
  <c r="E41" i="8" s="1"/>
  <c r="D41" i="8" a="1"/>
  <c r="D41" i="8" s="1"/>
  <c r="C41" i="8" a="1"/>
  <c r="C41" i="8" s="1"/>
  <c r="B41" i="8" a="1"/>
  <c r="B41" i="8" s="1"/>
  <c r="I40" i="8" a="1"/>
  <c r="I40" i="8" s="1"/>
  <c r="F40" i="8" a="1"/>
  <c r="F40" i="8" s="1"/>
  <c r="E40" i="8" a="1"/>
  <c r="E40" i="8" s="1"/>
  <c r="D40" i="8" a="1"/>
  <c r="D40" i="8" s="1"/>
  <c r="C40" i="8" a="1"/>
  <c r="C40" i="8" s="1"/>
  <c r="B40" i="8" a="1"/>
  <c r="B40" i="8" s="1"/>
  <c r="I39" i="8" a="1"/>
  <c r="I39" i="8" s="1"/>
  <c r="F39" i="8" a="1"/>
  <c r="F39" i="8" s="1"/>
  <c r="E39" i="8" a="1"/>
  <c r="E39" i="8" s="1"/>
  <c r="D39" i="8" a="1"/>
  <c r="D39" i="8" s="1"/>
  <c r="C39" i="8" a="1"/>
  <c r="C39" i="8" s="1"/>
  <c r="B39" i="8" a="1"/>
  <c r="B39" i="8" s="1"/>
  <c r="I38" i="8" a="1"/>
  <c r="I38" i="8" s="1"/>
  <c r="F38" i="8" a="1"/>
  <c r="F38" i="8" s="1"/>
  <c r="E38" i="8" a="1"/>
  <c r="E38" i="8" s="1"/>
  <c r="D38" i="8" a="1"/>
  <c r="D38" i="8" s="1"/>
  <c r="C38" i="8" a="1"/>
  <c r="C38" i="8" s="1"/>
  <c r="B38" i="8" a="1"/>
  <c r="B38" i="8" s="1"/>
  <c r="I36" i="8" a="1"/>
  <c r="I36" i="8" s="1"/>
  <c r="F36" i="8" a="1"/>
  <c r="F36" i="8" s="1"/>
  <c r="E36" i="8" a="1"/>
  <c r="E36" i="8" s="1"/>
  <c r="D36" i="8" a="1"/>
  <c r="D36" i="8" s="1"/>
  <c r="C36" i="8" a="1"/>
  <c r="C36" i="8" s="1"/>
  <c r="B36" i="8" a="1"/>
  <c r="B36" i="8" s="1"/>
  <c r="I35" i="8" a="1"/>
  <c r="I35" i="8" s="1"/>
  <c r="F35" i="8" a="1"/>
  <c r="F35" i="8" s="1"/>
  <c r="E35" i="8" a="1"/>
  <c r="E35" i="8" s="1"/>
  <c r="D35" i="8" a="1"/>
  <c r="D35" i="8" s="1"/>
  <c r="C35" i="8" a="1"/>
  <c r="C35" i="8" s="1"/>
  <c r="B35" i="8" a="1"/>
  <c r="B35" i="8" s="1"/>
  <c r="I34" i="8" a="1"/>
  <c r="I34" i="8" s="1"/>
  <c r="F34" i="8" a="1"/>
  <c r="F34" i="8" s="1"/>
  <c r="E34" i="8" a="1"/>
  <c r="E34" i="8" s="1"/>
  <c r="D34" i="8" a="1"/>
  <c r="D34" i="8" s="1"/>
  <c r="C34" i="8" a="1"/>
  <c r="C34" i="8" s="1"/>
  <c r="B34" i="8" a="1"/>
  <c r="B34" i="8" s="1"/>
  <c r="I31" i="8" a="1"/>
  <c r="I31" i="8" s="1"/>
  <c r="F31" i="8" a="1"/>
  <c r="F31" i="8" s="1"/>
  <c r="E31" i="8" a="1"/>
  <c r="E31" i="8" s="1"/>
  <c r="D31" i="8" a="1"/>
  <c r="D31" i="8" s="1"/>
  <c r="C31" i="8" a="1"/>
  <c r="C31" i="8" s="1"/>
  <c r="B31" i="8" a="1"/>
  <c r="B31" i="8" s="1"/>
  <c r="I30" i="8" a="1"/>
  <c r="I30" i="8" s="1"/>
  <c r="F30" i="8" a="1"/>
  <c r="F30" i="8" s="1"/>
  <c r="E30" i="8" a="1"/>
  <c r="E30" i="8" s="1"/>
  <c r="D30" i="8" a="1"/>
  <c r="D30" i="8" s="1"/>
  <c r="C30" i="8" a="1"/>
  <c r="C30" i="8" s="1"/>
  <c r="B30" i="8" a="1"/>
  <c r="B30" i="8" s="1"/>
  <c r="I29" i="8" a="1"/>
  <c r="I29" i="8" s="1"/>
  <c r="F29" i="8" a="1"/>
  <c r="F29" i="8" s="1"/>
  <c r="E29" i="8" a="1"/>
  <c r="E29" i="8" s="1"/>
  <c r="D29" i="8" a="1"/>
  <c r="D29" i="8" s="1"/>
  <c r="C29" i="8" a="1"/>
  <c r="C29" i="8" s="1"/>
  <c r="B29" i="8" a="1"/>
  <c r="B29" i="8" s="1"/>
  <c r="I26" i="8" a="1"/>
  <c r="I26" i="8" s="1"/>
  <c r="F26" i="8" a="1"/>
  <c r="F26" i="8" s="1"/>
  <c r="E26" i="8" a="1"/>
  <c r="E26" i="8" s="1"/>
  <c r="D26" i="8" a="1"/>
  <c r="D26" i="8" s="1"/>
  <c r="C26" i="8" a="1"/>
  <c r="C26" i="8" s="1"/>
  <c r="B26" i="8" a="1"/>
  <c r="B26" i="8" s="1"/>
  <c r="I25" i="8" a="1"/>
  <c r="I25" i="8" s="1"/>
  <c r="F25" i="8" a="1"/>
  <c r="F25" i="8" s="1"/>
  <c r="E25" i="8" a="1"/>
  <c r="E25" i="8" s="1"/>
  <c r="D25" i="8" a="1"/>
  <c r="D25" i="8" s="1"/>
  <c r="C25" i="8" a="1"/>
  <c r="C25" i="8" s="1"/>
  <c r="B25" i="8" a="1"/>
  <c r="B25" i="8" s="1"/>
  <c r="I24" i="8" a="1"/>
  <c r="I24" i="8" s="1"/>
  <c r="F24" i="8" a="1"/>
  <c r="F24" i="8" s="1"/>
  <c r="E24" i="8" a="1"/>
  <c r="E24" i="8" s="1"/>
  <c r="D24" i="8" a="1"/>
  <c r="D24" i="8" s="1"/>
  <c r="C24" i="8" a="1"/>
  <c r="C24" i="8" s="1"/>
  <c r="B24" i="8" a="1"/>
  <c r="B24" i="8" s="1"/>
  <c r="I23" i="8" a="1"/>
  <c r="I23" i="8" s="1"/>
  <c r="F23" i="8" a="1"/>
  <c r="F23" i="8" s="1"/>
  <c r="E23" i="8" a="1"/>
  <c r="E23" i="8" s="1"/>
  <c r="D23" i="8" a="1"/>
  <c r="D23" i="8" s="1"/>
  <c r="C23" i="8" a="1"/>
  <c r="C23" i="8" s="1"/>
  <c r="B23" i="8" a="1"/>
  <c r="B23" i="8" s="1"/>
  <c r="I22" i="8" a="1"/>
  <c r="I22" i="8" s="1"/>
  <c r="F22" i="8" a="1"/>
  <c r="F22" i="8" s="1"/>
  <c r="E22" i="8" a="1"/>
  <c r="E22" i="8" s="1"/>
  <c r="D22" i="8" a="1"/>
  <c r="D22" i="8" s="1"/>
  <c r="C22" i="8" a="1"/>
  <c r="C22" i="8" s="1"/>
  <c r="B22" i="8" a="1"/>
  <c r="B22" i="8" s="1"/>
  <c r="I21" i="8" a="1"/>
  <c r="I21" i="8" s="1"/>
  <c r="F21" i="8" a="1"/>
  <c r="F21" i="8" s="1"/>
  <c r="E21" i="8" a="1"/>
  <c r="E21" i="8" s="1"/>
  <c r="D21" i="8" a="1"/>
  <c r="D21" i="8" s="1"/>
  <c r="C21" i="8" a="1"/>
  <c r="C21" i="8" s="1"/>
  <c r="B21" i="8" a="1"/>
  <c r="B21" i="8" s="1"/>
  <c r="I19" i="8" a="1"/>
  <c r="I19" i="8" s="1"/>
  <c r="E19" i="8" a="1"/>
  <c r="E19" i="8" s="1"/>
  <c r="F19" i="8" a="1"/>
  <c r="F19" i="8" s="1"/>
  <c r="D19" i="8" a="1"/>
  <c r="D19" i="8" s="1"/>
  <c r="C19" i="8" a="1"/>
  <c r="C19" i="8" s="1"/>
  <c r="B19" i="8" a="1"/>
  <c r="B19" i="8" s="1"/>
  <c r="C67" i="2" l="1"/>
  <c r="N62" i="2" s="1"/>
  <c r="G27" i="8" s="1"/>
  <c r="K24" i="5"/>
  <c r="M24" i="5" s="1"/>
  <c r="C2177" i="2"/>
  <c r="N2175" i="2" s="1"/>
  <c r="N2179" i="2"/>
  <c r="C2169" i="2"/>
  <c r="F2169" i="2" s="1"/>
  <c r="H2169" i="2" s="1"/>
  <c r="C2166" i="2"/>
  <c r="F2166" i="2" s="1"/>
  <c r="H2166" i="2" s="1"/>
  <c r="C2165" i="2"/>
  <c r="F2165" i="2" s="1"/>
  <c r="H2165" i="2" s="1"/>
  <c r="C2160" i="2"/>
  <c r="F2160" i="2" s="1"/>
  <c r="H2160" i="2" s="1"/>
  <c r="C2159" i="2"/>
  <c r="F2159" i="2" s="1"/>
  <c r="H2159" i="2" s="1"/>
  <c r="F2161" i="2"/>
  <c r="H2161" i="2" s="1"/>
  <c r="F2162" i="2"/>
  <c r="H2162" i="2" s="1"/>
  <c r="F2163" i="2"/>
  <c r="H2163" i="2" s="1"/>
  <c r="F2164" i="2"/>
  <c r="H2164" i="2" s="1"/>
  <c r="F2167" i="2"/>
  <c r="H2167" i="2" s="1"/>
  <c r="F2168" i="2"/>
  <c r="H2168" i="2" s="1"/>
  <c r="F2158" i="2"/>
  <c r="H2158" i="2" s="1"/>
  <c r="C95" i="5"/>
  <c r="C90" i="5"/>
  <c r="C91" i="5" s="1"/>
  <c r="K74" i="5"/>
  <c r="K73" i="5"/>
  <c r="K72" i="5"/>
  <c r="K71" i="5"/>
  <c r="J19" i="16"/>
  <c r="G19" i="16"/>
  <c r="H19" i="16" s="1"/>
  <c r="I19" i="16" s="1"/>
  <c r="K57" i="16"/>
  <c r="D56" i="16"/>
  <c r="K55" i="16"/>
  <c r="D54" i="16"/>
  <c r="K53" i="16"/>
  <c r="D52" i="16"/>
  <c r="K51" i="16"/>
  <c r="D50" i="16"/>
  <c r="K49" i="16"/>
  <c r="D48" i="16"/>
  <c r="K47" i="16"/>
  <c r="D46" i="16"/>
  <c r="K45" i="16"/>
  <c r="D44" i="16"/>
  <c r="K43" i="16"/>
  <c r="D42" i="16"/>
  <c r="K41" i="16"/>
  <c r="D40" i="16"/>
  <c r="K39" i="16"/>
  <c r="D38" i="16"/>
  <c r="K37" i="16"/>
  <c r="D36" i="16"/>
  <c r="K35" i="16"/>
  <c r="D34" i="16"/>
  <c r="C66" i="5"/>
  <c r="C61" i="5"/>
  <c r="C62" i="5" s="1"/>
  <c r="O2122" i="2"/>
  <c r="A2122" i="2" s="1"/>
  <c r="B2122" i="2" s="1"/>
  <c r="N2122" i="2"/>
  <c r="N2116" i="2"/>
  <c r="N2108" i="2"/>
  <c r="N2102" i="2"/>
  <c r="N2096" i="2"/>
  <c r="O2090" i="2"/>
  <c r="O2096" i="2" s="1"/>
  <c r="A2096" i="2" s="1"/>
  <c r="B2096" i="2" s="1"/>
  <c r="N2090" i="2"/>
  <c r="N2084" i="2"/>
  <c r="N2076" i="2"/>
  <c r="N2070" i="2"/>
  <c r="N2064" i="2"/>
  <c r="N2058" i="2"/>
  <c r="O2052" i="2"/>
  <c r="O2058" i="2" s="1"/>
  <c r="A2058" i="2" s="1"/>
  <c r="B2058" i="2" s="1"/>
  <c r="N2052" i="2"/>
  <c r="N2046" i="2"/>
  <c r="N2038" i="2"/>
  <c r="O2032" i="2"/>
  <c r="O2038" i="2" s="1"/>
  <c r="A2038" i="2" s="1"/>
  <c r="B2038" i="2" s="1"/>
  <c r="N2032" i="2"/>
  <c r="N2026" i="2"/>
  <c r="N2018" i="2"/>
  <c r="N2012" i="2"/>
  <c r="N2006" i="2"/>
  <c r="N2000" i="2"/>
  <c r="O1994" i="2"/>
  <c r="A1994" i="2" s="1"/>
  <c r="B1994" i="2" s="1"/>
  <c r="N1994" i="2"/>
  <c r="N1988" i="2"/>
  <c r="N1911" i="2"/>
  <c r="O1905" i="2"/>
  <c r="O1911" i="2" s="1"/>
  <c r="A1911" i="2" s="1"/>
  <c r="B1911" i="2" s="1"/>
  <c r="N1905" i="2"/>
  <c r="N1899" i="2"/>
  <c r="N1891" i="2"/>
  <c r="N1885" i="2"/>
  <c r="N1879" i="2"/>
  <c r="N1873" i="2"/>
  <c r="N1867" i="2"/>
  <c r="N1861" i="2"/>
  <c r="N1855" i="2"/>
  <c r="N1849" i="2"/>
  <c r="N1843" i="2"/>
  <c r="N1837" i="2"/>
  <c r="N1831" i="2"/>
  <c r="N1825" i="2"/>
  <c r="N1819" i="2"/>
  <c r="N1813" i="2"/>
  <c r="N1807" i="2"/>
  <c r="N1801" i="2"/>
  <c r="N1795" i="2"/>
  <c r="N1789" i="2"/>
  <c r="N1783" i="2"/>
  <c r="N1777" i="2"/>
  <c r="O1771" i="2"/>
  <c r="A1771" i="2" s="1"/>
  <c r="B1771" i="2" s="1"/>
  <c r="N1771" i="2"/>
  <c r="N1765" i="2"/>
  <c r="N1757" i="2"/>
  <c r="N1751" i="2"/>
  <c r="N1745" i="2"/>
  <c r="N1739" i="2"/>
  <c r="N1733" i="2"/>
  <c r="N1727" i="2"/>
  <c r="N1721" i="2"/>
  <c r="N1715" i="2"/>
  <c r="N1709" i="2"/>
  <c r="N1703" i="2"/>
  <c r="N1697" i="2"/>
  <c r="N1691" i="2"/>
  <c r="N1685" i="2"/>
  <c r="N1679" i="2"/>
  <c r="N1673" i="2"/>
  <c r="N1667" i="2"/>
  <c r="N1661" i="2"/>
  <c r="N1655" i="2"/>
  <c r="N1649" i="2"/>
  <c r="N1643" i="2"/>
  <c r="N1637" i="2"/>
  <c r="O1631" i="2"/>
  <c r="A1631" i="2" s="1"/>
  <c r="B1631" i="2" s="1"/>
  <c r="N1631" i="2"/>
  <c r="N1625" i="2"/>
  <c r="N1617" i="2"/>
  <c r="N1611" i="2"/>
  <c r="N1605" i="2"/>
  <c r="N1599" i="2"/>
  <c r="N1593" i="2"/>
  <c r="O1587" i="2"/>
  <c r="A1587" i="2" s="1"/>
  <c r="B1587" i="2" s="1"/>
  <c r="N1587" i="2"/>
  <c r="N1581" i="2"/>
  <c r="N1573" i="2"/>
  <c r="N1567" i="2"/>
  <c r="N1561" i="2"/>
  <c r="N1555" i="2"/>
  <c r="N1549" i="2"/>
  <c r="N1543" i="2"/>
  <c r="O1537" i="2"/>
  <c r="O1543" i="2" s="1"/>
  <c r="A1543" i="2" s="1"/>
  <c r="B1543" i="2" s="1"/>
  <c r="N1537" i="2"/>
  <c r="N1531" i="2"/>
  <c r="N1523" i="2"/>
  <c r="N1517" i="2"/>
  <c r="N1511" i="2"/>
  <c r="N1505" i="2"/>
  <c r="N1499" i="2"/>
  <c r="N1493" i="2"/>
  <c r="N1487" i="2"/>
  <c r="N1481" i="2"/>
  <c r="N1475" i="2"/>
  <c r="O1469" i="2"/>
  <c r="O1475" i="2" s="1"/>
  <c r="N1469" i="2"/>
  <c r="N1463" i="2"/>
  <c r="N1443" i="2"/>
  <c r="N1455" i="2"/>
  <c r="N1449" i="2"/>
  <c r="N1437" i="2"/>
  <c r="N1431" i="2"/>
  <c r="N1425" i="2"/>
  <c r="N1419" i="2"/>
  <c r="N1413" i="2"/>
  <c r="N1407" i="2"/>
  <c r="N1401" i="2"/>
  <c r="N1395" i="2"/>
  <c r="F1367" i="2"/>
  <c r="F1366" i="2"/>
  <c r="F1365" i="2"/>
  <c r="N1389" i="2"/>
  <c r="N1381" i="2"/>
  <c r="N1375" i="2"/>
  <c r="N1369" i="2"/>
  <c r="N1356" i="2"/>
  <c r="N1350" i="2"/>
  <c r="N1344" i="2"/>
  <c r="N1338" i="2"/>
  <c r="N1332" i="2"/>
  <c r="N1326" i="2"/>
  <c r="N1320" i="2"/>
  <c r="N1314" i="2"/>
  <c r="N1308" i="2"/>
  <c r="N1302" i="2"/>
  <c r="N1296" i="2"/>
  <c r="N1290" i="2"/>
  <c r="N1284" i="2"/>
  <c r="N1278" i="2"/>
  <c r="N1272" i="2"/>
  <c r="N1266" i="2"/>
  <c r="N1260" i="2"/>
  <c r="N1254" i="2"/>
  <c r="N1248" i="2"/>
  <c r="N1242" i="2"/>
  <c r="G144" i="8" l="1"/>
  <c r="K144" i="8" s="1"/>
  <c r="C195" i="12" s="1"/>
  <c r="G159" i="8"/>
  <c r="K159" i="8" s="1"/>
  <c r="C154" i="12" s="1"/>
  <c r="G145" i="8"/>
  <c r="K145" i="8" s="1"/>
  <c r="C216" i="12" s="1"/>
  <c r="G160" i="8"/>
  <c r="K160" i="8" s="1"/>
  <c r="C143" i="12" s="1"/>
  <c r="G146" i="8"/>
  <c r="K146" i="8" s="1"/>
  <c r="C217" i="12" s="1"/>
  <c r="G161" i="8"/>
  <c r="K161" i="8" s="1"/>
  <c r="C105" i="12" s="1"/>
  <c r="G147" i="8"/>
  <c r="K147" i="8" s="1"/>
  <c r="C185" i="12" s="1"/>
  <c r="G162" i="8"/>
  <c r="K162" i="8" s="1"/>
  <c r="C149" i="12" s="1"/>
  <c r="G148" i="8"/>
  <c r="K148" i="8" s="1"/>
  <c r="C179" i="12" s="1"/>
  <c r="G163" i="8"/>
  <c r="K163" i="8" s="1"/>
  <c r="C174" i="12" s="1"/>
  <c r="G133" i="8"/>
  <c r="K133" i="8" s="1"/>
  <c r="G149" i="8"/>
  <c r="K149" i="8" s="1"/>
  <c r="C171" i="12" s="1"/>
  <c r="G164" i="8"/>
  <c r="K164" i="8" s="1"/>
  <c r="C227" i="12" s="1"/>
  <c r="G150" i="8"/>
  <c r="K150" i="8" s="1"/>
  <c r="C157" i="12" s="1"/>
  <c r="G139" i="8"/>
  <c r="K139" i="8" s="1"/>
  <c r="C187" i="12" s="1"/>
  <c r="G140" i="8"/>
  <c r="K140" i="8" s="1"/>
  <c r="C184" i="12" s="1"/>
  <c r="G143" i="8"/>
  <c r="K143" i="8" s="1"/>
  <c r="C181" i="12" s="1"/>
  <c r="G134" i="8"/>
  <c r="K134" i="8" s="1"/>
  <c r="C120" i="12" s="1"/>
  <c r="G165" i="8"/>
  <c r="K165" i="8" s="1"/>
  <c r="C220" i="12" s="1"/>
  <c r="G135" i="8"/>
  <c r="K135" i="8" s="1"/>
  <c r="C175" i="12" s="1"/>
  <c r="G151" i="8"/>
  <c r="K151" i="8" s="1"/>
  <c r="C116" i="12" s="1"/>
  <c r="G166" i="8"/>
  <c r="K166" i="8" s="1"/>
  <c r="C214" i="12" s="1"/>
  <c r="G167" i="8"/>
  <c r="K167" i="8" s="1"/>
  <c r="C212" i="12" s="1"/>
  <c r="G171" i="8"/>
  <c r="K171" i="8" s="1"/>
  <c r="C163" i="12" s="1"/>
  <c r="G158" i="8"/>
  <c r="K158" i="8" s="1"/>
  <c r="G141" i="8"/>
  <c r="K141" i="8" s="1"/>
  <c r="C239" i="12" s="1"/>
  <c r="G168" i="8"/>
  <c r="K168" i="8" s="1"/>
  <c r="C222" i="12" s="1"/>
  <c r="G138" i="8"/>
  <c r="K138" i="8" s="1"/>
  <c r="C189" i="12" s="1"/>
  <c r="G155" i="8"/>
  <c r="K155" i="8" s="1"/>
  <c r="C245" i="12" s="1"/>
  <c r="G156" i="8"/>
  <c r="K156" i="8" s="1"/>
  <c r="C200" i="12" s="1"/>
  <c r="G142" i="8"/>
  <c r="K142" i="8" s="1"/>
  <c r="C191" i="12" s="1"/>
  <c r="G136" i="8"/>
  <c r="K136" i="8" s="1"/>
  <c r="C223" i="12" s="1"/>
  <c r="G152" i="8"/>
  <c r="K152" i="8" s="1"/>
  <c r="C218" i="12" s="1"/>
  <c r="G137" i="8"/>
  <c r="K137" i="8" s="1"/>
  <c r="C205" i="12" s="1"/>
  <c r="G154" i="8"/>
  <c r="K154" i="8" s="1"/>
  <c r="G169" i="8"/>
  <c r="K169" i="8" s="1"/>
  <c r="C204" i="12" s="1"/>
  <c r="C2171" i="2"/>
  <c r="N2153" i="2" s="1"/>
  <c r="C97" i="5"/>
  <c r="K70" i="5" s="1"/>
  <c r="M70" i="5" s="1"/>
  <c r="C68" i="5"/>
  <c r="I44" i="5" s="1"/>
  <c r="A2052" i="2"/>
  <c r="B2052" i="2" s="1"/>
  <c r="A2090" i="2"/>
  <c r="B2090" i="2" s="1"/>
  <c r="O2102" i="2"/>
  <c r="A2102" i="2" s="1"/>
  <c r="B2102" i="2" s="1"/>
  <c r="O2064" i="2"/>
  <c r="A2064" i="2" s="1"/>
  <c r="B2064" i="2" s="1"/>
  <c r="A2032" i="2"/>
  <c r="B2032" i="2" s="1"/>
  <c r="O2000" i="2"/>
  <c r="O2006" i="2" s="1"/>
  <c r="A2006" i="2" s="1"/>
  <c r="B2006" i="2" s="1"/>
  <c r="A1905" i="2"/>
  <c r="B1905" i="2" s="1"/>
  <c r="O1777" i="2"/>
  <c r="A1777" i="2" s="1"/>
  <c r="B1777" i="2" s="1"/>
  <c r="O1637" i="2"/>
  <c r="A1637" i="2" s="1"/>
  <c r="B1637" i="2" s="1"/>
  <c r="O1593" i="2"/>
  <c r="A1593" i="2" s="1"/>
  <c r="B1593" i="2" s="1"/>
  <c r="A1469" i="2"/>
  <c r="A1537" i="2"/>
  <c r="B1537" i="2" s="1"/>
  <c r="O1549" i="2"/>
  <c r="A1549" i="2" s="1"/>
  <c r="B1549" i="2" s="1"/>
  <c r="O1481" i="2"/>
  <c r="A1475" i="2"/>
  <c r="B1475" i="2" s="1"/>
  <c r="N2196" i="2"/>
  <c r="D2149" i="2"/>
  <c r="D2148" i="2"/>
  <c r="D2147" i="2"/>
  <c r="D2146" i="2"/>
  <c r="B2138" i="2"/>
  <c r="D2138" i="2" s="1"/>
  <c r="B2137" i="2"/>
  <c r="D2137" i="2" s="1"/>
  <c r="D2134" i="2"/>
  <c r="D2135" i="2"/>
  <c r="D2136" i="2"/>
  <c r="D2139" i="2"/>
  <c r="D2140" i="2"/>
  <c r="D2141" i="2"/>
  <c r="D2142" i="2"/>
  <c r="D2143" i="2"/>
  <c r="D2144" i="2"/>
  <c r="D2145" i="2"/>
  <c r="D2133" i="2"/>
  <c r="F1224" i="2"/>
  <c r="F1229" i="2"/>
  <c r="F1230" i="2"/>
  <c r="F1221" i="2"/>
  <c r="F1222" i="2"/>
  <c r="F1223" i="2"/>
  <c r="F1226" i="2"/>
  <c r="F1227" i="2"/>
  <c r="F1228" i="2"/>
  <c r="F1231" i="2"/>
  <c r="F1232" i="2"/>
  <c r="F1233" i="2"/>
  <c r="F1234" i="2"/>
  <c r="F1235" i="2"/>
  <c r="F1236" i="2"/>
  <c r="F1237" i="2"/>
  <c r="F1238" i="2"/>
  <c r="F1239" i="2"/>
  <c r="F1240" i="2"/>
  <c r="F1220" i="2"/>
  <c r="N1211" i="2"/>
  <c r="N1205" i="2"/>
  <c r="N1199" i="2"/>
  <c r="N1193" i="2"/>
  <c r="C145" i="12" l="1"/>
  <c r="K132" i="8"/>
  <c r="C247" i="12"/>
  <c r="K157" i="8"/>
  <c r="C197" i="12"/>
  <c r="K153" i="8"/>
  <c r="B1469" i="2"/>
  <c r="G173" i="8"/>
  <c r="K173" i="8" s="1"/>
  <c r="C170" i="12" s="1"/>
  <c r="G172" i="8"/>
  <c r="K172" i="8" s="1"/>
  <c r="C127" i="12" s="1"/>
  <c r="G128" i="8"/>
  <c r="K128" i="8" s="1"/>
  <c r="C106" i="12" s="1"/>
  <c r="G131" i="8"/>
  <c r="K131" i="8" s="1"/>
  <c r="C59" i="12" s="1"/>
  <c r="G129" i="8"/>
  <c r="K129" i="8" s="1"/>
  <c r="C98" i="12" s="1"/>
  <c r="G130" i="8"/>
  <c r="K130" i="8" s="1"/>
  <c r="C96" i="12" s="1"/>
  <c r="C2151" i="2"/>
  <c r="N2130" i="2" s="1"/>
  <c r="O2108" i="2"/>
  <c r="A2108" i="2" s="1"/>
  <c r="B2108" i="2" s="1"/>
  <c r="O2070" i="2"/>
  <c r="A2070" i="2" s="1"/>
  <c r="B2070" i="2" s="1"/>
  <c r="O2012" i="2"/>
  <c r="O2018" i="2" s="1"/>
  <c r="A2018" i="2" s="1"/>
  <c r="B2018" i="2" s="1"/>
  <c r="A2000" i="2"/>
  <c r="B2000" i="2" s="1"/>
  <c r="O1783" i="2"/>
  <c r="A1783" i="2" s="1"/>
  <c r="B1783" i="2" s="1"/>
  <c r="O1643" i="2"/>
  <c r="O1649" i="2" s="1"/>
  <c r="O1599" i="2"/>
  <c r="A1599" i="2" s="1"/>
  <c r="B1599" i="2" s="1"/>
  <c r="O1555" i="2"/>
  <c r="A1555" i="2" s="1"/>
  <c r="B1555" i="2" s="1"/>
  <c r="A1481" i="2"/>
  <c r="O1487" i="2"/>
  <c r="C1958" i="2"/>
  <c r="C1972" i="2" s="1"/>
  <c r="N1968" i="2" s="1"/>
  <c r="C1959" i="2"/>
  <c r="C1978" i="2" s="1"/>
  <c r="N1974" i="2" s="1"/>
  <c r="C1960" i="2"/>
  <c r="C1984" i="2" s="1"/>
  <c r="N1980" i="2" s="1"/>
  <c r="C1957" i="2"/>
  <c r="C1966" i="2" s="1"/>
  <c r="N1962" i="2" s="1"/>
  <c r="N1927" i="2"/>
  <c r="N1921" i="2"/>
  <c r="C1155" i="2"/>
  <c r="N1143" i="2" s="1"/>
  <c r="C1150" i="2"/>
  <c r="C1141" i="2"/>
  <c r="C1136" i="2"/>
  <c r="B1481" i="2" l="1"/>
  <c r="G119" i="8"/>
  <c r="K119" i="8" s="1"/>
  <c r="C24" i="12" s="1"/>
  <c r="G174" i="8"/>
  <c r="K174" i="8" s="1"/>
  <c r="C199" i="12" s="1"/>
  <c r="O2076" i="2"/>
  <c r="A2076" i="2" s="1"/>
  <c r="B2076" i="2" s="1"/>
  <c r="A2012" i="2"/>
  <c r="B2012" i="2" s="1"/>
  <c r="O1789" i="2"/>
  <c r="A1789" i="2" s="1"/>
  <c r="B1789" i="2" s="1"/>
  <c r="A1643" i="2"/>
  <c r="B1643" i="2" s="1"/>
  <c r="O1655" i="2"/>
  <c r="A1649" i="2"/>
  <c r="B1649" i="2" s="1"/>
  <c r="O1605" i="2"/>
  <c r="A1605" i="2" s="1"/>
  <c r="B1605" i="2" s="1"/>
  <c r="O1561" i="2"/>
  <c r="A1561" i="2" s="1"/>
  <c r="B1561" i="2" s="1"/>
  <c r="A1487" i="2"/>
  <c r="O1493" i="2"/>
  <c r="N1187" i="2"/>
  <c r="C1121" i="2"/>
  <c r="C1123" i="2" s="1"/>
  <c r="C1127" i="2" s="1"/>
  <c r="N1125" i="2" s="1"/>
  <c r="C1181" i="2"/>
  <c r="N1177" i="2" s="1"/>
  <c r="F1082" i="2"/>
  <c r="C1084" i="2" s="1"/>
  <c r="N1078" i="2" s="1"/>
  <c r="F1074" i="2"/>
  <c r="C1076" i="2" s="1"/>
  <c r="N1070" i="2" s="1"/>
  <c r="F1066" i="2"/>
  <c r="C1068" i="2" s="1"/>
  <c r="N1062" i="2" s="1"/>
  <c r="C1049" i="2"/>
  <c r="C1051" i="2" s="1"/>
  <c r="N1045" i="2" s="1"/>
  <c r="C1041" i="2"/>
  <c r="C1043" i="2" s="1"/>
  <c r="E979" i="2"/>
  <c r="E985" i="2"/>
  <c r="E983" i="2"/>
  <c r="G983" i="2" s="1"/>
  <c r="E981" i="2"/>
  <c r="E977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4" i="2"/>
  <c r="G982" i="2"/>
  <c r="G978" i="2"/>
  <c r="D876" i="2"/>
  <c r="G876" i="2" s="1"/>
  <c r="D877" i="2"/>
  <c r="G877" i="2" s="1"/>
  <c r="D878" i="2"/>
  <c r="G878" i="2" s="1"/>
  <c r="D879" i="2"/>
  <c r="G879" i="2" s="1"/>
  <c r="D880" i="2"/>
  <c r="G880" i="2" s="1"/>
  <c r="D881" i="2"/>
  <c r="G881" i="2" s="1"/>
  <c r="D882" i="2"/>
  <c r="G882" i="2" s="1"/>
  <c r="D883" i="2"/>
  <c r="G883" i="2" s="1"/>
  <c r="D884" i="2"/>
  <c r="G884" i="2" s="1"/>
  <c r="D885" i="2"/>
  <c r="G885" i="2" s="1"/>
  <c r="D886" i="2"/>
  <c r="G886" i="2" s="1"/>
  <c r="D887" i="2"/>
  <c r="G887" i="2" s="1"/>
  <c r="D888" i="2"/>
  <c r="G888" i="2" s="1"/>
  <c r="D889" i="2"/>
  <c r="G889" i="2" s="1"/>
  <c r="D890" i="2"/>
  <c r="G890" i="2" s="1"/>
  <c r="D891" i="2"/>
  <c r="G891" i="2" s="1"/>
  <c r="D892" i="2"/>
  <c r="G892" i="2" s="1"/>
  <c r="D893" i="2"/>
  <c r="G893" i="2" s="1"/>
  <c r="D894" i="2"/>
  <c r="G894" i="2" s="1"/>
  <c r="D895" i="2"/>
  <c r="G895" i="2" s="1"/>
  <c r="D896" i="2"/>
  <c r="G896" i="2" s="1"/>
  <c r="D897" i="2"/>
  <c r="G897" i="2" s="1"/>
  <c r="D898" i="2"/>
  <c r="G898" i="2" s="1"/>
  <c r="D899" i="2"/>
  <c r="G899" i="2" s="1"/>
  <c r="D900" i="2"/>
  <c r="G900" i="2" s="1"/>
  <c r="D901" i="2"/>
  <c r="G901" i="2" s="1"/>
  <c r="D902" i="2"/>
  <c r="G902" i="2" s="1"/>
  <c r="D903" i="2"/>
  <c r="G903" i="2" s="1"/>
  <c r="D904" i="2"/>
  <c r="G904" i="2" s="1"/>
  <c r="D905" i="2"/>
  <c r="G905" i="2" s="1"/>
  <c r="D906" i="2"/>
  <c r="G906" i="2" s="1"/>
  <c r="D907" i="2"/>
  <c r="G907" i="2" s="1"/>
  <c r="D908" i="2"/>
  <c r="G908" i="2" s="1"/>
  <c r="D909" i="2"/>
  <c r="G909" i="2" s="1"/>
  <c r="D910" i="2"/>
  <c r="G910" i="2" s="1"/>
  <c r="D911" i="2"/>
  <c r="G911" i="2" s="1"/>
  <c r="D912" i="2"/>
  <c r="G912" i="2" s="1"/>
  <c r="D913" i="2"/>
  <c r="G913" i="2" s="1"/>
  <c r="D914" i="2"/>
  <c r="G914" i="2" s="1"/>
  <c r="D915" i="2"/>
  <c r="G915" i="2" s="1"/>
  <c r="D916" i="2"/>
  <c r="G916" i="2" s="1"/>
  <c r="D917" i="2"/>
  <c r="G917" i="2" s="1"/>
  <c r="D918" i="2"/>
  <c r="G918" i="2" s="1"/>
  <c r="D919" i="2"/>
  <c r="G919" i="2" s="1"/>
  <c r="D920" i="2"/>
  <c r="G920" i="2" s="1"/>
  <c r="D921" i="2"/>
  <c r="G921" i="2" s="1"/>
  <c r="D922" i="2"/>
  <c r="G922" i="2" s="1"/>
  <c r="D923" i="2"/>
  <c r="G923" i="2" s="1"/>
  <c r="D924" i="2"/>
  <c r="G924" i="2" s="1"/>
  <c r="D925" i="2"/>
  <c r="G925" i="2" s="1"/>
  <c r="D926" i="2"/>
  <c r="G926" i="2" s="1"/>
  <c r="D927" i="2"/>
  <c r="G927" i="2" s="1"/>
  <c r="D928" i="2"/>
  <c r="G928" i="2" s="1"/>
  <c r="D929" i="2"/>
  <c r="G929" i="2" s="1"/>
  <c r="D930" i="2"/>
  <c r="G930" i="2" s="1"/>
  <c r="D931" i="2"/>
  <c r="G931" i="2" s="1"/>
  <c r="D932" i="2"/>
  <c r="G932" i="2" s="1"/>
  <c r="D933" i="2"/>
  <c r="G933" i="2" s="1"/>
  <c r="D934" i="2"/>
  <c r="G934" i="2" s="1"/>
  <c r="D935" i="2"/>
  <c r="G935" i="2" s="1"/>
  <c r="D936" i="2"/>
  <c r="G936" i="2" s="1"/>
  <c r="D937" i="2"/>
  <c r="G937" i="2" s="1"/>
  <c r="D938" i="2"/>
  <c r="G938" i="2" s="1"/>
  <c r="D939" i="2"/>
  <c r="G939" i="2" s="1"/>
  <c r="D940" i="2"/>
  <c r="G940" i="2" s="1"/>
  <c r="D941" i="2"/>
  <c r="G941" i="2" s="1"/>
  <c r="D942" i="2"/>
  <c r="G942" i="2" s="1"/>
  <c r="D943" i="2"/>
  <c r="G943" i="2" s="1"/>
  <c r="D944" i="2"/>
  <c r="G944" i="2" s="1"/>
  <c r="D945" i="2"/>
  <c r="G945" i="2" s="1"/>
  <c r="D946" i="2"/>
  <c r="G946" i="2" s="1"/>
  <c r="D947" i="2"/>
  <c r="G947" i="2" s="1"/>
  <c r="D948" i="2"/>
  <c r="G948" i="2" s="1"/>
  <c r="D949" i="2"/>
  <c r="G949" i="2" s="1"/>
  <c r="D950" i="2"/>
  <c r="G950" i="2" s="1"/>
  <c r="D951" i="2"/>
  <c r="G951" i="2" s="1"/>
  <c r="D952" i="2"/>
  <c r="G952" i="2" s="1"/>
  <c r="D953" i="2"/>
  <c r="G953" i="2" s="1"/>
  <c r="D954" i="2"/>
  <c r="G954" i="2" s="1"/>
  <c r="D955" i="2"/>
  <c r="G955" i="2" s="1"/>
  <c r="D956" i="2"/>
  <c r="G956" i="2" s="1"/>
  <c r="D957" i="2"/>
  <c r="G957" i="2" s="1"/>
  <c r="D958" i="2"/>
  <c r="G958" i="2" s="1"/>
  <c r="D959" i="2"/>
  <c r="G959" i="2" s="1"/>
  <c r="D960" i="2"/>
  <c r="G960" i="2" s="1"/>
  <c r="D961" i="2"/>
  <c r="G961" i="2" s="1"/>
  <c r="D962" i="2"/>
  <c r="G962" i="2" s="1"/>
  <c r="D963" i="2"/>
  <c r="G963" i="2" s="1"/>
  <c r="D964" i="2"/>
  <c r="G964" i="2" s="1"/>
  <c r="D965" i="2"/>
  <c r="G965" i="2" s="1"/>
  <c r="D966" i="2"/>
  <c r="G966" i="2" s="1"/>
  <c r="D967" i="2"/>
  <c r="G967" i="2" s="1"/>
  <c r="D968" i="2"/>
  <c r="G968" i="2" s="1"/>
  <c r="D969" i="2"/>
  <c r="G969" i="2" s="1"/>
  <c r="D970" i="2"/>
  <c r="G970" i="2" s="1"/>
  <c r="D971" i="2"/>
  <c r="G971" i="2" s="1"/>
  <c r="D972" i="2"/>
  <c r="G972" i="2" s="1"/>
  <c r="D973" i="2"/>
  <c r="G973" i="2" s="1"/>
  <c r="D875" i="2"/>
  <c r="G875" i="2" s="1"/>
  <c r="D851" i="2"/>
  <c r="F851" i="2" s="1"/>
  <c r="D847" i="2"/>
  <c r="F847" i="2" s="1"/>
  <c r="D839" i="2"/>
  <c r="F839" i="2" s="1"/>
  <c r="D838" i="2"/>
  <c r="F838" i="2" s="1"/>
  <c r="D842" i="2"/>
  <c r="F842" i="2" s="1"/>
  <c r="D840" i="2"/>
  <c r="F840" i="2" s="1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41" i="2"/>
  <c r="F843" i="2"/>
  <c r="F844" i="2"/>
  <c r="F845" i="2"/>
  <c r="F846" i="2"/>
  <c r="F848" i="2"/>
  <c r="F849" i="2"/>
  <c r="F850" i="2"/>
  <c r="F852" i="2"/>
  <c r="F853" i="2"/>
  <c r="F854" i="2"/>
  <c r="F855" i="2"/>
  <c r="F856" i="2"/>
  <c r="F857" i="2"/>
  <c r="F759" i="2"/>
  <c r="E656" i="2"/>
  <c r="I656" i="2" s="1"/>
  <c r="E655" i="2"/>
  <c r="E661" i="2"/>
  <c r="I661" i="2" s="1"/>
  <c r="E659" i="2"/>
  <c r="G659" i="2" s="1"/>
  <c r="I659" i="2" s="1"/>
  <c r="E657" i="2"/>
  <c r="E653" i="2"/>
  <c r="I653" i="2" s="1"/>
  <c r="H673" i="2"/>
  <c r="H672" i="2"/>
  <c r="H671" i="2"/>
  <c r="H670" i="2"/>
  <c r="H669" i="2"/>
  <c r="H668" i="2"/>
  <c r="H667" i="2"/>
  <c r="H666" i="2"/>
  <c r="H665" i="2"/>
  <c r="H664" i="2"/>
  <c r="H663" i="2"/>
  <c r="H662" i="2"/>
  <c r="H660" i="2"/>
  <c r="H658" i="2"/>
  <c r="H654" i="2"/>
  <c r="G654" i="2"/>
  <c r="I654" i="2" s="1"/>
  <c r="G658" i="2"/>
  <c r="I658" i="2" s="1"/>
  <c r="G660" i="2"/>
  <c r="I660" i="2" s="1"/>
  <c r="G662" i="2"/>
  <c r="I662" i="2" s="1"/>
  <c r="G663" i="2"/>
  <c r="I663" i="2" s="1"/>
  <c r="G664" i="2"/>
  <c r="G665" i="2"/>
  <c r="I665" i="2" s="1"/>
  <c r="G666" i="2"/>
  <c r="I666" i="2" s="1"/>
  <c r="G667" i="2"/>
  <c r="I667" i="2" s="1"/>
  <c r="G668" i="2"/>
  <c r="I668" i="2" s="1"/>
  <c r="G669" i="2"/>
  <c r="I669" i="2" s="1"/>
  <c r="G670" i="2"/>
  <c r="I670" i="2" s="1"/>
  <c r="G671" i="2"/>
  <c r="I671" i="2" s="1"/>
  <c r="G672" i="2"/>
  <c r="I672" i="2" s="1"/>
  <c r="G673" i="2"/>
  <c r="I673" i="2" s="1"/>
  <c r="E645" i="2"/>
  <c r="G645" i="2" s="1"/>
  <c r="L645" i="2" s="1"/>
  <c r="E644" i="2"/>
  <c r="G644" i="2" s="1"/>
  <c r="J644" i="2" s="1"/>
  <c r="E642" i="2"/>
  <c r="I642" i="2" s="1"/>
  <c r="E641" i="2"/>
  <c r="G641" i="2" s="1"/>
  <c r="H641" i="2" s="1"/>
  <c r="E639" i="2"/>
  <c r="G639" i="2" s="1"/>
  <c r="J639" i="2" s="1"/>
  <c r="E637" i="2"/>
  <c r="G637" i="2" s="1"/>
  <c r="J637" i="2" s="1"/>
  <c r="E635" i="2"/>
  <c r="G635" i="2" s="1"/>
  <c r="I635" i="2" s="1"/>
  <c r="E632" i="2"/>
  <c r="G632" i="2" s="1"/>
  <c r="J632" i="2" s="1"/>
  <c r="E630" i="2"/>
  <c r="E628" i="2"/>
  <c r="G628" i="2" s="1"/>
  <c r="K628" i="2" s="1"/>
  <c r="E625" i="2"/>
  <c r="G625" i="2" s="1"/>
  <c r="J625" i="2" s="1"/>
  <c r="E624" i="2"/>
  <c r="G624" i="2" s="1"/>
  <c r="H624" i="2" s="1"/>
  <c r="E622" i="2"/>
  <c r="G622" i="2" s="1"/>
  <c r="K622" i="2" s="1"/>
  <c r="E621" i="2"/>
  <c r="E619" i="2"/>
  <c r="G619" i="2" s="1"/>
  <c r="I619" i="2" s="1"/>
  <c r="E615" i="2"/>
  <c r="G615" i="2" s="1"/>
  <c r="K615" i="2" s="1"/>
  <c r="E611" i="2"/>
  <c r="I611" i="2" s="1"/>
  <c r="E607" i="2"/>
  <c r="G607" i="2" s="1"/>
  <c r="H607" i="2" s="1"/>
  <c r="E603" i="2"/>
  <c r="G603" i="2" s="1"/>
  <c r="I603" i="2" s="1"/>
  <c r="E599" i="2"/>
  <c r="G599" i="2" s="1"/>
  <c r="I599" i="2" s="1"/>
  <c r="E595" i="2"/>
  <c r="E613" i="2"/>
  <c r="G613" i="2" s="1"/>
  <c r="J613" i="2" s="1"/>
  <c r="E609" i="2"/>
  <c r="I609" i="2" s="1"/>
  <c r="E605" i="2"/>
  <c r="G605" i="2" s="1"/>
  <c r="H605" i="2" s="1"/>
  <c r="E601" i="2"/>
  <c r="E597" i="2"/>
  <c r="G597" i="2" s="1"/>
  <c r="K597" i="2" s="1"/>
  <c r="E593" i="2"/>
  <c r="E591" i="2"/>
  <c r="G591" i="2" s="1"/>
  <c r="J591" i="2" s="1"/>
  <c r="E587" i="2"/>
  <c r="G587" i="2" s="1"/>
  <c r="L587" i="2" s="1"/>
  <c r="E582" i="2"/>
  <c r="G582" i="2" s="1"/>
  <c r="I582" i="2" s="1"/>
  <c r="E580" i="2"/>
  <c r="E550" i="2"/>
  <c r="G550" i="2" s="1"/>
  <c r="K550" i="2" s="1"/>
  <c r="G594" i="2"/>
  <c r="I594" i="2" s="1"/>
  <c r="H594" i="2"/>
  <c r="G596" i="2"/>
  <c r="I596" i="2" s="1"/>
  <c r="H596" i="2"/>
  <c r="G598" i="2"/>
  <c r="I598" i="2" s="1"/>
  <c r="H598" i="2"/>
  <c r="G600" i="2"/>
  <c r="I600" i="2" s="1"/>
  <c r="H600" i="2"/>
  <c r="G602" i="2"/>
  <c r="I602" i="2" s="1"/>
  <c r="H602" i="2"/>
  <c r="G604" i="2"/>
  <c r="I604" i="2" s="1"/>
  <c r="H604" i="2"/>
  <c r="G606" i="2"/>
  <c r="I606" i="2" s="1"/>
  <c r="H606" i="2"/>
  <c r="G608" i="2"/>
  <c r="I608" i="2" s="1"/>
  <c r="H608" i="2"/>
  <c r="G610" i="2"/>
  <c r="I610" i="2" s="1"/>
  <c r="H610" i="2"/>
  <c r="G612" i="2"/>
  <c r="I612" i="2" s="1"/>
  <c r="H612" i="2"/>
  <c r="G614" i="2"/>
  <c r="I614" i="2" s="1"/>
  <c r="H614" i="2"/>
  <c r="G616" i="2"/>
  <c r="I616" i="2" s="1"/>
  <c r="H616" i="2"/>
  <c r="G617" i="2"/>
  <c r="I617" i="2" s="1"/>
  <c r="H617" i="2"/>
  <c r="G618" i="2"/>
  <c r="I618" i="2" s="1"/>
  <c r="H618" i="2"/>
  <c r="G620" i="2"/>
  <c r="I620" i="2" s="1"/>
  <c r="H620" i="2"/>
  <c r="G623" i="2"/>
  <c r="I623" i="2" s="1"/>
  <c r="H623" i="2"/>
  <c r="G629" i="2"/>
  <c r="I629" i="2" s="1"/>
  <c r="H629" i="2"/>
  <c r="G631" i="2"/>
  <c r="I631" i="2" s="1"/>
  <c r="H631" i="2"/>
  <c r="G633" i="2"/>
  <c r="I633" i="2" s="1"/>
  <c r="H633" i="2"/>
  <c r="G634" i="2"/>
  <c r="I634" i="2" s="1"/>
  <c r="H634" i="2"/>
  <c r="G636" i="2"/>
  <c r="I636" i="2" s="1"/>
  <c r="H636" i="2"/>
  <c r="G638" i="2"/>
  <c r="I638" i="2" s="1"/>
  <c r="H638" i="2"/>
  <c r="G640" i="2"/>
  <c r="I640" i="2" s="1"/>
  <c r="H640" i="2"/>
  <c r="E643" i="2"/>
  <c r="E627" i="2"/>
  <c r="E626" i="2"/>
  <c r="I626" i="2" s="1"/>
  <c r="G518" i="2"/>
  <c r="E514" i="2"/>
  <c r="G514" i="2" s="1"/>
  <c r="C542" i="2"/>
  <c r="N537" i="2" s="1"/>
  <c r="H588" i="2"/>
  <c r="G588" i="2"/>
  <c r="I588" i="2" s="1"/>
  <c r="H586" i="2"/>
  <c r="G586" i="2"/>
  <c r="I586" i="2" s="1"/>
  <c r="H585" i="2"/>
  <c r="G585" i="2"/>
  <c r="I585" i="2" s="1"/>
  <c r="H578" i="2"/>
  <c r="G578" i="2"/>
  <c r="I578" i="2" s="1"/>
  <c r="E577" i="2"/>
  <c r="I577" i="2" s="1"/>
  <c r="H576" i="2"/>
  <c r="G576" i="2"/>
  <c r="I576" i="2" s="1"/>
  <c r="E575" i="2"/>
  <c r="I575" i="2" s="1"/>
  <c r="H574" i="2"/>
  <c r="G574" i="2"/>
  <c r="I574" i="2" s="1"/>
  <c r="E573" i="2"/>
  <c r="I573" i="2" s="1"/>
  <c r="H572" i="2"/>
  <c r="G572" i="2"/>
  <c r="I572" i="2" s="1"/>
  <c r="E571" i="2"/>
  <c r="I571" i="2" s="1"/>
  <c r="H570" i="2"/>
  <c r="G570" i="2"/>
  <c r="I570" i="2" s="1"/>
  <c r="E569" i="2"/>
  <c r="I569" i="2" s="1"/>
  <c r="H568" i="2"/>
  <c r="G568" i="2"/>
  <c r="I568" i="2" s="1"/>
  <c r="E567" i="2"/>
  <c r="I567" i="2" s="1"/>
  <c r="H566" i="2"/>
  <c r="G566" i="2"/>
  <c r="I566" i="2" s="1"/>
  <c r="E565" i="2"/>
  <c r="I565" i="2" s="1"/>
  <c r="H564" i="2"/>
  <c r="G564" i="2"/>
  <c r="I564" i="2" s="1"/>
  <c r="E563" i="2"/>
  <c r="I563" i="2" s="1"/>
  <c r="G519" i="2"/>
  <c r="G520" i="2"/>
  <c r="G521" i="2"/>
  <c r="G522" i="2"/>
  <c r="G523" i="2"/>
  <c r="G524" i="2"/>
  <c r="G525" i="2"/>
  <c r="H557" i="2"/>
  <c r="G557" i="2"/>
  <c r="I557" i="2" s="1"/>
  <c r="H548" i="2"/>
  <c r="H549" i="2"/>
  <c r="H551" i="2"/>
  <c r="H553" i="2"/>
  <c r="H556" i="2"/>
  <c r="H560" i="2"/>
  <c r="H562" i="2"/>
  <c r="H583" i="2"/>
  <c r="H584" i="2"/>
  <c r="H589" i="2"/>
  <c r="H592" i="2"/>
  <c r="G549" i="2"/>
  <c r="I549" i="2" s="1"/>
  <c r="G592" i="2"/>
  <c r="I592" i="2" s="1"/>
  <c r="E590" i="2"/>
  <c r="G590" i="2" s="1"/>
  <c r="J590" i="2" s="1"/>
  <c r="G589" i="2"/>
  <c r="I589" i="2" s="1"/>
  <c r="G584" i="2"/>
  <c r="I584" i="2" s="1"/>
  <c r="G583" i="2"/>
  <c r="I583" i="2" s="1"/>
  <c r="G581" i="2"/>
  <c r="L581" i="2" s="1"/>
  <c r="G579" i="2"/>
  <c r="K579" i="2" s="1"/>
  <c r="G562" i="2"/>
  <c r="I562" i="2" s="1"/>
  <c r="E561" i="2"/>
  <c r="G561" i="2" s="1"/>
  <c r="J561" i="2" s="1"/>
  <c r="G560" i="2"/>
  <c r="I560" i="2" s="1"/>
  <c r="E559" i="2"/>
  <c r="G559" i="2" s="1"/>
  <c r="J559" i="2" s="1"/>
  <c r="E558" i="2"/>
  <c r="G558" i="2" s="1"/>
  <c r="J558" i="2" s="1"/>
  <c r="G556" i="2"/>
  <c r="I556" i="2" s="1"/>
  <c r="E555" i="2"/>
  <c r="G555" i="2" s="1"/>
  <c r="L555" i="2" s="1"/>
  <c r="E554" i="2"/>
  <c r="G554" i="2" s="1"/>
  <c r="J554" i="2" s="1"/>
  <c r="G553" i="2"/>
  <c r="I553" i="2" s="1"/>
  <c r="E552" i="2"/>
  <c r="G552" i="2" s="1"/>
  <c r="K552" i="2" s="1"/>
  <c r="G551" i="2"/>
  <c r="I551" i="2" s="1"/>
  <c r="G548" i="2"/>
  <c r="I548" i="2" s="1"/>
  <c r="E547" i="2"/>
  <c r="G547" i="2" s="1"/>
  <c r="F858" i="2" l="1"/>
  <c r="K547" i="2"/>
  <c r="B1487" i="2"/>
  <c r="G175" i="8"/>
  <c r="K175" i="8" s="1"/>
  <c r="C250" i="12" s="1"/>
  <c r="G108" i="8"/>
  <c r="K108" i="8" s="1"/>
  <c r="C73" i="12" s="1"/>
  <c r="G974" i="2"/>
  <c r="G105" i="8"/>
  <c r="K105" i="8" s="1"/>
  <c r="C74" i="12" s="1"/>
  <c r="G124" i="8"/>
  <c r="K124" i="8" s="1"/>
  <c r="C40" i="12" s="1"/>
  <c r="G107" i="8"/>
  <c r="K107" i="8" s="1"/>
  <c r="C95" i="12" s="1"/>
  <c r="G109" i="8"/>
  <c r="K109" i="8" s="1"/>
  <c r="C81" i="12" s="1"/>
  <c r="G127" i="8"/>
  <c r="K127" i="8" s="1"/>
  <c r="G117" i="8"/>
  <c r="K117" i="8" s="1"/>
  <c r="C33" i="12" s="1"/>
  <c r="G78" i="8"/>
  <c r="K78" i="8" s="1"/>
  <c r="C87" i="12" s="1"/>
  <c r="O1795" i="2"/>
  <c r="A1795" i="2" s="1"/>
  <c r="B1795" i="2" s="1"/>
  <c r="O1661" i="2"/>
  <c r="A1655" i="2"/>
  <c r="B1655" i="2" s="1"/>
  <c r="O1611" i="2"/>
  <c r="A1611" i="2" s="1"/>
  <c r="B1611" i="2" s="1"/>
  <c r="O1567" i="2"/>
  <c r="A1567" i="2" s="1"/>
  <c r="B1567" i="2" s="1"/>
  <c r="A1493" i="2"/>
  <c r="O1499" i="2"/>
  <c r="C535" i="2"/>
  <c r="N530" i="2" s="1"/>
  <c r="N1129" i="2"/>
  <c r="F1058" i="2"/>
  <c r="C1060" i="2" s="1"/>
  <c r="N1053" i="2" s="1"/>
  <c r="F1031" i="2"/>
  <c r="C1033" i="2" s="1"/>
  <c r="N1025" i="2" s="1"/>
  <c r="N1037" i="2"/>
  <c r="F1013" i="2"/>
  <c r="C1015" i="2" s="1"/>
  <c r="N1008" i="2" s="1"/>
  <c r="F1021" i="2"/>
  <c r="C1023" i="2" s="1"/>
  <c r="N1017" i="2" s="1"/>
  <c r="G979" i="2"/>
  <c r="G980" i="2"/>
  <c r="G985" i="2"/>
  <c r="G981" i="2"/>
  <c r="G977" i="2"/>
  <c r="G998" i="2" s="1"/>
  <c r="K587" i="2"/>
  <c r="K623" i="2"/>
  <c r="J623" i="2"/>
  <c r="L608" i="2"/>
  <c r="L596" i="2"/>
  <c r="J640" i="2"/>
  <c r="K629" i="2"/>
  <c r="J629" i="2"/>
  <c r="L602" i="2"/>
  <c r="K602" i="2"/>
  <c r="J581" i="2"/>
  <c r="J587" i="2"/>
  <c r="L622" i="2"/>
  <c r="L583" i="2"/>
  <c r="J622" i="2"/>
  <c r="K613" i="2"/>
  <c r="J579" i="2"/>
  <c r="K596" i="2"/>
  <c r="L578" i="2"/>
  <c r="K645" i="2"/>
  <c r="J576" i="2"/>
  <c r="L644" i="2"/>
  <c r="J608" i="2"/>
  <c r="J566" i="2"/>
  <c r="K644" i="2"/>
  <c r="L606" i="2"/>
  <c r="L559" i="2"/>
  <c r="J606" i="2"/>
  <c r="K559" i="2"/>
  <c r="K612" i="2"/>
  <c r="J645" i="2"/>
  <c r="L640" i="2"/>
  <c r="K603" i="2"/>
  <c r="L612" i="2"/>
  <c r="K578" i="2"/>
  <c r="K640" i="2"/>
  <c r="L557" i="2"/>
  <c r="L628" i="2"/>
  <c r="J628" i="2"/>
  <c r="L597" i="2"/>
  <c r="L570" i="2"/>
  <c r="L624" i="2"/>
  <c r="J597" i="2"/>
  <c r="K586" i="2"/>
  <c r="L553" i="2"/>
  <c r="K624" i="2"/>
  <c r="L607" i="2"/>
  <c r="L585" i="2"/>
  <c r="L568" i="2"/>
  <c r="L551" i="2"/>
  <c r="J624" i="2"/>
  <c r="K607" i="2"/>
  <c r="K585" i="2"/>
  <c r="K568" i="2"/>
  <c r="K551" i="2"/>
  <c r="L639" i="2"/>
  <c r="L623" i="2"/>
  <c r="J607" i="2"/>
  <c r="J592" i="2"/>
  <c r="J585" i="2"/>
  <c r="J568" i="2"/>
  <c r="J551" i="2"/>
  <c r="J602" i="2"/>
  <c r="K557" i="2"/>
  <c r="L625" i="2"/>
  <c r="L586" i="2"/>
  <c r="J557" i="2"/>
  <c r="K570" i="2"/>
  <c r="L638" i="2"/>
  <c r="L591" i="2"/>
  <c r="L584" i="2"/>
  <c r="K549" i="2"/>
  <c r="K638" i="2"/>
  <c r="K591" i="2"/>
  <c r="K584" i="2"/>
  <c r="L564" i="2"/>
  <c r="J549" i="2"/>
  <c r="J638" i="2"/>
  <c r="L605" i="2"/>
  <c r="J584" i="2"/>
  <c r="K564" i="2"/>
  <c r="L548" i="2"/>
  <c r="L632" i="2"/>
  <c r="K605" i="2"/>
  <c r="L590" i="2"/>
  <c r="J564" i="2"/>
  <c r="K548" i="2"/>
  <c r="K632" i="2"/>
  <c r="K619" i="2"/>
  <c r="L604" i="2"/>
  <c r="K590" i="2"/>
  <c r="J582" i="2"/>
  <c r="L560" i="2"/>
  <c r="J548" i="2"/>
  <c r="L618" i="2"/>
  <c r="K604" i="2"/>
  <c r="K581" i="2"/>
  <c r="J560" i="2"/>
  <c r="J589" i="2"/>
  <c r="L547" i="2"/>
  <c r="K618" i="2"/>
  <c r="L589" i="2"/>
  <c r="J618" i="2"/>
  <c r="K589" i="2"/>
  <c r="J550" i="2"/>
  <c r="K635" i="2"/>
  <c r="J614" i="2"/>
  <c r="J598" i="2"/>
  <c r="L592" i="2"/>
  <c r="L576" i="2"/>
  <c r="K555" i="2"/>
  <c r="J635" i="2"/>
  <c r="L629" i="2"/>
  <c r="J619" i="2"/>
  <c r="L613" i="2"/>
  <c r="K608" i="2"/>
  <c r="J603" i="2"/>
  <c r="K592" i="2"/>
  <c r="K576" i="2"/>
  <c r="K560" i="2"/>
  <c r="J555" i="2"/>
  <c r="L549" i="2"/>
  <c r="L633" i="2"/>
  <c r="L617" i="2"/>
  <c r="K633" i="2"/>
  <c r="K617" i="2"/>
  <c r="J612" i="2"/>
  <c r="J596" i="2"/>
  <c r="L574" i="2"/>
  <c r="L558" i="2"/>
  <c r="K553" i="2"/>
  <c r="J633" i="2"/>
  <c r="J617" i="2"/>
  <c r="K606" i="2"/>
  <c r="L579" i="2"/>
  <c r="K574" i="2"/>
  <c r="K558" i="2"/>
  <c r="J553" i="2"/>
  <c r="J570" i="2"/>
  <c r="L616" i="2"/>
  <c r="L600" i="2"/>
  <c r="J574" i="2"/>
  <c r="L552" i="2"/>
  <c r="L554" i="2"/>
  <c r="K634" i="2"/>
  <c r="K554" i="2"/>
  <c r="L556" i="2"/>
  <c r="K639" i="2"/>
  <c r="L637" i="2"/>
  <c r="J616" i="2"/>
  <c r="L634" i="2"/>
  <c r="J634" i="2"/>
  <c r="K616" i="2"/>
  <c r="K637" i="2"/>
  <c r="J552" i="2"/>
  <c r="K610" i="2"/>
  <c r="L599" i="2"/>
  <c r="K631" i="2"/>
  <c r="L641" i="2"/>
  <c r="K636" i="2"/>
  <c r="J631" i="2"/>
  <c r="K620" i="2"/>
  <c r="J615" i="2"/>
  <c r="J599" i="2"/>
  <c r="K588" i="2"/>
  <c r="J583" i="2"/>
  <c r="K572" i="2"/>
  <c r="L561" i="2"/>
  <c r="K556" i="2"/>
  <c r="J547" i="2"/>
  <c r="K641" i="2"/>
  <c r="J636" i="2"/>
  <c r="K625" i="2"/>
  <c r="J620" i="2"/>
  <c r="L614" i="2"/>
  <c r="J604" i="2"/>
  <c r="L598" i="2"/>
  <c r="J588" i="2"/>
  <c r="L582" i="2"/>
  <c r="J572" i="2"/>
  <c r="L566" i="2"/>
  <c r="K561" i="2"/>
  <c r="J556" i="2"/>
  <c r="L550" i="2"/>
  <c r="J586" i="2"/>
  <c r="K600" i="2"/>
  <c r="L610" i="2"/>
  <c r="J600" i="2"/>
  <c r="L594" i="2"/>
  <c r="L562" i="2"/>
  <c r="L631" i="2"/>
  <c r="L615" i="2"/>
  <c r="J605" i="2"/>
  <c r="K594" i="2"/>
  <c r="K562" i="2"/>
  <c r="L636" i="2"/>
  <c r="L620" i="2"/>
  <c r="J610" i="2"/>
  <c r="K599" i="2"/>
  <c r="J594" i="2"/>
  <c r="L588" i="2"/>
  <c r="K583" i="2"/>
  <c r="J578" i="2"/>
  <c r="L572" i="2"/>
  <c r="J562" i="2"/>
  <c r="J641" i="2"/>
  <c r="L635" i="2"/>
  <c r="L619" i="2"/>
  <c r="K614" i="2"/>
  <c r="L603" i="2"/>
  <c r="K598" i="2"/>
  <c r="K582" i="2"/>
  <c r="K566" i="2"/>
  <c r="G653" i="2"/>
  <c r="G661" i="2"/>
  <c r="H661" i="2" s="1"/>
  <c r="H659" i="2"/>
  <c r="G656" i="2"/>
  <c r="H656" i="2" s="1"/>
  <c r="G655" i="2"/>
  <c r="I655" i="2" s="1"/>
  <c r="I674" i="2" s="1"/>
  <c r="G657" i="2"/>
  <c r="H657" i="2" s="1"/>
  <c r="I657" i="2"/>
  <c r="I664" i="2"/>
  <c r="I641" i="2"/>
  <c r="I627" i="2"/>
  <c r="G627" i="2"/>
  <c r="G626" i="2"/>
  <c r="H619" i="2"/>
  <c r="I595" i="2"/>
  <c r="G595" i="2"/>
  <c r="G611" i="2"/>
  <c r="I624" i="2"/>
  <c r="I615" i="2"/>
  <c r="H615" i="2"/>
  <c r="I605" i="2"/>
  <c r="G621" i="2"/>
  <c r="G630" i="2"/>
  <c r="G609" i="2"/>
  <c r="G593" i="2"/>
  <c r="I643" i="2"/>
  <c r="G643" i="2"/>
  <c r="I628" i="2"/>
  <c r="H628" i="2"/>
  <c r="I597" i="2"/>
  <c r="H597" i="2"/>
  <c r="H622" i="2"/>
  <c r="I645" i="2"/>
  <c r="H645" i="2"/>
  <c r="I644" i="2"/>
  <c r="H644" i="2"/>
  <c r="G642" i="2"/>
  <c r="I639" i="2"/>
  <c r="H639" i="2"/>
  <c r="I637" i="2"/>
  <c r="H637" i="2"/>
  <c r="H635" i="2"/>
  <c r="I632" i="2"/>
  <c r="H632" i="2"/>
  <c r="I625" i="2"/>
  <c r="H625" i="2"/>
  <c r="I622" i="2"/>
  <c r="I607" i="2"/>
  <c r="H603" i="2"/>
  <c r="H599" i="2"/>
  <c r="I613" i="2"/>
  <c r="H613" i="2"/>
  <c r="I601" i="2"/>
  <c r="G601" i="2"/>
  <c r="I591" i="2"/>
  <c r="H591" i="2"/>
  <c r="I587" i="2"/>
  <c r="H587" i="2"/>
  <c r="H582" i="2"/>
  <c r="G580" i="2"/>
  <c r="I550" i="2"/>
  <c r="H550" i="2"/>
  <c r="I593" i="2"/>
  <c r="G575" i="2"/>
  <c r="G577" i="2"/>
  <c r="G571" i="2"/>
  <c r="G573" i="2"/>
  <c r="G567" i="2"/>
  <c r="G569" i="2"/>
  <c r="G563" i="2"/>
  <c r="G646" i="2" s="1"/>
  <c r="G565" i="2"/>
  <c r="I561" i="2"/>
  <c r="H561" i="2"/>
  <c r="I581" i="2"/>
  <c r="H581" i="2"/>
  <c r="H547" i="2"/>
  <c r="I547" i="2"/>
  <c r="I555" i="2"/>
  <c r="H555" i="2"/>
  <c r="I554" i="2"/>
  <c r="H554" i="2"/>
  <c r="I590" i="2"/>
  <c r="I552" i="2"/>
  <c r="H590" i="2"/>
  <c r="H552" i="2"/>
  <c r="I579" i="2"/>
  <c r="I559" i="2"/>
  <c r="H579" i="2"/>
  <c r="H559" i="2"/>
  <c r="I558" i="2"/>
  <c r="H558" i="2"/>
  <c r="C66" i="12" l="1"/>
  <c r="K126" i="8"/>
  <c r="G176" i="8"/>
  <c r="K176" i="8" s="1"/>
  <c r="C243" i="12" s="1"/>
  <c r="B1493" i="2"/>
  <c r="G106" i="8"/>
  <c r="K106" i="8" s="1"/>
  <c r="C62" i="12" s="1"/>
  <c r="G104" i="8"/>
  <c r="K104" i="8" s="1"/>
  <c r="H653" i="2"/>
  <c r="H674" i="2" s="1"/>
  <c r="G674" i="2"/>
  <c r="G118" i="8"/>
  <c r="K118" i="8" s="1"/>
  <c r="C77" i="12" s="1"/>
  <c r="G102" i="8"/>
  <c r="K102" i="8" s="1"/>
  <c r="C48" i="12" s="1"/>
  <c r="G101" i="8"/>
  <c r="K101" i="8" s="1"/>
  <c r="C125" i="12" s="1"/>
  <c r="G100" i="8"/>
  <c r="K100" i="8" s="1"/>
  <c r="G77" i="8"/>
  <c r="K77" i="8" s="1"/>
  <c r="C131" i="12" s="1"/>
  <c r="O1801" i="2"/>
  <c r="A1801" i="2" s="1"/>
  <c r="B1801" i="2" s="1"/>
  <c r="A1661" i="2"/>
  <c r="B1661" i="2" s="1"/>
  <c r="O1667" i="2"/>
  <c r="O1617" i="2"/>
  <c r="A1617" i="2" s="1"/>
  <c r="B1617" i="2" s="1"/>
  <c r="O1573" i="2"/>
  <c r="A1573" i="2" s="1"/>
  <c r="B1573" i="2" s="1"/>
  <c r="O1505" i="2"/>
  <c r="A1499" i="2"/>
  <c r="C1002" i="2"/>
  <c r="C860" i="2"/>
  <c r="N756" i="2" s="1"/>
  <c r="H643" i="2"/>
  <c r="J643" i="2"/>
  <c r="K643" i="2"/>
  <c r="L643" i="2"/>
  <c r="H626" i="2"/>
  <c r="J626" i="2"/>
  <c r="L626" i="2"/>
  <c r="K626" i="2"/>
  <c r="I580" i="2"/>
  <c r="I646" i="2" s="1"/>
  <c r="L580" i="2"/>
  <c r="J580" i="2"/>
  <c r="K580" i="2"/>
  <c r="H627" i="2"/>
  <c r="J627" i="2"/>
  <c r="K627" i="2"/>
  <c r="L627" i="2"/>
  <c r="H577" i="2"/>
  <c r="J577" i="2"/>
  <c r="K577" i="2"/>
  <c r="L577" i="2"/>
  <c r="H611" i="2"/>
  <c r="J611" i="2"/>
  <c r="K611" i="2"/>
  <c r="L611" i="2"/>
  <c r="H593" i="2"/>
  <c r="J593" i="2"/>
  <c r="K593" i="2"/>
  <c r="L593" i="2"/>
  <c r="H563" i="2"/>
  <c r="J563" i="2"/>
  <c r="J646" i="2" s="1"/>
  <c r="K563" i="2"/>
  <c r="L563" i="2"/>
  <c r="L646" i="2" s="1"/>
  <c r="H601" i="2"/>
  <c r="J601" i="2"/>
  <c r="K601" i="2"/>
  <c r="L601" i="2"/>
  <c r="I621" i="2"/>
  <c r="K621" i="2"/>
  <c r="J621" i="2"/>
  <c r="L621" i="2"/>
  <c r="H569" i="2"/>
  <c r="H646" i="2" s="1"/>
  <c r="J569" i="2"/>
  <c r="K569" i="2"/>
  <c r="K646" i="2" s="1"/>
  <c r="L569" i="2"/>
  <c r="H642" i="2"/>
  <c r="J642" i="2"/>
  <c r="K642" i="2"/>
  <c r="L642" i="2"/>
  <c r="H567" i="2"/>
  <c r="K567" i="2"/>
  <c r="J567" i="2"/>
  <c r="L567" i="2"/>
  <c r="H573" i="2"/>
  <c r="K573" i="2"/>
  <c r="L573" i="2"/>
  <c r="J573" i="2"/>
  <c r="H575" i="2"/>
  <c r="L575" i="2"/>
  <c r="J575" i="2"/>
  <c r="K575" i="2"/>
  <c r="H595" i="2"/>
  <c r="J595" i="2"/>
  <c r="K595" i="2"/>
  <c r="L595" i="2"/>
  <c r="H609" i="2"/>
  <c r="J609" i="2"/>
  <c r="K609" i="2"/>
  <c r="L609" i="2"/>
  <c r="H565" i="2"/>
  <c r="K565" i="2"/>
  <c r="J565" i="2"/>
  <c r="L565" i="2"/>
  <c r="I630" i="2"/>
  <c r="K630" i="2"/>
  <c r="L630" i="2"/>
  <c r="J630" i="2"/>
  <c r="H571" i="2"/>
  <c r="L571" i="2"/>
  <c r="J571" i="2"/>
  <c r="K571" i="2"/>
  <c r="H655" i="2"/>
  <c r="H621" i="2"/>
  <c r="H580" i="2"/>
  <c r="H630" i="2"/>
  <c r="C648" i="2"/>
  <c r="C34" i="12" l="1"/>
  <c r="K103" i="8"/>
  <c r="B1499" i="2"/>
  <c r="G177" i="8"/>
  <c r="K177" i="8" s="1"/>
  <c r="C233" i="12" s="1"/>
  <c r="C35" i="12"/>
  <c r="K99" i="8"/>
  <c r="K98" i="8" s="1"/>
  <c r="G95" i="8"/>
  <c r="K95" i="8" s="1"/>
  <c r="C65" i="12" s="1"/>
  <c r="O1807" i="2"/>
  <c r="A1807" i="2" s="1"/>
  <c r="B1807" i="2" s="1"/>
  <c r="A1667" i="2"/>
  <c r="B1667" i="2" s="1"/>
  <c r="O1673" i="2"/>
  <c r="O1511" i="2"/>
  <c r="A1505" i="2"/>
  <c r="C1104" i="2"/>
  <c r="N1100" i="2" s="1"/>
  <c r="C1098" i="2"/>
  <c r="N1094" i="2" s="1"/>
  <c r="C1110" i="2"/>
  <c r="N1106" i="2" s="1"/>
  <c r="N544" i="2"/>
  <c r="C1092" i="2"/>
  <c r="N1088" i="2" s="1"/>
  <c r="C676" i="2"/>
  <c r="N650" i="2" s="1"/>
  <c r="C696" i="2"/>
  <c r="N694" i="2" s="1"/>
  <c r="C684" i="2"/>
  <c r="N682" i="2" s="1"/>
  <c r="C688" i="2"/>
  <c r="N686" i="2" s="1"/>
  <c r="C680" i="2"/>
  <c r="N678" i="2" s="1"/>
  <c r="C700" i="2"/>
  <c r="N698" i="2" s="1"/>
  <c r="C692" i="2"/>
  <c r="N690" i="2" s="1"/>
  <c r="B1505" i="2" l="1"/>
  <c r="G178" i="8"/>
  <c r="K178" i="8" s="1"/>
  <c r="C229" i="12" s="1"/>
  <c r="G86" i="8"/>
  <c r="K86" i="8" s="1"/>
  <c r="C31" i="12" s="1"/>
  <c r="G85" i="8"/>
  <c r="K85" i="8" s="1"/>
  <c r="C63" i="12" s="1"/>
  <c r="G80" i="8"/>
  <c r="K80" i="8" s="1"/>
  <c r="C122" i="12" s="1"/>
  <c r="G81" i="8"/>
  <c r="K81" i="8" s="1"/>
  <c r="C85" i="12" s="1"/>
  <c r="G112" i="8"/>
  <c r="K112" i="8" s="1"/>
  <c r="C89" i="12" s="1"/>
  <c r="G84" i="8"/>
  <c r="K84" i="8" s="1"/>
  <c r="C29" i="12" s="1"/>
  <c r="G83" i="8"/>
  <c r="K83" i="8" s="1"/>
  <c r="C42" i="12" s="1"/>
  <c r="G82" i="8"/>
  <c r="K82" i="8" s="1"/>
  <c r="C68" i="12" s="1"/>
  <c r="G79" i="8"/>
  <c r="K79" i="8" s="1"/>
  <c r="C57" i="12" s="1"/>
  <c r="G114" i="8"/>
  <c r="K114" i="8" s="1"/>
  <c r="C32" i="12" s="1"/>
  <c r="G113" i="8"/>
  <c r="K113" i="8" s="1"/>
  <c r="C27" i="12" s="1"/>
  <c r="G111" i="8"/>
  <c r="K111" i="8" s="1"/>
  <c r="O1813" i="2"/>
  <c r="A1813" i="2" s="1"/>
  <c r="B1813" i="2" s="1"/>
  <c r="A1673" i="2"/>
  <c r="B1673" i="2" s="1"/>
  <c r="O1679" i="2"/>
  <c r="O1517" i="2"/>
  <c r="A1511" i="2"/>
  <c r="E517" i="2"/>
  <c r="G517" i="2" s="1"/>
  <c r="E516" i="2"/>
  <c r="G516" i="2" s="1"/>
  <c r="E515" i="2"/>
  <c r="G515" i="2" s="1"/>
  <c r="E513" i="2"/>
  <c r="G513" i="2" s="1"/>
  <c r="E509" i="2"/>
  <c r="G509" i="2" s="1"/>
  <c r="E510" i="2"/>
  <c r="G510" i="2" s="1"/>
  <c r="E507" i="2"/>
  <c r="G507" i="2" s="1"/>
  <c r="E492" i="2"/>
  <c r="G492" i="2" s="1"/>
  <c r="E491" i="2"/>
  <c r="G491" i="2" s="1"/>
  <c r="E484" i="2"/>
  <c r="G484" i="2" s="1"/>
  <c r="E479" i="2"/>
  <c r="G479" i="2" s="1"/>
  <c r="E477" i="2"/>
  <c r="G477" i="2" s="1"/>
  <c r="E512" i="2"/>
  <c r="G512" i="2" s="1"/>
  <c r="E505" i="2"/>
  <c r="G505" i="2" s="1"/>
  <c r="E504" i="2"/>
  <c r="G504" i="2" s="1"/>
  <c r="E501" i="2"/>
  <c r="G501" i="2" s="1"/>
  <c r="E497" i="2"/>
  <c r="G497" i="2" s="1"/>
  <c r="E494" i="2"/>
  <c r="G494" i="2" s="1"/>
  <c r="E476" i="2"/>
  <c r="G476" i="2" s="1"/>
  <c r="E473" i="2"/>
  <c r="G473" i="2" s="1"/>
  <c r="E470" i="2"/>
  <c r="G470" i="2" s="1"/>
  <c r="E467" i="2"/>
  <c r="G467" i="2" s="1"/>
  <c r="E463" i="2"/>
  <c r="G463" i="2" s="1"/>
  <c r="E502" i="2"/>
  <c r="G502" i="2" s="1"/>
  <c r="E499" i="2"/>
  <c r="G499" i="2" s="1"/>
  <c r="E495" i="2"/>
  <c r="G495" i="2" s="1"/>
  <c r="E489" i="2"/>
  <c r="G489" i="2" s="1"/>
  <c r="E474" i="2"/>
  <c r="G474" i="2" s="1"/>
  <c r="E471" i="2"/>
  <c r="G471" i="2" s="1"/>
  <c r="E468" i="2"/>
  <c r="G468" i="2" s="1"/>
  <c r="E465" i="2"/>
  <c r="G465" i="2" s="1"/>
  <c r="E461" i="2"/>
  <c r="G461" i="2" s="1"/>
  <c r="E460" i="2"/>
  <c r="G460" i="2" s="1"/>
  <c r="E487" i="2"/>
  <c r="G487" i="2" s="1"/>
  <c r="E458" i="2"/>
  <c r="G458" i="2" s="1"/>
  <c r="E457" i="2"/>
  <c r="G457" i="2" s="1"/>
  <c r="E455" i="2"/>
  <c r="G455" i="2" s="1"/>
  <c r="E452" i="2"/>
  <c r="G452" i="2" s="1"/>
  <c r="G511" i="2"/>
  <c r="G508" i="2"/>
  <c r="G506" i="2"/>
  <c r="G503" i="2"/>
  <c r="G500" i="2"/>
  <c r="G488" i="2"/>
  <c r="G490" i="2"/>
  <c r="G493" i="2"/>
  <c r="G496" i="2"/>
  <c r="G498" i="2"/>
  <c r="G486" i="2"/>
  <c r="G485" i="2"/>
  <c r="G483" i="2"/>
  <c r="G482" i="2"/>
  <c r="G481" i="2"/>
  <c r="G475" i="2"/>
  <c r="G469" i="2"/>
  <c r="G472" i="2"/>
  <c r="G478" i="2"/>
  <c r="G453" i="2"/>
  <c r="G454" i="2"/>
  <c r="G456" i="2"/>
  <c r="G459" i="2"/>
  <c r="G462" i="2"/>
  <c r="G464" i="2"/>
  <c r="G466" i="2"/>
  <c r="G480" i="2"/>
  <c r="C724" i="2"/>
  <c r="E724" i="2" s="1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05" i="2"/>
  <c r="G196" i="8" l="1"/>
  <c r="G209" i="8"/>
  <c r="G198" i="8"/>
  <c r="G180" i="8"/>
  <c r="G194" i="8"/>
  <c r="G206" i="8"/>
  <c r="G181" i="8"/>
  <c r="B1511" i="2"/>
  <c r="G186" i="8"/>
  <c r="G189" i="8"/>
  <c r="G188" i="8"/>
  <c r="G208" i="8"/>
  <c r="G193" i="8"/>
  <c r="G201" i="8"/>
  <c r="C58" i="12"/>
  <c r="K110" i="8"/>
  <c r="O1819" i="2"/>
  <c r="A1819" i="2" s="1"/>
  <c r="B1819" i="2" s="1"/>
  <c r="O1685" i="2"/>
  <c r="A1679" i="2"/>
  <c r="B1679" i="2" s="1"/>
  <c r="O1523" i="2"/>
  <c r="A1523" i="2" s="1"/>
  <c r="B1523" i="2" s="1"/>
  <c r="A1517" i="2"/>
  <c r="G184" i="8" s="1"/>
  <c r="G526" i="2"/>
  <c r="C528" i="2" s="1"/>
  <c r="N449" i="2" s="1"/>
  <c r="D724" i="2"/>
  <c r="F724" i="2"/>
  <c r="G76" i="8" l="1"/>
  <c r="K76" i="8" s="1"/>
  <c r="B1517" i="2"/>
  <c r="G185" i="8"/>
  <c r="K185" i="8" s="1"/>
  <c r="C136" i="12" s="1"/>
  <c r="G203" i="8"/>
  <c r="K203" i="8" s="1"/>
  <c r="C192" i="12" s="1"/>
  <c r="G200" i="8"/>
  <c r="K189" i="8"/>
  <c r="C161" i="12" s="1"/>
  <c r="K208" i="8"/>
  <c r="C246" i="12" s="1"/>
  <c r="K180" i="8"/>
  <c r="C244" i="12" s="1"/>
  <c r="K201" i="8"/>
  <c r="C132" i="12" s="1"/>
  <c r="K196" i="8"/>
  <c r="C213" i="12" s="1"/>
  <c r="K209" i="8"/>
  <c r="C201" i="12" s="1"/>
  <c r="K198" i="8"/>
  <c r="C248" i="12" s="1"/>
  <c r="O1825" i="2"/>
  <c r="A1825" i="2" s="1"/>
  <c r="B1825" i="2" s="1"/>
  <c r="O1691" i="2"/>
  <c r="A1685" i="2"/>
  <c r="C723" i="2"/>
  <c r="C433" i="2"/>
  <c r="N431" i="2" s="1"/>
  <c r="D424" i="2"/>
  <c r="D423" i="2"/>
  <c r="D422" i="2"/>
  <c r="D252" i="2"/>
  <c r="F252" i="2" s="1"/>
  <c r="D268" i="2"/>
  <c r="F268" i="2" s="1"/>
  <c r="D269" i="2"/>
  <c r="F269" i="2" s="1"/>
  <c r="D270" i="2"/>
  <c r="F270" i="2" s="1"/>
  <c r="D271" i="2"/>
  <c r="F271" i="2" s="1"/>
  <c r="D272" i="2"/>
  <c r="F272" i="2" s="1"/>
  <c r="D273" i="2"/>
  <c r="F273" i="2" s="1"/>
  <c r="D274" i="2"/>
  <c r="F274" i="2" s="1"/>
  <c r="D242" i="2"/>
  <c r="G242" i="2" s="1"/>
  <c r="D241" i="2"/>
  <c r="G241" i="2" s="1"/>
  <c r="D240" i="2"/>
  <c r="G240" i="2" s="1"/>
  <c r="D239" i="2"/>
  <c r="G239" i="2" s="1"/>
  <c r="D238" i="2"/>
  <c r="G238" i="2" s="1"/>
  <c r="D237" i="2"/>
  <c r="G237" i="2" s="1"/>
  <c r="D236" i="2"/>
  <c r="G236" i="2" s="1"/>
  <c r="D220" i="2"/>
  <c r="G220" i="2" s="1"/>
  <c r="C283" i="2"/>
  <c r="N281" i="2" s="1"/>
  <c r="C211" i="2"/>
  <c r="C215" i="2" s="1"/>
  <c r="N213" i="2" s="1"/>
  <c r="D192" i="2"/>
  <c r="D191" i="2"/>
  <c r="D190" i="2"/>
  <c r="C185" i="2"/>
  <c r="N183" i="2" s="1"/>
  <c r="F179" i="2"/>
  <c r="H179" i="2" s="1"/>
  <c r="E175" i="2"/>
  <c r="G175" i="2" s="1"/>
  <c r="F168" i="2"/>
  <c r="H168" i="2" s="1"/>
  <c r="C170" i="2" s="1"/>
  <c r="N165" i="2" s="1"/>
  <c r="C163" i="2"/>
  <c r="N161" i="2" s="1"/>
  <c r="C159" i="2"/>
  <c r="N157" i="2" s="1"/>
  <c r="D144" i="2"/>
  <c r="D143" i="2"/>
  <c r="D288" i="2"/>
  <c r="F127" i="2"/>
  <c r="C139" i="2" s="1"/>
  <c r="N137" i="2" s="1"/>
  <c r="D124" i="2"/>
  <c r="D123" i="2"/>
  <c r="E110" i="2"/>
  <c r="F118" i="2"/>
  <c r="D110" i="2"/>
  <c r="D109" i="2"/>
  <c r="D108" i="2"/>
  <c r="D107" i="2"/>
  <c r="D106" i="2"/>
  <c r="D103" i="2"/>
  <c r="D102" i="2"/>
  <c r="D101" i="2"/>
  <c r="D100" i="2"/>
  <c r="D99" i="2"/>
  <c r="D98" i="2"/>
  <c r="D97" i="2"/>
  <c r="E389" i="2"/>
  <c r="C417" i="2" s="1"/>
  <c r="C389" i="2"/>
  <c r="C409" i="2" s="1"/>
  <c r="D384" i="2"/>
  <c r="D383" i="2"/>
  <c r="D382" i="2"/>
  <c r="D381" i="2"/>
  <c r="D380" i="2"/>
  <c r="D379" i="2"/>
  <c r="D378" i="2"/>
  <c r="D377" i="2"/>
  <c r="D376" i="2"/>
  <c r="C371" i="2"/>
  <c r="N369" i="2" s="1"/>
  <c r="C363" i="2"/>
  <c r="C367" i="2" s="1"/>
  <c r="N365" i="2" s="1"/>
  <c r="D342" i="2"/>
  <c r="D341" i="2"/>
  <c r="D340" i="2"/>
  <c r="D339" i="2"/>
  <c r="D338" i="2"/>
  <c r="D337" i="2"/>
  <c r="D336" i="2"/>
  <c r="D335" i="2"/>
  <c r="C23" i="12" l="1"/>
  <c r="K75" i="8"/>
  <c r="G36" i="8"/>
  <c r="K36" i="8" s="1"/>
  <c r="C26" i="12" s="1"/>
  <c r="G50" i="8"/>
  <c r="K50" i="8" s="1"/>
  <c r="C71" i="12" s="1"/>
  <c r="G42" i="8"/>
  <c r="K42" i="8" s="1"/>
  <c r="C100" i="12" s="1"/>
  <c r="G53" i="8"/>
  <c r="K53" i="8" s="1"/>
  <c r="C39" i="12" s="1"/>
  <c r="G41" i="8"/>
  <c r="K41" i="8" s="1"/>
  <c r="C79" i="12" s="1"/>
  <c r="G44" i="8"/>
  <c r="K44" i="8" s="1"/>
  <c r="C60" i="12" s="1"/>
  <c r="G60" i="8"/>
  <c r="K60" i="8" s="1"/>
  <c r="C84" i="12" s="1"/>
  <c r="C726" i="2"/>
  <c r="G71" i="8"/>
  <c r="K71" i="8" s="1"/>
  <c r="C20" i="12" s="1"/>
  <c r="G61" i="8"/>
  <c r="K61" i="8" s="1"/>
  <c r="C37" i="12" s="1"/>
  <c r="G40" i="8"/>
  <c r="K40" i="8" s="1"/>
  <c r="C64" i="12" s="1"/>
  <c r="B1685" i="2"/>
  <c r="O1831" i="2"/>
  <c r="A1831" i="2" s="1"/>
  <c r="B1831" i="2" s="1"/>
  <c r="O1697" i="2"/>
  <c r="A1691" i="2"/>
  <c r="B1691" i="2" s="1"/>
  <c r="F723" i="2"/>
  <c r="F726" i="2" s="1"/>
  <c r="E723" i="2"/>
  <c r="E726" i="2" s="1"/>
  <c r="D723" i="2"/>
  <c r="F725" i="2"/>
  <c r="E725" i="2"/>
  <c r="D725" i="2"/>
  <c r="N1114" i="2"/>
  <c r="C277" i="2"/>
  <c r="C245" i="2"/>
  <c r="N209" i="2"/>
  <c r="C181" i="2"/>
  <c r="N172" i="2" s="1"/>
  <c r="N415" i="2"/>
  <c r="C413" i="2"/>
  <c r="N411" i="2" s="1"/>
  <c r="N407" i="2"/>
  <c r="N361" i="2"/>
  <c r="C82" i="2"/>
  <c r="C86" i="2" s="1"/>
  <c r="C92" i="2" s="1"/>
  <c r="N88" i="2" s="1"/>
  <c r="C73" i="2"/>
  <c r="C76" i="2" s="1"/>
  <c r="C53" i="2"/>
  <c r="N44" i="2" s="1"/>
  <c r="C57" i="2"/>
  <c r="C60" i="2" s="1"/>
  <c r="N55" i="2" s="1"/>
  <c r="N40" i="2"/>
  <c r="F330" i="2"/>
  <c r="E325" i="2"/>
  <c r="C325" i="2"/>
  <c r="D302" i="2"/>
  <c r="D303" i="2"/>
  <c r="D304" i="2"/>
  <c r="D305" i="2"/>
  <c r="D306" i="2"/>
  <c r="D307" i="2"/>
  <c r="D298" i="2"/>
  <c r="D299" i="2"/>
  <c r="D300" i="2"/>
  <c r="D301" i="2"/>
  <c r="D297" i="2"/>
  <c r="D296" i="2"/>
  <c r="D289" i="2"/>
  <c r="D290" i="2"/>
  <c r="D291" i="2"/>
  <c r="D292" i="2"/>
  <c r="D293" i="2"/>
  <c r="D294" i="2"/>
  <c r="D295" i="2"/>
  <c r="D314" i="2"/>
  <c r="D313" i="2"/>
  <c r="D312" i="2"/>
  <c r="D311" i="2"/>
  <c r="F423" i="2" s="1"/>
  <c r="G423" i="2" s="1"/>
  <c r="C441" i="2" s="1"/>
  <c r="N439" i="2" s="1"/>
  <c r="D310" i="2"/>
  <c r="A15" i="14"/>
  <c r="L12" i="8"/>
  <c r="I12" i="10" s="1"/>
  <c r="L11" i="2" s="1"/>
  <c r="J12" i="5" s="1"/>
  <c r="M12" i="14" s="1"/>
  <c r="G12" i="12" s="1"/>
  <c r="I13" i="16" s="1"/>
  <c r="L11" i="8"/>
  <c r="I11" i="10" s="1"/>
  <c r="L10" i="2" s="1"/>
  <c r="J11" i="5" s="1"/>
  <c r="M11" i="14" s="1"/>
  <c r="G11" i="12" s="1"/>
  <c r="I12" i="16" s="1"/>
  <c r="L10" i="8"/>
  <c r="I10" i="10" s="1"/>
  <c r="L9" i="2" s="1"/>
  <c r="J10" i="5" s="1"/>
  <c r="M10" i="14" s="1"/>
  <c r="G10" i="12" s="1"/>
  <c r="I11" i="16" s="1"/>
  <c r="N2200" i="2"/>
  <c r="G25" i="8" l="1"/>
  <c r="K25" i="8" s="1"/>
  <c r="C148" i="12" s="1"/>
  <c r="G43" i="8"/>
  <c r="K43" i="8" s="1"/>
  <c r="C112" i="12" s="1"/>
  <c r="G116" i="8"/>
  <c r="K116" i="8" s="1"/>
  <c r="G31" i="8"/>
  <c r="K31" i="8" s="1"/>
  <c r="C94" i="12" s="1"/>
  <c r="G59" i="8"/>
  <c r="K59" i="8" s="1"/>
  <c r="C69" i="12" s="1"/>
  <c r="G67" i="8"/>
  <c r="K67" i="8" s="1"/>
  <c r="C41" i="12" s="1"/>
  <c r="G68" i="8"/>
  <c r="K68" i="8" s="1"/>
  <c r="C49" i="12" s="1"/>
  <c r="G69" i="8"/>
  <c r="K69" i="8" s="1"/>
  <c r="C30" i="12" s="1"/>
  <c r="G49" i="8"/>
  <c r="K49" i="8" s="1"/>
  <c r="C52" i="12" s="1"/>
  <c r="G179" i="8"/>
  <c r="K179" i="8" s="1"/>
  <c r="C178" i="12" s="1"/>
  <c r="G205" i="8"/>
  <c r="K205" i="8" s="1"/>
  <c r="C206" i="12" s="1"/>
  <c r="G190" i="8"/>
  <c r="K190" i="8" s="1"/>
  <c r="C225" i="12" s="1"/>
  <c r="G195" i="8"/>
  <c r="K195" i="8" s="1"/>
  <c r="C234" i="12" s="1"/>
  <c r="G187" i="8"/>
  <c r="K187" i="8" s="1"/>
  <c r="C215" i="12" s="1"/>
  <c r="G204" i="8"/>
  <c r="K204" i="8" s="1"/>
  <c r="C241" i="12" s="1"/>
  <c r="G183" i="8"/>
  <c r="K183" i="8" s="1"/>
  <c r="C168" i="12" s="1"/>
  <c r="G202" i="8"/>
  <c r="K202" i="8" s="1"/>
  <c r="C235" i="12" s="1"/>
  <c r="G207" i="8"/>
  <c r="K207" i="8" s="1"/>
  <c r="C188" i="12" s="1"/>
  <c r="G192" i="8"/>
  <c r="K192" i="8" s="1"/>
  <c r="C169" i="12" s="1"/>
  <c r="G211" i="8"/>
  <c r="K211" i="8" s="1"/>
  <c r="C219" i="12" s="1"/>
  <c r="G197" i="8"/>
  <c r="K197" i="8" s="1"/>
  <c r="C173" i="12" s="1"/>
  <c r="G210" i="8"/>
  <c r="K210" i="8" s="1"/>
  <c r="C237" i="12" s="1"/>
  <c r="G24" i="8"/>
  <c r="K24" i="8" s="1"/>
  <c r="C53" i="12" s="1"/>
  <c r="G73" i="8"/>
  <c r="K73" i="8" s="1"/>
  <c r="C72" i="12" s="1"/>
  <c r="G26" i="8"/>
  <c r="K26" i="8" s="1"/>
  <c r="C146" i="12" s="1"/>
  <c r="D726" i="2"/>
  <c r="C746" i="2" s="1"/>
  <c r="N744" i="2" s="1"/>
  <c r="K184" i="8"/>
  <c r="C164" i="12" s="1"/>
  <c r="K188" i="8"/>
  <c r="C196" i="12" s="1"/>
  <c r="K194" i="8"/>
  <c r="C221" i="12" s="1"/>
  <c r="K193" i="8"/>
  <c r="C150" i="12" s="1"/>
  <c r="K186" i="8"/>
  <c r="C211" i="12" s="1"/>
  <c r="K181" i="8"/>
  <c r="C226" i="12" s="1"/>
  <c r="K206" i="8"/>
  <c r="C183" i="12" s="1"/>
  <c r="K200" i="8"/>
  <c r="C158" i="12" s="1"/>
  <c r="O1837" i="2"/>
  <c r="A1837" i="2" s="1"/>
  <c r="B1837" i="2" s="1"/>
  <c r="A1697" i="2"/>
  <c r="O1703" i="2"/>
  <c r="C1175" i="2"/>
  <c r="N1171" i="2" s="1"/>
  <c r="C1169" i="2"/>
  <c r="N1165" i="2" s="1"/>
  <c r="C1163" i="2"/>
  <c r="C738" i="2"/>
  <c r="N736" i="2" s="1"/>
  <c r="C742" i="2"/>
  <c r="N740" i="2" s="1"/>
  <c r="C750" i="2"/>
  <c r="N748" i="2" s="1"/>
  <c r="N1000" i="2"/>
  <c r="C734" i="2"/>
  <c r="N732" i="2" s="1"/>
  <c r="C730" i="2"/>
  <c r="N728" i="2" s="1"/>
  <c r="F422" i="2"/>
  <c r="G422" i="2" s="1"/>
  <c r="C437" i="2" s="1"/>
  <c r="N435" i="2" s="1"/>
  <c r="F424" i="2"/>
  <c r="G424" i="2" s="1"/>
  <c r="C445" i="2" s="1"/>
  <c r="N443" i="2" s="1"/>
  <c r="N217" i="2"/>
  <c r="C249" i="2"/>
  <c r="C279" i="2" s="1"/>
  <c r="N247" i="2" s="1"/>
  <c r="F288" i="2"/>
  <c r="G288" i="2" s="1"/>
  <c r="F190" i="2"/>
  <c r="G190" i="2" s="1"/>
  <c r="C199" i="2" s="1"/>
  <c r="N197" i="2" s="1"/>
  <c r="F144" i="2"/>
  <c r="F191" i="2"/>
  <c r="G191" i="2" s="1"/>
  <c r="C203" i="2" s="1"/>
  <c r="N201" i="2" s="1"/>
  <c r="F124" i="2"/>
  <c r="G124" i="2" s="1"/>
  <c r="C135" i="2" s="1"/>
  <c r="N133" i="2" s="1"/>
  <c r="F192" i="2"/>
  <c r="G192" i="2" s="1"/>
  <c r="C207" i="2" s="1"/>
  <c r="N205" i="2" s="1"/>
  <c r="F123" i="2"/>
  <c r="G123" i="2" s="1"/>
  <c r="C131" i="2" s="1"/>
  <c r="N129" i="2" s="1"/>
  <c r="F143" i="2"/>
  <c r="G143" i="2" s="1"/>
  <c r="C151" i="2" s="1"/>
  <c r="N149" i="2" s="1"/>
  <c r="F102" i="2"/>
  <c r="G102" i="2" s="1"/>
  <c r="F100" i="2"/>
  <c r="G100" i="2" s="1"/>
  <c r="F98" i="2"/>
  <c r="G98" i="2" s="1"/>
  <c r="F103" i="2"/>
  <c r="G103" i="2" s="1"/>
  <c r="F101" i="2"/>
  <c r="G101" i="2" s="1"/>
  <c r="E106" i="2" s="1"/>
  <c r="F99" i="2"/>
  <c r="G99" i="2" s="1"/>
  <c r="F97" i="2"/>
  <c r="G97" i="2" s="1"/>
  <c r="F380" i="2"/>
  <c r="G380" i="2" s="1"/>
  <c r="F384" i="2"/>
  <c r="G384" i="2" s="1"/>
  <c r="F381" i="2"/>
  <c r="G381" i="2" s="1"/>
  <c r="C405" i="2" s="1"/>
  <c r="N403" i="2" s="1"/>
  <c r="F378" i="2"/>
  <c r="G378" i="2" s="1"/>
  <c r="F382" i="2"/>
  <c r="G382" i="2" s="1"/>
  <c r="F376" i="2"/>
  <c r="G376" i="2" s="1"/>
  <c r="F379" i="2"/>
  <c r="G379" i="2" s="1"/>
  <c r="F377" i="2"/>
  <c r="G377" i="2" s="1"/>
  <c r="F383" i="2"/>
  <c r="G383" i="2" s="1"/>
  <c r="F289" i="2"/>
  <c r="G289" i="2" s="1"/>
  <c r="F336" i="2"/>
  <c r="G336" i="2" s="1"/>
  <c r="F341" i="2"/>
  <c r="G341" i="2" s="1"/>
  <c r="F338" i="2"/>
  <c r="G338" i="2" s="1"/>
  <c r="F297" i="2"/>
  <c r="G297" i="2" s="1"/>
  <c r="F342" i="2"/>
  <c r="G342" i="2" s="1"/>
  <c r="F339" i="2"/>
  <c r="G339" i="2" s="1"/>
  <c r="F290" i="2"/>
  <c r="G290" i="2" s="1"/>
  <c r="F337" i="2"/>
  <c r="G337" i="2" s="1"/>
  <c r="F335" i="2"/>
  <c r="G335" i="2" s="1"/>
  <c r="F340" i="2"/>
  <c r="G340" i="2" s="1"/>
  <c r="F291" i="2"/>
  <c r="G291" i="2" s="1"/>
  <c r="F307" i="2"/>
  <c r="G307" i="2" s="1"/>
  <c r="F306" i="2"/>
  <c r="G306" i="2" s="1"/>
  <c r="F304" i="2"/>
  <c r="G304" i="2" s="1"/>
  <c r="F305" i="2"/>
  <c r="G305" i="2" s="1"/>
  <c r="F301" i="2"/>
  <c r="G301" i="2" s="1"/>
  <c r="F303" i="2"/>
  <c r="G303" i="2" s="1"/>
  <c r="F302" i="2"/>
  <c r="G302" i="2" s="1"/>
  <c r="F300" i="2"/>
  <c r="G300" i="2" s="1"/>
  <c r="F295" i="2"/>
  <c r="G295" i="2" s="1"/>
  <c r="F299" i="2"/>
  <c r="G299" i="2" s="1"/>
  <c r="F293" i="2"/>
  <c r="G293" i="2" s="1"/>
  <c r="F298" i="2"/>
  <c r="G298" i="2" s="1"/>
  <c r="F296" i="2"/>
  <c r="G296" i="2" s="1"/>
  <c r="F292" i="2"/>
  <c r="G292" i="2" s="1"/>
  <c r="F294" i="2"/>
  <c r="G294" i="2" s="1"/>
  <c r="C18" i="12" l="1"/>
  <c r="K115" i="8"/>
  <c r="G51" i="8"/>
  <c r="K51" i="8" s="1"/>
  <c r="C104" i="12" s="1"/>
  <c r="B1697" i="2"/>
  <c r="G72" i="8"/>
  <c r="K72" i="8" s="1"/>
  <c r="G38" i="8"/>
  <c r="K38" i="8" s="1"/>
  <c r="C102" i="12" s="1"/>
  <c r="G34" i="8"/>
  <c r="K34" i="8" s="1"/>
  <c r="G46" i="8"/>
  <c r="K46" i="8" s="1"/>
  <c r="G52" i="8"/>
  <c r="K52" i="8" s="1"/>
  <c r="C142" i="12" s="1"/>
  <c r="G74" i="8"/>
  <c r="K74" i="8" s="1"/>
  <c r="C176" i="12" s="1"/>
  <c r="G212" i="8"/>
  <c r="K212" i="8" s="1"/>
  <c r="C210" i="12" s="1"/>
  <c r="G48" i="8"/>
  <c r="K48" i="8" s="1"/>
  <c r="C97" i="12" s="1"/>
  <c r="G47" i="8"/>
  <c r="K47" i="8" s="1"/>
  <c r="C82" i="12" s="1"/>
  <c r="G66" i="8"/>
  <c r="K66" i="8" s="1"/>
  <c r="C162" i="12" s="1"/>
  <c r="G35" i="8"/>
  <c r="K35" i="8" s="1"/>
  <c r="C70" i="12" s="1"/>
  <c r="G144" i="2"/>
  <c r="C155" i="2" s="1"/>
  <c r="N153" i="2" s="1"/>
  <c r="G97" i="8"/>
  <c r="K97" i="8" s="1"/>
  <c r="G93" i="8"/>
  <c r="K93" i="8" s="1"/>
  <c r="C107" i="12" s="1"/>
  <c r="G92" i="8"/>
  <c r="K92" i="8" s="1"/>
  <c r="C92" i="12" s="1"/>
  <c r="G88" i="8"/>
  <c r="K88" i="8" s="1"/>
  <c r="C138" i="12" s="1"/>
  <c r="G91" i="8"/>
  <c r="K91" i="8" s="1"/>
  <c r="C28" i="12" s="1"/>
  <c r="G90" i="8"/>
  <c r="K90" i="8" s="1"/>
  <c r="C44" i="12" s="1"/>
  <c r="G122" i="8"/>
  <c r="K122" i="8" s="1"/>
  <c r="C43" i="12" s="1"/>
  <c r="G123" i="8"/>
  <c r="K123" i="8" s="1"/>
  <c r="C45" i="12" s="1"/>
  <c r="G89" i="8"/>
  <c r="K89" i="8" s="1"/>
  <c r="C103" i="12" s="1"/>
  <c r="K182" i="8"/>
  <c r="K170" i="8"/>
  <c r="K191" i="8"/>
  <c r="O1843" i="2"/>
  <c r="A1843" i="2" s="1"/>
  <c r="B1843" i="2" s="1"/>
  <c r="A1703" i="2"/>
  <c r="O1709" i="2"/>
  <c r="N1159" i="2"/>
  <c r="C2192" i="2"/>
  <c r="C2194" i="2" s="1"/>
  <c r="C754" i="2"/>
  <c r="N752" i="2" s="1"/>
  <c r="C393" i="2"/>
  <c r="C397" i="2"/>
  <c r="N395" i="2" s="1"/>
  <c r="C401" i="2"/>
  <c r="N399" i="2" s="1"/>
  <c r="E108" i="2"/>
  <c r="G104" i="2"/>
  <c r="E107" i="2"/>
  <c r="E109" i="2"/>
  <c r="C359" i="2"/>
  <c r="N357" i="2" s="1"/>
  <c r="C355" i="2"/>
  <c r="N353" i="2" s="1"/>
  <c r="C351" i="2"/>
  <c r="N349" i="2" s="1"/>
  <c r="E314" i="2"/>
  <c r="E311" i="2"/>
  <c r="E313" i="2"/>
  <c r="E310" i="2"/>
  <c r="E312" i="2"/>
  <c r="C130" i="12" l="1"/>
  <c r="K33" i="8"/>
  <c r="C208" i="12"/>
  <c r="K70" i="8"/>
  <c r="C88" i="12"/>
  <c r="K45" i="8"/>
  <c r="G39" i="8"/>
  <c r="K39" i="8" s="1"/>
  <c r="G56" i="8"/>
  <c r="K56" i="8" s="1"/>
  <c r="G65" i="8"/>
  <c r="K65" i="8" s="1"/>
  <c r="C115" i="12" s="1"/>
  <c r="G64" i="8"/>
  <c r="K64" i="8" s="1"/>
  <c r="C75" i="12" s="1"/>
  <c r="G213" i="8"/>
  <c r="K213" i="8" s="1"/>
  <c r="C194" i="12" s="1"/>
  <c r="B1703" i="2"/>
  <c r="G57" i="8"/>
  <c r="K57" i="8" s="1"/>
  <c r="C51" i="12" s="1"/>
  <c r="G58" i="8"/>
  <c r="K58" i="8" s="1"/>
  <c r="C151" i="12" s="1"/>
  <c r="K96" i="8"/>
  <c r="C38" i="12"/>
  <c r="G94" i="8"/>
  <c r="K94" i="8" s="1"/>
  <c r="G121" i="8"/>
  <c r="K121" i="8" s="1"/>
  <c r="N2185" i="2"/>
  <c r="O1849" i="2"/>
  <c r="A1849" i="2" s="1"/>
  <c r="B1849" i="2" s="1"/>
  <c r="O1715" i="2"/>
  <c r="A1709" i="2"/>
  <c r="E111" i="2"/>
  <c r="G105" i="2" s="1"/>
  <c r="N391" i="2"/>
  <c r="K19" i="5"/>
  <c r="C76" i="12" l="1"/>
  <c r="K55" i="8"/>
  <c r="C118" i="12"/>
  <c r="K37" i="8"/>
  <c r="K32" i="8" s="1"/>
  <c r="G214" i="8"/>
  <c r="K214" i="8" s="1"/>
  <c r="C240" i="12" s="1"/>
  <c r="G63" i="8"/>
  <c r="K63" i="8" s="1"/>
  <c r="B1709" i="2"/>
  <c r="C22" i="12"/>
  <c r="K87" i="8"/>
  <c r="K120" i="8"/>
  <c r="C25" i="12"/>
  <c r="O1855" i="2"/>
  <c r="A1855" i="2" s="1"/>
  <c r="B1855" i="2" s="1"/>
  <c r="O1721" i="2"/>
  <c r="A1715" i="2"/>
  <c r="K44" i="5"/>
  <c r="K41" i="5"/>
  <c r="K42" i="5"/>
  <c r="K43" i="5"/>
  <c r="K45" i="5"/>
  <c r="K62" i="8" l="1"/>
  <c r="K54" i="8" s="1"/>
  <c r="C91" i="12"/>
  <c r="B1715" i="2"/>
  <c r="G215" i="8"/>
  <c r="K215" i="8" s="1"/>
  <c r="C160" i="12" s="1"/>
  <c r="O1861" i="2"/>
  <c r="A1861" i="2" s="1"/>
  <c r="B1861" i="2" s="1"/>
  <c r="A1721" i="2"/>
  <c r="O1727" i="2"/>
  <c r="B1721" i="2" l="1"/>
  <c r="G216" i="8"/>
  <c r="K216" i="8" s="1"/>
  <c r="C249" i="12" s="1"/>
  <c r="G217" i="8"/>
  <c r="O1867" i="2"/>
  <c r="A1867" i="2" s="1"/>
  <c r="B1867" i="2" s="1"/>
  <c r="O1733" i="2"/>
  <c r="A1727" i="2"/>
  <c r="D32" i="16"/>
  <c r="D30" i="16"/>
  <c r="D28" i="16"/>
  <c r="D26" i="16"/>
  <c r="D24" i="16"/>
  <c r="L40" i="5"/>
  <c r="N19" i="2"/>
  <c r="G19" i="8" l="1"/>
  <c r="K19" i="8" s="1"/>
  <c r="K18" i="8" s="1"/>
  <c r="B1727" i="2"/>
  <c r="K217" i="8"/>
  <c r="C186" i="12" s="1"/>
  <c r="O1873" i="2"/>
  <c r="A1873" i="2" s="1"/>
  <c r="B1873" i="2" s="1"/>
  <c r="O1739" i="2"/>
  <c r="A1733" i="2"/>
  <c r="B19" i="12"/>
  <c r="B1733" i="2" l="1"/>
  <c r="O1879" i="2"/>
  <c r="A1879" i="2" s="1"/>
  <c r="B1879" i="2" s="1"/>
  <c r="O1745" i="2"/>
  <c r="A1739" i="2"/>
  <c r="B1739" i="2" s="1"/>
  <c r="F22" i="5"/>
  <c r="I18" i="5" s="1"/>
  <c r="K33" i="16"/>
  <c r="K29" i="16"/>
  <c r="K27" i="16"/>
  <c r="O1885" i="2" l="1"/>
  <c r="A1885" i="2" s="1"/>
  <c r="B1885" i="2" s="1"/>
  <c r="O1751" i="2"/>
  <c r="A1745" i="2"/>
  <c r="B1745" i="2" s="1"/>
  <c r="K18" i="5"/>
  <c r="O1891" i="2" l="1"/>
  <c r="A1891" i="2" s="1"/>
  <c r="B1891" i="2" s="1"/>
  <c r="O1757" i="2"/>
  <c r="A1757" i="2" s="1"/>
  <c r="B1757" i="2" s="1"/>
  <c r="A1751" i="2"/>
  <c r="B1751" i="2" s="1"/>
  <c r="K40" i="5"/>
  <c r="M40" i="5" s="1"/>
  <c r="A1" i="7"/>
  <c r="A1" i="8" s="1"/>
  <c r="A1" i="2" s="1"/>
  <c r="A1" i="10" s="1"/>
  <c r="G240" i="8" l="1"/>
  <c r="G265" i="8"/>
  <c r="K265" i="8" s="1"/>
  <c r="C114" i="12" s="1"/>
  <c r="G237" i="8"/>
  <c r="K237" i="8" s="1"/>
  <c r="C165" i="12" s="1"/>
  <c r="G252" i="8"/>
  <c r="G287" i="8"/>
  <c r="K287" i="8" s="1"/>
  <c r="C21" i="12" s="1"/>
  <c r="G279" i="8"/>
  <c r="K279" i="8" s="1"/>
  <c r="C182" i="12" s="1"/>
  <c r="G267" i="8"/>
  <c r="K267" i="8" s="1"/>
  <c r="C99" i="12" s="1"/>
  <c r="G273" i="8"/>
  <c r="K273" i="8" s="1"/>
  <c r="C110" i="12" s="1"/>
  <c r="G233" i="8"/>
  <c r="K233" i="8" s="1"/>
  <c r="C207" i="12" s="1"/>
  <c r="G241" i="8"/>
  <c r="K241" i="8" s="1"/>
  <c r="C172" i="12" s="1"/>
  <c r="G256" i="8"/>
  <c r="K256" i="8" s="1"/>
  <c r="C47" i="12" s="1"/>
  <c r="G225" i="8"/>
  <c r="K225" i="8" s="1"/>
  <c r="C231" i="12" s="1"/>
  <c r="G224" i="8"/>
  <c r="K224" i="8" s="1"/>
  <c r="C253" i="12" s="1"/>
  <c r="G261" i="8"/>
  <c r="K261" i="8" s="1"/>
  <c r="C180" i="12" s="1"/>
  <c r="G288" i="8"/>
  <c r="K288" i="8" s="1"/>
  <c r="C80" i="12" s="1"/>
  <c r="G238" i="8"/>
  <c r="K238" i="8" s="1"/>
  <c r="C238" i="12" s="1"/>
  <c r="G272" i="8"/>
  <c r="G290" i="8"/>
  <c r="K290" i="8" s="1"/>
  <c r="C55" i="12" s="1"/>
  <c r="G239" i="8"/>
  <c r="G244" i="8"/>
  <c r="G218" i="8"/>
  <c r="K218" i="8" s="1"/>
  <c r="C124" i="12" s="1"/>
  <c r="G231" i="8"/>
  <c r="K231" i="8" s="1"/>
  <c r="C193" i="12" s="1"/>
  <c r="G222" i="8"/>
  <c r="K222" i="8" s="1"/>
  <c r="C230" i="12" s="1"/>
  <c r="G232" i="8"/>
  <c r="K232" i="8" s="1"/>
  <c r="C242" i="12" s="1"/>
  <c r="G226" i="8"/>
  <c r="K226" i="8" s="1"/>
  <c r="C128" i="12" s="1"/>
  <c r="G242" i="8"/>
  <c r="K242" i="8" s="1"/>
  <c r="C203" i="12" s="1"/>
  <c r="G281" i="8"/>
  <c r="K281" i="8" s="1"/>
  <c r="C109" i="12" s="1"/>
  <c r="G282" i="8"/>
  <c r="K282" i="8" s="1"/>
  <c r="C141" i="12" s="1"/>
  <c r="G271" i="8"/>
  <c r="K271" i="8" s="1"/>
  <c r="C202" i="12" s="1"/>
  <c r="G253" i="8"/>
  <c r="K253" i="8" s="1"/>
  <c r="C129" i="12" s="1"/>
  <c r="G257" i="8"/>
  <c r="K257" i="8" s="1"/>
  <c r="C119" i="12" s="1"/>
  <c r="G229" i="8"/>
  <c r="K229" i="8" s="1"/>
  <c r="C159" i="12" s="1"/>
  <c r="G221" i="8"/>
  <c r="K221" i="8" s="1"/>
  <c r="C252" i="12" s="1"/>
  <c r="G219" i="8"/>
  <c r="K219" i="8" s="1"/>
  <c r="C167" i="12" s="1"/>
  <c r="G247" i="8"/>
  <c r="K247" i="8" s="1"/>
  <c r="C86" i="12" s="1"/>
  <c r="G262" i="8"/>
  <c r="K262" i="8" s="1"/>
  <c r="C147" i="12" s="1"/>
  <c r="G248" i="8"/>
  <c r="K248" i="8" s="1"/>
  <c r="C121" i="12" s="1"/>
  <c r="G264" i="8"/>
  <c r="K264" i="8" s="1"/>
  <c r="C198" i="12" s="1"/>
  <c r="G263" i="8"/>
  <c r="K263" i="8" s="1"/>
  <c r="C156" i="12" s="1"/>
  <c r="G260" i="8"/>
  <c r="K260" i="8" s="1"/>
  <c r="C137" i="12" s="1"/>
  <c r="G276" i="8"/>
  <c r="K276" i="8" s="1"/>
  <c r="C144" i="12" s="1"/>
  <c r="G228" i="8"/>
  <c r="K228" i="8" s="1"/>
  <c r="C108" i="12" s="1"/>
  <c r="G249" i="8"/>
  <c r="K249" i="8" s="1"/>
  <c r="C123" i="12" s="1"/>
  <c r="G255" i="8"/>
  <c r="K255" i="8" s="1"/>
  <c r="C78" i="12" s="1"/>
  <c r="G291" i="8"/>
  <c r="K291" i="8" s="1"/>
  <c r="C101" i="12" s="1"/>
  <c r="G294" i="8"/>
  <c r="K294" i="8" s="1"/>
  <c r="C111" i="12" s="1"/>
  <c r="G275" i="8"/>
  <c r="K275" i="8" s="1"/>
  <c r="C61" i="12" s="1"/>
  <c r="G230" i="8"/>
  <c r="K230" i="8" s="1"/>
  <c r="C133" i="12" s="1"/>
  <c r="G280" i="8"/>
  <c r="G243" i="8"/>
  <c r="G274" i="8"/>
  <c r="K274" i="8" s="1"/>
  <c r="C117" i="12" s="1"/>
  <c r="G258" i="8"/>
  <c r="K258" i="8" s="1"/>
  <c r="C134" i="12" s="1"/>
  <c r="G234" i="8"/>
  <c r="K234" i="8" s="1"/>
  <c r="C177" i="12" s="1"/>
  <c r="G278" i="8"/>
  <c r="K278" i="8" s="1"/>
  <c r="C224" i="12" s="1"/>
  <c r="G220" i="8"/>
  <c r="K220" i="8" s="1"/>
  <c r="C155" i="12" s="1"/>
  <c r="G284" i="8"/>
  <c r="K284" i="8" s="1"/>
  <c r="C67" i="12" s="1"/>
  <c r="G227" i="8"/>
  <c r="K227" i="8" s="1"/>
  <c r="C228" i="12" s="1"/>
  <c r="G268" i="8"/>
  <c r="K268" i="8" s="1"/>
  <c r="C46" i="12" s="1"/>
  <c r="G295" i="8"/>
  <c r="K295" i="8" s="1"/>
  <c r="C126" i="12" s="1"/>
  <c r="G245" i="8"/>
  <c r="K245" i="8" s="1"/>
  <c r="C135" i="12" s="1"/>
  <c r="G269" i="8"/>
  <c r="K269" i="8" s="1"/>
  <c r="C139" i="12" s="1"/>
  <c r="G235" i="8"/>
  <c r="K235" i="8" s="1"/>
  <c r="C209" i="12" s="1"/>
  <c r="G285" i="8"/>
  <c r="K285" i="8" s="1"/>
  <c r="C140" i="12" s="1"/>
  <c r="G236" i="8"/>
  <c r="K236" i="8" s="1"/>
  <c r="C190" i="12" s="1"/>
  <c r="K252" i="8"/>
  <c r="C83" i="12" s="1"/>
  <c r="K239" i="8"/>
  <c r="C251" i="12" s="1"/>
  <c r="K244" i="8"/>
  <c r="C153" i="12" s="1"/>
  <c r="K240" i="8"/>
  <c r="C232" i="12" s="1"/>
  <c r="K280" i="8"/>
  <c r="C113" i="12" s="1"/>
  <c r="K272" i="8"/>
  <c r="C166" i="12" s="1"/>
  <c r="K243" i="8"/>
  <c r="C236" i="12" s="1"/>
  <c r="A1" i="5"/>
  <c r="A1" i="16" s="1"/>
  <c r="N36" i="2"/>
  <c r="G23" i="8" l="1"/>
  <c r="K23" i="8" s="1"/>
  <c r="C50" i="12" s="1"/>
  <c r="K289" i="8"/>
  <c r="K259" i="8"/>
  <c r="K246" i="8"/>
  <c r="K266" i="8"/>
  <c r="K251" i="8"/>
  <c r="K199" i="8"/>
  <c r="K27" i="8"/>
  <c r="C54" i="12" s="1"/>
  <c r="K254" i="8"/>
  <c r="K283" i="8"/>
  <c r="K270" i="8"/>
  <c r="K277" i="8"/>
  <c r="K286" i="8"/>
  <c r="K223" i="8"/>
  <c r="A1" i="14"/>
  <c r="A1" i="12" s="1"/>
  <c r="N78" i="2"/>
  <c r="N71" i="2"/>
  <c r="K25" i="16"/>
  <c r="B12" i="16"/>
  <c r="B11" i="16"/>
  <c r="A17" i="16"/>
  <c r="I14" i="16"/>
  <c r="B13" i="16"/>
  <c r="G29" i="8" l="1"/>
  <c r="K29" i="8" s="1"/>
  <c r="G30" i="8"/>
  <c r="K30" i="8" s="1"/>
  <c r="C93" i="12" s="1"/>
  <c r="G293" i="8"/>
  <c r="K293" i="8" s="1"/>
  <c r="K250" i="8"/>
  <c r="K125" i="8"/>
  <c r="C152" i="12" l="1"/>
  <c r="K28" i="8"/>
  <c r="C56" i="12"/>
  <c r="K292" i="8"/>
  <c r="B7" i="7"/>
  <c r="B6" i="7"/>
  <c r="M13" i="14"/>
  <c r="B11" i="14" l="1"/>
  <c r="B10" i="14"/>
  <c r="K48" i="14"/>
  <c r="I48" i="14"/>
  <c r="I44" i="14" s="1"/>
  <c r="G48" i="14"/>
  <c r="E48" i="14"/>
  <c r="G47" i="14"/>
  <c r="E47" i="14"/>
  <c r="I43" i="14"/>
  <c r="G43" i="14"/>
  <c r="E43" i="14"/>
  <c r="I42" i="14"/>
  <c r="G42" i="14"/>
  <c r="E42" i="14"/>
  <c r="I41" i="14"/>
  <c r="G41" i="14"/>
  <c r="E41" i="14"/>
  <c r="I40" i="14"/>
  <c r="G40" i="14"/>
  <c r="E40" i="14"/>
  <c r="I39" i="14"/>
  <c r="G39" i="14"/>
  <c r="E39" i="14"/>
  <c r="C29" i="14"/>
  <c r="D19" i="14"/>
  <c r="R18" i="14"/>
  <c r="Q18" i="14"/>
  <c r="P18" i="14"/>
  <c r="R17" i="14"/>
  <c r="Q17" i="14"/>
  <c r="P17" i="14"/>
  <c r="R16" i="14"/>
  <c r="Q16" i="14"/>
  <c r="P16" i="14"/>
  <c r="R15" i="14"/>
  <c r="Q15" i="14"/>
  <c r="P15" i="14"/>
  <c r="R14" i="14"/>
  <c r="Q14" i="14"/>
  <c r="P14" i="14"/>
  <c r="R13" i="14"/>
  <c r="Q13" i="14"/>
  <c r="P13" i="14"/>
  <c r="B12" i="14"/>
  <c r="R10" i="14"/>
  <c r="G44" i="14" l="1"/>
  <c r="R19" i="14"/>
  <c r="I49" i="14" s="1"/>
  <c r="P19" i="14"/>
  <c r="E49" i="14" s="1"/>
  <c r="Q19" i="14"/>
  <c r="G49" i="14" s="1"/>
  <c r="K44" i="14"/>
  <c r="K49" i="14" s="1"/>
  <c r="E44" i="14"/>
  <c r="L14" i="8" l="1"/>
  <c r="H27" i="8" s="1"/>
  <c r="J27" i="8" s="1"/>
  <c r="M27" i="8" s="1"/>
  <c r="F10" i="7"/>
  <c r="E54" i="12" l="1"/>
  <c r="L27" i="8"/>
  <c r="D54" i="12" s="1"/>
  <c r="H293" i="8"/>
  <c r="J293" i="8" s="1"/>
  <c r="M293" i="8" s="1"/>
  <c r="E56" i="12" s="1"/>
  <c r="H290" i="8"/>
  <c r="J290" i="8" s="1"/>
  <c r="M290" i="8" s="1"/>
  <c r="E55" i="12" s="1"/>
  <c r="H287" i="8"/>
  <c r="J287" i="8" s="1"/>
  <c r="M287" i="8" s="1"/>
  <c r="E21" i="12" s="1"/>
  <c r="H284" i="8"/>
  <c r="J284" i="8" s="1"/>
  <c r="M284" i="8" s="1"/>
  <c r="E67" i="12" s="1"/>
  <c r="H281" i="8"/>
  <c r="J281" i="8" s="1"/>
  <c r="M281" i="8" s="1"/>
  <c r="H279" i="8"/>
  <c r="J279" i="8" s="1"/>
  <c r="M279" i="8" s="1"/>
  <c r="H276" i="8"/>
  <c r="J276" i="8" s="1"/>
  <c r="M276" i="8" s="1"/>
  <c r="H274" i="8"/>
  <c r="J274" i="8" s="1"/>
  <c r="M274" i="8" s="1"/>
  <c r="H272" i="8"/>
  <c r="J272" i="8" s="1"/>
  <c r="M272" i="8" s="1"/>
  <c r="H269" i="8"/>
  <c r="J269" i="8" s="1"/>
  <c r="M269" i="8" s="1"/>
  <c r="H267" i="8"/>
  <c r="J267" i="8" s="1"/>
  <c r="M267" i="8" s="1"/>
  <c r="E99" i="12" s="1"/>
  <c r="H264" i="8"/>
  <c r="J264" i="8" s="1"/>
  <c r="M264" i="8" s="1"/>
  <c r="H262" i="8"/>
  <c r="J262" i="8" s="1"/>
  <c r="M262" i="8" s="1"/>
  <c r="H260" i="8"/>
  <c r="J260" i="8" s="1"/>
  <c r="M260" i="8" s="1"/>
  <c r="E137" i="12" s="1"/>
  <c r="H257" i="8"/>
  <c r="J257" i="8" s="1"/>
  <c r="M257" i="8" s="1"/>
  <c r="H255" i="8"/>
  <c r="J255" i="8" s="1"/>
  <c r="M255" i="8" s="1"/>
  <c r="E78" i="12" s="1"/>
  <c r="H252" i="8"/>
  <c r="J252" i="8" s="1"/>
  <c r="M252" i="8" s="1"/>
  <c r="E83" i="12" s="1"/>
  <c r="H248" i="8"/>
  <c r="J248" i="8" s="1"/>
  <c r="M248" i="8" s="1"/>
  <c r="H245" i="8"/>
  <c r="J245" i="8" s="1"/>
  <c r="M245" i="8" s="1"/>
  <c r="H243" i="8"/>
  <c r="J243" i="8" s="1"/>
  <c r="M243" i="8" s="1"/>
  <c r="H241" i="8"/>
  <c r="J241" i="8" s="1"/>
  <c r="M241" i="8" s="1"/>
  <c r="H239" i="8"/>
  <c r="J239" i="8" s="1"/>
  <c r="M239" i="8" s="1"/>
  <c r="H237" i="8"/>
  <c r="J237" i="8" s="1"/>
  <c r="M237" i="8" s="1"/>
  <c r="H235" i="8"/>
  <c r="J235" i="8" s="1"/>
  <c r="M235" i="8" s="1"/>
  <c r="H233" i="8"/>
  <c r="J233" i="8" s="1"/>
  <c r="M233" i="8" s="1"/>
  <c r="H231" i="8"/>
  <c r="J231" i="8" s="1"/>
  <c r="M231" i="8" s="1"/>
  <c r="H229" i="8"/>
  <c r="J229" i="8" s="1"/>
  <c r="M229" i="8" s="1"/>
  <c r="H227" i="8"/>
  <c r="J227" i="8" s="1"/>
  <c r="M227" i="8" s="1"/>
  <c r="H225" i="8"/>
  <c r="J225" i="8" s="1"/>
  <c r="M225" i="8" s="1"/>
  <c r="H222" i="8"/>
  <c r="J222" i="8" s="1"/>
  <c r="M222" i="8" s="1"/>
  <c r="H220" i="8"/>
  <c r="J220" i="8" s="1"/>
  <c r="M220" i="8" s="1"/>
  <c r="H218" i="8"/>
  <c r="J218" i="8" s="1"/>
  <c r="M218" i="8" s="1"/>
  <c r="H216" i="8"/>
  <c r="J216" i="8" s="1"/>
  <c r="M216" i="8" s="1"/>
  <c r="H214" i="8"/>
  <c r="J214" i="8" s="1"/>
  <c r="M214" i="8" s="1"/>
  <c r="H212" i="8"/>
  <c r="J212" i="8" s="1"/>
  <c r="M212" i="8" s="1"/>
  <c r="H210" i="8"/>
  <c r="J210" i="8" s="1"/>
  <c r="M210" i="8" s="1"/>
  <c r="H208" i="8"/>
  <c r="J208" i="8" s="1"/>
  <c r="M208" i="8" s="1"/>
  <c r="H206" i="8"/>
  <c r="J206" i="8" s="1"/>
  <c r="M206" i="8" s="1"/>
  <c r="H204" i="8"/>
  <c r="J204" i="8" s="1"/>
  <c r="M204" i="8" s="1"/>
  <c r="H202" i="8"/>
  <c r="J202" i="8" s="1"/>
  <c r="M202" i="8" s="1"/>
  <c r="H200" i="8"/>
  <c r="J200" i="8" s="1"/>
  <c r="M200" i="8" s="1"/>
  <c r="E158" i="12" s="1"/>
  <c r="H197" i="8"/>
  <c r="J197" i="8" s="1"/>
  <c r="M197" i="8" s="1"/>
  <c r="H195" i="8"/>
  <c r="J195" i="8" s="1"/>
  <c r="M195" i="8" s="1"/>
  <c r="H193" i="8"/>
  <c r="J193" i="8" s="1"/>
  <c r="M193" i="8" s="1"/>
  <c r="H190" i="8"/>
  <c r="J190" i="8" s="1"/>
  <c r="M190" i="8" s="1"/>
  <c r="H188" i="8"/>
  <c r="J188" i="8" s="1"/>
  <c r="M188" i="8" s="1"/>
  <c r="H186" i="8"/>
  <c r="J186" i="8" s="1"/>
  <c r="M186" i="8" s="1"/>
  <c r="H184" i="8"/>
  <c r="J184" i="8" s="1"/>
  <c r="M184" i="8" s="1"/>
  <c r="H181" i="8"/>
  <c r="J181" i="8" s="1"/>
  <c r="M181" i="8" s="1"/>
  <c r="H179" i="8"/>
  <c r="J179" i="8" s="1"/>
  <c r="M179" i="8" s="1"/>
  <c r="H177" i="8"/>
  <c r="J177" i="8" s="1"/>
  <c r="M177" i="8" s="1"/>
  <c r="H175" i="8"/>
  <c r="J175" i="8" s="1"/>
  <c r="M175" i="8" s="1"/>
  <c r="H173" i="8"/>
  <c r="J173" i="8" s="1"/>
  <c r="M173" i="8" s="1"/>
  <c r="H171" i="8"/>
  <c r="J171" i="8" s="1"/>
  <c r="M171" i="8" s="1"/>
  <c r="E163" i="12" s="1"/>
  <c r="H168" i="8"/>
  <c r="J168" i="8" s="1"/>
  <c r="M168" i="8" s="1"/>
  <c r="H166" i="8"/>
  <c r="J166" i="8" s="1"/>
  <c r="M166" i="8" s="1"/>
  <c r="H164" i="8"/>
  <c r="J164" i="8" s="1"/>
  <c r="M164" i="8" s="1"/>
  <c r="H162" i="8"/>
  <c r="J162" i="8" s="1"/>
  <c r="M162" i="8" s="1"/>
  <c r="H160" i="8"/>
  <c r="J160" i="8" s="1"/>
  <c r="M160" i="8" s="1"/>
  <c r="H158" i="8"/>
  <c r="J158" i="8" s="1"/>
  <c r="M158" i="8" s="1"/>
  <c r="E247" i="12" s="1"/>
  <c r="H155" i="8"/>
  <c r="J155" i="8" s="1"/>
  <c r="M155" i="8" s="1"/>
  <c r="H152" i="8"/>
  <c r="J152" i="8" s="1"/>
  <c r="M152" i="8" s="1"/>
  <c r="H150" i="8"/>
  <c r="J150" i="8" s="1"/>
  <c r="M150" i="8" s="1"/>
  <c r="H148" i="8"/>
  <c r="J148" i="8" s="1"/>
  <c r="M148" i="8" s="1"/>
  <c r="H146" i="8"/>
  <c r="J146" i="8" s="1"/>
  <c r="M146" i="8" s="1"/>
  <c r="H144" i="8"/>
  <c r="J144" i="8" s="1"/>
  <c r="M144" i="8" s="1"/>
  <c r="H142" i="8"/>
  <c r="J142" i="8" s="1"/>
  <c r="M142" i="8" s="1"/>
  <c r="H140" i="8"/>
  <c r="J140" i="8" s="1"/>
  <c r="M140" i="8" s="1"/>
  <c r="H138" i="8"/>
  <c r="J138" i="8" s="1"/>
  <c r="M138" i="8" s="1"/>
  <c r="H136" i="8"/>
  <c r="J136" i="8" s="1"/>
  <c r="M136" i="8" s="1"/>
  <c r="H134" i="8"/>
  <c r="J134" i="8" s="1"/>
  <c r="M134" i="8" s="1"/>
  <c r="H131" i="8"/>
  <c r="J131" i="8" s="1"/>
  <c r="M131" i="8" s="1"/>
  <c r="H129" i="8"/>
  <c r="J129" i="8" s="1"/>
  <c r="M129" i="8" s="1"/>
  <c r="H295" i="8"/>
  <c r="J295" i="8" s="1"/>
  <c r="M295" i="8" s="1"/>
  <c r="H271" i="8"/>
  <c r="J271" i="8" s="1"/>
  <c r="M271" i="8" s="1"/>
  <c r="E202" i="12" s="1"/>
  <c r="H232" i="8"/>
  <c r="J232" i="8" s="1"/>
  <c r="M232" i="8" s="1"/>
  <c r="H198" i="8"/>
  <c r="J198" i="8" s="1"/>
  <c r="M198" i="8" s="1"/>
  <c r="H163" i="8"/>
  <c r="J163" i="8" s="1"/>
  <c r="M163" i="8" s="1"/>
  <c r="H128" i="8"/>
  <c r="J128" i="8" s="1"/>
  <c r="M128" i="8" s="1"/>
  <c r="H124" i="8"/>
  <c r="J124" i="8" s="1"/>
  <c r="M124" i="8" s="1"/>
  <c r="H122" i="8"/>
  <c r="J122" i="8" s="1"/>
  <c r="M122" i="8" s="1"/>
  <c r="H119" i="8"/>
  <c r="J119" i="8" s="1"/>
  <c r="M119" i="8" s="1"/>
  <c r="H117" i="8"/>
  <c r="J117" i="8" s="1"/>
  <c r="M117" i="8" s="1"/>
  <c r="H114" i="8"/>
  <c r="J114" i="8" s="1"/>
  <c r="M114" i="8" s="1"/>
  <c r="H112" i="8"/>
  <c r="J112" i="8" s="1"/>
  <c r="M112" i="8" s="1"/>
  <c r="H109" i="8"/>
  <c r="J109" i="8" s="1"/>
  <c r="M109" i="8" s="1"/>
  <c r="H107" i="8"/>
  <c r="J107" i="8" s="1"/>
  <c r="M107" i="8" s="1"/>
  <c r="H105" i="8"/>
  <c r="J105" i="8" s="1"/>
  <c r="M105" i="8" s="1"/>
  <c r="H102" i="8"/>
  <c r="J102" i="8" s="1"/>
  <c r="M102" i="8" s="1"/>
  <c r="H100" i="8"/>
  <c r="J100" i="8" s="1"/>
  <c r="M100" i="8" s="1"/>
  <c r="E35" i="12" s="1"/>
  <c r="H273" i="8"/>
  <c r="J273" i="8" s="1"/>
  <c r="M273" i="8" s="1"/>
  <c r="H234" i="8"/>
  <c r="J234" i="8" s="1"/>
  <c r="M234" i="8" s="1"/>
  <c r="H201" i="8"/>
  <c r="J201" i="8" s="1"/>
  <c r="M201" i="8" s="1"/>
  <c r="H165" i="8"/>
  <c r="J165" i="8" s="1"/>
  <c r="M165" i="8" s="1"/>
  <c r="H130" i="8"/>
  <c r="J130" i="8" s="1"/>
  <c r="M130" i="8" s="1"/>
  <c r="H203" i="8"/>
  <c r="J203" i="8" s="1"/>
  <c r="M203" i="8" s="1"/>
  <c r="H167" i="8"/>
  <c r="J167" i="8" s="1"/>
  <c r="M167" i="8" s="1"/>
  <c r="H133" i="8"/>
  <c r="J133" i="8" s="1"/>
  <c r="M133" i="8" s="1"/>
  <c r="E145" i="12" s="1"/>
  <c r="H205" i="8"/>
  <c r="J205" i="8" s="1"/>
  <c r="M205" i="8" s="1"/>
  <c r="H169" i="8"/>
  <c r="J169" i="8" s="1"/>
  <c r="M169" i="8" s="1"/>
  <c r="H135" i="8"/>
  <c r="J135" i="8" s="1"/>
  <c r="M135" i="8" s="1"/>
  <c r="H207" i="8"/>
  <c r="J207" i="8" s="1"/>
  <c r="M207" i="8" s="1"/>
  <c r="H172" i="8"/>
  <c r="J172" i="8" s="1"/>
  <c r="M172" i="8" s="1"/>
  <c r="H137" i="8"/>
  <c r="J137" i="8" s="1"/>
  <c r="M137" i="8" s="1"/>
  <c r="H282" i="8"/>
  <c r="J282" i="8" s="1"/>
  <c r="M282" i="8" s="1"/>
  <c r="H242" i="8"/>
  <c r="J242" i="8" s="1"/>
  <c r="M242" i="8" s="1"/>
  <c r="H209" i="8"/>
  <c r="J209" i="8" s="1"/>
  <c r="M209" i="8" s="1"/>
  <c r="H174" i="8"/>
  <c r="J174" i="8" s="1"/>
  <c r="M174" i="8" s="1"/>
  <c r="H139" i="8"/>
  <c r="J139" i="8" s="1"/>
  <c r="M139" i="8" s="1"/>
  <c r="H285" i="8"/>
  <c r="J285" i="8" s="1"/>
  <c r="M285" i="8" s="1"/>
  <c r="H244" i="8"/>
  <c r="J244" i="8" s="1"/>
  <c r="M244" i="8" s="1"/>
  <c r="H211" i="8"/>
  <c r="J211" i="8" s="1"/>
  <c r="M211" i="8" s="1"/>
  <c r="H176" i="8"/>
  <c r="J176" i="8" s="1"/>
  <c r="M176" i="8" s="1"/>
  <c r="H141" i="8"/>
  <c r="J141" i="8" s="1"/>
  <c r="M141" i="8" s="1"/>
  <c r="H288" i="8"/>
  <c r="J288" i="8" s="1"/>
  <c r="M288" i="8" s="1"/>
  <c r="H247" i="8"/>
  <c r="J247" i="8" s="1"/>
  <c r="M247" i="8" s="1"/>
  <c r="E86" i="12" s="1"/>
  <c r="H213" i="8"/>
  <c r="J213" i="8" s="1"/>
  <c r="M213" i="8" s="1"/>
  <c r="H178" i="8"/>
  <c r="J178" i="8" s="1"/>
  <c r="M178" i="8" s="1"/>
  <c r="H143" i="8"/>
  <c r="J143" i="8" s="1"/>
  <c r="M143" i="8" s="1"/>
  <c r="H291" i="8"/>
  <c r="J291" i="8" s="1"/>
  <c r="M291" i="8" s="1"/>
  <c r="H249" i="8"/>
  <c r="J249" i="8" s="1"/>
  <c r="M249" i="8" s="1"/>
  <c r="H215" i="8"/>
  <c r="J215" i="8" s="1"/>
  <c r="M215" i="8" s="1"/>
  <c r="H180" i="8"/>
  <c r="J180" i="8" s="1"/>
  <c r="M180" i="8" s="1"/>
  <c r="H145" i="8"/>
  <c r="J145" i="8" s="1"/>
  <c r="M145" i="8" s="1"/>
  <c r="H127" i="8"/>
  <c r="J127" i="8" s="1"/>
  <c r="M127" i="8" s="1"/>
  <c r="E66" i="12" s="1"/>
  <c r="H123" i="8"/>
  <c r="J123" i="8" s="1"/>
  <c r="M123" i="8" s="1"/>
  <c r="H121" i="8"/>
  <c r="J121" i="8" s="1"/>
  <c r="M121" i="8" s="1"/>
  <c r="E25" i="12" s="1"/>
  <c r="H118" i="8"/>
  <c r="J118" i="8" s="1"/>
  <c r="M118" i="8" s="1"/>
  <c r="H116" i="8"/>
  <c r="J116" i="8" s="1"/>
  <c r="M116" i="8" s="1"/>
  <c r="E18" i="12" s="1"/>
  <c r="H113" i="8"/>
  <c r="J113" i="8" s="1"/>
  <c r="M113" i="8" s="1"/>
  <c r="H111" i="8"/>
  <c r="J111" i="8" s="1"/>
  <c r="M111" i="8" s="1"/>
  <c r="E58" i="12" s="1"/>
  <c r="H108" i="8"/>
  <c r="J108" i="8" s="1"/>
  <c r="M108" i="8" s="1"/>
  <c r="H106" i="8"/>
  <c r="J106" i="8" s="1"/>
  <c r="M106" i="8" s="1"/>
  <c r="H104" i="8"/>
  <c r="J104" i="8" s="1"/>
  <c r="M104" i="8" s="1"/>
  <c r="E34" i="12" s="1"/>
  <c r="H101" i="8"/>
  <c r="J101" i="8" s="1"/>
  <c r="M101" i="8" s="1"/>
  <c r="H97" i="8"/>
  <c r="J97" i="8" s="1"/>
  <c r="M97" i="8" s="1"/>
  <c r="E38" i="12" s="1"/>
  <c r="H294" i="8"/>
  <c r="J294" i="8" s="1"/>
  <c r="M294" i="8" s="1"/>
  <c r="H253" i="8"/>
  <c r="J253" i="8" s="1"/>
  <c r="M253" i="8" s="1"/>
  <c r="H217" i="8"/>
  <c r="J217" i="8" s="1"/>
  <c r="M217" i="8" s="1"/>
  <c r="H183" i="8"/>
  <c r="J183" i="8" s="1"/>
  <c r="M183" i="8" s="1"/>
  <c r="E168" i="12" s="1"/>
  <c r="H147" i="8"/>
  <c r="J147" i="8" s="1"/>
  <c r="M147" i="8" s="1"/>
  <c r="H219" i="8"/>
  <c r="J219" i="8" s="1"/>
  <c r="M219" i="8" s="1"/>
  <c r="H185" i="8"/>
  <c r="J185" i="8" s="1"/>
  <c r="M185" i="8" s="1"/>
  <c r="H149" i="8"/>
  <c r="J149" i="8" s="1"/>
  <c r="M149" i="8" s="1"/>
  <c r="H258" i="8"/>
  <c r="J258" i="8" s="1"/>
  <c r="M258" i="8" s="1"/>
  <c r="H221" i="8"/>
  <c r="J221" i="8" s="1"/>
  <c r="M221" i="8" s="1"/>
  <c r="H187" i="8"/>
  <c r="J187" i="8" s="1"/>
  <c r="M187" i="8" s="1"/>
  <c r="H151" i="8"/>
  <c r="J151" i="8" s="1"/>
  <c r="M151" i="8" s="1"/>
  <c r="H189" i="8"/>
  <c r="J189" i="8" s="1"/>
  <c r="M189" i="8" s="1"/>
  <c r="H154" i="8"/>
  <c r="J154" i="8" s="1"/>
  <c r="M154" i="8" s="1"/>
  <c r="E197" i="12" s="1"/>
  <c r="H192" i="8"/>
  <c r="J192" i="8" s="1"/>
  <c r="M192" i="8" s="1"/>
  <c r="E169" i="12" s="1"/>
  <c r="H194" i="8"/>
  <c r="J194" i="8" s="1"/>
  <c r="M194" i="8" s="1"/>
  <c r="H159" i="8"/>
  <c r="J159" i="8" s="1"/>
  <c r="M159" i="8" s="1"/>
  <c r="H268" i="8"/>
  <c r="J268" i="8" s="1"/>
  <c r="M268" i="8" s="1"/>
  <c r="H230" i="8"/>
  <c r="J230" i="8" s="1"/>
  <c r="M230" i="8" s="1"/>
  <c r="H196" i="8"/>
  <c r="J196" i="8" s="1"/>
  <c r="M196" i="8" s="1"/>
  <c r="H161" i="8"/>
  <c r="J161" i="8" s="1"/>
  <c r="M161" i="8" s="1"/>
  <c r="H275" i="8"/>
  <c r="J275" i="8" s="1"/>
  <c r="M275" i="8" s="1"/>
  <c r="H236" i="8"/>
  <c r="J236" i="8" s="1"/>
  <c r="M236" i="8" s="1"/>
  <c r="H261" i="8"/>
  <c r="J261" i="8" s="1"/>
  <c r="M261" i="8" s="1"/>
  <c r="H224" i="8"/>
  <c r="J224" i="8" s="1"/>
  <c r="M224" i="8" s="1"/>
  <c r="E253" i="12" s="1"/>
  <c r="H263" i="8"/>
  <c r="J263" i="8" s="1"/>
  <c r="M263" i="8" s="1"/>
  <c r="H265" i="8"/>
  <c r="J265" i="8" s="1"/>
  <c r="M265" i="8" s="1"/>
  <c r="H278" i="8"/>
  <c r="J278" i="8" s="1"/>
  <c r="M278" i="8" s="1"/>
  <c r="E224" i="12" s="1"/>
  <c r="H238" i="8"/>
  <c r="J238" i="8" s="1"/>
  <c r="M238" i="8" s="1"/>
  <c r="H226" i="8"/>
  <c r="J226" i="8" s="1"/>
  <c r="M226" i="8" s="1"/>
  <c r="H156" i="8"/>
  <c r="J156" i="8" s="1"/>
  <c r="M156" i="8" s="1"/>
  <c r="H228" i="8"/>
  <c r="J228" i="8" s="1"/>
  <c r="M228" i="8" s="1"/>
  <c r="H280" i="8"/>
  <c r="J280" i="8" s="1"/>
  <c r="M280" i="8" s="1"/>
  <c r="H240" i="8"/>
  <c r="J240" i="8" s="1"/>
  <c r="M240" i="8" s="1"/>
  <c r="H256" i="8"/>
  <c r="J256" i="8" s="1"/>
  <c r="M256" i="8" s="1"/>
  <c r="H95" i="8"/>
  <c r="J95" i="8" s="1"/>
  <c r="M95" i="8" s="1"/>
  <c r="H88" i="8"/>
  <c r="J88" i="8" s="1"/>
  <c r="M88" i="8" s="1"/>
  <c r="E138" i="12" s="1"/>
  <c r="H74" i="8"/>
  <c r="J74" i="8" s="1"/>
  <c r="M74" i="8" s="1"/>
  <c r="H94" i="8"/>
  <c r="J94" i="8" s="1"/>
  <c r="M94" i="8" s="1"/>
  <c r="H92" i="8"/>
  <c r="J92" i="8" s="1"/>
  <c r="M92" i="8" s="1"/>
  <c r="H85" i="8"/>
  <c r="J85" i="8" s="1"/>
  <c r="M85" i="8" s="1"/>
  <c r="H83" i="8"/>
  <c r="J83" i="8" s="1"/>
  <c r="M83" i="8" s="1"/>
  <c r="H81" i="8"/>
  <c r="J81" i="8" s="1"/>
  <c r="M81" i="8" s="1"/>
  <c r="H79" i="8"/>
  <c r="J79" i="8" s="1"/>
  <c r="M79" i="8" s="1"/>
  <c r="H77" i="8"/>
  <c r="J77" i="8" s="1"/>
  <c r="M77" i="8" s="1"/>
  <c r="H72" i="8"/>
  <c r="J72" i="8" s="1"/>
  <c r="M72" i="8" s="1"/>
  <c r="H93" i="8"/>
  <c r="J93" i="8" s="1"/>
  <c r="M93" i="8" s="1"/>
  <c r="H90" i="8"/>
  <c r="J90" i="8" s="1"/>
  <c r="M90" i="8" s="1"/>
  <c r="H91" i="8"/>
  <c r="J91" i="8" s="1"/>
  <c r="M91" i="8" s="1"/>
  <c r="H89" i="8"/>
  <c r="J89" i="8" s="1"/>
  <c r="M89" i="8" s="1"/>
  <c r="H86" i="8"/>
  <c r="J86" i="8" s="1"/>
  <c r="M86" i="8" s="1"/>
  <c r="H84" i="8"/>
  <c r="J84" i="8" s="1"/>
  <c r="M84" i="8" s="1"/>
  <c r="H82" i="8"/>
  <c r="J82" i="8" s="1"/>
  <c r="M82" i="8" s="1"/>
  <c r="H80" i="8"/>
  <c r="J80" i="8" s="1"/>
  <c r="M80" i="8" s="1"/>
  <c r="H78" i="8"/>
  <c r="J78" i="8" s="1"/>
  <c r="M78" i="8" s="1"/>
  <c r="H76" i="8"/>
  <c r="J76" i="8" s="1"/>
  <c r="M76" i="8" s="1"/>
  <c r="E23" i="12" s="1"/>
  <c r="H73" i="8"/>
  <c r="J73" i="8" s="1"/>
  <c r="M73" i="8" s="1"/>
  <c r="H71" i="8"/>
  <c r="J71" i="8" s="1"/>
  <c r="M71" i="8" s="1"/>
  <c r="E20" i="12" s="1"/>
  <c r="H19" i="8"/>
  <c r="J19" i="8" s="1"/>
  <c r="M19" i="8" s="1"/>
  <c r="H46" i="8"/>
  <c r="J46" i="8" s="1"/>
  <c r="M46" i="8" s="1"/>
  <c r="E88" i="12" s="1"/>
  <c r="H43" i="8"/>
  <c r="J43" i="8" s="1"/>
  <c r="M43" i="8" s="1"/>
  <c r="H69" i="8"/>
  <c r="J69" i="8" s="1"/>
  <c r="M69" i="8" s="1"/>
  <c r="H67" i="8"/>
  <c r="J67" i="8" s="1"/>
  <c r="M67" i="8" s="1"/>
  <c r="H65" i="8"/>
  <c r="J65" i="8" s="1"/>
  <c r="M65" i="8" s="1"/>
  <c r="H63" i="8"/>
  <c r="J63" i="8" s="1"/>
  <c r="M63" i="8" s="1"/>
  <c r="E91" i="12" s="1"/>
  <c r="H60" i="8"/>
  <c r="J60" i="8" s="1"/>
  <c r="M60" i="8" s="1"/>
  <c r="H58" i="8"/>
  <c r="J58" i="8" s="1"/>
  <c r="M58" i="8" s="1"/>
  <c r="H52" i="8"/>
  <c r="J52" i="8" s="1"/>
  <c r="M52" i="8" s="1"/>
  <c r="H50" i="8"/>
  <c r="J50" i="8" s="1"/>
  <c r="M50" i="8" s="1"/>
  <c r="H36" i="8"/>
  <c r="J36" i="8" s="1"/>
  <c r="M36" i="8" s="1"/>
  <c r="H26" i="8"/>
  <c r="J26" i="8" s="1"/>
  <c r="M26" i="8" s="1"/>
  <c r="H42" i="8"/>
  <c r="J42" i="8" s="1"/>
  <c r="M42" i="8" s="1"/>
  <c r="H38" i="8"/>
  <c r="J38" i="8" s="1"/>
  <c r="M38" i="8" s="1"/>
  <c r="E102" i="12" s="1"/>
  <c r="H31" i="8"/>
  <c r="J31" i="8" s="1"/>
  <c r="M31" i="8" s="1"/>
  <c r="H25" i="8"/>
  <c r="J25" i="8" s="1"/>
  <c r="M25" i="8" s="1"/>
  <c r="H21" i="8"/>
  <c r="J21" i="8" s="1"/>
  <c r="H56" i="8"/>
  <c r="J56" i="8" s="1"/>
  <c r="M56" i="8" s="1"/>
  <c r="E76" i="12" s="1"/>
  <c r="H48" i="8"/>
  <c r="J48" i="8" s="1"/>
  <c r="M48" i="8" s="1"/>
  <c r="H41" i="8"/>
  <c r="J41" i="8" s="1"/>
  <c r="M41" i="8" s="1"/>
  <c r="H39" i="8"/>
  <c r="J39" i="8" s="1"/>
  <c r="M39" i="8" s="1"/>
  <c r="H34" i="8"/>
  <c r="J34" i="8" s="1"/>
  <c r="M34" i="8" s="1"/>
  <c r="E130" i="12" s="1"/>
  <c r="H30" i="8"/>
  <c r="J30" i="8" s="1"/>
  <c r="M30" i="8" s="1"/>
  <c r="H24" i="8"/>
  <c r="J24" i="8" s="1"/>
  <c r="M24" i="8" s="1"/>
  <c r="H22" i="8"/>
  <c r="J22" i="8" s="1"/>
  <c r="H68" i="8"/>
  <c r="J68" i="8" s="1"/>
  <c r="M68" i="8" s="1"/>
  <c r="H64" i="8"/>
  <c r="J64" i="8" s="1"/>
  <c r="M64" i="8" s="1"/>
  <c r="H61" i="8"/>
  <c r="J61" i="8" s="1"/>
  <c r="M61" i="8" s="1"/>
  <c r="H59" i="8"/>
  <c r="J59" i="8" s="1"/>
  <c r="M59" i="8" s="1"/>
  <c r="H66" i="8"/>
  <c r="J66" i="8" s="1"/>
  <c r="M66" i="8" s="1"/>
  <c r="H57" i="8"/>
  <c r="J57" i="8" s="1"/>
  <c r="M57" i="8" s="1"/>
  <c r="H53" i="8"/>
  <c r="J53" i="8" s="1"/>
  <c r="M53" i="8" s="1"/>
  <c r="H51" i="8"/>
  <c r="J51" i="8" s="1"/>
  <c r="M51" i="8" s="1"/>
  <c r="H49" i="8"/>
  <c r="J49" i="8" s="1"/>
  <c r="M49" i="8" s="1"/>
  <c r="H47" i="8"/>
  <c r="J47" i="8" s="1"/>
  <c r="M47" i="8" s="1"/>
  <c r="H44" i="8"/>
  <c r="J44" i="8" s="1"/>
  <c r="M44" i="8" s="1"/>
  <c r="H40" i="8"/>
  <c r="J40" i="8" s="1"/>
  <c r="M40" i="8" s="1"/>
  <c r="H35" i="8"/>
  <c r="J35" i="8" s="1"/>
  <c r="M35" i="8" s="1"/>
  <c r="H29" i="8"/>
  <c r="J29" i="8" s="1"/>
  <c r="M29" i="8" s="1"/>
  <c r="E152" i="12" s="1"/>
  <c r="H23" i="8"/>
  <c r="J23" i="8" s="1"/>
  <c r="M23" i="8" s="1"/>
  <c r="I15" i="16"/>
  <c r="L64" i="8" l="1"/>
  <c r="D75" i="12" s="1"/>
  <c r="E75" i="12"/>
  <c r="L275" i="8"/>
  <c r="D61" i="12" s="1"/>
  <c r="E61" i="12"/>
  <c r="L163" i="8"/>
  <c r="D174" i="12" s="1"/>
  <c r="E174" i="12"/>
  <c r="L50" i="8"/>
  <c r="D71" i="12" s="1"/>
  <c r="E71" i="12"/>
  <c r="L23" i="8"/>
  <c r="D50" i="12" s="1"/>
  <c r="E50" i="12"/>
  <c r="L230" i="8"/>
  <c r="D133" i="12" s="1"/>
  <c r="E133" i="12"/>
  <c r="L160" i="8"/>
  <c r="D143" i="12" s="1"/>
  <c r="E143" i="12"/>
  <c r="L268" i="8"/>
  <c r="D46" i="12" s="1"/>
  <c r="E46" i="12"/>
  <c r="L295" i="8"/>
  <c r="D126" i="12" s="1"/>
  <c r="E126" i="12"/>
  <c r="L162" i="8"/>
  <c r="D149" i="12" s="1"/>
  <c r="E149" i="12"/>
  <c r="L197" i="8"/>
  <c r="D173" i="12" s="1"/>
  <c r="E173" i="12"/>
  <c r="L231" i="8"/>
  <c r="D193" i="12" s="1"/>
  <c r="E193" i="12"/>
  <c r="L269" i="8"/>
  <c r="D139" i="12" s="1"/>
  <c r="E139" i="12"/>
  <c r="L35" i="8"/>
  <c r="D70" i="12" s="1"/>
  <c r="E70" i="12"/>
  <c r="L91" i="8"/>
  <c r="D28" i="12" s="1"/>
  <c r="E28" i="12"/>
  <c r="L280" i="8"/>
  <c r="D113" i="12" s="1"/>
  <c r="E113" i="12"/>
  <c r="L159" i="8"/>
  <c r="D154" i="12" s="1"/>
  <c r="E154" i="12"/>
  <c r="L294" i="8"/>
  <c r="D111" i="12" s="1"/>
  <c r="E111" i="12"/>
  <c r="L249" i="8"/>
  <c r="D123" i="12" s="1"/>
  <c r="E123" i="12"/>
  <c r="L282" i="8"/>
  <c r="D141" i="12" s="1"/>
  <c r="E141" i="12"/>
  <c r="L102" i="8"/>
  <c r="D48" i="12" s="1"/>
  <c r="E48" i="12"/>
  <c r="L129" i="8"/>
  <c r="D98" i="12" s="1"/>
  <c r="E98" i="12"/>
  <c r="L164" i="8"/>
  <c r="D227" i="12" s="1"/>
  <c r="E227" i="12"/>
  <c r="L233" i="8"/>
  <c r="D207" i="12" s="1"/>
  <c r="E207" i="12"/>
  <c r="L272" i="8"/>
  <c r="D166" i="12" s="1"/>
  <c r="E166" i="12"/>
  <c r="L36" i="8"/>
  <c r="D26" i="12" s="1"/>
  <c r="E26" i="12"/>
  <c r="L219" i="8"/>
  <c r="D167" i="12" s="1"/>
  <c r="E167" i="12"/>
  <c r="L165" i="8"/>
  <c r="D220" i="12" s="1"/>
  <c r="E220" i="12"/>
  <c r="L82" i="8"/>
  <c r="D68" i="12" s="1"/>
  <c r="E68" i="12"/>
  <c r="L105" i="8"/>
  <c r="D74" i="12" s="1"/>
  <c r="E74" i="12"/>
  <c r="L202" i="8"/>
  <c r="D235" i="12" s="1"/>
  <c r="E235" i="12"/>
  <c r="L44" i="8"/>
  <c r="D60" i="12" s="1"/>
  <c r="E60" i="12"/>
  <c r="L156" i="8"/>
  <c r="D200" i="12" s="1"/>
  <c r="E200" i="12"/>
  <c r="L107" i="8"/>
  <c r="D95" i="12" s="1"/>
  <c r="E95" i="12"/>
  <c r="L276" i="8"/>
  <c r="D144" i="12" s="1"/>
  <c r="E144" i="12"/>
  <c r="L47" i="8"/>
  <c r="D82" i="12" s="1"/>
  <c r="E82" i="12"/>
  <c r="L48" i="8"/>
  <c r="D97" i="12" s="1"/>
  <c r="E97" i="12"/>
  <c r="L69" i="8"/>
  <c r="D30" i="12" s="1"/>
  <c r="E30" i="12"/>
  <c r="L72" i="8"/>
  <c r="D208" i="12" s="1"/>
  <c r="E208" i="12"/>
  <c r="L226" i="8"/>
  <c r="D128" i="12" s="1"/>
  <c r="E128" i="12"/>
  <c r="L178" i="8"/>
  <c r="D229" i="12" s="1"/>
  <c r="E229" i="12"/>
  <c r="L207" i="8"/>
  <c r="D188" i="12" s="1"/>
  <c r="E188" i="12"/>
  <c r="L109" i="8"/>
  <c r="D81" i="12" s="1"/>
  <c r="E81" i="12"/>
  <c r="L136" i="8"/>
  <c r="D223" i="12" s="1"/>
  <c r="E223" i="12"/>
  <c r="L206" i="8"/>
  <c r="D183" i="12" s="1"/>
  <c r="E183" i="12"/>
  <c r="L239" i="8"/>
  <c r="D251" i="12" s="1"/>
  <c r="E251" i="12"/>
  <c r="L279" i="8"/>
  <c r="D182" i="12" s="1"/>
  <c r="E182" i="12"/>
  <c r="L80" i="8"/>
  <c r="D122" i="12" s="1"/>
  <c r="E122" i="12"/>
  <c r="L285" i="8"/>
  <c r="D140" i="12" s="1"/>
  <c r="E140" i="12"/>
  <c r="L152" i="8"/>
  <c r="D218" i="12" s="1"/>
  <c r="E218" i="12"/>
  <c r="L222" i="8"/>
  <c r="D230" i="12" s="1"/>
  <c r="E230" i="12"/>
  <c r="L147" i="8"/>
  <c r="D185" i="12" s="1"/>
  <c r="E185" i="12"/>
  <c r="L190" i="8"/>
  <c r="D225" i="12" s="1"/>
  <c r="E225" i="12"/>
  <c r="L84" i="8"/>
  <c r="D29" i="12" s="1"/>
  <c r="E29" i="12"/>
  <c r="L145" i="8"/>
  <c r="D216" i="12" s="1"/>
  <c r="E216" i="12"/>
  <c r="L24" i="8"/>
  <c r="D53" i="12" s="1"/>
  <c r="E53" i="12"/>
  <c r="L273" i="8"/>
  <c r="D110" i="12" s="1"/>
  <c r="E110" i="12"/>
  <c r="L60" i="8"/>
  <c r="D84" i="12" s="1"/>
  <c r="E84" i="12"/>
  <c r="L215" i="8"/>
  <c r="D160" i="12" s="1"/>
  <c r="E160" i="12"/>
  <c r="L194" i="8"/>
  <c r="D221" i="12" s="1"/>
  <c r="E221" i="12"/>
  <c r="L131" i="8"/>
  <c r="D59" i="12" s="1"/>
  <c r="E59" i="12"/>
  <c r="L93" i="8"/>
  <c r="D107" i="12" s="1"/>
  <c r="E107" i="12"/>
  <c r="L172" i="8"/>
  <c r="D127" i="12" s="1"/>
  <c r="E127" i="12"/>
  <c r="L237" i="8"/>
  <c r="D165" i="12" s="1"/>
  <c r="E165" i="12"/>
  <c r="L238" i="8"/>
  <c r="D238" i="12" s="1"/>
  <c r="E238" i="12"/>
  <c r="L112" i="8"/>
  <c r="D89" i="12" s="1"/>
  <c r="E89" i="12"/>
  <c r="L173" i="8"/>
  <c r="D170" i="12" s="1"/>
  <c r="E170" i="12"/>
  <c r="L241" i="8"/>
  <c r="D172" i="12" s="1"/>
  <c r="E172" i="12"/>
  <c r="L51" i="8"/>
  <c r="D104" i="12" s="1"/>
  <c r="E104" i="12"/>
  <c r="L79" i="8"/>
  <c r="D57" i="12" s="1"/>
  <c r="E57" i="12"/>
  <c r="L169" i="8"/>
  <c r="D204" i="12" s="1"/>
  <c r="E204" i="12"/>
  <c r="L140" i="8"/>
  <c r="D184" i="12" s="1"/>
  <c r="E184" i="12"/>
  <c r="L175" i="8"/>
  <c r="D250" i="12" s="1"/>
  <c r="E250" i="12"/>
  <c r="L210" i="8"/>
  <c r="D237" i="12" s="1"/>
  <c r="E237" i="12"/>
  <c r="L243" i="8"/>
  <c r="D236" i="12" s="1"/>
  <c r="E236" i="12"/>
  <c r="L232" i="8"/>
  <c r="D242" i="12" s="1"/>
  <c r="E242" i="12"/>
  <c r="L168" i="8"/>
  <c r="D222" i="12" s="1"/>
  <c r="E222" i="12"/>
  <c r="L43" i="8"/>
  <c r="D112" i="12" s="1"/>
  <c r="E112" i="12"/>
  <c r="L106" i="8"/>
  <c r="D62" i="12" s="1"/>
  <c r="E62" i="12"/>
  <c r="L138" i="8"/>
  <c r="D189" i="12" s="1"/>
  <c r="E189" i="12"/>
  <c r="L281" i="8"/>
  <c r="D109" i="12" s="1"/>
  <c r="E109" i="12"/>
  <c r="L53" i="8"/>
  <c r="D39" i="12" s="1"/>
  <c r="E39" i="12"/>
  <c r="L205" i="8"/>
  <c r="D206" i="12" s="1"/>
  <c r="E206" i="12"/>
  <c r="L245" i="8"/>
  <c r="D135" i="12" s="1"/>
  <c r="E135" i="12"/>
  <c r="L139" i="8"/>
  <c r="D187" i="12" s="1"/>
  <c r="E187" i="12"/>
  <c r="L198" i="8"/>
  <c r="D248" i="12" s="1"/>
  <c r="E248" i="12"/>
  <c r="L262" i="8"/>
  <c r="D147" i="12" s="1"/>
  <c r="E147" i="12"/>
  <c r="L196" i="8"/>
  <c r="D213" i="12" s="1"/>
  <c r="E213" i="12"/>
  <c r="L193" i="8"/>
  <c r="D150" i="12" s="1"/>
  <c r="E150" i="12"/>
  <c r="L58" i="8"/>
  <c r="D151" i="12" s="1"/>
  <c r="E151" i="12"/>
  <c r="L180" i="8"/>
  <c r="D244" i="12" s="1"/>
  <c r="E244" i="12"/>
  <c r="L253" i="8"/>
  <c r="D129" i="12" s="1"/>
  <c r="E129" i="12"/>
  <c r="L40" i="8"/>
  <c r="D64" i="12" s="1"/>
  <c r="E64" i="12"/>
  <c r="L90" i="8"/>
  <c r="D44" i="12" s="1"/>
  <c r="E44" i="12"/>
  <c r="L291" i="8"/>
  <c r="D101" i="12" s="1"/>
  <c r="E101" i="12"/>
  <c r="L166" i="8"/>
  <c r="D214" i="12" s="1"/>
  <c r="E214" i="12"/>
  <c r="L41" i="8"/>
  <c r="D79" i="12" s="1"/>
  <c r="E79" i="12"/>
  <c r="L134" i="8"/>
  <c r="D120" i="12" s="1"/>
  <c r="E120" i="12"/>
  <c r="L213" i="8"/>
  <c r="D194" i="12" s="1"/>
  <c r="E194" i="12"/>
  <c r="L108" i="8"/>
  <c r="D73" i="12" s="1"/>
  <c r="E73" i="12"/>
  <c r="L114" i="8"/>
  <c r="D32" i="12" s="1"/>
  <c r="E32" i="12"/>
  <c r="L81" i="8"/>
  <c r="D85" i="12" s="1"/>
  <c r="E85" i="12"/>
  <c r="L187" i="8"/>
  <c r="D215" i="12" s="1"/>
  <c r="E215" i="12"/>
  <c r="L288" i="8"/>
  <c r="D80" i="12" s="1"/>
  <c r="E80" i="12"/>
  <c r="L117" i="8"/>
  <c r="D33" i="12" s="1"/>
  <c r="E33" i="12"/>
  <c r="L142" i="8"/>
  <c r="D191" i="12" s="1"/>
  <c r="E191" i="12"/>
  <c r="L212" i="8"/>
  <c r="D210" i="12" s="1"/>
  <c r="E210" i="12"/>
  <c r="L57" i="8"/>
  <c r="D51" i="12" s="1"/>
  <c r="E51" i="12"/>
  <c r="L31" i="8"/>
  <c r="D94" i="12" s="1"/>
  <c r="E94" i="12"/>
  <c r="L83" i="8"/>
  <c r="D42" i="12" s="1"/>
  <c r="E42" i="12"/>
  <c r="L263" i="8"/>
  <c r="D156" i="12" s="1"/>
  <c r="E156" i="12"/>
  <c r="L221" i="8"/>
  <c r="D252" i="12" s="1"/>
  <c r="E252" i="12"/>
  <c r="L113" i="8"/>
  <c r="D27" i="12" s="1"/>
  <c r="E27" i="12"/>
  <c r="L141" i="8"/>
  <c r="D239" i="12" s="1"/>
  <c r="E239" i="12"/>
  <c r="L119" i="8"/>
  <c r="D24" i="12" s="1"/>
  <c r="E24" i="12"/>
  <c r="L144" i="8"/>
  <c r="D195" i="12" s="1"/>
  <c r="E195" i="12"/>
  <c r="L179" i="8"/>
  <c r="D178" i="12" s="1"/>
  <c r="E178" i="12"/>
  <c r="L214" i="8"/>
  <c r="D240" i="12" s="1"/>
  <c r="E240" i="12"/>
  <c r="L248" i="8"/>
  <c r="D121" i="12" s="1"/>
  <c r="E121" i="12"/>
  <c r="L74" i="8"/>
  <c r="D176" i="12" s="1"/>
  <c r="E176" i="12"/>
  <c r="L188" i="8"/>
  <c r="D196" i="12" s="1"/>
  <c r="E196" i="12"/>
  <c r="L234" i="8"/>
  <c r="D177" i="12" s="1"/>
  <c r="E177" i="12"/>
  <c r="L227" i="8"/>
  <c r="D228" i="12" s="1"/>
  <c r="E228" i="12"/>
  <c r="L86" i="8"/>
  <c r="D31" i="12" s="1"/>
  <c r="E31" i="12"/>
  <c r="L217" i="8"/>
  <c r="D186" i="12" s="1"/>
  <c r="E186" i="12"/>
  <c r="L195" i="8"/>
  <c r="D234" i="12" s="1"/>
  <c r="E234" i="12"/>
  <c r="L30" i="8"/>
  <c r="D93" i="12" s="1"/>
  <c r="E93" i="12"/>
  <c r="L240" i="8"/>
  <c r="D232" i="12" s="1"/>
  <c r="E232" i="12"/>
  <c r="L65" i="8"/>
  <c r="D115" i="12" s="1"/>
  <c r="E115" i="12"/>
  <c r="L274" i="8"/>
  <c r="D117" i="12" s="1"/>
  <c r="E117" i="12"/>
  <c r="L25" i="8"/>
  <c r="D148" i="12" s="1"/>
  <c r="E148" i="12"/>
  <c r="L265" i="8"/>
  <c r="D114" i="12" s="1"/>
  <c r="E114" i="12"/>
  <c r="L73" i="8"/>
  <c r="D72" i="12" s="1"/>
  <c r="E72" i="12"/>
  <c r="L85" i="8"/>
  <c r="D63" i="12" s="1"/>
  <c r="E63" i="12"/>
  <c r="L176" i="8"/>
  <c r="D243" i="12" s="1"/>
  <c r="E243" i="12"/>
  <c r="L167" i="8"/>
  <c r="D212" i="12" s="1"/>
  <c r="E212" i="12"/>
  <c r="L122" i="8"/>
  <c r="D43" i="12" s="1"/>
  <c r="E43" i="12"/>
  <c r="L146" i="8"/>
  <c r="D217" i="12" s="1"/>
  <c r="E217" i="12"/>
  <c r="L181" i="8"/>
  <c r="D226" i="12" s="1"/>
  <c r="E226" i="12"/>
  <c r="L216" i="8"/>
  <c r="D249" i="12" s="1"/>
  <c r="E249" i="12"/>
  <c r="L123" i="8"/>
  <c r="D45" i="12" s="1"/>
  <c r="E45" i="12"/>
  <c r="L148" i="8"/>
  <c r="D179" i="12" s="1"/>
  <c r="E179" i="12"/>
  <c r="L184" i="8"/>
  <c r="D164" i="12" s="1"/>
  <c r="E164" i="12"/>
  <c r="L218" i="8"/>
  <c r="D124" i="12" s="1"/>
  <c r="E124" i="12"/>
  <c r="L68" i="8"/>
  <c r="D49" i="12" s="1"/>
  <c r="E49" i="12"/>
  <c r="L161" i="8"/>
  <c r="D105" i="12" s="1"/>
  <c r="E105" i="12"/>
  <c r="L201" i="8"/>
  <c r="D132" i="12" s="1"/>
  <c r="E132" i="12"/>
  <c r="L155" i="8"/>
  <c r="D245" i="12" s="1"/>
  <c r="E245" i="12"/>
  <c r="L225" i="8"/>
  <c r="D231" i="12" s="1"/>
  <c r="E231" i="12"/>
  <c r="L52" i="8"/>
  <c r="D142" i="12" s="1"/>
  <c r="E142" i="12"/>
  <c r="L95" i="8"/>
  <c r="D65" i="12" s="1"/>
  <c r="E65" i="12"/>
  <c r="L174" i="8"/>
  <c r="D199" i="12" s="1"/>
  <c r="E199" i="12"/>
  <c r="L264" i="8"/>
  <c r="D198" i="12" s="1"/>
  <c r="E198" i="12"/>
  <c r="L256" i="8"/>
  <c r="D47" i="12" s="1"/>
  <c r="E47" i="12"/>
  <c r="L209" i="8"/>
  <c r="D201" i="12" s="1"/>
  <c r="E201" i="12"/>
  <c r="L229" i="8"/>
  <c r="D159" i="12" s="1"/>
  <c r="E159" i="12"/>
  <c r="L89" i="8"/>
  <c r="D103" i="12" s="1"/>
  <c r="E103" i="12"/>
  <c r="L242" i="8"/>
  <c r="D203" i="12" s="1"/>
  <c r="E203" i="12"/>
  <c r="L39" i="8"/>
  <c r="D118" i="12" s="1"/>
  <c r="E118" i="12"/>
  <c r="L228" i="8"/>
  <c r="D108" i="12" s="1"/>
  <c r="E108" i="12"/>
  <c r="L137" i="8"/>
  <c r="D205" i="12" s="1"/>
  <c r="E205" i="12"/>
  <c r="L235" i="8"/>
  <c r="D209" i="12" s="1"/>
  <c r="E209" i="12"/>
  <c r="L67" i="8"/>
  <c r="D41" i="12" s="1"/>
  <c r="E41" i="12"/>
  <c r="L101" i="8"/>
  <c r="D125" i="12" s="1"/>
  <c r="E125" i="12"/>
  <c r="L143" i="8"/>
  <c r="D181" i="12" s="1"/>
  <c r="E181" i="12"/>
  <c r="L204" i="8"/>
  <c r="D241" i="12" s="1"/>
  <c r="E241" i="12"/>
  <c r="L49" i="8"/>
  <c r="D52" i="12" s="1"/>
  <c r="E52" i="12"/>
  <c r="L77" i="8"/>
  <c r="D131" i="12" s="1"/>
  <c r="E131" i="12"/>
  <c r="L189" i="8"/>
  <c r="D161" i="12" s="1"/>
  <c r="E161" i="12"/>
  <c r="L135" i="8"/>
  <c r="D175" i="12" s="1"/>
  <c r="E175" i="12"/>
  <c r="L208" i="8"/>
  <c r="D246" i="12" s="1"/>
  <c r="E246" i="12"/>
  <c r="L151" i="8"/>
  <c r="D116" i="12" s="1"/>
  <c r="E116" i="12"/>
  <c r="L177" i="8"/>
  <c r="D233" i="12" s="1"/>
  <c r="E233" i="12"/>
  <c r="L66" i="8"/>
  <c r="D162" i="12" s="1"/>
  <c r="E162" i="12"/>
  <c r="L258" i="8"/>
  <c r="D134" i="12" s="1"/>
  <c r="E134" i="12"/>
  <c r="L59" i="8"/>
  <c r="D69" i="12" s="1"/>
  <c r="E69" i="12"/>
  <c r="L42" i="8"/>
  <c r="D100" i="12" s="1"/>
  <c r="E100" i="12"/>
  <c r="L92" i="8"/>
  <c r="D92" i="12" s="1"/>
  <c r="E92" i="12"/>
  <c r="L261" i="8"/>
  <c r="D180" i="12" s="1"/>
  <c r="E180" i="12"/>
  <c r="L149" i="8"/>
  <c r="D171" i="12" s="1"/>
  <c r="E171" i="12"/>
  <c r="L118" i="8"/>
  <c r="D77" i="12" s="1"/>
  <c r="E77" i="12"/>
  <c r="L211" i="8"/>
  <c r="D219" i="12" s="1"/>
  <c r="E219" i="12"/>
  <c r="L203" i="8"/>
  <c r="D192" i="12" s="1"/>
  <c r="E192" i="12"/>
  <c r="L124" i="8"/>
  <c r="D40" i="12" s="1"/>
  <c r="E40" i="12"/>
  <c r="L61" i="8"/>
  <c r="D37" i="12" s="1"/>
  <c r="E37" i="12"/>
  <c r="L26" i="8"/>
  <c r="D146" i="12" s="1"/>
  <c r="E146" i="12"/>
  <c r="L78" i="8"/>
  <c r="D87" i="12" s="1"/>
  <c r="E87" i="12"/>
  <c r="L94" i="8"/>
  <c r="D22" i="12" s="1"/>
  <c r="E22" i="12"/>
  <c r="L236" i="8"/>
  <c r="D190" i="12" s="1"/>
  <c r="E190" i="12"/>
  <c r="L185" i="8"/>
  <c r="D136" i="12" s="1"/>
  <c r="E136" i="12"/>
  <c r="L244" i="8"/>
  <c r="D153" i="12" s="1"/>
  <c r="E153" i="12"/>
  <c r="L130" i="8"/>
  <c r="D96" i="12" s="1"/>
  <c r="E96" i="12"/>
  <c r="L128" i="8"/>
  <c r="D106" i="12" s="1"/>
  <c r="E106" i="12"/>
  <c r="L150" i="8"/>
  <c r="D157" i="12" s="1"/>
  <c r="E157" i="12"/>
  <c r="L186" i="8"/>
  <c r="D211" i="12" s="1"/>
  <c r="E211" i="12"/>
  <c r="L220" i="8"/>
  <c r="D155" i="12" s="1"/>
  <c r="E155" i="12"/>
  <c r="L257" i="8"/>
  <c r="D119" i="12" s="1"/>
  <c r="E119" i="12"/>
  <c r="L121" i="8"/>
  <c r="M120" i="8"/>
  <c r="E46" i="16" s="1"/>
  <c r="L158" i="8"/>
  <c r="M157" i="8"/>
  <c r="L271" i="8"/>
  <c r="M270" i="8"/>
  <c r="M96" i="8"/>
  <c r="E38" i="16" s="1"/>
  <c r="L97" i="8"/>
  <c r="L154" i="8"/>
  <c r="M153" i="8"/>
  <c r="L278" i="8"/>
  <c r="M277" i="8"/>
  <c r="L247" i="8"/>
  <c r="M246" i="8"/>
  <c r="L284" i="8"/>
  <c r="M283" i="8"/>
  <c r="L255" i="8"/>
  <c r="M254" i="8"/>
  <c r="L127" i="8"/>
  <c r="M126" i="8"/>
  <c r="M266" i="8"/>
  <c r="L267" i="8"/>
  <c r="L171" i="8"/>
  <c r="M170" i="8"/>
  <c r="M110" i="8"/>
  <c r="L111" i="8"/>
  <c r="L287" i="8"/>
  <c r="M286" i="8"/>
  <c r="M99" i="8"/>
  <c r="L100" i="8"/>
  <c r="L104" i="8"/>
  <c r="M103" i="8"/>
  <c r="L133" i="8"/>
  <c r="M132" i="8"/>
  <c r="L290" i="8"/>
  <c r="M289" i="8"/>
  <c r="M259" i="8"/>
  <c r="L260" i="8"/>
  <c r="L183" i="8"/>
  <c r="M182" i="8"/>
  <c r="L200" i="8"/>
  <c r="M199" i="8"/>
  <c r="M191" i="8"/>
  <c r="L192" i="8"/>
  <c r="L224" i="8"/>
  <c r="M223" i="8"/>
  <c r="M115" i="8"/>
  <c r="L116" i="8"/>
  <c r="L252" i="8"/>
  <c r="M251" i="8"/>
  <c r="M292" i="8"/>
  <c r="L293" i="8"/>
  <c r="D56" i="12" s="1"/>
  <c r="L29" i="8"/>
  <c r="M28" i="8"/>
  <c r="L34" i="8"/>
  <c r="M33" i="8"/>
  <c r="L38" i="8"/>
  <c r="M37" i="8"/>
  <c r="L46" i="8"/>
  <c r="M45" i="8"/>
  <c r="L56" i="8"/>
  <c r="M55" i="8"/>
  <c r="L63" i="8"/>
  <c r="M62" i="8"/>
  <c r="L71" i="8"/>
  <c r="M70" i="8"/>
  <c r="L76" i="8"/>
  <c r="M75" i="8"/>
  <c r="M87" i="8"/>
  <c r="L19" i="8"/>
  <c r="L18" i="8" s="1"/>
  <c r="M18" i="8"/>
  <c r="E24" i="16" s="1"/>
  <c r="L88" i="8"/>
  <c r="J46" i="16" l="1"/>
  <c r="F46" i="16"/>
  <c r="I46" i="16"/>
  <c r="H46" i="16"/>
  <c r="G46" i="16"/>
  <c r="L70" i="8"/>
  <c r="D20" i="12"/>
  <c r="L254" i="8"/>
  <c r="D78" i="12"/>
  <c r="L289" i="8"/>
  <c r="D55" i="12"/>
  <c r="L99" i="8"/>
  <c r="D35" i="12"/>
  <c r="L55" i="8"/>
  <c r="D76" i="12"/>
  <c r="L223" i="8"/>
  <c r="D253" i="12"/>
  <c r="L246" i="8"/>
  <c r="D86" i="12"/>
  <c r="L191" i="8"/>
  <c r="D169" i="12"/>
  <c r="L75" i="8"/>
  <c r="D23" i="12"/>
  <c r="L120" i="8"/>
  <c r="D25" i="12"/>
  <c r="L157" i="8"/>
  <c r="D247" i="12"/>
  <c r="L153" i="8"/>
  <c r="D197" i="12"/>
  <c r="L251" i="8"/>
  <c r="D83" i="12"/>
  <c r="L115" i="8"/>
  <c r="D18" i="12"/>
  <c r="L283" i="8"/>
  <c r="D67" i="12"/>
  <c r="L37" i="8"/>
  <c r="D102" i="12"/>
  <c r="L87" i="8"/>
  <c r="D138" i="12"/>
  <c r="L96" i="8"/>
  <c r="D38" i="12"/>
  <c r="L126" i="8"/>
  <c r="D66" i="12"/>
  <c r="L62" i="8"/>
  <c r="D91" i="12"/>
  <c r="H24" i="16"/>
  <c r="G24" i="16"/>
  <c r="I24" i="16"/>
  <c r="J24" i="16"/>
  <c r="F24" i="16"/>
  <c r="J38" i="16"/>
  <c r="I38" i="16"/>
  <c r="H38" i="16"/>
  <c r="G38" i="16"/>
  <c r="F38" i="16"/>
  <c r="L132" i="8"/>
  <c r="D145" i="12"/>
  <c r="L103" i="8"/>
  <c r="D34" i="12"/>
  <c r="L33" i="8"/>
  <c r="L32" i="8" s="1"/>
  <c r="D130" i="12"/>
  <c r="L182" i="8"/>
  <c r="D168" i="12"/>
  <c r="L170" i="8"/>
  <c r="D163" i="12"/>
  <c r="L259" i="8"/>
  <c r="D137" i="12"/>
  <c r="L266" i="8"/>
  <c r="D99" i="12"/>
  <c r="L45" i="8"/>
  <c r="D88" i="12"/>
  <c r="L286" i="8"/>
  <c r="D21" i="12"/>
  <c r="L277" i="8"/>
  <c r="D224" i="12"/>
  <c r="L110" i="8"/>
  <c r="D58" i="12"/>
  <c r="L199" i="8"/>
  <c r="D158" i="12"/>
  <c r="L28" i="8"/>
  <c r="D152" i="12"/>
  <c r="L270" i="8"/>
  <c r="D202" i="12"/>
  <c r="L292" i="8"/>
  <c r="M98" i="8"/>
  <c r="E52" i="16"/>
  <c r="E54" i="16"/>
  <c r="M125" i="8"/>
  <c r="E42" i="16"/>
  <c r="E44" i="16"/>
  <c r="E56" i="16"/>
  <c r="M250" i="8"/>
  <c r="E50" i="16" s="1"/>
  <c r="M32" i="8"/>
  <c r="M54" i="8"/>
  <c r="E34" i="16"/>
  <c r="E36" i="16"/>
  <c r="N32" i="2"/>
  <c r="G22" i="8" s="1"/>
  <c r="K38" i="16" l="1"/>
  <c r="L250" i="8"/>
  <c r="L54" i="8"/>
  <c r="L98" i="8"/>
  <c r="L125" i="8"/>
  <c r="K46" i="16"/>
  <c r="F36" i="16"/>
  <c r="J36" i="16"/>
  <c r="H36" i="16"/>
  <c r="I36" i="16"/>
  <c r="G36" i="16"/>
  <c r="J50" i="16"/>
  <c r="I50" i="16"/>
  <c r="H50" i="16"/>
  <c r="G50" i="16"/>
  <c r="F50" i="16"/>
  <c r="J56" i="16"/>
  <c r="I56" i="16"/>
  <c r="G56" i="16"/>
  <c r="H56" i="16"/>
  <c r="F56" i="16"/>
  <c r="G42" i="16"/>
  <c r="F42" i="16"/>
  <c r="H42" i="16"/>
  <c r="J42" i="16"/>
  <c r="I42" i="16"/>
  <c r="J44" i="16"/>
  <c r="I44" i="16"/>
  <c r="H44" i="16"/>
  <c r="G44" i="16"/>
  <c r="F44" i="16"/>
  <c r="J52" i="16"/>
  <c r="I52" i="16"/>
  <c r="G52" i="16"/>
  <c r="F52" i="16"/>
  <c r="H52" i="16"/>
  <c r="J34" i="16"/>
  <c r="I34" i="16"/>
  <c r="H34" i="16"/>
  <c r="G34" i="16"/>
  <c r="F34" i="16"/>
  <c r="I54" i="16"/>
  <c r="H54" i="16"/>
  <c r="G54" i="16"/>
  <c r="F54" i="16"/>
  <c r="J54" i="16"/>
  <c r="K22" i="8"/>
  <c r="C36" i="12" s="1"/>
  <c r="M22" i="8"/>
  <c r="E36" i="12" s="1"/>
  <c r="E48" i="16"/>
  <c r="E40" i="16"/>
  <c r="A16" i="12"/>
  <c r="G13" i="12"/>
  <c r="B12" i="12"/>
  <c r="B11" i="12"/>
  <c r="B10" i="12"/>
  <c r="J13" i="5"/>
  <c r="A15" i="2"/>
  <c r="A16" i="5"/>
  <c r="B11" i="5"/>
  <c r="B10" i="5"/>
  <c r="B11" i="10"/>
  <c r="B10" i="10"/>
  <c r="I13" i="10"/>
  <c r="B11" i="2"/>
  <c r="B10" i="2"/>
  <c r="B9" i="2"/>
  <c r="L12" i="2"/>
  <c r="L13" i="8"/>
  <c r="B11" i="8"/>
  <c r="B10" i="8"/>
  <c r="K34" i="16" l="1"/>
  <c r="K50" i="16"/>
  <c r="K44" i="16"/>
  <c r="K36" i="16"/>
  <c r="K54" i="16"/>
  <c r="K42" i="16"/>
  <c r="K52" i="16"/>
  <c r="K56" i="16"/>
  <c r="J40" i="16"/>
  <c r="I40" i="16"/>
  <c r="H40" i="16"/>
  <c r="F40" i="16"/>
  <c r="G40" i="16"/>
  <c r="H48" i="16"/>
  <c r="G48" i="16"/>
  <c r="F48" i="16"/>
  <c r="J48" i="16"/>
  <c r="I48" i="16"/>
  <c r="L22" i="8"/>
  <c r="D36" i="12" s="1"/>
  <c r="K40" i="16" l="1"/>
  <c r="K48" i="16"/>
  <c r="A16" i="10"/>
  <c r="B12" i="10"/>
  <c r="C30" i="2" l="1"/>
  <c r="N25" i="2" l="1"/>
  <c r="G21" i="8" s="1"/>
  <c r="A16" i="8"/>
  <c r="B12" i="8"/>
  <c r="A12" i="7"/>
  <c r="B8" i="7"/>
  <c r="B9" i="6"/>
  <c r="B12" i="5"/>
  <c r="B21" i="7" l="1"/>
  <c r="B22" i="7"/>
  <c r="B25" i="7"/>
  <c r="B26" i="7"/>
  <c r="B28" i="7"/>
  <c r="B29" i="7"/>
  <c r="B30" i="7"/>
  <c r="B19" i="7"/>
  <c r="B20" i="7"/>
  <c r="B23" i="7"/>
  <c r="B24" i="7"/>
  <c r="B27" i="7"/>
  <c r="C22" i="7"/>
  <c r="C23" i="7"/>
  <c r="C19" i="7"/>
  <c r="C24" i="7"/>
  <c r="C21" i="7"/>
  <c r="C20" i="7"/>
  <c r="C25" i="7"/>
  <c r="C30" i="7"/>
  <c r="C28" i="7"/>
  <c r="C29" i="7"/>
  <c r="C26" i="7"/>
  <c r="C27" i="7"/>
  <c r="D24" i="7"/>
  <c r="D28" i="7"/>
  <c r="D19" i="7"/>
  <c r="D20" i="7"/>
  <c r="D23" i="7"/>
  <c r="D27" i="7"/>
  <c r="D22" i="7"/>
  <c r="D29" i="7"/>
  <c r="D30" i="7"/>
  <c r="D21" i="7"/>
  <c r="D25" i="7"/>
  <c r="D26" i="7"/>
  <c r="K21" i="8"/>
  <c r="C90" i="12" s="1"/>
  <c r="M21" i="8"/>
  <c r="E90" i="12" s="1"/>
  <c r="C17" i="7"/>
  <c r="B15" i="7"/>
  <c r="B16" i="7"/>
  <c r="B14" i="7"/>
  <c r="B17" i="7"/>
  <c r="B18" i="7"/>
  <c r="C16" i="7"/>
  <c r="C14" i="7"/>
  <c r="K17" i="5"/>
  <c r="E22" i="7" l="1"/>
  <c r="E29" i="7"/>
  <c r="E25" i="7"/>
  <c r="E28" i="7"/>
  <c r="E27" i="7"/>
  <c r="E21" i="7"/>
  <c r="E20" i="7"/>
  <c r="E30" i="7"/>
  <c r="E19" i="7"/>
  <c r="E26" i="7"/>
  <c r="E23" i="7"/>
  <c r="E24" i="7"/>
  <c r="M20" i="8"/>
  <c r="E19" i="12" s="1"/>
  <c r="M299" i="8"/>
  <c r="K20" i="8"/>
  <c r="C19" i="12" s="1"/>
  <c r="H255" i="12" s="1"/>
  <c r="M297" i="8"/>
  <c r="L21" i="8"/>
  <c r="D90" i="12" s="1"/>
  <c r="G14" i="12"/>
  <c r="J14" i="5"/>
  <c r="I14" i="10"/>
  <c r="L13" i="2"/>
  <c r="C15" i="7" l="1"/>
  <c r="L20" i="8"/>
  <c r="D19" i="12" s="1"/>
  <c r="M298" i="8"/>
  <c r="M17" i="5"/>
  <c r="M10" i="5" l="1"/>
  <c r="M12" i="5"/>
  <c r="E26" i="16"/>
  <c r="E28" i="16"/>
  <c r="J28" i="16" l="1"/>
  <c r="I28" i="16"/>
  <c r="H28" i="16"/>
  <c r="G28" i="16"/>
  <c r="F28" i="16"/>
  <c r="H26" i="16"/>
  <c r="G26" i="16"/>
  <c r="F26" i="16"/>
  <c r="J26" i="16"/>
  <c r="I26" i="16"/>
  <c r="M13" i="5"/>
  <c r="E30" i="16"/>
  <c r="D17" i="7"/>
  <c r="E17" i="7" s="1"/>
  <c r="D15" i="7"/>
  <c r="E15" i="7" s="1"/>
  <c r="D16" i="7"/>
  <c r="E16" i="7" s="1"/>
  <c r="J30" i="16" l="1"/>
  <c r="I30" i="16"/>
  <c r="H30" i="16"/>
  <c r="G30" i="16"/>
  <c r="F30" i="16"/>
  <c r="D14" i="7"/>
  <c r="E14" i="7" l="1"/>
  <c r="K28" i="16"/>
  <c r="E32" i="16" l="1"/>
  <c r="C18" i="7"/>
  <c r="E59" i="16" l="1"/>
  <c r="I32" i="16"/>
  <c r="I58" i="16" s="1"/>
  <c r="H32" i="16"/>
  <c r="H58" i="16" s="1"/>
  <c r="G32" i="16"/>
  <c r="G58" i="16" s="1"/>
  <c r="F32" i="16"/>
  <c r="F58" i="16" s="1"/>
  <c r="F59" i="16" s="1"/>
  <c r="J32" i="16"/>
  <c r="J58" i="16" s="1"/>
  <c r="E32" i="7"/>
  <c r="K31" i="16"/>
  <c r="K26" i="16"/>
  <c r="K30" i="16"/>
  <c r="H256" i="12"/>
  <c r="H257" i="12"/>
  <c r="D18" i="7"/>
  <c r="E33" i="7" s="1"/>
  <c r="G59" i="16" l="1"/>
  <c r="F60" i="16"/>
  <c r="F61" i="16" s="1"/>
  <c r="J60" i="16"/>
  <c r="I60" i="16"/>
  <c r="G60" i="16"/>
  <c r="H60" i="16"/>
  <c r="H59" i="16"/>
  <c r="I59" i="16" s="1"/>
  <c r="J59" i="16" s="1"/>
  <c r="F130" i="12"/>
  <c r="F142" i="12"/>
  <c r="F44" i="12"/>
  <c r="F58" i="12"/>
  <c r="F59" i="12"/>
  <c r="F179" i="12"/>
  <c r="F214" i="12"/>
  <c r="F164" i="12"/>
  <c r="F235" i="12"/>
  <c r="F124" i="12"/>
  <c r="F209" i="12"/>
  <c r="F78" i="12"/>
  <c r="F117" i="12"/>
  <c r="F126" i="12"/>
  <c r="F152" i="12"/>
  <c r="F52" i="12"/>
  <c r="F95" i="12"/>
  <c r="F216" i="12"/>
  <c r="F174" i="12"/>
  <c r="F244" i="12"/>
  <c r="F160" i="12"/>
  <c r="F242" i="12"/>
  <c r="F123" i="12"/>
  <c r="F202" i="12"/>
  <c r="F101" i="12"/>
  <c r="F148" i="12"/>
  <c r="F42" i="12"/>
  <c r="F34" i="12"/>
  <c r="F45" i="12"/>
  <c r="F191" i="12"/>
  <c r="F143" i="12"/>
  <c r="F233" i="12"/>
  <c r="F234" i="12"/>
  <c r="F210" i="12"/>
  <c r="F159" i="12"/>
  <c r="F135" i="12"/>
  <c r="F99" i="12"/>
  <c r="F21" i="12"/>
  <c r="F37" i="12"/>
  <c r="F35" i="12"/>
  <c r="F24" i="12"/>
  <c r="F187" i="12"/>
  <c r="F200" i="12"/>
  <c r="F199" i="12"/>
  <c r="F169" i="12"/>
  <c r="F201" i="12"/>
  <c r="F70" i="12"/>
  <c r="F39" i="12"/>
  <c r="F212" i="12"/>
  <c r="F93" i="12"/>
  <c r="F71" i="12"/>
  <c r="F138" i="12"/>
  <c r="F226" i="12"/>
  <c r="F207" i="12"/>
  <c r="F146" i="12"/>
  <c r="F82" i="12"/>
  <c r="F74" i="12"/>
  <c r="F40" i="12"/>
  <c r="F105" i="12"/>
  <c r="F229" i="12"/>
  <c r="F213" i="12"/>
  <c r="F194" i="12"/>
  <c r="F133" i="12"/>
  <c r="F46" i="12"/>
  <c r="F80" i="12"/>
  <c r="F91" i="12"/>
  <c r="F125" i="12"/>
  <c r="F184" i="12"/>
  <c r="F247" i="12"/>
  <c r="F250" i="12"/>
  <c r="F237" i="12"/>
  <c r="F252" i="12"/>
  <c r="F208" i="12"/>
  <c r="F49" i="12"/>
  <c r="F31" i="12"/>
  <c r="F106" i="12"/>
  <c r="F248" i="12"/>
  <c r="F88" i="12"/>
  <c r="F115" i="12"/>
  <c r="F100" i="12"/>
  <c r="F122" i="12"/>
  <c r="F128" i="12"/>
  <c r="F203" i="12"/>
  <c r="F156" i="12"/>
  <c r="F141" i="12"/>
  <c r="F118" i="12"/>
  <c r="F151" i="12"/>
  <c r="F131" i="12"/>
  <c r="F22" i="12"/>
  <c r="F18" i="12"/>
  <c r="G18" i="12" s="1"/>
  <c r="F223" i="12"/>
  <c r="F218" i="12"/>
  <c r="F163" i="12"/>
  <c r="F196" i="12"/>
  <c r="F183" i="12"/>
  <c r="F230" i="12"/>
  <c r="F251" i="12"/>
  <c r="F137" i="12"/>
  <c r="F182" i="12"/>
  <c r="F72" i="12"/>
  <c r="F28" i="12"/>
  <c r="F89" i="12"/>
  <c r="F145" i="12"/>
  <c r="F171" i="12"/>
  <c r="F136" i="12"/>
  <c r="F192" i="12"/>
  <c r="F167" i="12"/>
  <c r="F190" i="12"/>
  <c r="F47" i="12"/>
  <c r="F61" i="12"/>
  <c r="F30" i="12"/>
  <c r="F73" i="12"/>
  <c r="F98" i="12"/>
  <c r="F217" i="12"/>
  <c r="F227" i="12"/>
  <c r="F158" i="12"/>
  <c r="F249" i="12"/>
  <c r="F83" i="12"/>
  <c r="F166" i="12"/>
  <c r="F56" i="12"/>
  <c r="F162" i="12"/>
  <c r="F29" i="12"/>
  <c r="F181" i="12"/>
  <c r="F86" i="12"/>
  <c r="F112" i="12"/>
  <c r="F85" i="12"/>
  <c r="F25" i="12"/>
  <c r="F150" i="12"/>
  <c r="F188" i="12"/>
  <c r="F111" i="12"/>
  <c r="F92" i="12"/>
  <c r="F253" i="12"/>
  <c r="F41" i="12"/>
  <c r="F113" i="12"/>
  <c r="F236" i="12"/>
  <c r="F94" i="12"/>
  <c r="F140" i="12"/>
  <c r="F87" i="12"/>
  <c r="F239" i="12"/>
  <c r="F211" i="12"/>
  <c r="F165" i="12"/>
  <c r="F120" i="12"/>
  <c r="F97" i="12"/>
  <c r="F197" i="12"/>
  <c r="F168" i="12"/>
  <c r="F219" i="12"/>
  <c r="F65" i="12"/>
  <c r="F96" i="12"/>
  <c r="F154" i="12"/>
  <c r="F228" i="12"/>
  <c r="F20" i="12"/>
  <c r="F48" i="12"/>
  <c r="F241" i="12"/>
  <c r="F114" i="12"/>
  <c r="F60" i="12"/>
  <c r="F157" i="12"/>
  <c r="F178" i="12"/>
  <c r="F193" i="12"/>
  <c r="F119" i="12"/>
  <c r="F67" i="12"/>
  <c r="F66" i="12"/>
  <c r="F26" i="12"/>
  <c r="F127" i="12"/>
  <c r="F132" i="12"/>
  <c r="F55" i="12"/>
  <c r="F33" i="12"/>
  <c r="F185" i="12"/>
  <c r="F243" i="12"/>
  <c r="F108" i="12"/>
  <c r="F129" i="12"/>
  <c r="F69" i="12"/>
  <c r="F103" i="12"/>
  <c r="F43" i="12"/>
  <c r="F155" i="12"/>
  <c r="F75" i="12"/>
  <c r="F222" i="12"/>
  <c r="F173" i="12"/>
  <c r="F27" i="12"/>
  <c r="F195" i="12"/>
  <c r="F121" i="12"/>
  <c r="F144" i="12"/>
  <c r="F76" i="12"/>
  <c r="F63" i="12"/>
  <c r="F161" i="12"/>
  <c r="F186" i="12"/>
  <c r="F232" i="12"/>
  <c r="F54" i="12"/>
  <c r="F205" i="12"/>
  <c r="F221" i="12"/>
  <c r="F81" i="12"/>
  <c r="F153" i="12"/>
  <c r="F110" i="12"/>
  <c r="F104" i="12"/>
  <c r="F68" i="12"/>
  <c r="F240" i="12"/>
  <c r="F198" i="12"/>
  <c r="F149" i="12"/>
  <c r="F64" i="12"/>
  <c r="F220" i="12"/>
  <c r="F176" i="12"/>
  <c r="F107" i="12"/>
  <c r="F177" i="12"/>
  <c r="F206" i="12"/>
  <c r="F180" i="12"/>
  <c r="F79" i="12"/>
  <c r="F175" i="12"/>
  <c r="F238" i="12"/>
  <c r="F224" i="12"/>
  <c r="F57" i="12"/>
  <c r="F204" i="12"/>
  <c r="F109" i="12"/>
  <c r="F77" i="12"/>
  <c r="F147" i="12"/>
  <c r="F245" i="12"/>
  <c r="F231" i="12"/>
  <c r="F84" i="12"/>
  <c r="F38" i="12"/>
  <c r="F170" i="12"/>
  <c r="F139" i="12"/>
  <c r="F246" i="12"/>
  <c r="F62" i="12"/>
  <c r="F23" i="12"/>
  <c r="F172" i="12"/>
  <c r="F225" i="12"/>
  <c r="F215" i="12"/>
  <c r="F32" i="12"/>
  <c r="F51" i="12"/>
  <c r="F134" i="12"/>
  <c r="F116" i="12"/>
  <c r="F102" i="12"/>
  <c r="F189" i="12"/>
  <c r="F53" i="12"/>
  <c r="F36" i="12"/>
  <c r="F50" i="12"/>
  <c r="F90" i="12"/>
  <c r="F19" i="12"/>
  <c r="E18" i="7"/>
  <c r="G61" i="16" l="1"/>
  <c r="H61" i="16" s="1"/>
  <c r="I61" i="16" s="1"/>
  <c r="J61" i="16" s="1"/>
  <c r="H18" i="12"/>
  <c r="G19" i="12"/>
  <c r="G20" i="12" s="1"/>
  <c r="E34" i="7"/>
  <c r="H20" i="12" l="1"/>
  <c r="G21" i="12"/>
  <c r="F22" i="7"/>
  <c r="F23" i="7"/>
  <c r="F20" i="7"/>
  <c r="F24" i="7"/>
  <c r="F26" i="7"/>
  <c r="F30" i="7"/>
  <c r="F27" i="7"/>
  <c r="F21" i="7"/>
  <c r="F25" i="7"/>
  <c r="F28" i="7"/>
  <c r="F19" i="7"/>
  <c r="F29" i="7"/>
  <c r="F18" i="7"/>
  <c r="F16" i="7"/>
  <c r="F17" i="7"/>
  <c r="F15" i="7"/>
  <c r="H21" i="12" l="1"/>
  <c r="G22" i="12"/>
  <c r="F14" i="7"/>
  <c r="G23" i="12" l="1"/>
  <c r="H22" i="12"/>
  <c r="K32" i="16"/>
  <c r="H23" i="12" l="1"/>
  <c r="G24" i="12"/>
  <c r="H19" i="12"/>
  <c r="G25" i="12" l="1"/>
  <c r="H24" i="12"/>
  <c r="G26" i="12" l="1"/>
  <c r="H25" i="12"/>
  <c r="H26" i="12" l="1"/>
  <c r="G27" i="12"/>
  <c r="G28" i="12" l="1"/>
  <c r="H27" i="12"/>
  <c r="H28" i="12" l="1"/>
  <c r="G29" i="12"/>
  <c r="H29" i="12" l="1"/>
  <c r="G30" i="12"/>
  <c r="H30" i="12" l="1"/>
  <c r="G31" i="12"/>
  <c r="H31" i="12" l="1"/>
  <c r="G32" i="12"/>
  <c r="G33" i="12" l="1"/>
  <c r="H32" i="12"/>
  <c r="H33" i="12" l="1"/>
  <c r="G34" i="12"/>
  <c r="H34" i="12" l="1"/>
  <c r="G35" i="12"/>
  <c r="G36" i="12" l="1"/>
  <c r="H35" i="12"/>
  <c r="H36" i="12" l="1"/>
  <c r="G37" i="12"/>
  <c r="G38" i="12" l="1"/>
  <c r="H37" i="12"/>
  <c r="H38" i="12" l="1"/>
  <c r="G39" i="12"/>
  <c r="H39" i="12" l="1"/>
  <c r="G40" i="12"/>
  <c r="H40" i="12" l="1"/>
  <c r="G41" i="12"/>
  <c r="H41" i="12" l="1"/>
  <c r="G42" i="12"/>
  <c r="H42" i="12" l="1"/>
  <c r="G43" i="12"/>
  <c r="G44" i="12" l="1"/>
  <c r="H43" i="12"/>
  <c r="H44" i="12" l="1"/>
  <c r="G45" i="12"/>
  <c r="G46" i="12" l="1"/>
  <c r="H45" i="12"/>
  <c r="H46" i="12" l="1"/>
  <c r="G47" i="12"/>
  <c r="H47" i="12" l="1"/>
  <c r="G48" i="12"/>
  <c r="H48" i="12" l="1"/>
  <c r="G49" i="12"/>
  <c r="H49" i="12" l="1"/>
  <c r="G50" i="12"/>
  <c r="H50" i="12" l="1"/>
  <c r="G51" i="12"/>
  <c r="G52" i="12" l="1"/>
  <c r="H51" i="12"/>
  <c r="H52" i="12" l="1"/>
  <c r="G53" i="12"/>
  <c r="G54" i="12" l="1"/>
  <c r="H53" i="12"/>
  <c r="H54" i="12" l="1"/>
  <c r="G55" i="12"/>
  <c r="H55" i="12" l="1"/>
  <c r="G56" i="12"/>
  <c r="H56" i="12" l="1"/>
  <c r="G57" i="12"/>
  <c r="H57" i="12" l="1"/>
  <c r="G58" i="12"/>
  <c r="H58" i="12" l="1"/>
  <c r="G59" i="12"/>
  <c r="G60" i="12" l="1"/>
  <c r="H59" i="12"/>
  <c r="H60" i="12" l="1"/>
  <c r="G61" i="12"/>
  <c r="G62" i="12" l="1"/>
  <c r="H61" i="12"/>
  <c r="H62" i="12" l="1"/>
  <c r="G63" i="12"/>
  <c r="H63" i="12" l="1"/>
  <c r="G64" i="12"/>
  <c r="H64" i="12" l="1"/>
  <c r="G65" i="12"/>
  <c r="H65" i="12" l="1"/>
  <c r="G66" i="12"/>
  <c r="H66" i="12" l="1"/>
  <c r="G67" i="12"/>
  <c r="G68" i="12" l="1"/>
  <c r="H67" i="12"/>
  <c r="H68" i="12" l="1"/>
  <c r="G69" i="12"/>
  <c r="G70" i="12" l="1"/>
  <c r="H69" i="12"/>
  <c r="H70" i="12" l="1"/>
  <c r="G71" i="12"/>
  <c r="H71" i="12" l="1"/>
  <c r="G72" i="12"/>
  <c r="H72" i="12" l="1"/>
  <c r="G73" i="12"/>
  <c r="H73" i="12" l="1"/>
  <c r="G74" i="12"/>
  <c r="G75" i="12" l="1"/>
  <c r="H74" i="12"/>
  <c r="G76" i="12" l="1"/>
  <c r="H75" i="12"/>
  <c r="H76" i="12" l="1"/>
  <c r="G77" i="12"/>
  <c r="G78" i="12" l="1"/>
  <c r="H77" i="12"/>
  <c r="H78" i="12" l="1"/>
  <c r="G79" i="12"/>
  <c r="H79" i="12" l="1"/>
  <c r="G80" i="12"/>
  <c r="G81" i="12" l="1"/>
  <c r="H80" i="12"/>
  <c r="G82" i="12" l="1"/>
  <c r="H81" i="12"/>
  <c r="H82" i="12" l="1"/>
  <c r="G83" i="12"/>
  <c r="G84" i="12" l="1"/>
  <c r="H83" i="12"/>
  <c r="H84" i="12" l="1"/>
  <c r="G85" i="12"/>
  <c r="G86" i="12" l="1"/>
  <c r="H85" i="12"/>
  <c r="H86" i="12" l="1"/>
  <c r="G87" i="12"/>
  <c r="H87" i="12" l="1"/>
  <c r="G88" i="12"/>
  <c r="G89" i="12" l="1"/>
  <c r="H88" i="12"/>
  <c r="G90" i="12" l="1"/>
  <c r="H89" i="12"/>
  <c r="H90" i="12" l="1"/>
  <c r="G91" i="12"/>
  <c r="G92" i="12" l="1"/>
  <c r="H91" i="12"/>
  <c r="H92" i="12" l="1"/>
  <c r="G93" i="12"/>
  <c r="G94" i="12" l="1"/>
  <c r="H93" i="12"/>
  <c r="H94" i="12" l="1"/>
  <c r="G95" i="12"/>
  <c r="H95" i="12" l="1"/>
  <c r="G96" i="12"/>
  <c r="H96" i="12" l="1"/>
  <c r="G97" i="12"/>
  <c r="H97" i="12" l="1"/>
  <c r="G98" i="12"/>
  <c r="H98" i="12" l="1"/>
  <c r="G99" i="12"/>
  <c r="G100" i="12" l="1"/>
  <c r="H99" i="12"/>
  <c r="H100" i="12" l="1"/>
  <c r="G101" i="12"/>
  <c r="G102" i="12" l="1"/>
  <c r="H101" i="12"/>
  <c r="H102" i="12" l="1"/>
  <c r="G103" i="12"/>
  <c r="H103" i="12" l="1"/>
  <c r="G104" i="12"/>
  <c r="G105" i="12" l="1"/>
  <c r="H104" i="12"/>
  <c r="H105" i="12" l="1"/>
  <c r="G106" i="12"/>
  <c r="H106" i="12" l="1"/>
  <c r="G107" i="12"/>
  <c r="G108" i="12" l="1"/>
  <c r="H107" i="12"/>
  <c r="H108" i="12" l="1"/>
  <c r="G109" i="12"/>
  <c r="G110" i="12" l="1"/>
  <c r="H109" i="12"/>
  <c r="G111" i="12" l="1"/>
  <c r="H110" i="12"/>
  <c r="G112" i="12" l="1"/>
  <c r="H111" i="12"/>
  <c r="G113" i="12" l="1"/>
  <c r="H112" i="12"/>
  <c r="H113" i="12" l="1"/>
  <c r="G114" i="12"/>
  <c r="H114" i="12" l="1"/>
  <c r="G115" i="12"/>
  <c r="G116" i="12" l="1"/>
  <c r="H115" i="12"/>
  <c r="H116" i="12" l="1"/>
  <c r="G117" i="12"/>
  <c r="G118" i="12" l="1"/>
  <c r="H117" i="12"/>
  <c r="H118" i="12" l="1"/>
  <c r="G119" i="12"/>
  <c r="G120" i="12" l="1"/>
  <c r="H119" i="12"/>
  <c r="G121" i="12" l="1"/>
  <c r="H120" i="12"/>
  <c r="G122" i="12" l="1"/>
  <c r="H121" i="12"/>
  <c r="H122" i="12" l="1"/>
  <c r="G123" i="12"/>
  <c r="G124" i="12" l="1"/>
  <c r="H123" i="12"/>
  <c r="H124" i="12" l="1"/>
  <c r="G125" i="12"/>
  <c r="G126" i="12" l="1"/>
  <c r="H125" i="12"/>
  <c r="H126" i="12" l="1"/>
  <c r="G127" i="12"/>
  <c r="H127" i="12" l="1"/>
  <c r="G128" i="12"/>
  <c r="H128" i="12" l="1"/>
  <c r="G129" i="12"/>
  <c r="H129" i="12" l="1"/>
  <c r="G130" i="12"/>
  <c r="H130" i="12" l="1"/>
  <c r="G131" i="12"/>
  <c r="G132" i="12" l="1"/>
  <c r="H131" i="12"/>
  <c r="H132" i="12" l="1"/>
  <c r="G133" i="12"/>
  <c r="G134" i="12" l="1"/>
  <c r="H133" i="12"/>
  <c r="H134" i="12" l="1"/>
  <c r="G135" i="12"/>
  <c r="H135" i="12" l="1"/>
  <c r="G136" i="12"/>
  <c r="G137" i="12" l="1"/>
  <c r="H136" i="12"/>
  <c r="H137" i="12" l="1"/>
  <c r="G138" i="12"/>
  <c r="H138" i="12" l="1"/>
  <c r="G139" i="12"/>
  <c r="G140" i="12" l="1"/>
  <c r="H139" i="12"/>
  <c r="H140" i="12" l="1"/>
  <c r="G141" i="12"/>
  <c r="G142" i="12" l="1"/>
  <c r="H141" i="12"/>
  <c r="G143" i="12" l="1"/>
  <c r="H142" i="12"/>
  <c r="H143" i="12" l="1"/>
  <c r="G144" i="12"/>
  <c r="G145" i="12" l="1"/>
  <c r="H144" i="12"/>
  <c r="G146" i="12" l="1"/>
  <c r="H145" i="12"/>
  <c r="H146" i="12" l="1"/>
  <c r="G147" i="12"/>
  <c r="G148" i="12" l="1"/>
  <c r="H147" i="12"/>
  <c r="H148" i="12" l="1"/>
  <c r="G149" i="12"/>
  <c r="G150" i="12" l="1"/>
  <c r="H149" i="12"/>
  <c r="H150" i="12" l="1"/>
  <c r="G151" i="12"/>
  <c r="H151" i="12" l="1"/>
  <c r="G152" i="12"/>
  <c r="H152" i="12" l="1"/>
  <c r="G153" i="12"/>
  <c r="H153" i="12" l="1"/>
  <c r="G154" i="12"/>
  <c r="H154" i="12" l="1"/>
  <c r="G155" i="12"/>
  <c r="H155" i="12" l="1"/>
  <c r="G156" i="12"/>
  <c r="H156" i="12" l="1"/>
  <c r="G157" i="12"/>
  <c r="H157" i="12" l="1"/>
  <c r="G158" i="12"/>
  <c r="G159" i="12" l="1"/>
  <c r="H158" i="12"/>
  <c r="H159" i="12" l="1"/>
  <c r="G160" i="12"/>
  <c r="H160" i="12" l="1"/>
  <c r="G161" i="12"/>
  <c r="H161" i="12" l="1"/>
  <c r="G162" i="12"/>
  <c r="H162" i="12" l="1"/>
  <c r="G163" i="12"/>
  <c r="G164" i="12" l="1"/>
  <c r="H163" i="12"/>
  <c r="G165" i="12" l="1"/>
  <c r="H164" i="12"/>
  <c r="H165" i="12" l="1"/>
  <c r="G166" i="12"/>
  <c r="G167" i="12" l="1"/>
  <c r="H166" i="12"/>
  <c r="G168" i="12" l="1"/>
  <c r="H167" i="12"/>
  <c r="G169" i="12" l="1"/>
  <c r="H168" i="12"/>
  <c r="H169" i="12" l="1"/>
  <c r="G170" i="12"/>
  <c r="H170" i="12" l="1"/>
  <c r="G171" i="12"/>
  <c r="G172" i="12" l="1"/>
  <c r="H171" i="12"/>
  <c r="H172" i="12" l="1"/>
  <c r="G173" i="12"/>
  <c r="G174" i="12" l="1"/>
  <c r="H173" i="12"/>
  <c r="H174" i="12" l="1"/>
  <c r="G175" i="12"/>
  <c r="H175" i="12" l="1"/>
  <c r="G176" i="12"/>
  <c r="G177" i="12" l="1"/>
  <c r="H176" i="12"/>
  <c r="H177" i="12" l="1"/>
  <c r="G178" i="12"/>
  <c r="H178" i="12" l="1"/>
  <c r="G179" i="12"/>
  <c r="H179" i="12" l="1"/>
  <c r="G180" i="12"/>
  <c r="H180" i="12" l="1"/>
  <c r="G181" i="12"/>
  <c r="G182" i="12" l="1"/>
  <c r="H181" i="12"/>
  <c r="H182" i="12" l="1"/>
  <c r="G183" i="12"/>
  <c r="H183" i="12" l="1"/>
  <c r="G184" i="12"/>
  <c r="G185" i="12" l="1"/>
  <c r="H184" i="12"/>
  <c r="G186" i="12" l="1"/>
  <c r="H185" i="12"/>
  <c r="H186" i="12" l="1"/>
  <c r="G187" i="12"/>
  <c r="H187" i="12" l="1"/>
  <c r="G188" i="12"/>
  <c r="H188" i="12" l="1"/>
  <c r="G189" i="12"/>
  <c r="G190" i="12" l="1"/>
  <c r="H189" i="12"/>
  <c r="H190" i="12" l="1"/>
  <c r="G191" i="12"/>
  <c r="H191" i="12" l="1"/>
  <c r="G192" i="12"/>
  <c r="G193" i="12" l="1"/>
  <c r="H192" i="12"/>
  <c r="H193" i="12" l="1"/>
  <c r="G194" i="12"/>
  <c r="H194" i="12" l="1"/>
  <c r="G195" i="12"/>
  <c r="H195" i="12" l="1"/>
  <c r="G196" i="12"/>
  <c r="G197" i="12" l="1"/>
  <c r="H196" i="12"/>
  <c r="H197" i="12" l="1"/>
  <c r="G198" i="12"/>
  <c r="H198" i="12" l="1"/>
  <c r="G199" i="12"/>
  <c r="H199" i="12" l="1"/>
  <c r="G200" i="12"/>
  <c r="H200" i="12" l="1"/>
  <c r="G201" i="12"/>
  <c r="H201" i="12" l="1"/>
  <c r="G202" i="12"/>
  <c r="G203" i="12" l="1"/>
  <c r="H202" i="12"/>
  <c r="G204" i="12" l="1"/>
  <c r="H203" i="12"/>
  <c r="H204" i="12" l="1"/>
  <c r="G205" i="12"/>
  <c r="H205" i="12" l="1"/>
  <c r="G206" i="12"/>
  <c r="H206" i="12" l="1"/>
  <c r="G207" i="12"/>
  <c r="H207" i="12" l="1"/>
  <c r="G208" i="12"/>
  <c r="H208" i="12" l="1"/>
  <c r="G209" i="12"/>
  <c r="G210" i="12" l="1"/>
  <c r="H209" i="12"/>
  <c r="H210" i="12" l="1"/>
  <c r="G211" i="12"/>
  <c r="G212" i="12" l="1"/>
  <c r="H211" i="12"/>
  <c r="H212" i="12" l="1"/>
  <c r="G213" i="12"/>
  <c r="H213" i="12" l="1"/>
  <c r="G214" i="12"/>
  <c r="H214" i="12" l="1"/>
  <c r="G215" i="12"/>
  <c r="H215" i="12" l="1"/>
  <c r="G216" i="12"/>
  <c r="H216" i="12" l="1"/>
  <c r="G217" i="12"/>
  <c r="H217" i="12" l="1"/>
  <c r="G218" i="12"/>
  <c r="G219" i="12" l="1"/>
  <c r="H218" i="12"/>
  <c r="G220" i="12" l="1"/>
  <c r="H219" i="12"/>
  <c r="H220" i="12" l="1"/>
  <c r="G221" i="12"/>
  <c r="G222" i="12" l="1"/>
  <c r="H221" i="12"/>
  <c r="H222" i="12" l="1"/>
  <c r="G223" i="12"/>
  <c r="H223" i="12" l="1"/>
  <c r="G224" i="12"/>
  <c r="G225" i="12" l="1"/>
  <c r="H224" i="12"/>
  <c r="H225" i="12" l="1"/>
  <c r="G226" i="12"/>
  <c r="H226" i="12" l="1"/>
  <c r="G227" i="12"/>
  <c r="G228" i="12" l="1"/>
  <c r="H227" i="12"/>
  <c r="H228" i="12" l="1"/>
  <c r="G229" i="12"/>
  <c r="H229" i="12" l="1"/>
  <c r="G230" i="12"/>
  <c r="H230" i="12" l="1"/>
  <c r="G231" i="12"/>
  <c r="H231" i="12" l="1"/>
  <c r="G232" i="12"/>
  <c r="G233" i="12" l="1"/>
  <c r="H232" i="12"/>
  <c r="G234" i="12" l="1"/>
  <c r="H233" i="12"/>
  <c r="H234" i="12" l="1"/>
  <c r="G235" i="12"/>
  <c r="H235" i="12" l="1"/>
  <c r="G236" i="12"/>
  <c r="H236" i="12" l="1"/>
  <c r="G237" i="12"/>
  <c r="H237" i="12" l="1"/>
  <c r="G238" i="12"/>
  <c r="H238" i="12" l="1"/>
  <c r="G239" i="12"/>
  <c r="H239" i="12" l="1"/>
  <c r="G240" i="12"/>
  <c r="H240" i="12" l="1"/>
  <c r="G241" i="12"/>
  <c r="H241" i="12" l="1"/>
  <c r="G242" i="12"/>
  <c r="H242" i="12" l="1"/>
  <c r="G243" i="12"/>
  <c r="G244" i="12" l="1"/>
  <c r="H243" i="12"/>
  <c r="H244" i="12" l="1"/>
  <c r="G245" i="12"/>
  <c r="G246" i="12" l="1"/>
  <c r="H245" i="12"/>
  <c r="H246" i="12" l="1"/>
  <c r="G247" i="12"/>
  <c r="H247" i="12" l="1"/>
  <c r="G248" i="12"/>
  <c r="G249" i="12" l="1"/>
  <c r="H248" i="12"/>
  <c r="G250" i="12" l="1"/>
  <c r="H249" i="12"/>
  <c r="H250" i="12" l="1"/>
  <c r="G251" i="12"/>
  <c r="G252" i="12" l="1"/>
  <c r="H251" i="12"/>
  <c r="H252" i="12" l="1"/>
  <c r="G253" i="12"/>
  <c r="H253" i="12" s="1"/>
  <c r="D261" i="12" l="1"/>
  <c r="D262" i="12"/>
  <c r="D260" i="12"/>
  <c r="D259" i="1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<sst xmlns="http://schemas.openxmlformats.org/spreadsheetml/2006/main" count="15166" uniqueCount="2257">
  <si>
    <t>Total</t>
  </si>
  <si>
    <t>ALTERNATIVAS</t>
  </si>
  <si>
    <t>SELECIONADO</t>
  </si>
  <si>
    <t>COM DESONERAÇÃO</t>
  </si>
  <si>
    <t>SEM DESONERAÇÃO</t>
  </si>
  <si>
    <t>LIMITES DE BDI</t>
  </si>
  <si>
    <t>OBRA TIPO</t>
  </si>
  <si>
    <t>OBRA:</t>
  </si>
  <si>
    <t>REFERÊNCIA:</t>
  </si>
  <si>
    <t>Alternativa</t>
  </si>
  <si>
    <t>Construção de edifícios.</t>
  </si>
  <si>
    <t>LOCAL:</t>
  </si>
  <si>
    <t>1º Quartil</t>
  </si>
  <si>
    <t>Médio</t>
  </si>
  <si>
    <t>2º Quartil</t>
  </si>
  <si>
    <t>Construção de rodovias e ferrovias.</t>
  </si>
  <si>
    <t>DATA:</t>
  </si>
  <si>
    <t>Saneamento básico.</t>
  </si>
  <si>
    <t>ENCARGOS</t>
  </si>
  <si>
    <t>Estações e redes de energia.</t>
  </si>
  <si>
    <t>Obras portuárias, marítmas e fluviais.</t>
  </si>
  <si>
    <t>Fornecimento de materiais e equipamentos.</t>
  </si>
  <si>
    <t>Declaro, para os devidos fins, que a alternativa de incidência da contribuição previdên-</t>
  </si>
  <si>
    <t xml:space="preserve">ciária sobre folha de pagamento para a planilha orçamentária do presente Projeto  de </t>
  </si>
  <si>
    <t>Engenharia foi</t>
  </si>
  <si>
    <t>, pois tornou-se a mais vantajosa para esta Adminis-</t>
  </si>
  <si>
    <t>tração Pública, uma vez que a meta estipulada alcançou uma maior área a ser beneficiada.</t>
  </si>
  <si>
    <t>=</t>
  </si>
  <si>
    <t xml:space="preserve">Em ambas planilhas orçamentárias, no cálculo do BDI adotado, foram utilizados os </t>
  </si>
  <si>
    <t>mesmos valores de seus componentes e, ainda, declaro que os percentuais relativos aos im-</t>
  </si>
  <si>
    <t>postos estão de acordo com o que emanam as leis pertinentes.</t>
  </si>
  <si>
    <t>Para fins de verificação do BDI em relação aos limites definidos no Acórdão 2.622/2013</t>
  </si>
  <si>
    <t>do Plenário do TCU, a obra foi enquadrada como:</t>
  </si>
  <si>
    <t>Ademais, informo que o percentual de BDI adotado foi obtido a partir da fórmula abai-</t>
  </si>
  <si>
    <t>xo, seguida do memorial de cálculo do índice.</t>
  </si>
  <si>
    <t>DESCRIÇÃO</t>
  </si>
  <si>
    <t>VALORES DE REFERÊNCIA</t>
  </si>
  <si>
    <t>BDI ADOTADO</t>
  </si>
  <si>
    <t>Administração Central</t>
  </si>
  <si>
    <t>(AC)</t>
  </si>
  <si>
    <t>Seguro e Garantia (*)</t>
  </si>
  <si>
    <t>(S e G)</t>
  </si>
  <si>
    <t>Risco</t>
  </si>
  <si>
    <t xml:space="preserve">(R) </t>
  </si>
  <si>
    <t>Despesas Financeiras</t>
  </si>
  <si>
    <t>(DF)</t>
  </si>
  <si>
    <t>Lucro</t>
  </si>
  <si>
    <t>(L)</t>
  </si>
  <si>
    <t>TRIBUTOS</t>
  </si>
  <si>
    <t>(I)</t>
  </si>
  <si>
    <t>COFINS</t>
  </si>
  <si>
    <t>PIS</t>
  </si>
  <si>
    <t>ISSQN (**)</t>
  </si>
  <si>
    <t>CPRB</t>
  </si>
  <si>
    <t>TOTAL</t>
  </si>
  <si>
    <t>BDI CONSTRUÇÃO:</t>
  </si>
  <si>
    <t>SEDI - SERVICOS DIVERSOS</t>
  </si>
  <si>
    <t>%CT</t>
  </si>
  <si>
    <t>Composição</t>
  </si>
  <si>
    <t>SINAPI</t>
  </si>
  <si>
    <t>H</t>
  </si>
  <si>
    <t>UN</t>
  </si>
  <si>
    <t>Insumo</t>
  </si>
  <si>
    <t>COMPOSIÇÃO MÃE</t>
  </si>
  <si>
    <t>Banco</t>
  </si>
  <si>
    <t>Tipo</t>
  </si>
  <si>
    <t>Código</t>
  </si>
  <si>
    <t>Descrição</t>
  </si>
  <si>
    <t>Unidade</t>
  </si>
  <si>
    <t>Quant.</t>
  </si>
  <si>
    <t>Custo Unit.</t>
  </si>
  <si>
    <t>Custo Total</t>
  </si>
  <si>
    <t xml:space="preserve">DOCUMENTOS ANEXOS </t>
  </si>
  <si>
    <t>ANEXO IV - MEMORIAL DE CÁLCULO</t>
  </si>
  <si>
    <t>HORA</t>
  </si>
  <si>
    <t>MÊS</t>
  </si>
  <si>
    <t>DESONERADO</t>
  </si>
  <si>
    <t>NÃO DESONERADO</t>
  </si>
  <si>
    <t>MACRO SERVIÇO</t>
  </si>
  <si>
    <t>SERVIÇOS</t>
  </si>
  <si>
    <t>VALOR TOTAL SEM BDI (R$)</t>
  </si>
  <si>
    <t>VALOR PARCELA BDI (R$)</t>
  </si>
  <si>
    <t>VALOR TOTAL COM BDI (R$)</t>
  </si>
  <si>
    <t>TOTAL SEM BDI</t>
  </si>
  <si>
    <t xml:space="preserve">PARCELA REFERENTE AO BDI </t>
  </si>
  <si>
    <t xml:space="preserve">TOTAL COM BDI </t>
  </si>
  <si>
    <t>Serviço</t>
  </si>
  <si>
    <t>Referência</t>
  </si>
  <si>
    <t>Base</t>
  </si>
  <si>
    <t>Und.</t>
  </si>
  <si>
    <t>BDI</t>
  </si>
  <si>
    <t>Valor Unit s/ BDI</t>
  </si>
  <si>
    <t>Valor Unit c/ BDI</t>
  </si>
  <si>
    <t>Total sem BDI</t>
  </si>
  <si>
    <t>Parcela do BDI</t>
  </si>
  <si>
    <t>Total c/ BDI</t>
  </si>
  <si>
    <t>ADMINISTRAÇÃO E CONTROLE</t>
  </si>
  <si>
    <t>1.1</t>
  </si>
  <si>
    <t>2.1</t>
  </si>
  <si>
    <t>2.2</t>
  </si>
  <si>
    <t>2.3</t>
  </si>
  <si>
    <t>3.1</t>
  </si>
  <si>
    <t>3.2</t>
  </si>
  <si>
    <t>4.1</t>
  </si>
  <si>
    <t>4.2</t>
  </si>
  <si>
    <t>5.1</t>
  </si>
  <si>
    <t>5.2</t>
  </si>
  <si>
    <t>6.1</t>
  </si>
  <si>
    <t>ADMINISTRAÇÃO DE OBRAS</t>
  </si>
  <si>
    <t>Quantidade</t>
  </si>
  <si>
    <t>UNID</t>
  </si>
  <si>
    <t>Altura</t>
  </si>
  <si>
    <t>Largura</t>
  </si>
  <si>
    <t>m</t>
  </si>
  <si>
    <t>4.3</t>
  </si>
  <si>
    <t>SERVENTE COM ENCARGOS COMPLEMENTARES</t>
  </si>
  <si>
    <t>M</t>
  </si>
  <si>
    <t>CHP</t>
  </si>
  <si>
    <t>M2</t>
  </si>
  <si>
    <t>Composição Auxiliar</t>
  </si>
  <si>
    <t>Material</t>
  </si>
  <si>
    <t>KG</t>
  </si>
  <si>
    <t>CARPINTEIRO DE FORMAS COM ENCARGOS COMPLEMENTARES</t>
  </si>
  <si>
    <t>M3</t>
  </si>
  <si>
    <t>Mão de Obra</t>
  </si>
  <si>
    <t>CHI</t>
  </si>
  <si>
    <t>PEDREIRO COM ENCARGOS COMPLEMENTARES</t>
  </si>
  <si>
    <t>L</t>
  </si>
  <si>
    <t>SARRAFO *2,5 X 7,5* CM EM PINUS, MISTA OU EQUIVALENTE DA REGIAO - BRUTA</t>
  </si>
  <si>
    <t>un</t>
  </si>
  <si>
    <t>Desonerado</t>
  </si>
  <si>
    <t>Não desonerado</t>
  </si>
  <si>
    <t>% DO TOTAL</t>
  </si>
  <si>
    <t>% ACUMULADO</t>
  </si>
  <si>
    <t>CLASSIFICAÇÃO</t>
  </si>
  <si>
    <t>QUANTIDADE DE ITENS</t>
  </si>
  <si>
    <t>ITENS</t>
  </si>
  <si>
    <t>CLASSE A</t>
  </si>
  <si>
    <t>CLASSE B</t>
  </si>
  <si>
    <t>CLASSE C</t>
  </si>
  <si>
    <t>Senhor Diretor do Departamento,</t>
  </si>
  <si>
    <t>META</t>
  </si>
  <si>
    <t>SUBMETA</t>
  </si>
  <si>
    <t>SERVIÇO</t>
  </si>
  <si>
    <t>VALOR COM BDI</t>
  </si>
  <si>
    <t>DESEMBOLSO MENSAL (COM BDI)</t>
  </si>
  <si>
    <t>DESEMBOLSO ACUMULADO (COM BDI)</t>
  </si>
  <si>
    <t>TOTAL MENSAL  (%)</t>
  </si>
  <si>
    <t>TOTAL ACUMULADO</t>
  </si>
  <si>
    <t>Área</t>
  </si>
  <si>
    <t>Altura (m)</t>
  </si>
  <si>
    <t>Largura (m)</t>
  </si>
  <si>
    <t>0% - 70%</t>
  </si>
  <si>
    <t>70% - 90%</t>
  </si>
  <si>
    <t>90% - 100%</t>
  </si>
  <si>
    <t>ANEXO I - RESUMO</t>
  </si>
  <si>
    <t>ANEXO II - PLANILHA ORÇAMENTÁRIA</t>
  </si>
  <si>
    <t>ANEXO III - PRANILHA ANALÍTICA</t>
  </si>
  <si>
    <t>ANEXO V - COMPOSIÇÕES PRÓPRIAS</t>
  </si>
  <si>
    <t>MESES</t>
  </si>
  <si>
    <t>HORAS/DIA</t>
  </si>
  <si>
    <t>(DIAS ÚTEIS)/MÊS</t>
  </si>
  <si>
    <t>HORAS TOTAIS</t>
  </si>
  <si>
    <t>Comprimento (m)</t>
  </si>
  <si>
    <t>PERCENTUAL</t>
  </si>
  <si>
    <t>Próprio</t>
  </si>
  <si>
    <t>ENGENHEIRO</t>
  </si>
  <si>
    <t>M²</t>
  </si>
  <si>
    <t>ENCARREGADO GERAL DE OBRAS COM ENCARGOS COMPLEMENTARES</t>
  </si>
  <si>
    <t>CONCRETO FCK = 20MPA, TRAÇO 1:2,7:3 (EM MASSA SECA DE CIMENTO/ AREIA MÉDIA/ BRITA 1) - PREPARO MECÂNICO COM BETONEIRA 600 L. AF_05/2021</t>
  </si>
  <si>
    <t>ARMAÇÃO DE LAJE DE ESTRUTURA CONVENCIONAL DE CONCRETO ARMADO UTILIZANDO AÇO CA-60 DE 4,2 MM - MONTAGEM. AF_06/2022</t>
  </si>
  <si>
    <t>DESMOLDANTE PROTETOR PARA FORMAS DE MADEIRA, DE BASE OLEOSA EMULSIONADA EM AGUA</t>
  </si>
  <si>
    <t>TABUA NAO APARELHADA *2,5 X 20* CM, EM MACARANDUBA/MASSARANDUBA, ANGELIM OU EQUIVALENTE DA REGIAO - BRUTA</t>
  </si>
  <si>
    <t>PONTALETE *7,5 X 7,5* CM EM PINUS, MISTA OU EQUIVALENTE DA REGIAO - BRUTA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</si>
  <si>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</si>
  <si>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</si>
  <si>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E</t>
  </si>
  <si>
    <t>M³</t>
  </si>
  <si>
    <t>Comprimento unitário (m)</t>
  </si>
  <si>
    <t>Total (m)</t>
  </si>
  <si>
    <t>AGETOP-CIVIL</t>
  </si>
  <si>
    <t>AJUDANTE</t>
  </si>
  <si>
    <t>CARPINTEIRO</t>
  </si>
  <si>
    <t>Kg</t>
  </si>
  <si>
    <t>CIMENTO PORTLAND CPII-32</t>
  </si>
  <si>
    <t>LOCAÇÃO DE CONTAINER SEM REVESTIMENTO INTERNO PARA ALMOXARIFADO / DEPÓSITO 6,00 X 2,40 M, INCLUSIVE MOBILIÁRIO (EXCLUSO MOBILIZAÇÃO / DESMOBILIZAÇÃO)</t>
  </si>
  <si>
    <t>mes</t>
  </si>
  <si>
    <t>CARGA, MANOBRA E DESCARGA DE CONTAINER</t>
  </si>
  <si>
    <t>SERVENTE</t>
  </si>
  <si>
    <t>CAMINHÃO MUNCK - HORA PRODUTIVA</t>
  </si>
  <si>
    <t>VHP</t>
  </si>
  <si>
    <t>m³</t>
  </si>
  <si>
    <t>A</t>
  </si>
  <si>
    <t>B</t>
  </si>
  <si>
    <t>D</t>
  </si>
  <si>
    <t>CONCRETO FCK = 25MPA, TRAÇO 1:2,3:2,7 (EM MASSA SECA DE CIMENTO/ AREIA MÉDIA/ BRITA 1) - PREPARO MECÂNICO COM BETONEIRA 600 L. AF_05/2021</t>
  </si>
  <si>
    <t>OPERADOR DE BETONEIRA ESTACIONÁRIA/MISTURADOR COM ENCARGOS COMPLEMENTARES</t>
  </si>
  <si>
    <t>BETONEIRA CAPACIDADE NOMINAL DE 600 L, CAPACIDADE DE MISTURA 360 L, MOTOR ELÉTRICO TRIFÁSICO POTÊNCIA DE 4 CV, SEM CARREGADOR - CHI DIURNO. AF_05/2023</t>
  </si>
  <si>
    <t>BETONEIRA CAPACIDADE NOMINAL DE 600 L, CAPACIDADE DE MISTURA 360 L, MOTOR ELÉTRICO TRIFÁSICO POTÊNCIA DE 4 CV, SEM CARREGADOR - CHP DIURNO. AF_05/2023</t>
  </si>
  <si>
    <t>AJUDANTE DE ARMADOR COM ENCARGOS COMPLEMENTARES</t>
  </si>
  <si>
    <t>ARAME RECOZIDO 16 BWG, D = 1,65 MM (0,016 KG/M) OU 18 BWG, D = 1,25 MM (0,01 KG/M)</t>
  </si>
  <si>
    <t>ESPACADOR / DISTANCIADOR CIRCULAR COM ENTRADA LATERAL, EM PLASTICO, PARA VERGALHAO *4,2 A 12,5* MM, COBRIMENTO 20 MM</t>
  </si>
  <si>
    <t>CORTE E DOBRA DE AÇO CA-50, DIÂMETRO DE 8,0 MM. AF_06/2022</t>
  </si>
  <si>
    <t>ARMADOR COM ENCARGOS COMPLEMENTARES</t>
  </si>
  <si>
    <t>VIBRADOR DE IMERSÃO, DIÂMETRO DE PONTEIRA 45MM, MOTOR ELÉTRICO TRIFÁSICO POTÊNCIA DE 2 CV - CHI DIURNO. AF_06/2015</t>
  </si>
  <si>
    <t>VIBRADOR DE IMERSÃO, DIÂMETRO DE PONTEIRA 45MM, MOTOR ELÉTRICO TRIFÁSICO POTÊNCIA DE 2 CV - CHP DIURNO. AF_06/2015</t>
  </si>
  <si>
    <t>AJUDANTE DE CARPINTEIRO COM ENCARGOS COMPLEMENTARES</t>
  </si>
  <si>
    <t>SERRA CIRCULAR DE BANCADA COM MOTOR ELÉTRICO POTÊNCIA DE 5HP, COM COIFA PARA DISCO 10" - CHI DIURNO. AF_08/2015</t>
  </si>
  <si>
    <t>SERRA CIRCULAR DE BANCADA COM MOTOR ELÉTRICO POTÊNCIA DE 5HP, COM COIFA PARA DISCO 10" - CHP DIURNO. AF_08/2015</t>
  </si>
  <si>
    <t>T</t>
  </si>
  <si>
    <t>AJUDANTE ESPECIALIZADO COM ENCARGOS COMPLEMENTARES</t>
  </si>
  <si>
    <t>LIMPEZA DE SUPERFÍCIE COM JATO DE ALTA PRESSÃO. AF_04/2019</t>
  </si>
  <si>
    <t>LAVADORA DE ALTA PRESSAO (LAVA-JATO) PARA AGUA FRIA, PRESSAO DE OPERACAO ENTRE 1400 E 1900 LIB/POL2, VAZAO MAXIMA ENTRE 400 E 700 L/H - CHP DIURNO. AF_05/2023</t>
  </si>
  <si>
    <t>3º Quartil</t>
  </si>
  <si>
    <t>ANEXO VII - CURVA ABC</t>
  </si>
  <si>
    <t>ANEXO VIII - CRONOGRAMA FÍSICO-FINANCEIRO (CFF)</t>
  </si>
  <si>
    <t>ANEXO VI - BDI CONSTRUÇÃO</t>
  </si>
  <si>
    <t>m²</t>
  </si>
  <si>
    <t>SERVIÇOS PRELIMINARES E CANTEIROS DE OBRAS</t>
  </si>
  <si>
    <t>ALVENARIAS E FECHAMENTOS</t>
  </si>
  <si>
    <t>PISOS</t>
  </si>
  <si>
    <t>HIDROSSANITÁRIO</t>
  </si>
  <si>
    <t>ELÉTRICO</t>
  </si>
  <si>
    <t>FINALIZAÇÃO E LIMPEZA DE OBRA</t>
  </si>
  <si>
    <t>Diâmetro (mm)</t>
  </si>
  <si>
    <t>Resumo</t>
  </si>
  <si>
    <t>Massa linear (kg/m)</t>
  </si>
  <si>
    <t>Massa (kg)</t>
  </si>
  <si>
    <t>Pilares platibanda</t>
  </si>
  <si>
    <t>Tipo de aço</t>
  </si>
  <si>
    <t>CA-60</t>
  </si>
  <si>
    <t>CA-50</t>
  </si>
  <si>
    <t>Forma (m²)</t>
  </si>
  <si>
    <t>Concreto (m²)</t>
  </si>
  <si>
    <t>Laje</t>
  </si>
  <si>
    <t>Área de laje (8+4)</t>
  </si>
  <si>
    <t>Estacas</t>
  </si>
  <si>
    <t>Blocos</t>
  </si>
  <si>
    <t>Arranque de pilares</t>
  </si>
  <si>
    <t>Pilares</t>
  </si>
  <si>
    <t>Vigas Baldrames</t>
  </si>
  <si>
    <t>Vigas de platibanda</t>
  </si>
  <si>
    <t>Vigas</t>
  </si>
  <si>
    <t>Fck (MPa)</t>
  </si>
  <si>
    <t>C-25</t>
  </si>
  <si>
    <t>Estaca</t>
  </si>
  <si>
    <t>Diâmetro (cm)</t>
  </si>
  <si>
    <t>Estaca tipo 1</t>
  </si>
  <si>
    <t>4.1.1</t>
  </si>
  <si>
    <t>ESTACA</t>
  </si>
  <si>
    <t>4.1.2</t>
  </si>
  <si>
    <t>4.1.3</t>
  </si>
  <si>
    <t>BLOCO</t>
  </si>
  <si>
    <t>4.2.1</t>
  </si>
  <si>
    <t>4.2.2</t>
  </si>
  <si>
    <t>4.2.3</t>
  </si>
  <si>
    <t>4.2.4</t>
  </si>
  <si>
    <t>Incremento em cada direção (m)</t>
  </si>
  <si>
    <t>Volume unitário(m³)</t>
  </si>
  <si>
    <t>Volume total (m³)</t>
  </si>
  <si>
    <t>4.2.5</t>
  </si>
  <si>
    <t>2.5</t>
  </si>
  <si>
    <t>2.4</t>
  </si>
  <si>
    <t>Escritório</t>
  </si>
  <si>
    <t>Sanitário</t>
  </si>
  <si>
    <t>Almoxarifado</t>
  </si>
  <si>
    <t>2.6</t>
  </si>
  <si>
    <t>Mobilização</t>
  </si>
  <si>
    <t>Desmobilização</t>
  </si>
  <si>
    <t>3.3</t>
  </si>
  <si>
    <t>Escavação do solo para aterro.</t>
  </si>
  <si>
    <t>Volume de aterro.</t>
  </si>
  <si>
    <t>PILARES</t>
  </si>
  <si>
    <t>ESQUADRIAS</t>
  </si>
  <si>
    <t>FORRO E COBERTURA</t>
  </si>
  <si>
    <t>IMPERMEABILIZAÇÃO</t>
  </si>
  <si>
    <t>MOVIMENTAÇÃO DE TERRA</t>
  </si>
  <si>
    <t>4.3.1</t>
  </si>
  <si>
    <t>4.2.6</t>
  </si>
  <si>
    <t>4.2.7</t>
  </si>
  <si>
    <t>VIGAS</t>
  </si>
  <si>
    <t>4.3.2</t>
  </si>
  <si>
    <t>4.3.3</t>
  </si>
  <si>
    <t>4.3.4</t>
  </si>
  <si>
    <t>4.3.5</t>
  </si>
  <si>
    <t>4.3.6</t>
  </si>
  <si>
    <t>4.3.7</t>
  </si>
  <si>
    <t>INFRAESTRUTURA</t>
  </si>
  <si>
    <t>VIGAS BALDRAMES</t>
  </si>
  <si>
    <t>SUPESTRUTURA</t>
  </si>
  <si>
    <t>Viga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</si>
  <si>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</si>
  <si>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</si>
  <si>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</si>
  <si>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</si>
  <si>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</si>
  <si>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</si>
  <si>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</si>
  <si>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</si>
  <si>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</si>
  <si>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</si>
  <si>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</si>
  <si>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</si>
  <si>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</si>
  <si>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</si>
  <si>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</si>
  <si>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</si>
  <si>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</si>
  <si>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</si>
  <si>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</si>
  <si>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</si>
  <si>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</si>
  <si>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</si>
  <si>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</si>
  <si>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</si>
  <si>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Volume escavação (m³)</t>
  </si>
  <si>
    <t>Volume vigas (m³)</t>
  </si>
  <si>
    <t>4.3.8</t>
  </si>
  <si>
    <t>LAJES</t>
  </si>
  <si>
    <t>6.2</t>
  </si>
  <si>
    <t>Local</t>
  </si>
  <si>
    <t>Área (m²)</t>
  </si>
  <si>
    <t>PNE masculino</t>
  </si>
  <si>
    <t>PNE feminino/fraldário</t>
  </si>
  <si>
    <t>Sala 01</t>
  </si>
  <si>
    <t>Sala 02</t>
  </si>
  <si>
    <t>Sala 03</t>
  </si>
  <si>
    <t>Sala 04</t>
  </si>
  <si>
    <t>Sala 05</t>
  </si>
  <si>
    <t>Sala presidencia/reunião</t>
  </si>
  <si>
    <t>Recepção</t>
  </si>
  <si>
    <t>Circulação</t>
  </si>
  <si>
    <t>DML</t>
  </si>
  <si>
    <t>Cozinha</t>
  </si>
  <si>
    <t>Lavatório</t>
  </si>
  <si>
    <t>Sala 06</t>
  </si>
  <si>
    <t>Sala 07</t>
  </si>
  <si>
    <t>Sala 08</t>
  </si>
  <si>
    <t>Sala 09</t>
  </si>
  <si>
    <t>Sala 10</t>
  </si>
  <si>
    <t>Corredor divisa com prefeitura</t>
  </si>
  <si>
    <t>Corredor divisa com câmara</t>
  </si>
  <si>
    <t>Total (m²)</t>
  </si>
  <si>
    <t>7.1</t>
  </si>
  <si>
    <t>7.2</t>
  </si>
  <si>
    <t>7.3</t>
  </si>
  <si>
    <t>2.7</t>
  </si>
  <si>
    <t>7.4</t>
  </si>
  <si>
    <t>Área&lt;5m²</t>
  </si>
  <si>
    <t>5m²&lt;=Área&lt;10m²</t>
  </si>
  <si>
    <t>Área=&gt;10m²</t>
  </si>
  <si>
    <t>7.5</t>
  </si>
  <si>
    <t>7.6</t>
  </si>
  <si>
    <t>7.7</t>
  </si>
  <si>
    <t>Área externa</t>
  </si>
  <si>
    <t>Pé direito (m)</t>
  </si>
  <si>
    <t>Desconto (m²)</t>
  </si>
  <si>
    <t>Origem do desconto</t>
  </si>
  <si>
    <t>Área líquida (m²)</t>
  </si>
  <si>
    <t>P6</t>
  </si>
  <si>
    <t>P1</t>
  </si>
  <si>
    <t>Sala 1</t>
  </si>
  <si>
    <t>J1</t>
  </si>
  <si>
    <t>Sala 2</t>
  </si>
  <si>
    <t>Sala 3</t>
  </si>
  <si>
    <t>Sala 4</t>
  </si>
  <si>
    <t>Sala 5</t>
  </si>
  <si>
    <t>J2</t>
  </si>
  <si>
    <t>P2</t>
  </si>
  <si>
    <t>P3</t>
  </si>
  <si>
    <t>J3</t>
  </si>
  <si>
    <t>Sala 6</t>
  </si>
  <si>
    <t>Sala 7</t>
  </si>
  <si>
    <t>Sala 8</t>
  </si>
  <si>
    <t>Sala 9</t>
  </si>
  <si>
    <t>P7</t>
  </si>
  <si>
    <t>P5</t>
  </si>
  <si>
    <t>P4</t>
  </si>
  <si>
    <t>Abertura</t>
  </si>
  <si>
    <t>Com abertura (m²)</t>
  </si>
  <si>
    <t>Sem abertura (m²)</t>
  </si>
  <si>
    <t>Platibanda</t>
  </si>
  <si>
    <t>Caixa de água</t>
  </si>
  <si>
    <t>6.3</t>
  </si>
  <si>
    <t>6.4</t>
  </si>
  <si>
    <t>Aberturas + cobogó</t>
  </si>
  <si>
    <t>2*P1</t>
  </si>
  <si>
    <t>5*P1</t>
  </si>
  <si>
    <t>3*P1</t>
  </si>
  <si>
    <t>2*P1+P7</t>
  </si>
  <si>
    <t>2*J3+5*J1+J2</t>
  </si>
  <si>
    <t>6*J1+J3+P4</t>
  </si>
  <si>
    <t>6.5</t>
  </si>
  <si>
    <t>Externo</t>
  </si>
  <si>
    <t>6.6</t>
  </si>
  <si>
    <t>6.7</t>
  </si>
  <si>
    <t>6.8</t>
  </si>
  <si>
    <t>6.9</t>
  </si>
  <si>
    <t>6.10</t>
  </si>
  <si>
    <t>6.11</t>
  </si>
  <si>
    <t>7.8</t>
  </si>
  <si>
    <t>Desconto (m)</t>
  </si>
  <si>
    <t>PAREDES INTERNAS</t>
  </si>
  <si>
    <t>8.1</t>
  </si>
  <si>
    <t>9.1</t>
  </si>
  <si>
    <t>JANELAS</t>
  </si>
  <si>
    <t>Janela</t>
  </si>
  <si>
    <t>9.2</t>
  </si>
  <si>
    <t>PORTAS</t>
  </si>
  <si>
    <t>Porta</t>
  </si>
  <si>
    <t>9.1.1</t>
  </si>
  <si>
    <t>9.1.2</t>
  </si>
  <si>
    <t>9.1.3</t>
  </si>
  <si>
    <t>9.2.1</t>
  </si>
  <si>
    <t>9.2.2</t>
  </si>
  <si>
    <t>9.2.3</t>
  </si>
  <si>
    <t>9.2.4</t>
  </si>
  <si>
    <t>9.2.5</t>
  </si>
  <si>
    <t>9.2.6</t>
  </si>
  <si>
    <t>10.1</t>
  </si>
  <si>
    <t>=Área de chapisco interno.</t>
  </si>
  <si>
    <t>10.2</t>
  </si>
  <si>
    <t>=Área de chapisco externo.</t>
  </si>
  <si>
    <t>10.3</t>
  </si>
  <si>
    <t>=Área de chapisco interno +chapisco externo.</t>
  </si>
  <si>
    <t>10.4</t>
  </si>
  <si>
    <t>11.1</t>
  </si>
  <si>
    <t>11.2</t>
  </si>
  <si>
    <t>11.3</t>
  </si>
  <si>
    <t>12.1</t>
  </si>
  <si>
    <t>12.2</t>
  </si>
  <si>
    <t>12.3</t>
  </si>
  <si>
    <t>=Área de pisos.</t>
  </si>
  <si>
    <t>COBERTURA</t>
  </si>
  <si>
    <t>12.4</t>
  </si>
  <si>
    <t>=Perímetro dos rodapés sem desconto.</t>
  </si>
  <si>
    <t>Prédio principal</t>
  </si>
  <si>
    <t>Largura da meia tesoura</t>
  </si>
  <si>
    <t>Portanto</t>
  </si>
  <si>
    <t>Largura de distribuição das tesouras</t>
  </si>
  <si>
    <t>Quantidade no vão</t>
  </si>
  <si>
    <t>Vão entre tesouras</t>
  </si>
  <si>
    <t>Tesoura no início</t>
  </si>
  <si>
    <t>Tesoura no fim</t>
  </si>
  <si>
    <t>11.4</t>
  </si>
  <si>
    <t>Largura da tesoura</t>
  </si>
  <si>
    <t>13.1</t>
  </si>
  <si>
    <t>13.1.1</t>
  </si>
  <si>
    <t>ACESSÓRIOS</t>
  </si>
  <si>
    <t>Conforme projeto elétrico.</t>
  </si>
  <si>
    <t>13.1.2</t>
  </si>
  <si>
    <t>13.2</t>
  </si>
  <si>
    <t>CABEAMENTO</t>
  </si>
  <si>
    <t>Bitola (mm²)</t>
  </si>
  <si>
    <t>Cor</t>
  </si>
  <si>
    <t>Quantidade (m)</t>
  </si>
  <si>
    <t>Amarelo</t>
  </si>
  <si>
    <t>Azul claro</t>
  </si>
  <si>
    <t>Branco</t>
  </si>
  <si>
    <t>Verde-amarelo</t>
  </si>
  <si>
    <t>Vermelho</t>
  </si>
  <si>
    <t>Preto</t>
  </si>
  <si>
    <t>13.3</t>
  </si>
  <si>
    <t>DISPOSITIVO DE PROTEÇÃO</t>
  </si>
  <si>
    <t>14.1</t>
  </si>
  <si>
    <t>14.1.1</t>
  </si>
  <si>
    <t>14.1.2</t>
  </si>
  <si>
    <t>14.2</t>
  </si>
  <si>
    <t>14.2.1</t>
  </si>
  <si>
    <t>14.2.2</t>
  </si>
  <si>
    <t>14.2.3</t>
  </si>
  <si>
    <t>14.2.4</t>
  </si>
  <si>
    <t>14.3</t>
  </si>
  <si>
    <t>PLUVIAL</t>
  </si>
  <si>
    <t>Conforme projeto hidrossanitário.</t>
  </si>
  <si>
    <t>13.1.3</t>
  </si>
  <si>
    <t>13.1.4</t>
  </si>
  <si>
    <t>13.1.5</t>
  </si>
  <si>
    <t>ESGOTO</t>
  </si>
  <si>
    <t>Sifão de copo p/ pia e lavatório 1" - 1.1/2"</t>
  </si>
  <si>
    <t>Válvula p/ lavatório e tanque 1"</t>
  </si>
  <si>
    <t>Curva 90 curta 40mm</t>
  </si>
  <si>
    <t>Joelho 45 40 mm</t>
  </si>
  <si>
    <t>Joelho 90 100 mm</t>
  </si>
  <si>
    <t>Joelho 90 c/anel p/ esgoto secundário 40 mm - 1.1/2</t>
  </si>
  <si>
    <t>Junção simples 100 mm - 50 mm</t>
  </si>
  <si>
    <t>Luva 40 mm</t>
  </si>
  <si>
    <t>Luva simples 100 mm</t>
  </si>
  <si>
    <t>Luva simples 50 mm</t>
  </si>
  <si>
    <t>Tubo rígido c/ ponta lisa 100 mm</t>
  </si>
  <si>
    <t>Tubo rígido c/ ponta lisa 40 mm</t>
  </si>
  <si>
    <t>Tubo rígido c/ ponta lisa 50 mm</t>
  </si>
  <si>
    <t>Caixa sifonada 150x150x50</t>
  </si>
  <si>
    <t>Sifão de copo p/ pia e lavatório 1" - 2"</t>
  </si>
  <si>
    <t>Válvula p/ pia 1"</t>
  </si>
  <si>
    <t>Tê sanitário 100 mm - 50 mm</t>
  </si>
  <si>
    <t>Peça</t>
  </si>
  <si>
    <t>Sifão flexível c/ Adaptador 1.1/2" - 1.1/2"</t>
  </si>
  <si>
    <t>Válvula p/ tanque 1 1/2"</t>
  </si>
  <si>
    <t>Joelho 90 50 mm</t>
  </si>
  <si>
    <t>DML/Cozinha</t>
  </si>
  <si>
    <t>PNE</t>
  </si>
  <si>
    <t>Joelho 45 50 mm</t>
  </si>
  <si>
    <t>VENTILAÇÃO</t>
  </si>
  <si>
    <t>Tubo rígido c/ ponta lisa 50 mm - 2</t>
  </si>
  <si>
    <t>Tê sanitário 50 mm - 50 mm</t>
  </si>
  <si>
    <t>13.4</t>
  </si>
  <si>
    <t>ÁGUA FRIA - PNE</t>
  </si>
  <si>
    <t>15.1</t>
  </si>
  <si>
    <t>15.2</t>
  </si>
  <si>
    <t>letras</t>
  </si>
  <si>
    <t>Forro</t>
  </si>
  <si>
    <t>Paredes internas</t>
  </si>
  <si>
    <t>Paredes externas</t>
  </si>
  <si>
    <t>Pisos</t>
  </si>
  <si>
    <t>JARDINAGEM</t>
  </si>
  <si>
    <t>17.1</t>
  </si>
  <si>
    <t>17.2</t>
  </si>
  <si>
    <t>17.3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</si>
  <si>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</si>
  <si>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</si>
  <si>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</si>
  <si>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</si>
  <si>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</si>
  <si>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</si>
  <si>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</si>
  <si>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</si>
  <si>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</si>
  <si>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13.2.10</t>
  </si>
  <si>
    <t>13.2.11</t>
  </si>
  <si>
    <t>13.2.12</t>
  </si>
  <si>
    <t>13.2.13</t>
  </si>
  <si>
    <t>13.2.14</t>
  </si>
  <si>
    <t>13.2.15</t>
  </si>
  <si>
    <t>13.2.16</t>
  </si>
  <si>
    <t>13.2.17</t>
  </si>
  <si>
    <t>13.2.18</t>
  </si>
  <si>
    <t>13.2.19</t>
  </si>
  <si>
    <t>13.2.20</t>
  </si>
  <si>
    <t>13.3.1</t>
  </si>
  <si>
    <t>13.3.2</t>
  </si>
  <si>
    <t>13.3.3</t>
  </si>
  <si>
    <t>13.4.1</t>
  </si>
  <si>
    <t>13.4.2</t>
  </si>
  <si>
    <t>13.4.3</t>
  </si>
  <si>
    <t>13.4.4</t>
  </si>
  <si>
    <t>13.4.5</t>
  </si>
  <si>
    <t>13.4.6</t>
  </si>
  <si>
    <t>13.4.7</t>
  </si>
  <si>
    <t>13.4.8</t>
  </si>
  <si>
    <t>13.4.9</t>
  </si>
  <si>
    <t>13.4.11</t>
  </si>
  <si>
    <t>13.4.12</t>
  </si>
  <si>
    <t>13.4.10</t>
  </si>
  <si>
    <t>13.5</t>
  </si>
  <si>
    <t>13.5.1</t>
  </si>
  <si>
    <t>13.5.2</t>
  </si>
  <si>
    <t>13.6</t>
  </si>
  <si>
    <t>13.6.1</t>
  </si>
  <si>
    <t>ÁGUA FRIA - DML/COZINHA</t>
  </si>
  <si>
    <t>ÁGUA FRIA - LAVATÓRIO</t>
  </si>
  <si>
    <t>13.7</t>
  </si>
  <si>
    <t>ÁGUA FRIA - SALA DE REUNIÕES</t>
  </si>
  <si>
    <t>13.7.1</t>
  </si>
  <si>
    <t>13.8</t>
  </si>
  <si>
    <t>ÁGUA FRIA - ENTRADA DE ÁGUA</t>
  </si>
  <si>
    <t>13.8.1</t>
  </si>
  <si>
    <t>13.9</t>
  </si>
  <si>
    <t>ÁGUA FRIA - ALIMENTAÇÃO INTERNA</t>
  </si>
  <si>
    <t>13.9.1</t>
  </si>
  <si>
    <t>13.10</t>
  </si>
  <si>
    <t>13.10.1</t>
  </si>
  <si>
    <t>14.3.1</t>
  </si>
  <si>
    <t>ELETRODUTO</t>
  </si>
  <si>
    <t>14.4.1</t>
  </si>
  <si>
    <t>14.4</t>
  </si>
  <si>
    <t>14.5</t>
  </si>
  <si>
    <t>TOMADAS E INTERRUPTORES</t>
  </si>
  <si>
    <t>14.5.1</t>
  </si>
  <si>
    <t>14.6</t>
  </si>
  <si>
    <t>14.6.1</t>
  </si>
  <si>
    <t>LUMINÁRIAS</t>
  </si>
  <si>
    <t>14.7</t>
  </si>
  <si>
    <t>14.7.1</t>
  </si>
  <si>
    <t>ENTRADA DE ENERGIA</t>
  </si>
  <si>
    <t>BLOCOS DE COROAMENTO</t>
  </si>
  <si>
    <t>SUPERESTRUTURAS</t>
  </si>
  <si>
    <t>5.1.1</t>
  </si>
  <si>
    <t>5.1.2</t>
  </si>
  <si>
    <t>5.1.3</t>
  </si>
  <si>
    <t>5.1.4</t>
  </si>
  <si>
    <t>5.1.5</t>
  </si>
  <si>
    <t>5.1.6</t>
  </si>
  <si>
    <t>5.2.1</t>
  </si>
  <si>
    <t>5.2.2</t>
  </si>
  <si>
    <t>5.2.3</t>
  </si>
  <si>
    <t>5.2.4</t>
  </si>
  <si>
    <t>5.2.5</t>
  </si>
  <si>
    <t>5.2.6</t>
  </si>
  <si>
    <t>5.2.7</t>
  </si>
  <si>
    <t>5.3</t>
  </si>
  <si>
    <t>5.3.1</t>
  </si>
  <si>
    <t>5.3.2</t>
  </si>
  <si>
    <t>5.3.3</t>
  </si>
  <si>
    <t>5.3.4</t>
  </si>
  <si>
    <t>PINTURA</t>
  </si>
  <si>
    <t>FORRO</t>
  </si>
  <si>
    <t>13.5.3</t>
  </si>
  <si>
    <t>13.5.4</t>
  </si>
  <si>
    <t>13.5.5</t>
  </si>
  <si>
    <t>13.5.6</t>
  </si>
  <si>
    <t>13.5.7</t>
  </si>
  <si>
    <t>13.5.8</t>
  </si>
  <si>
    <t>13.5.9</t>
  </si>
  <si>
    <t>13.5.10</t>
  </si>
  <si>
    <t>13.5.11</t>
  </si>
  <si>
    <t>13.6.2</t>
  </si>
  <si>
    <t>13.6.3</t>
  </si>
  <si>
    <t>13.6.4</t>
  </si>
  <si>
    <t>13.6.5</t>
  </si>
  <si>
    <t>13.6.6</t>
  </si>
  <si>
    <t>13.6.7</t>
  </si>
  <si>
    <t>13.6.8</t>
  </si>
  <si>
    <t>13.7.2</t>
  </si>
  <si>
    <t>13.7.3</t>
  </si>
  <si>
    <t>13.7.4</t>
  </si>
  <si>
    <t>13.7.5</t>
  </si>
  <si>
    <t>13.7.6</t>
  </si>
  <si>
    <t>13.7.7</t>
  </si>
  <si>
    <t>13.8.2</t>
  </si>
  <si>
    <t>13.8.3</t>
  </si>
  <si>
    <t>13.8.4</t>
  </si>
  <si>
    <t>13.8.5</t>
  </si>
  <si>
    <t>13.8.6</t>
  </si>
  <si>
    <t>13.8.7</t>
  </si>
  <si>
    <t>13.8.8</t>
  </si>
  <si>
    <t>13.8.9</t>
  </si>
  <si>
    <t>13.8.10</t>
  </si>
  <si>
    <t>13.8.11</t>
  </si>
  <si>
    <t>13.8.12</t>
  </si>
  <si>
    <t>13.8.13</t>
  </si>
  <si>
    <t>13.8.14</t>
  </si>
  <si>
    <t>13.8.15</t>
  </si>
  <si>
    <t>13.8.16</t>
  </si>
  <si>
    <t>13.8.17</t>
  </si>
  <si>
    <t>13.8.18</t>
  </si>
  <si>
    <t>13.8.19</t>
  </si>
  <si>
    <t>13.8.20</t>
  </si>
  <si>
    <t>13.8.21</t>
  </si>
  <si>
    <t>13.8.22</t>
  </si>
  <si>
    <t>13.8.23</t>
  </si>
  <si>
    <t>13.9.2</t>
  </si>
  <si>
    <t>13.9.3</t>
  </si>
  <si>
    <t>13.9.4</t>
  </si>
  <si>
    <t>13.9.5</t>
  </si>
  <si>
    <t>13.9.6</t>
  </si>
  <si>
    <t>13.9.7</t>
  </si>
  <si>
    <t>13.9.8</t>
  </si>
  <si>
    <t>13.9.9</t>
  </si>
  <si>
    <t>13.9.10</t>
  </si>
  <si>
    <t>13.9.11</t>
  </si>
  <si>
    <t>13.9.12</t>
  </si>
  <si>
    <t>13.9.13</t>
  </si>
  <si>
    <t>13.9.14</t>
  </si>
  <si>
    <t>13.9.15</t>
  </si>
  <si>
    <t>13.9.16</t>
  </si>
  <si>
    <t>13.9.17</t>
  </si>
  <si>
    <t>13.9.18</t>
  </si>
  <si>
    <t>13.9.19</t>
  </si>
  <si>
    <t>13.9.20</t>
  </si>
  <si>
    <t>13.9.21</t>
  </si>
  <si>
    <t>13.9.22</t>
  </si>
  <si>
    <t>PEÇAS SANITÁRIAS</t>
  </si>
  <si>
    <t>13.10.2</t>
  </si>
  <si>
    <t>13.10.3</t>
  </si>
  <si>
    <t>14.3.2</t>
  </si>
  <si>
    <t>14.3.3</t>
  </si>
  <si>
    <t>14.3.4</t>
  </si>
  <si>
    <t>14.3.5</t>
  </si>
  <si>
    <t>14.3.6</t>
  </si>
  <si>
    <t>14.4.2</t>
  </si>
  <si>
    <t>14.4.3</t>
  </si>
  <si>
    <t>14.5.2</t>
  </si>
  <si>
    <t>14.5.3</t>
  </si>
  <si>
    <t>14.5.4</t>
  </si>
  <si>
    <t>14.5.5</t>
  </si>
  <si>
    <t>14.5.6</t>
  </si>
  <si>
    <t>14.6.2</t>
  </si>
  <si>
    <t>14.6.3</t>
  </si>
  <si>
    <t>14.6.4</t>
  </si>
  <si>
    <t>14.6.5</t>
  </si>
  <si>
    <t>14.7.2</t>
  </si>
  <si>
    <t>16.1</t>
  </si>
  <si>
    <t>16.2</t>
  </si>
  <si>
    <t>FACHADA</t>
  </si>
  <si>
    <t>Arcos</t>
  </si>
  <si>
    <t>Local do letreiro</t>
  </si>
  <si>
    <t>Canteiro</t>
  </si>
  <si>
    <t>AJUDANTE DE ESTRUTURA METÁLICA COM ENCARGOS COMPLEMENTARES</t>
  </si>
  <si>
    <t>MONTADOR DE ESTRUTURAS METÁLICAS COM ENCARGOS COMPLEMENTARES</t>
  </si>
  <si>
    <t>Chapa de alumínio composto (ACM) - E = 3,0 mm</t>
  </si>
  <si>
    <t>ESTRUTURA METALICA MR250 / ASTM A36  - COTAÇÃO (FABRICAÇÃO E MONTAGEM)</t>
  </si>
  <si>
    <t>Acessórios p/ fixação de painéis</t>
  </si>
  <si>
    <t>SICRO3</t>
  </si>
  <si>
    <t>PAINEL EM ACM - ESTRUTURADO (FACHADAS) (REF.: SEDOP 061458)</t>
  </si>
  <si>
    <t>CJ</t>
  </si>
  <si>
    <t>SEDOP</t>
  </si>
  <si>
    <t>A00098</t>
  </si>
  <si>
    <t>Painel em ACM - Estruturado (fachadas)</t>
  </si>
  <si>
    <t>MONTADOR COM ENCARGOS COMPLEMENTARES</t>
  </si>
  <si>
    <t>AJUDANTE DE MONTADOR COM ENCARGOS COMPLEMENTARES</t>
  </si>
  <si>
    <t>Estrutura em metal p/ painéis de fachada</t>
  </si>
  <si>
    <t>Painel em ACM de 4mm</t>
  </si>
  <si>
    <t>A00097</t>
  </si>
  <si>
    <t>A00096</t>
  </si>
  <si>
    <t>Espessura chapa</t>
  </si>
  <si>
    <t>Massa linear</t>
  </si>
  <si>
    <t>Largura=comprimento</t>
  </si>
  <si>
    <t>mm</t>
  </si>
  <si>
    <t>mm²</t>
  </si>
  <si>
    <t>kg/m</t>
  </si>
  <si>
    <t>Espaçamento</t>
  </si>
  <si>
    <t>Quantidade por metro</t>
  </si>
  <si>
    <t>Massa por m²</t>
  </si>
  <si>
    <t>kg/m²</t>
  </si>
  <si>
    <t>**Insumo recalculado.</t>
  </si>
  <si>
    <t>*Insumos e composições atualizados para bancos válidos no local.</t>
  </si>
  <si>
    <t>DIAS</t>
  </si>
  <si>
    <t>LETRAS EM ACM (REF.: SEDOP 061458)</t>
  </si>
  <si>
    <t>**Insumo retirado devido a não ter estrutura.</t>
  </si>
  <si>
    <t>Letra</t>
  </si>
  <si>
    <t>Profundidade (m)</t>
  </si>
  <si>
    <t>Área frontal (m²)</t>
  </si>
  <si>
    <t>Área total (m²)</t>
  </si>
  <si>
    <t>Área unitária (m²)</t>
  </si>
  <si>
    <t>G</t>
  </si>
  <si>
    <t>I</t>
  </si>
  <si>
    <t>N</t>
  </si>
  <si>
    <t>O</t>
  </si>
  <si>
    <t>S</t>
  </si>
  <si>
    <t>V</t>
  </si>
  <si>
    <t>R</t>
  </si>
  <si>
    <t>GABINETES DOS VEREADORES</t>
  </si>
  <si>
    <t xml:space="preserve"> 1.1 </t>
  </si>
  <si>
    <t>Und</t>
  </si>
  <si>
    <t>Valor Unit</t>
  </si>
  <si>
    <t xml:space="preserve"> COMP CIVIL 01 </t>
  </si>
  <si>
    <t>ADMINISTRAÇÃO LOCAL DA OBRA</t>
  </si>
  <si>
    <t>CANT - CANTEIRO DE OBRAS</t>
  </si>
  <si>
    <t xml:space="preserve"> 100306 </t>
  </si>
  <si>
    <t>ENGENHEIRO CIVIL PLENO COM ENCARGOS COMPLEMENTARES</t>
  </si>
  <si>
    <t>SEDI - SERVIÇOS DIVERSOS</t>
  </si>
  <si>
    <t xml:space="preserve"> 94295 </t>
  </si>
  <si>
    <t>MESTRE DE OBRAS COM ENCARGOS COMPLEMENTARES</t>
  </si>
  <si>
    <t>Livro SINAPI: Cálculos e Parâmetros</t>
  </si>
  <si>
    <t>MES</t>
  </si>
  <si>
    <t>MO sem LS =&gt;</t>
  </si>
  <si>
    <t>LS =&gt;</t>
  </si>
  <si>
    <t>MO com LS =&gt;</t>
  </si>
  <si>
    <t>Valor do BDI =&gt;</t>
  </si>
  <si>
    <t>Valor com BDI =&gt;</t>
  </si>
  <si>
    <t>Quant. =&gt;</t>
  </si>
  <si>
    <t>1,00</t>
  </si>
  <si>
    <t>Preço Total =&gt;</t>
  </si>
  <si>
    <t xml:space="preserve"> 2 </t>
  </si>
  <si>
    <t xml:space="preserve"> 2.1 </t>
  </si>
  <si>
    <t xml:space="preserve"> 103689 </t>
  </si>
  <si>
    <t>FORNECIMENTO E INSTALAÇÃO DE PLACA DE OBRA COM CHAPA GALVANIZADA E ESTRUTURA DE MADEIRA. AF_03/2022_PS</t>
  </si>
  <si>
    <t>Sinalização Vertical Viária</t>
  </si>
  <si>
    <t xml:space="preserve"> 88316 </t>
  </si>
  <si>
    <t xml:space="preserve"> 102234 </t>
  </si>
  <si>
    <t>PINTURA IMUNIZANTE PARA MADEIRA, 2 DEMÃOS. AF_01/2021</t>
  </si>
  <si>
    <t>Pintura em Madeira</t>
  </si>
  <si>
    <t xml:space="preserve"> 88262 </t>
  </si>
  <si>
    <t xml:space="preserve"> 00005069 </t>
  </si>
  <si>
    <t>PREGO DE ACO POLIDO COM CABECA 17 X 27 (2 1/2 X 11)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</si>
  <si>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</si>
  <si>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</si>
  <si>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</si>
  <si>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</si>
  <si>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</si>
  <si>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</si>
  <si>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4,50</t>
  </si>
  <si>
    <t xml:space="preserve"> 2.2 </t>
  </si>
  <si>
    <t xml:space="preserve"> 020231 </t>
  </si>
  <si>
    <t>AGETOP CIVIL</t>
  </si>
  <si>
    <t>LOCAÇÃO DE CONTAINER COM REVESTIMENTO INTERNO, PARA ESCRITÓRIO SEM SANITÁRIOS 6,00 X 2,40 M, INCLUSIVE APARELHO DE AR CONDICIONADO E MOBILIÁRIO (EXCLUSO MOBILIZAÇÃO / DESMOBILIZAÇÃO)</t>
  </si>
  <si>
    <t xml:space="preserve"> 5005 </t>
  </si>
  <si>
    <t>5,00</t>
  </si>
  <si>
    <t xml:space="preserve"> 2.3 </t>
  </si>
  <si>
    <t xml:space="preserve"> 020232 </t>
  </si>
  <si>
    <t>LOCAÇÃO DE CONTAINER SANITÁRIO MISTO 6,00 X 2,40 M, COM 3 VASOS, 6 CHUVEIROS, LAVATÓRIO E MICTÓRIO (EXCLUSO MOBILIZAÇÃO / DESMOBILIZAÇÃO)</t>
  </si>
  <si>
    <t xml:space="preserve"> 5006 </t>
  </si>
  <si>
    <t xml:space="preserve"> 2.4 </t>
  </si>
  <si>
    <t xml:space="preserve"> 020230 </t>
  </si>
  <si>
    <t xml:space="preserve"> 5004 </t>
  </si>
  <si>
    <t xml:space="preserve"> 2.5 </t>
  </si>
  <si>
    <t xml:space="preserve"> 030119 </t>
  </si>
  <si>
    <t xml:space="preserve"> 5010 </t>
  </si>
  <si>
    <t xml:space="preserve"> 0005 </t>
  </si>
  <si>
    <t>6,00</t>
  </si>
  <si>
    <t xml:space="preserve"> 2.6 </t>
  </si>
  <si>
    <t xml:space="preserve"> 98525 </t>
  </si>
  <si>
    <t>LIMPEZA MECANIZADA DE CAMADA VEGETAL, VEGETAÇÃO E PEQUENAS ÁRVORES (DIÂMETRO DE TRONCO MENOR QUE 0,20 M), COM TRATOR DE ESTEIRAS. AF_03/2024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</si>
  <si>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</si>
  <si>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</si>
  <si>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</si>
  <si>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</si>
  <si>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</si>
  <si>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</si>
  <si>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</si>
  <si>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</si>
  <si>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>459,00</t>
  </si>
  <si>
    <t xml:space="preserve"> 2.7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</si>
  <si>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</si>
  <si>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</si>
  <si>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</si>
  <si>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91692 </t>
  </si>
  <si>
    <t xml:space="preserve"> 91693 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</si>
  <si>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</si>
  <si>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</si>
  <si>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</si>
  <si>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88239 </t>
  </si>
  <si>
    <t xml:space="preserve"> 00010567 </t>
  </si>
  <si>
    <t>TABUA *2,5 X 23* CM EM PINUS, MISTA OU EQUIVALENTE DA REGIAO - BRUTA</t>
  </si>
  <si>
    <t xml:space="preserve"> 00005068 </t>
  </si>
  <si>
    <t>PREGO DE ACO POLIDO COM CABECA 17 X 21 (2 X 11)</t>
  </si>
  <si>
    <t xml:space="preserve"> 00004417 </t>
  </si>
  <si>
    <t>SARRAFO NAO APARELHADO *2,5 X 7* CM, EM MACARANDUBA/MASSARANDUBA, ANGELIM, PEROBA-ROSA OU EQUIVALENTE DA REGIAO - BRUTA</t>
  </si>
  <si>
    <t xml:space="preserve"> 00007356 </t>
  </si>
  <si>
    <t>TINTA LATEX ACRILICA PREMIUM, COR BRANCO FOSCO</t>
  </si>
  <si>
    <t xml:space="preserve"> 00004433 </t>
  </si>
  <si>
    <t>CAIBRO NAO APARELHADO *6 X 6* CM, EM MACARANDUBA/MASSARANDUBA, ANGELIM OU EQUIVALENTE DA REGIAO - BRUTA</t>
  </si>
  <si>
    <t>88,00</t>
  </si>
  <si>
    <t xml:space="preserve"> 3 </t>
  </si>
  <si>
    <t xml:space="preserve"> 3.1 </t>
  </si>
  <si>
    <t xml:space="preserve"> 100575 </t>
  </si>
  <si>
    <t>REGULARIZAÇÃO DE SUPERFÍCIES COM MOTONIVELADORA. AF_09/2024</t>
  </si>
  <si>
    <t>Aterros, Bases, Sub bases e Imprimações</t>
  </si>
  <si>
    <t xml:space="preserve"> 5932 </t>
  </si>
  <si>
    <t>MOTONIVELADORA POTÊNCIA BÁSICA LÍQUIDA (PRIMEIRA MARCHA) 125 HP, PESO BRUTO 13032 KG, LARGURA DA LÂMINA DE 3,7 M - CHP DIURNO. AF_06/2014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</si>
  <si>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</si>
  <si>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</si>
  <si>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</si>
  <si>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>MOTONIVELADORA POTÊNCIA BÁSICA LÍQUIDA (PRIMEIRA MARCHA) 125 HP, PESO BRUTO 13032 KG, LARGURA DA LÂMINA DE 3,7 M - CHI DIURNO. AF_06/2014</t>
  </si>
  <si>
    <t xml:space="preserve"> 3.2 </t>
  </si>
  <si>
    <t xml:space="preserve"> 101136 </t>
  </si>
  <si>
    <t>ESCAVAÇÃO HORIZONTAL, INCLUINDO CARGA, DESCARGA E TRANSPORTE EM SOLO DE 1A CATEGORIA COM TRATOR DE ESTEIRAS (170HP/LÂMINA: 5,20M3) E CAMINHÃO BASCULANTE DE 10M3, DMT ATÉ 200M. AF_07/2020</t>
  </si>
  <si>
    <t>Escavação Horizontal</t>
  </si>
  <si>
    <t xml:space="preserve"> 93589 </t>
  </si>
  <si>
    <t>TRANSPORTE COM CAMINHÃO BASCULANTE DE 10 M³, EM VIA URBANA EM REVESTIMENTO PRIMÁRIO (UNIDADE: M3XKM). AF_07/2020</t>
  </si>
  <si>
    <t>Transporte, Carga e Descarga de Materiais</t>
  </si>
  <si>
    <t>M3XKM</t>
  </si>
  <si>
    <t xml:space="preserve"> 5847 </t>
  </si>
  <si>
    <t>TRATOR DE ESTEIRAS, POTÊNCIA 170 HP, PESO OPERACIONAL 19 T, CAÇAMBA 5,2 M3 - CHP DIURNO. AF_06/2014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</si>
  <si>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</si>
  <si>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</si>
  <si>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 xml:space="preserve"> 5849 </t>
  </si>
  <si>
    <t>TRATOR DE ESTEIRAS, POTÊNCIA 170 HP, PESO OPERACIONAL 19 T, CAÇAMBA 5,2 M3 - CHI DIURNO. AF_06/2014</t>
  </si>
  <si>
    <t>137,70</t>
  </si>
  <si>
    <t xml:space="preserve"> 3.3 </t>
  </si>
  <si>
    <t xml:space="preserve"> 105558 </t>
  </si>
  <si>
    <t>EXECUÇÃO E COMPACTAÇÃO DE CAMADA FINAL DE ATERRO (100% DE ENERGIA DO PROCTOR NORMAL) COM SOLO PREDOMINANTEMENTE ARGILOSO, EM CAMADAS COM ESPESSURA DE 15 CM - EXCLUSIVE ESCAVAÇÃO, CARGA E TRANSPORTE E SOLO. AF_09/2024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</si>
  <si>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</si>
  <si>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</si>
  <si>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</si>
  <si>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</si>
  <si>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</si>
  <si>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</si>
  <si>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4 </t>
  </si>
  <si>
    <t xml:space="preserve"> 4.1 </t>
  </si>
  <si>
    <t xml:space="preserve"> 4.1.1 </t>
  </si>
  <si>
    <t xml:space="preserve"> 95584 </t>
  </si>
  <si>
    <t>MONTAGEM DE ARMADURA TRANSVERSAL DE ESTACAS DE SEÇÃO CIRCULAR, DIÂMETRO = 6,30 MM. AF_09/2021_PS</t>
  </si>
  <si>
    <t>Armação de Estacas</t>
  </si>
  <si>
    <t xml:space="preserve"> 88245 </t>
  </si>
  <si>
    <t xml:space="preserve"> 88238 </t>
  </si>
  <si>
    <t xml:space="preserve"> 92801 </t>
  </si>
  <si>
    <t>CORTE E DOBRA DE AÇO CA-50, DIÂMETRO DE 6,3 MM. AF_06/2022</t>
  </si>
  <si>
    <t>Armação para Estruturas de Concreto Armado</t>
  </si>
  <si>
    <t xml:space="preserve"> 00043132 </t>
  </si>
  <si>
    <t xml:space="preserve"> 00039017 </t>
  </si>
  <si>
    <t>36,21</t>
  </si>
  <si>
    <t xml:space="preserve"> 4.1.2 </t>
  </si>
  <si>
    <t xml:space="preserve"> 95577 </t>
  </si>
  <si>
    <t>MONTAGEM DE ARMADURA DE ESTACAS, DIÂMETRO = 10,0 MM. AF_09/2021_PS</t>
  </si>
  <si>
    <t xml:space="preserve"> 92803 </t>
  </si>
  <si>
    <t>CORTE E DOBRA DE AÇO CA-50, DIÂMETRO DE 10,0 MM. AF_06/2022</t>
  </si>
  <si>
    <t>388,41</t>
  </si>
  <si>
    <t xml:space="preserve"> 4.1.3 </t>
  </si>
  <si>
    <t xml:space="preserve"> 100901 </t>
  </si>
  <si>
    <t>ESTACA BROCA DE CONCRETO, DIÂMETRO DE 30CM, ESCAVAÇÃO MANUAL COM TRADO CONCHA, SEM ARMADURA DE ARRANQUE. AF_05/2020 (REF.: SINAPI 101175)</t>
  </si>
  <si>
    <t>Estacas Broca, Strauss e Escavada com Fluido Estabilizante</t>
  </si>
  <si>
    <t xml:space="preserve"> 94971 </t>
  </si>
  <si>
    <t xml:space="preserve"> 88309 </t>
  </si>
  <si>
    <t>252,00</t>
  </si>
  <si>
    <t xml:space="preserve"> 4.2 </t>
  </si>
  <si>
    <t>BLOCOS</t>
  </si>
  <si>
    <t xml:space="preserve"> 4.2.1 </t>
  </si>
  <si>
    <t xml:space="preserve"> 96544 </t>
  </si>
  <si>
    <t>ARMAÇÃO DE BLOCO UTILIZANDO AÇO CA-50 DE 6,3 MM - MONTAGEM. AF_01/2024</t>
  </si>
  <si>
    <t>Fundações Rasas (Blocos, Sapatas, Vigas Baldrame)</t>
  </si>
  <si>
    <t>65,36</t>
  </si>
  <si>
    <t xml:space="preserve"> 4.2.2 </t>
  </si>
  <si>
    <t xml:space="preserve"> 96546 </t>
  </si>
  <si>
    <t>ARMAÇÃO DE BLOCO UTILIZANDO AÇO CA-50 DE 10 MM - MONTAGEM. AF_01/2024</t>
  </si>
  <si>
    <t>54,37</t>
  </si>
  <si>
    <t xml:space="preserve"> 4.2.3 </t>
  </si>
  <si>
    <t xml:space="preserve"> 88377 </t>
  </si>
  <si>
    <t xml:space="preserve"> 89225 </t>
  </si>
  <si>
    <t xml:space="preserve"> 89226 </t>
  </si>
  <si>
    <t xml:space="preserve"> 00001379 </t>
  </si>
  <si>
    <t>CIMENTO PORTLAND COMPOSTO CP II-32</t>
  </si>
  <si>
    <t xml:space="preserve"> 00004721 </t>
  </si>
  <si>
    <t>PEDRA BRITADA N. 1 (9,5 A 19 MM) POSTO PEDREIRA/FORNECEDOR, SEM FRETE</t>
  </si>
  <si>
    <t xml:space="preserve"> 00000370 </t>
  </si>
  <si>
    <t>AREIA MEDIA - POSTO JAZIDA/FORNECEDOR (RETIRADO NA JAZIDA, SEM TRANSPORTE)</t>
  </si>
  <si>
    <t>7,90</t>
  </si>
  <si>
    <t xml:space="preserve"> 4.2.4 </t>
  </si>
  <si>
    <t xml:space="preserve"> 103670 </t>
  </si>
  <si>
    <t>LANÇAMENTO COM USO DE BALDES, ADENSAMENTO E ACABAMENTO DE CONCRETO EM ESTRUTURAS. AF_02/2022</t>
  </si>
  <si>
    <t>Concretagem para Estruturas de Concreto Armado</t>
  </si>
  <si>
    <t xml:space="preserve"> 90587 </t>
  </si>
  <si>
    <t xml:space="preserve"> 90586 </t>
  </si>
  <si>
    <t xml:space="preserve"> 4.2.5 </t>
  </si>
  <si>
    <t xml:space="preserve"> 96521 </t>
  </si>
  <si>
    <t>ESCAVAÇÃO MECANIZADA PARA BLOCO DE COROAMENTO OU SAPATA COM RETROESCAVADEIRA (INCLUINDO ESCAVAÇÃO PARA COLOCAÇÃO DE FÔRMAS). AF_01/2024</t>
  </si>
  <si>
    <t xml:space="preserve"> 5679 </t>
  </si>
  <si>
    <t xml:space="preserve"> 5678 </t>
  </si>
  <si>
    <t>33,26</t>
  </si>
  <si>
    <t xml:space="preserve"> 4.2.6 </t>
  </si>
  <si>
    <t xml:space="preserve"> 050903 </t>
  </si>
  <si>
    <t>REATERRO COM APILOAMENTO MANUAL (BLOCOS/SAPATAS)</t>
  </si>
  <si>
    <t>24,95</t>
  </si>
  <si>
    <t xml:space="preserve"> 4.2.7 </t>
  </si>
  <si>
    <t xml:space="preserve"> 96534 </t>
  </si>
  <si>
    <t>FABRICAÇÃO, MONTAGEM E DESMONTAGEM DE FÔRMA PARA BLOCO DE COROAMENTO, EM MADEIRA SERRADA, E=25 MM, 4 UTILIZAÇÕES. AF_01/2024</t>
  </si>
  <si>
    <t xml:space="preserve"> 00005074 </t>
  </si>
  <si>
    <t>PREGO DE ACO POLIDO COM CABECA 15 X 18 (1 1/2 X 13)</t>
  </si>
  <si>
    <t xml:space="preserve"> 00006212 </t>
  </si>
  <si>
    <t>TABUA *2,5 X 30 CM EM PINUS, MISTA OU EQUIVALENTE DA REGIAO - BRUTA</t>
  </si>
  <si>
    <t xml:space="preserve"> 00004517 </t>
  </si>
  <si>
    <t xml:space="preserve"> 00040304 </t>
  </si>
  <si>
    <t>PREGO DE ACO POLIDO COM CABECA DUPLA 17 X 27 (2 1/2 X 11)</t>
  </si>
  <si>
    <t xml:space="preserve"> 00002692 </t>
  </si>
  <si>
    <t xml:space="preserve"> 00004491 </t>
  </si>
  <si>
    <t>56,00</t>
  </si>
  <si>
    <t xml:space="preserve"> 4.3 </t>
  </si>
  <si>
    <t xml:space="preserve"> 4.3.1 </t>
  </si>
  <si>
    <t xml:space="preserve"> 104916 </t>
  </si>
  <si>
    <t>ARMAÇÃO DE SAPATA ISOLADA, VIGA BALDRAME E SAPATA CORRIDA UTILIZANDO AÇO CA-60 DE 5 MM - MONTAGEM. AF_01/2024</t>
  </si>
  <si>
    <t xml:space="preserve"> 92800 </t>
  </si>
  <si>
    <t>CORTE E DOBRA DE AÇO CA-60, DIÂMETRO DE 5,0 MM. AF_06/2022</t>
  </si>
  <si>
    <t>131,01</t>
  </si>
  <si>
    <t xml:space="preserve"> 4.3.2 </t>
  </si>
  <si>
    <t xml:space="preserve"> 104918 </t>
  </si>
  <si>
    <t>ARMAÇÃO DE SAPATA ISOLADA, VIGA BALDRAME E SAPATA CORRIDA UTILIZANDO AÇO CA-50 DE 8 MM - MONTAGEM. AF_01/2024</t>
  </si>
  <si>
    <t xml:space="preserve"> 92802 </t>
  </si>
  <si>
    <t>180,32</t>
  </si>
  <si>
    <t xml:space="preserve"> 4.3.3 </t>
  </si>
  <si>
    <t xml:space="preserve"> 104919 </t>
  </si>
  <si>
    <t>ARMAÇÃO DE SAPATA ISOLADA, VIGA BALDRAME E SAPATA CORRIDA UTILIZANDO AÇO CA-50 DE 10 MM - MONTAGEM. AF_01/2024</t>
  </si>
  <si>
    <t>121,45</t>
  </si>
  <si>
    <t xml:space="preserve"> 4.3.4 </t>
  </si>
  <si>
    <t>11,05</t>
  </si>
  <si>
    <t xml:space="preserve"> 4.3.5 </t>
  </si>
  <si>
    <t xml:space="preserve"> 4.3.6 </t>
  </si>
  <si>
    <t xml:space="preserve"> 96525 </t>
  </si>
  <si>
    <t>ESCAVAÇÃO MECANIZADA PARA VIGA BALDRAME OU SAPATA CORRIDA COM MINI-ESCAVADEIRA (INCLUINDO ESCAVAÇÃO PARA COLOCAÇÃO DE FÔRMAS). AF_01/2024</t>
  </si>
  <si>
    <t xml:space="preserve"> 96245 </t>
  </si>
  <si>
    <t>MINIESCAVADEIRA SOBRE ESTEIRAS, POTÊNCIA LÍQUIDA DE *30* HP, PESO OPERACIONAL DE *3.500* KG - CHP DIURNO. AF_04/2017</t>
  </si>
  <si>
    <t xml:space="preserve"> 96246 </t>
  </si>
  <si>
    <t>MINIESCAVADEIRA SOBRE ESTEIRAS, POTÊNCIA LÍQUIDA DE *30* HP, PESO OPERACIONAL DE *3.500* KG - CHI DIURNO. AF_04/2017</t>
  </si>
  <si>
    <t>17,80</t>
  </si>
  <si>
    <t xml:space="preserve"> 4.3.7 </t>
  </si>
  <si>
    <t xml:space="preserve"> 040902 </t>
  </si>
  <si>
    <t>REATERRO COM APILOAMENTO</t>
  </si>
  <si>
    <t>9,07</t>
  </si>
  <si>
    <t xml:space="preserve"> 4.3.8 </t>
  </si>
  <si>
    <t xml:space="preserve"> 96536 </t>
  </si>
  <si>
    <t>FABRICAÇÃO, MONTAGEM E DESMONTAGEM DE FÔRMA PARA VIGA BALDRAME, EM MADEIRA SERRADA, E=25 MM, 4 UTILIZAÇÕES. AF_01/2024</t>
  </si>
  <si>
    <t xml:space="preserve"> 00005073 </t>
  </si>
  <si>
    <t>PREGO DE ACO POLIDO COM CABECA 17 X 24 (2 1/4 X 11)</t>
  </si>
  <si>
    <t>145,00</t>
  </si>
  <si>
    <t xml:space="preserve"> 5 </t>
  </si>
  <si>
    <t xml:space="preserve"> 5.1 </t>
  </si>
  <si>
    <t xml:space="preserve"> 5.1.1 </t>
  </si>
  <si>
    <t xml:space="preserve"> 92759 </t>
  </si>
  <si>
    <t>ARMAÇÃO DE PILAR OU VIGA DE ESTRUTURA CONVENCIONAL DE CONCRETO ARMADO UTILIZANDO AÇO CA-60 DE 5,0 MM - MONTAGEM. AF_06/2022</t>
  </si>
  <si>
    <t>213,74</t>
  </si>
  <si>
    <t xml:space="preserve"> 5.1.2 </t>
  </si>
  <si>
    <t xml:space="preserve"> 92762 </t>
  </si>
  <si>
    <t>ARMAÇÃO DE PILAR OU VIGA DE ESTRUTURA CONVENCIONAL DE CONCRETO ARMADO UTILIZANDO AÇO CA-50 DE 10,0 MM - MONTAGEM. AF_06/2022</t>
  </si>
  <si>
    <t>615,72</t>
  </si>
  <si>
    <t xml:space="preserve"> 5.1.3 </t>
  </si>
  <si>
    <t xml:space="preserve"> 92763 </t>
  </si>
  <si>
    <t>ARMAÇÃO DE PILAR OU VIGA DE ESTRUTURA CONVENCIONAL DE CONCRETO ARMADO UTILIZANDO AÇO CA-50 DE 12,5 MM - MONTAGEM. AF_06/2022</t>
  </si>
  <si>
    <t xml:space="preserve"> 92804 </t>
  </si>
  <si>
    <t>CORTE E DOBRA DE AÇO CA-50, DIÂMETRO DE 12,5 MM. AF_06/2022</t>
  </si>
  <si>
    <t>30,34</t>
  </si>
  <si>
    <t xml:space="preserve"> 5.1.4 </t>
  </si>
  <si>
    <t>7,16</t>
  </si>
  <si>
    <t xml:space="preserve"> 5.1.5 </t>
  </si>
  <si>
    <t xml:space="preserve"> 5.1.6 </t>
  </si>
  <si>
    <t xml:space="preserve"> 92427 </t>
  </si>
  <si>
    <t>MONTAGEM E DESMONTAGEM DE FÔRMA DE PILARES RETANGULARES E ESTRUTURAS SIMILARES, PÉ-DIREITO SIMPLES, EM CHAPA DE MADEIRA COMPENSADA RESINADA, 8 UTILIZAÇÕES. AF_09/2020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</si>
  <si>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</si>
  <si>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</si>
  <si>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</si>
  <si>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00040275 </t>
  </si>
  <si>
    <t>LOCACAO DE VIGA SANDUICHE METALICA VAZADA PARA TRAVAMENTO DE PILARES, ALTURA DE *8* CM, LARGURA DE *6* CM E EXTENSAO DE 2 M</t>
  </si>
  <si>
    <t>Equipamento</t>
  </si>
  <si>
    <t>UNXMES</t>
  </si>
  <si>
    <t xml:space="preserve"> 00040271 </t>
  </si>
  <si>
    <t>LOCACAO DE APRUMADOR METALICO DE PILAR, COM ALTURA E ANGULO REGULAVEIS, EXTENSAO DE *1,50* A *2,80* M</t>
  </si>
  <si>
    <t xml:space="preserve"> 00040287 </t>
  </si>
  <si>
    <t>LOCACAO DE BARRA DE ANCORAGEM DE 0,80 A 1,20 M DE EXTENSAO, COM ROSCA DE 5/8", INCLUINDO PORCA E FLANGE</t>
  </si>
  <si>
    <t>144,94</t>
  </si>
  <si>
    <t xml:space="preserve"> 5.2 </t>
  </si>
  <si>
    <t xml:space="preserve"> 5.2.1 </t>
  </si>
  <si>
    <t>153,88</t>
  </si>
  <si>
    <t xml:space="preserve"> 5.2.2 </t>
  </si>
  <si>
    <t xml:space="preserve"> 92761 </t>
  </si>
  <si>
    <t>ARMAÇÃO DE PILAR OU VIGA DE ESTRUTURA CONVENCIONAL DE CONCRETO ARMADO UTILIZANDO AÇO CA-50 DE 8,0 MM - MONTAGEM. AF_06/2022</t>
  </si>
  <si>
    <t>280,18</t>
  </si>
  <si>
    <t xml:space="preserve"> 5.2.3 </t>
  </si>
  <si>
    <t>72,80</t>
  </si>
  <si>
    <t xml:space="preserve"> 5.2.4 </t>
  </si>
  <si>
    <t>19,65</t>
  </si>
  <si>
    <t xml:space="preserve"> 5.2.5 </t>
  </si>
  <si>
    <t>20,47</t>
  </si>
  <si>
    <t xml:space="preserve"> 5.2.6 </t>
  </si>
  <si>
    <t xml:space="preserve"> 5.2.7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</si>
  <si>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</si>
  <si>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</si>
  <si>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92272 </t>
  </si>
  <si>
    <t>FABRICAÇÃO DE ESCORAS DE VIGA DO TIPO GARFO, EM MADEIRA. AF_09/2020</t>
  </si>
  <si>
    <t xml:space="preserve"> 92266 </t>
  </si>
  <si>
    <t>FABRICAÇÃO DE FÔRMA PARA VIGAS, EM CHAPA DE MADEIRA COMPENSADA PLASTIFICADA, E = 18 MM. AF_09/2020</t>
  </si>
  <si>
    <t xml:space="preserve"> 00006193 </t>
  </si>
  <si>
    <t>279,82</t>
  </si>
  <si>
    <t xml:space="preserve"> 5.3 </t>
  </si>
  <si>
    <t xml:space="preserve"> 5.3.1 </t>
  </si>
  <si>
    <t xml:space="preserve"> 106060 </t>
  </si>
  <si>
    <t>LAJE PRÉ-MOLDADA UNIDIRECIONAL, BIAPOIADA, PARA FORRO, ENCHIMENTO EM EPS, VIGOTA TRELIÇADA, ALTURA TOTAL DA LAJE "LT" = 12 CM (ENCHIMENTO+CAPA) = (8+4). AF_08/2025</t>
  </si>
  <si>
    <t>Lajes Pré-Moldadas</t>
  </si>
  <si>
    <t xml:space="preserve"> 92273 </t>
  </si>
  <si>
    <t>FABRICAÇÃO DE ESCORAS DO TIPO PONTALETE, EM MADEIRA, PARA PÉ-DIREITO SIMPLES. AF_09/2020</t>
  </si>
  <si>
    <t xml:space="preserve"> 103674 </t>
  </si>
  <si>
    <t>CONCRETAGEM DE VIGAS E LAJES, FCK=25 MPA, PARA LAJES PREMOLDADAS COM USO DE BOMBA - LANÇAMENTO, ADENSAMENTO E ACABAMENTO. AF_02/2022_PS</t>
  </si>
  <si>
    <t xml:space="preserve"> 92767 </t>
  </si>
  <si>
    <t xml:space="preserve"> 00003742 </t>
  </si>
  <si>
    <t>LAJE PRE-MOLDADA TRELICADA (LAJOTAS + VIGOTAS) PARA FORRO, UNIDIRECIONAL, SOBRECARGA DE 100 KG/M2, VAO ATE 6,00 M (SEM COLOCACAO)</t>
  </si>
  <si>
    <t>317,00</t>
  </si>
  <si>
    <t xml:space="preserve"> 5.3.2 </t>
  </si>
  <si>
    <t xml:space="preserve"> 92768 </t>
  </si>
  <si>
    <t>ARMAÇÃO DE LAJE DE ESTRUTURA CONVENCIONAL DE CONCRETO ARMADO UTILIZANDO AÇO CA-60 DE 5,0 MM - MONTAGEM. AF_06/2022</t>
  </si>
  <si>
    <t>3,56</t>
  </si>
  <si>
    <t xml:space="preserve"> 5.3.3 </t>
  </si>
  <si>
    <t xml:space="preserve"> 92770 </t>
  </si>
  <si>
    <t>ARMAÇÃO DE LAJE DE ESTRUTURA CONVENCIONAL DE CONCRETO ARMADO UTILIZANDO AÇO CA-50 DE 8,0 MM - MONTAGEM. AF_06/2022</t>
  </si>
  <si>
    <t>312,09</t>
  </si>
  <si>
    <t xml:space="preserve"> 5.3.4 </t>
  </si>
  <si>
    <t xml:space="preserve"> 92771 </t>
  </si>
  <si>
    <t>ARMAÇÃO DE LAJE DE ESTRUTURA CONVENCIONAL DE CONCRETO ARMADO UTILIZANDO AÇO CA-50 DE 10,0 MM - MONTAGEM. AF_06/2022</t>
  </si>
  <si>
    <t>11,04</t>
  </si>
  <si>
    <t xml:space="preserve"> 6 </t>
  </si>
  <si>
    <t xml:space="preserve"> 6.1 </t>
  </si>
  <si>
    <t xml:space="preserve"> 103356 </t>
  </si>
  <si>
    <t>ALVENARIA DE VEDAÇÃO DE BLOCOS CERÂMICOS FURADOS NA HORIZONTAL DE 9X19X29 CM (ESPESSURA 9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</si>
  <si>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</si>
  <si>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</si>
  <si>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</si>
  <si>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Argamassas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</si>
  <si>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</si>
  <si>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</si>
  <si>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</si>
  <si>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</si>
  <si>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</si>
  <si>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00007268 </t>
  </si>
  <si>
    <t>BLOCO CERAMICO / TIJOLO VAZADO PARA ALVENARIA DE VEDACAO, 8 FUROS NA HORIZONTAL DE 9 X 19 X 29 CM (L X A X C)</t>
  </si>
  <si>
    <t>549,39</t>
  </si>
  <si>
    <t xml:space="preserve"> 6.2 </t>
  </si>
  <si>
    <t xml:space="preserve"> 101162 </t>
  </si>
  <si>
    <t>ALVENARIA DE VEDAÇÃO COM ELEMENTO VAZADO DE CERÂMICA (COBOGÓ) DE 7X20X20CM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</si>
  <si>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</si>
  <si>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</si>
  <si>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</si>
  <si>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00007272 </t>
  </si>
  <si>
    <t>ELEMENTO VAZADO CERAMICO QUADRADO (TIPO RETO OU REDONDO) DE *7 A 9 X 20 X 20* CM (L X A X C)</t>
  </si>
  <si>
    <t>2,42</t>
  </si>
  <si>
    <t xml:space="preserve"> 6.3 </t>
  </si>
  <si>
    <t xml:space="preserve"> 102257 </t>
  </si>
  <si>
    <t>DIVISORIA SANITÁRIA, TIPO CABINE, EM PAINEL DE GRANILITE, ESP = 3CM, ASSENTADO COM ARGAMASSA COLANTE AC III-E, EXCLUSIVE FERRAGENS. AF_01/2021</t>
  </si>
  <si>
    <t>Instalações de Divisórias Diversas</t>
  </si>
  <si>
    <t xml:space="preserve"> 88274 </t>
  </si>
  <si>
    <t>MARMORISTA/GRANITEIRO COM ENCARGOS COMPLEMENTARES</t>
  </si>
  <si>
    <t xml:space="preserve"> 00010698 </t>
  </si>
  <si>
    <t>DIVISORIA, PLACA PRE-MOLDADA EM GRANILITE, MARMORITE OU GRANITINA, E = *3 CM</t>
  </si>
  <si>
    <t xml:space="preserve"> 00037596 </t>
  </si>
  <si>
    <t>ARGAMASSA COLANTE TIPO AC III E</t>
  </si>
  <si>
    <t xml:space="preserve"> 00000131 </t>
  </si>
  <si>
    <t>ADESIVO ESTRUTURAL A BASE DE RESINA EPOXI, BICOMPONENTE, PASTOSO (TIXOTROPICO)</t>
  </si>
  <si>
    <t>6,37</t>
  </si>
  <si>
    <t xml:space="preserve"> 6.4 </t>
  </si>
  <si>
    <t xml:space="preserve"> 87879 </t>
  </si>
  <si>
    <t>CHAPISCO APLICADO EM ALVENARIAS E ESTRUTURAS DE CONCRETO INTERNAS,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</si>
  <si>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</si>
  <si>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</si>
  <si>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</si>
  <si>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1.060,04</t>
  </si>
  <si>
    <t xml:space="preserve"> 6.5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</si>
  <si>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</si>
  <si>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</si>
  <si>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>73,39</t>
  </si>
  <si>
    <t xml:space="preserve"> 6.6 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</si>
  <si>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</si>
  <si>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</si>
  <si>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>301,85</t>
  </si>
  <si>
    <t xml:space="preserve"> 6.7 </t>
  </si>
  <si>
    <t xml:space="preserve"> 87527 </t>
  </si>
  <si>
    <t>EMBOÇO, EM ARGAMASSA TRAÇO 1:2:8, PREPARO MECÂNICO, APLICADO MANUALMENTE EM PAREDES INTERNAS DE AMBIENTES COM ÁREA MENOR QUE 5M², E =17,5MM, COM TALISCAS. AF_03/2024</t>
  </si>
  <si>
    <t>Massa Única Interna</t>
  </si>
  <si>
    <t>86,30</t>
  </si>
  <si>
    <t xml:space="preserve"> 6.8 </t>
  </si>
  <si>
    <t xml:space="preserve"> 87531 </t>
  </si>
  <si>
    <t>EMBOÇO, EM ARGAMASSA TRAÇO 1:2:8, PREPARO MECÂNICO, APLICADO MANUALMENTE EM PAREDES INTERNAS DE AMBIENTES COM ÁREA ENTRE 5M² E 10M², E = 17,5MM, COM TALISCAS. AF_03/2024</t>
  </si>
  <si>
    <t>260,61</t>
  </si>
  <si>
    <t xml:space="preserve"> 6.9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</si>
  <si>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</si>
  <si>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</si>
  <si>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>713,12</t>
  </si>
  <si>
    <t xml:space="preserve"> 6.10 </t>
  </si>
  <si>
    <t xml:space="preserve"> 104237 </t>
  </si>
  <si>
    <t>EMBOÇO OU MASSA ÚNICA EM ARGAMASSA TRAÇO 1:2:8, PREPARO MECÂNICA COM BETONEIRA 400 L, APLICADA MANUALMENTE EM PANOS DE FACHADA SEM PRESENÇA DE VÃOS, ESPESSURA DE 35 MM, ACESSO POR ANDAIME. AF_08/2022</t>
  </si>
  <si>
    <t>Massa Única Externa</t>
  </si>
  <si>
    <t xml:space="preserve"> 00037411 </t>
  </si>
  <si>
    <t>TELA DE ACO SOLDADA GALVANIZADA/ZINCADA PARA ALVENARIA, FIO D = *1,24 MM, MALHA 25 X 25 MM</t>
  </si>
  <si>
    <t xml:space="preserve"> 6.11 </t>
  </si>
  <si>
    <t xml:space="preserve"> 104221 </t>
  </si>
  <si>
    <t>EMBOÇO OU MASSA ÚNICA EM ARGAMASSA TRAÇO 1:2:8, PREPARO MECÂNICA COM BETONEIRA 400 L, APLICADA MANUALMENTE EM PANOS DE FACHADA COM PRESENÇA DE VÃOS, ESPESSURA DE 35 MM, ACESSO POR ANDAIME. AF_08/2022</t>
  </si>
  <si>
    <t xml:space="preserve"> 7 </t>
  </si>
  <si>
    <t xml:space="preserve"> 7.1 </t>
  </si>
  <si>
    <t xml:space="preserve"> 97084 </t>
  </si>
  <si>
    <t>COMPACTAÇÃO MECÂNICA DE SOLO PARA EXECUÇÃO DE RADIER, PISO DE CONCRETO OU LAJE SOBRE SOLO, COM COMPACTADOR DE SOLOS TIPO PLACA VIBRATÓRIA. AF_09/2021</t>
  </si>
  <si>
    <t>Radier, Piso de Concreto e Laje sobre Solo</t>
  </si>
  <si>
    <t xml:space="preserve"> 91277 </t>
  </si>
  <si>
    <t>PLACA VIBRATÓRIA REVERSÍVEL COM MOTOR 4 TEMPOS A GASOLINA, FORÇA CENTRÍFUGA DE 25 KN (2500 KGF), POTÊNCIA 5,5 CV - CHP DIURNO. AF_08/2015</t>
  </si>
  <si>
    <t>442,82</t>
  </si>
  <si>
    <t xml:space="preserve"> 7.2 </t>
  </si>
  <si>
    <t xml:space="preserve"> 97087 </t>
  </si>
  <si>
    <t>CAMADA SEPARADORA PARA EXECUÇÃO DE RADIER, PISO DE CONCRETO OU LAJE SOBRE SOLO, EM LONA PLÁSTICA. AF_09/2021</t>
  </si>
  <si>
    <t xml:space="preserve"> 00042408 </t>
  </si>
  <si>
    <t>LONA PLASTICA EXTRA FORTE PRETA, E = 200 MICRA</t>
  </si>
  <si>
    <t xml:space="preserve"> 7.3 </t>
  </si>
  <si>
    <t xml:space="preserve"> 95240 </t>
  </si>
  <si>
    <t>LASTRO DE CONCRETO MAGRO, APLICADO EM PISOS, LAJES SOBRE SOLO OU RADIERS, ESPESSURA DE 3 CM. AF_01/2024</t>
  </si>
  <si>
    <t>Lastro</t>
  </si>
  <si>
    <t xml:space="preserve"> 94968 </t>
  </si>
  <si>
    <t>CONCRETO MAGRO PARA LASTRO, TRAÇO 1:4,5:4,5 (EM MASSA SECA DE CIMENTO/ AREIA MÉDIA/ BRITA 1) - PREPARO MECÂNICO COM BETONEIRA 600 L. AF_05/2021</t>
  </si>
  <si>
    <t xml:space="preserve"> 7.4 </t>
  </si>
  <si>
    <t xml:space="preserve"> 101749 </t>
  </si>
  <si>
    <t>PISO CIMENTADO, TRAÇO 1:3 (CIMENTO E AREIA), ACABAMENTO LISO, ESPESSURA 4,0 CM, PREPARO MECÂNICO DA ARGAMASSA. AF_09/2020</t>
  </si>
  <si>
    <t xml:space="preserve"> 87298 </t>
  </si>
  <si>
    <t>ARGAMASSA TRAÇO 1:3 (EM VOLUME DE CIMENTO E AREIA MÉDIA ÚMIDA) PARA CONTRAPISO, PREPARO MECÂNICO COM BETONEIRA 400 L. AF_08/2019</t>
  </si>
  <si>
    <t xml:space="preserve"> 00003671 </t>
  </si>
  <si>
    <t>JUNTA PLASTICA DE DILATACAO PARA PISOS, COR CINZA, 17 X 3 MM (ALTURA X ESPESSURA)</t>
  </si>
  <si>
    <t xml:space="preserve"> 7.5 </t>
  </si>
  <si>
    <t xml:space="preserve"> 87261 </t>
  </si>
  <si>
    <t>REVESTIMENTO CERÂMICO PARA PISO COM PLACAS TIPO PORCELANATO DE DIMENSÕES 60X60 CM APLICADA EM AMBIENTES DE ÁREA MENOR QUE 5 M². AF_02/2023_PE</t>
  </si>
  <si>
    <t>Revestimentos Cerâmicos Internos</t>
  </si>
  <si>
    <t xml:space="preserve"> 88256 </t>
  </si>
  <si>
    <t>AZULEJISTA OU LADRILHEIRO COM ENCARGOS COMPLEMENTARES</t>
  </si>
  <si>
    <t xml:space="preserve"> 00045190 </t>
  </si>
  <si>
    <t>PISO EM PORCELANATO, RETIFICADO, LISO, MONOCOLOR, ACETINADO OU POLIDO, FORMATO MAIOR QUE 2500 ATE 6400 CM2</t>
  </si>
  <si>
    <t xml:space="preserve"> 00034357 </t>
  </si>
  <si>
    <t>REJUNTE CIMENTICIO, QUALQUER COR</t>
  </si>
  <si>
    <t xml:space="preserve"> 00037595 </t>
  </si>
  <si>
    <t>ARGAMASSA COLANTE TIPO AC III</t>
  </si>
  <si>
    <t>14,94</t>
  </si>
  <si>
    <t xml:space="preserve"> 7.6 </t>
  </si>
  <si>
    <t xml:space="preserve"> 87262 </t>
  </si>
  <si>
    <t>REVESTIMENTO CERÂMICO PARA PISO COM PLACAS TIPO PORCELANATO DE DIMENSÕES 60X60 CM APLICADA EM AMBIENTES DE ÁREA ENTRE 5 M² E 10 M². AF_02/2023_PE</t>
  </si>
  <si>
    <t>8,00</t>
  </si>
  <si>
    <t xml:space="preserve"> 7.7 </t>
  </si>
  <si>
    <t xml:space="preserve"> 87263 </t>
  </si>
  <si>
    <t>REVESTIMENTO CERÂMICO PARA PISO COM PLACAS TIPO PORCELANATO DE DIMENSÕES 60X60 CM APLICADA EM AMBIENTES DE ÁREA MAIOR QUE 10 M². AF_02/2023_PE</t>
  </si>
  <si>
    <t>419,88</t>
  </si>
  <si>
    <t xml:space="preserve"> 7.8 </t>
  </si>
  <si>
    <t xml:space="preserve"> 88650 </t>
  </si>
  <si>
    <t>RODAPÉ CERÂMICO DE 7CM DE ALTURA COM PLACAS TIPO ESMALTADA DE DIMENSÕES 60X60CM. AF_02/2023</t>
  </si>
  <si>
    <t xml:space="preserve"> 00001292 </t>
  </si>
  <si>
    <t>PISO EM CERAMICA ESMALTADA, COR LISA, PEI MAIOR OU IGUAL A 4, FORMATO MAIOR QUE 2025 CM2</t>
  </si>
  <si>
    <t xml:space="preserve"> 00001381 </t>
  </si>
  <si>
    <t>ARGAMASSA COLANTE AC I PARA CERAMICAS</t>
  </si>
  <si>
    <t>350,56</t>
  </si>
  <si>
    <t xml:space="preserve"> 8 </t>
  </si>
  <si>
    <t xml:space="preserve"> 8.1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</si>
  <si>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</si>
  <si>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</si>
  <si>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</si>
  <si>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</si>
  <si>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</si>
  <si>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</si>
  <si>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</si>
  <si>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</si>
  <si>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280,91</t>
  </si>
  <si>
    <t xml:space="preserve"> 9 </t>
  </si>
  <si>
    <t xml:space="preserve"> 9.1 </t>
  </si>
  <si>
    <t xml:space="preserve"> 9.1.1 </t>
  </si>
  <si>
    <t xml:space="preserve"> 94562 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</si>
  <si>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</si>
  <si>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Esquadrias - Janelas</t>
  </si>
  <si>
    <t xml:space="preserve"> 88629 </t>
  </si>
  <si>
    <t>ARGAMASSA TRAÇO 1:3 (EM VOLUME DE CIMENTO E AREIA MÉDIA ÚMIDA), PREPARO MANUAL. AF_08/2019</t>
  </si>
  <si>
    <t xml:space="preserve"> 00011199 </t>
  </si>
  <si>
    <t>JANELA DE CORRER, ACO, BATENTE/REQUADRO DE 6 A 14 CM, COM DIVISAO HORIZ, PINT ANTICORROSIVA, SEM VIDRO, BANDEIRA COM BASCULA, 4 FLS, 120 X 150 CM (A X L)</t>
  </si>
  <si>
    <t>20,25</t>
  </si>
  <si>
    <t xml:space="preserve"> 9.1.2 </t>
  </si>
  <si>
    <t xml:space="preserve"> 94559 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</si>
  <si>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</si>
  <si>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 xml:space="preserve"> 00011190 </t>
  </si>
  <si>
    <t>JANELA BASCULANTE, ACO, COM BATENTE/REQUADRO, 60 X 60 CM (SEM VIDROS)</t>
  </si>
  <si>
    <t>0,72</t>
  </si>
  <si>
    <t xml:space="preserve"> 9.1.3 </t>
  </si>
  <si>
    <t xml:space="preserve"> 102181 </t>
  </si>
  <si>
    <t>INSTALAÇÃO DE VIDRO TEMPERADO, E = 10 MM, ENCAIXADO EM PERFIL U. AF_01/2021_PS</t>
  </si>
  <si>
    <t>Vidros e Espelhos</t>
  </si>
  <si>
    <t xml:space="preserve"> 88325 </t>
  </si>
  <si>
    <t>VIDRACEIRO COM ENCARGOS COMPLEMENTARES</t>
  </si>
  <si>
    <t xml:space="preserve"> 00011950 </t>
  </si>
  <si>
    <t>BUCHA DE NYLON SEM ABA S6, COM PARAFUSO DE 4,20 X 40 MM EM ACO ZINCADO COM ROSCA SOBERBA, CABECA CHATA E FENDA PHILLIPS</t>
  </si>
  <si>
    <t xml:space="preserve"> 00034360 </t>
  </si>
  <si>
    <t>PERFIL DE ALUMINIO ANODIZADO</t>
  </si>
  <si>
    <t xml:space="preserve"> 00010507 </t>
  </si>
  <si>
    <t>VIDRO TEMPERADO INCOLOR E = 10 MM, SEM COLOCACAO</t>
  </si>
  <si>
    <t xml:space="preserve"> 00039961 </t>
  </si>
  <si>
    <t>SILICONE ACETICO USO GERAL INCOLOR 280 G</t>
  </si>
  <si>
    <t xml:space="preserve"> 00039432 </t>
  </si>
  <si>
    <t>FITA DE PAPEL REFORCADA COM LAMINA DE METAL PARA REFORCO DE CANTOS DE CHAPA DE GESSO PARA DRYWALL</t>
  </si>
  <si>
    <t>20,97</t>
  </si>
  <si>
    <t xml:space="preserve"> 9.2 </t>
  </si>
  <si>
    <t xml:space="preserve"> 9.2.1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</si>
  <si>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</si>
  <si>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</si>
  <si>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Esquadrias - Portas</t>
  </si>
  <si>
    <t xml:space="preserve"> 100659 </t>
  </si>
  <si>
    <t>ALIZAR DE 5X1,5CM PARA PORTA FIXADO COM PREGOS, PADRÃO MÉDIO - FORNECIMENTO E INSTALAÇÃO. AF_12/2019</t>
  </si>
  <si>
    <t xml:space="preserve"> 90806 </t>
  </si>
  <si>
    <t>BATENTE PARA PORTA DE MADEIRA, FIXAÇÃO COM ARGAMASSA, PADRÃO MÉDIO - FORNECIMENTO E INSTALAÇÃO. AF_12/2019</t>
  </si>
  <si>
    <t xml:space="preserve"> 90823 </t>
  </si>
  <si>
    <t>PORTA DE MADEIRA PARA PINTURA, SEMI-OCA (LEVE OU MÉDIA), 90X210CM, ESPESSURA DE 3,5CM, INCLUSO DOBRADIÇAS - FORNECIMENTO E INSTALAÇÃO. AF_12/2019</t>
  </si>
  <si>
    <t xml:space="preserve"> 90830 </t>
  </si>
  <si>
    <t>FECHADURA DE EMBUTIR COM CILINDRO, EXTERNA, COMPLETA, ACABAMENTO PADRÃO MÉDIO, INCLUSO EXECUÇÃO DE FURO - FORNECIMENTO E INSTALAÇÃO. AF_12/2019</t>
  </si>
  <si>
    <t>12,00</t>
  </si>
  <si>
    <t xml:space="preserve"> 9.2.2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</si>
  <si>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</si>
  <si>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</si>
  <si>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90822 </t>
  </si>
  <si>
    <t>PORTA DE MADEIRA PARA PINTURA, SEMI-OCA (LEVE OU MÉDIA), 80X210CM, ESPESSURA DE 3,5CM, INCLUSO DOBRADIÇAS - FORNECIMENTO E INSTALAÇÃO. AF_12/2019</t>
  </si>
  <si>
    <t>3,00</t>
  </si>
  <si>
    <t xml:space="preserve"> 9.2.3 </t>
  </si>
  <si>
    <t xml:space="preserve"> 180506 </t>
  </si>
  <si>
    <t>PORTA DE CORRER DE 04 FOLHAS EM VIDRO (DUAS FIXAS E DUAS MÓVEIS) PF-6 C/ FERRAGENS</t>
  </si>
  <si>
    <t xml:space="preserve"> 1334 </t>
  </si>
  <si>
    <t>DISCO DE CORTE DIAM. 5/8"- 10"</t>
  </si>
  <si>
    <t xml:space="preserve"> 2813 </t>
  </si>
  <si>
    <t>RODÍZIO SIMPLES 1 1/4" COM PINO</t>
  </si>
  <si>
    <t xml:space="preserve"> 1380 </t>
  </si>
  <si>
    <t>FECHADURA PARA PORTA CORRER (BICO PAPAGAIO) REF.: 1222 LAFONTE/1065-E30 IMAB OU EQUIVALENTE</t>
  </si>
  <si>
    <t xml:space="preserve"> 2246 </t>
  </si>
  <si>
    <t>ELETRODO 2.5 OK</t>
  </si>
  <si>
    <t xml:space="preserve"> 1672 </t>
  </si>
  <si>
    <t>LIXA PARA FERRO Nº 100</t>
  </si>
  <si>
    <t xml:space="preserve"> 2931 </t>
  </si>
  <si>
    <t>FABRICAÇÃO / MONTAGEM</t>
  </si>
  <si>
    <t xml:space="preserve"> 0004 </t>
  </si>
  <si>
    <t>PEDREIRO</t>
  </si>
  <si>
    <t xml:space="preserve"> 1264 </t>
  </si>
  <si>
    <t>DISCO DE DESBASTE 7/8" PARA CONCRETO/FERRO (1/4" X 7")</t>
  </si>
  <si>
    <t xml:space="preserve"> 2372 </t>
  </si>
  <si>
    <t>CHAPA PERFILADA Nº 18</t>
  </si>
  <si>
    <t xml:space="preserve"> 2417 </t>
  </si>
  <si>
    <t>MASSA PLASTICA</t>
  </si>
  <si>
    <t xml:space="preserve"> 1215 </t>
  </si>
  <si>
    <t xml:space="preserve"> 0104 </t>
  </si>
  <si>
    <t>AREIA MÉDIA</t>
  </si>
  <si>
    <t xml:space="preserve"> 2820 </t>
  </si>
  <si>
    <t>ROLDANA EM FERRO 1 1/2" PARA PORTA DE CORRER</t>
  </si>
  <si>
    <t xml:space="preserve"> 2815 </t>
  </si>
  <si>
    <t>PUXADOR TIPO ALÇA FERRO CROMADO 10CM PARA PORTA DE CORRER</t>
  </si>
  <si>
    <t>13,55</t>
  </si>
  <si>
    <t xml:space="preserve"> 9.2.4 </t>
  </si>
  <si>
    <t xml:space="preserve"> 100902 </t>
  </si>
  <si>
    <t>PORTA DE CORRER DE ALUMÍNIO, COM FOLHAS MÚLTIPLAS PARA VIDRO, INCLUSO VIDRO LISO INCOLOR, FECHADURA E PUXADOR, SEM ALIZAR. AF_12/2019 (REF.: SINAPI 100702)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</si>
  <si>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</si>
  <si>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</si>
  <si>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</si>
  <si>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</si>
  <si>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 xml:space="preserve"> 00000142 </t>
  </si>
  <si>
    <t>SELANTE ELASTICO MONOCOMPONENTE A BASE DE POLIURETANO (PU) PARA JUNTAS DIVERSAS</t>
  </si>
  <si>
    <t>310ML</t>
  </si>
  <si>
    <t xml:space="preserve"> 00004922 </t>
  </si>
  <si>
    <t>PORTA DE CORRER EM ALUMINIO, DUAS FOLHAS MOVEIS COM VIDRO, FECHADURA E PUXADOR EMBUTIDO, ACABAMENTO ANODIZADO NATURAL, SEM GUARNICAO/ALIZAR/VISTA</t>
  </si>
  <si>
    <t>3,15</t>
  </si>
  <si>
    <t xml:space="preserve"> 9.2.5 </t>
  </si>
  <si>
    <t xml:space="preserve"> 180304 </t>
  </si>
  <si>
    <t>PORTÃO DE ABRIR 01 FOLHA CHAPA 14  PT-4 C/FERRAGENS</t>
  </si>
  <si>
    <t xml:space="preserve"> 2529 </t>
  </si>
  <si>
    <t>FECHO FIO REDONDO 4" ZINCADO C/PARAFUSO REF.: SOPRANO OU EQUIVALENTE</t>
  </si>
  <si>
    <t xml:space="preserve"> 2818 </t>
  </si>
  <si>
    <t>DOBRADIÇA TIPO FERRADURA NÚMERO 2</t>
  </si>
  <si>
    <t xml:space="preserve"> 2807 </t>
  </si>
  <si>
    <t>CHAPA LISA Nº 14 TIPO BANDEJA (CORTADA/DOBRADA)</t>
  </si>
  <si>
    <t xml:space="preserve"> 2765 </t>
  </si>
  <si>
    <t>CANTONEIRA 50X50 CH.16</t>
  </si>
  <si>
    <t xml:space="preserve"> 2893 </t>
  </si>
  <si>
    <t xml:space="preserve"> 2256 </t>
  </si>
  <si>
    <t>CADEADO SIMPLES EM LATÃO Nº 30</t>
  </si>
  <si>
    <t xml:space="preserve"> 2515 </t>
  </si>
  <si>
    <t>CHAPA PERFILADA Nº 16</t>
  </si>
  <si>
    <t>6,72</t>
  </si>
  <si>
    <t xml:space="preserve"> 9.2.6 </t>
  </si>
  <si>
    <t xml:space="preserve"> 100903 </t>
  </si>
  <si>
    <t>PORTA MADEIRA 1A CORRER GUARNICAO 15CM/ALIZAR (REF.: SINAPI 84876)</t>
  </si>
  <si>
    <t>ESQV - ESQUADRIAS/FERRAGENS/VIDROS</t>
  </si>
  <si>
    <t xml:space="preserve"> 88627 </t>
  </si>
  <si>
    <t>ARGAMASSA TRAÇO 1:0,5:4,5 (EM VOLUME DE CIMENTO, CAL E AREIA MÉDIA ÚMIDA) PARA ASSENTAMENTO DE ALVENARIA, PREPARO MANUAL. AF_08/2019</t>
  </si>
  <si>
    <t xml:space="preserve"> 88261 </t>
  </si>
  <si>
    <t>CARPINTEIRO DE ESQUADRIAS COM ENCARGOS COMPLEMENTARES</t>
  </si>
  <si>
    <t xml:space="preserve"> 00005028 </t>
  </si>
  <si>
    <t>PORTA DE MADEIRA-DE-LEI QUADRICULADA PARA VIDRO, DE CORRER (ANGELIM OU EQUIVALENTE REGIONAL), E = *3,5* CM</t>
  </si>
  <si>
    <t xml:space="preserve"> 00005067 </t>
  </si>
  <si>
    <t>PREGO DE ACO POLIDO COM CABECA 16 X 24 (2 1/4 X 12)</t>
  </si>
  <si>
    <t xml:space="preserve"> 00000181 </t>
  </si>
  <si>
    <t>BATENTE / PORTAL / ADUELA / MARCO EM MADEIRA MACICA COM REBAIXO, E = *3* CM, L = *16* CM, PARA PORTAS DE GIRO DE *60 CM A 120* CM X *210* CM, CEDRINHO / ANGELIM COMERCIAL / TAURI / CURUPIXA / PEROBA / CUMARU OU EQUIVALENTE DA REGIAO (NAO INCLUI ALIZARES)</t>
  </si>
  <si>
    <t>JG</t>
  </si>
  <si>
    <t xml:space="preserve"> 00035274 </t>
  </si>
  <si>
    <t>PILAR QUADRADO NAO APARELHADO *10 X 10* CM, EM MACARANDUBA/MASSARANDUBA, ANGELIM OU EQUIVALENTE DA REGIAO - BRUTA</t>
  </si>
  <si>
    <t xml:space="preserve"> 00011573 </t>
  </si>
  <si>
    <t>RODIZIO TIPO NAPOLEAO PARA JANELAS DE CORRER, EM ZAMAC, COMPRIMENTO DE APROX 60 CM, COM ROLAMENTO EM ACO</t>
  </si>
  <si>
    <t xml:space="preserve"> 00011580 </t>
  </si>
  <si>
    <t>TRILHO QUADRADO FRISADO PARA RODIZIO (VERGALHAO MACICO), EM ALUMINIO, COM DIMENSOES DE *6 X 6* MM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</si>
  <si>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</si>
  <si>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</si>
  <si>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>2,31</t>
  </si>
  <si>
    <t xml:space="preserve"> 10 </t>
  </si>
  <si>
    <t xml:space="preserve"> 10.1 </t>
  </si>
  <si>
    <t xml:space="preserve"> 88485 </t>
  </si>
  <si>
    <t>FUNDO SELADOR ACRÍLICO, APLICAÇÃO MANUAL EM PAREDE, UMA DEMÃO. AF_04/2023</t>
  </si>
  <si>
    <t>Pintura Interna</t>
  </si>
  <si>
    <t xml:space="preserve"> 88310 </t>
  </si>
  <si>
    <t>PINTOR COM ENCARGOS COMPLEMENTARES</t>
  </si>
  <si>
    <t xml:space="preserve"> 00006085 </t>
  </si>
  <si>
    <t>SELADOR ACRILICO OPACO PREMIUM INTERIOR/EXTERIOR</t>
  </si>
  <si>
    <t xml:space="preserve"> 10.2 </t>
  </si>
  <si>
    <t xml:space="preserve"> 88415 </t>
  </si>
  <si>
    <t>APLICAÇÃO MANUAL DE FUNDO SELADOR ACRÍLICO EM PAREDES EXTERNAS DE CASAS. AF_03/2024</t>
  </si>
  <si>
    <t>Pintura Externa</t>
  </si>
  <si>
    <t>375,24</t>
  </si>
  <si>
    <t xml:space="preserve"> 10.3 </t>
  </si>
  <si>
    <t xml:space="preserve"> 88497 </t>
  </si>
  <si>
    <t>EMASSAMENTO COM MASSA LÁTEX, APLICAÇÃO EM PAREDE, DUAS DEMÃOS, LIXAMENTO MANUAL. AF_04/2023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</si>
  <si>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</si>
  <si>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</si>
  <si>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</si>
  <si>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</si>
  <si>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>1.435,28</t>
  </si>
  <si>
    <t xml:space="preserve"> 10.4 </t>
  </si>
  <si>
    <t xml:space="preserve"> 88489 </t>
  </si>
  <si>
    <t>PINTURA LÁTEX ACRÍLICA PREMIUM, APLICAÇÃO MANUAL EM PAREDES, DUAS DEMÃOS. AF_04/2023</t>
  </si>
  <si>
    <t xml:space="preserve"> 11 </t>
  </si>
  <si>
    <t xml:space="preserve"> 11.1 </t>
  </si>
  <si>
    <t xml:space="preserve"> 94216 </t>
  </si>
  <si>
    <t>TELHAMENTO COM TELHA METÁLICA TERMOACÚSTICA E = 30 MM, COM ATÉ 2 ÁGUAS, INCLUSO IÇAMENTO. AF_07/2019</t>
  </si>
  <si>
    <t>Telhamento para Cobertura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</si>
  <si>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</si>
  <si>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</si>
  <si>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</si>
  <si>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</si>
  <si>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88323 </t>
  </si>
  <si>
    <t>TELHADISTA COM ENCARGOS COMPLEMENTARES</t>
  </si>
  <si>
    <t xml:space="preserve"> 00011029 </t>
  </si>
  <si>
    <t>HASTE RETA PARA GANCHO DE FERRO GALVANIZADO, COM ROSCA 1/4" X 30 CM PARA FIXACAO DE TELHA METALICA, INCLUI PORCA E ARRUELAS DE VEDACAO</t>
  </si>
  <si>
    <t xml:space="preserve"> 00040740 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</si>
  <si>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</si>
  <si>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381,66</t>
  </si>
  <si>
    <t xml:space="preserve"> 11.2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</si>
  <si>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</si>
  <si>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</si>
  <si>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Estrutura e Trama para Cobertura</t>
  </si>
  <si>
    <t xml:space="preserve"> 88278 </t>
  </si>
  <si>
    <t xml:space="preserve"> 00040549 </t>
  </si>
  <si>
    <t>PARAFUSO, COMUM, ASTM A307, SEXTAVADO, DIAMETRO 1/2" (12,7 MM), COMPRIMENTO 1" (25,4 MM)</t>
  </si>
  <si>
    <t xml:space="preserve"> 00043083 </t>
  </si>
  <si>
    <t>PERFIL "U" ENRIJECIDO, EM CHAPA DOBRADA DE ACO LAMINADO, E = 3,75 MM, H = 200 MM, L = 75 MM (9,94 KG/M)</t>
  </si>
  <si>
    <t xml:space="preserve"> 11.3 </t>
  </si>
  <si>
    <t xml:space="preserve"> 100367 </t>
  </si>
  <si>
    <t>FABRICAÇÃO E INSTALAÇÃO DE MEIA TESOURA DE MADEIRA NÃO APARELHADA, COM VÃO DE 3 M, PARA TELHA ONDULADA DE FIBROCIMENTO, ALUMÍNIO, PLÁSTICA OU TERMOACÚSTICA, INCLUSO IÇAMENTO. AF_07/2019</t>
  </si>
  <si>
    <t xml:space="preserve"> 92259 </t>
  </si>
  <si>
    <t>INSTALAÇÃO DE TESOURA (INTEIRA OU MEIA), BIAPOIADA, EM MADEIRA NÃO APARELHADA, PARA VÃOS MAIORES OU IGUAIS A 3,0 M E MENORES QUE 6,0 M, INCLUSO IÇAMENTO. AF_07/2019</t>
  </si>
  <si>
    <t xml:space="preserve"> 00004400 </t>
  </si>
  <si>
    <t>CAIBRO NAO APARELHADO, *6 X 8* CM, EM MACARANDUBA/MASSARANDUBA, ANGELIM OU EQUIVALENTE DA REGIAO - BRUTA</t>
  </si>
  <si>
    <t xml:space="preserve"> 00039027 </t>
  </si>
  <si>
    <t>PREGO DE ACO POLIDO COM CABECA 19 X 36 (3 1/4 X 9)</t>
  </si>
  <si>
    <t xml:space="preserve"> 00021142 </t>
  </si>
  <si>
    <t>ESTRIBO COM PARAFUSO EM CHAPA DE FERRO FUNDIDO DE 2" X 3/16" X 35 CM, SECAO "U", PARA MADEIRAMENTO DE TELHADO</t>
  </si>
  <si>
    <t xml:space="preserve"> 00004425 </t>
  </si>
  <si>
    <t>VIGA NAO APARELHADA *6 X 12* CM, EM MACARANDUBA/MASSARANDUBA, ANGELIM OU EQUIVALENTE DA REGIAO - BRUTA</t>
  </si>
  <si>
    <t xml:space="preserve"> 11.4 </t>
  </si>
  <si>
    <t xml:space="preserve"> 100376 </t>
  </si>
  <si>
    <t>FABRICAÇÃO E INSTALAÇÃO DE MEIA TESOURA DE MADEIRA NÃO APARELHADA, COM VÃO DE 12 M, PARA TELHA ONDULADA DE FIBROCIMENTO, ALUMÍNIO, PLÁSTICA OU TERMOACÚSTICA, INCLUSO IÇAMENTO. AF_07/2019</t>
  </si>
  <si>
    <t xml:space="preserve"> 92262 </t>
  </si>
  <si>
    <t>INSTALAÇÃO DE TESOURA (INTEIRA OU MEIA), BIAPOIADA, EM MADEIRA NÃO APARELHADA, PARA VÃOS MAIORES OU IGUAIS A 10,0 M E MENORES QUE 12,0 M, INCLUSO IÇAMENTO. AF_07/2019</t>
  </si>
  <si>
    <t xml:space="preserve"> 00004344 </t>
  </si>
  <si>
    <t>PARAFUSO FRANCES METRICO ZINCADO, DIAMETRO 12 MM, COMPRIMENTO 150 MM, COM PORCA SEXTAVADA E ARRUELA DE PRESSAO MEDIA</t>
  </si>
  <si>
    <t xml:space="preserve"> 00004472 </t>
  </si>
  <si>
    <t>VIGA NAO APARELHADA *6 X 16* CM, EM MACARANDUBA/MASSARANDUBA, ANGELIM OU EQUIVALENTE DA REGIAO - BRUTA</t>
  </si>
  <si>
    <t xml:space="preserve"> 00004415 </t>
  </si>
  <si>
    <t>SARRAFO NAO APARELHADO *2,5 X 5* CM, EM MACARANDUBA/MASSARANDUBA, ANGELIM, PEROBA-ROSA OU EQUIVALENTE DA REGIAO - BRUTA</t>
  </si>
  <si>
    <t xml:space="preserve"> 00040623 </t>
  </si>
  <si>
    <t>CHAPA PARA EMENDA DE VIGA, EM ACO GROSSO, QUALIDADE ESTRUTURAL, BITOLA 3/16", E= 4,75 MM, 4 FUROS, LARGURA 45 MM, COMPRIMENTO 500 MM</t>
  </si>
  <si>
    <t>PAR</t>
  </si>
  <si>
    <t>13,00</t>
  </si>
  <si>
    <t xml:space="preserve"> 12 </t>
  </si>
  <si>
    <t xml:space="preserve"> 12.1 </t>
  </si>
  <si>
    <t xml:space="preserve"> 96114 </t>
  </si>
  <si>
    <t>FORRO EM DRYWALL, PARA AMBIENTES COMERCIAIS, INCLUSIVE ESTRUTURA BIRECIONAL DE FIXAÇÃO. AF_08/2023_PS</t>
  </si>
  <si>
    <t>Forros</t>
  </si>
  <si>
    <t xml:space="preserve"> 00043131 </t>
  </si>
  <si>
    <t>ARAME GALVANIZADO 6 BWG, D = 5,16 MM (0,157 KG/M), OU 8 BWG, D = 4,19 MM (0,101 KG/M), OU 10 BWG, D = 3,40 MM (0,0713 KG/M)</t>
  </si>
  <si>
    <t xml:space="preserve"> 00039430 </t>
  </si>
  <si>
    <t>PENDURAL OU PRESILHA REGULADORA, EM ACO GALVANIZADO, COM CORPO, MOLA E REBITE, PARA PERFIL TIPO CANALETA DE ESTRUTURA EM FORROS DRYWALL</t>
  </si>
  <si>
    <t xml:space="preserve"> 00039427 </t>
  </si>
  <si>
    <t>PERFIL CANALETA, FORMATO C, EM ACO ZINCADO, PARA ESTRUTURA FORRO DRYWALL, E = 0,5 MM, *46 X 18* (L X H), COMPRIMENTO 3 M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</si>
  <si>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</si>
  <si>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</si>
  <si>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00039413 </t>
  </si>
  <si>
    <t>PLACA / CHAPA DE GESSO ACARTONADO, STANDARD (ST), COR BRANCA, E = 12,5 MM, 1200 X 2400 MM (L X C)</t>
  </si>
  <si>
    <t xml:space="preserve"> 00040547 </t>
  </si>
  <si>
    <t>PARAFUSO ZINCADO, AUTOBROCANTE, FLANGEADO, 4,2 MM X 19 MM</t>
  </si>
  <si>
    <t xml:space="preserve"> 00039443 </t>
  </si>
  <si>
    <t>PARAFUSO DRY WALL, EM ACO ZINCADO, CABECA LENTILHA E PONTA BROCA (LB), LARGURA 4,2 MM, COMPRIMENTO 13 MM</t>
  </si>
  <si>
    <t xml:space="preserve"> 00039435 </t>
  </si>
  <si>
    <t>PARAFUSO DRY WALL, EM ACO FOSFATIZADO, CABECA TROMBETA E PONTA AGULHA (TA), COMPRIMENTO 25 MM</t>
  </si>
  <si>
    <t xml:space="preserve"> 12.2 </t>
  </si>
  <si>
    <t xml:space="preserve"> 88494 </t>
  </si>
  <si>
    <t>EMASSAMENTO COM MASSA LÁTEX, APLICAÇÃO EM TETO, UMA DEMÃO, LIXAMENTO MANUAL. AF_04/2023</t>
  </si>
  <si>
    <t xml:space="preserve"> 12.3 </t>
  </si>
  <si>
    <t xml:space="preserve"> 88488 </t>
  </si>
  <si>
    <t>PINTURA LÁTEX ACRÍLICA PREMIUM, APLICAÇÃO MANUAL EM TETO, DUAS DEMÃOS. AF_04/2023</t>
  </si>
  <si>
    <t xml:space="preserve"> 12.4 </t>
  </si>
  <si>
    <t xml:space="preserve"> 96123 </t>
  </si>
  <si>
    <t>ACABAMENTOS PARA FORRO (MOLDURA EM DRYWALL, COM LARGURA DE 15 CM). AF_08/2023_PS</t>
  </si>
  <si>
    <t xml:space="preserve"> 88252 </t>
  </si>
  <si>
    <t>AUXILIAR DE SERVIÇOS GERAIS COM ENCARGOS COMPLEMENTARES</t>
  </si>
  <si>
    <t xml:space="preserve"> 00039424 </t>
  </si>
  <si>
    <t>PERFIL CANTONEIRA L, LISA, EM ACO, 25 X 30 MM, E = 0,5 MM, PARA ESTRUTURA DRYWALL</t>
  </si>
  <si>
    <t xml:space="preserve"> 00040552 </t>
  </si>
  <si>
    <t>PARAFUSO, AUTOATARRAXANTE, CABECA CHATA, FENDA SIMPLES, EM ACO ZINCADO, 1/4" (6,35 MM) X 25 MM</t>
  </si>
  <si>
    <t>400,89</t>
  </si>
  <si>
    <t xml:space="preserve"> 13 </t>
  </si>
  <si>
    <t xml:space="preserve"> 13.1 </t>
  </si>
  <si>
    <t xml:space="preserve"> 13.1.1 </t>
  </si>
  <si>
    <t xml:space="preserve"> 94228 </t>
  </si>
  <si>
    <t>CALHA EM CHAPA DE AÇO GALVANIZADO NÚMERO 24, DESENVOLVIMENTO DE 50 CM, INCLUSO TRANSPORTE VERTICAL. AF_07/2019</t>
  </si>
  <si>
    <t xml:space="preserve"> 00040783 </t>
  </si>
  <si>
    <t>CALHA QUADRADA DE CHAPA DE ACO GALVANIZADA NUM 24, CORTE 50 CM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</si>
  <si>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</si>
  <si>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</si>
  <si>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</si>
  <si>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</si>
  <si>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00005104 </t>
  </si>
  <si>
    <t>REBITE DE REPUXO EM ALUMINIO VAZADO, DIAMETRO 3,2 X 8 MM DE COMPRIMENTO (1KG = 1025 UNIDADES)</t>
  </si>
  <si>
    <t>55,00</t>
  </si>
  <si>
    <t xml:space="preserve"> 13.1.2 </t>
  </si>
  <si>
    <t xml:space="preserve"> 89576 </t>
  </si>
  <si>
    <t>TUBO PVC, SÉRIE R, ÁGUA PLUVIAL, DN 75 MM, FORNECIDO E INSTALADO EM CONDUTORES VERTICAIS DE ÁGUAS PLUVIAIS. AF_06/2022</t>
  </si>
  <si>
    <t>Instalações Prediais de Águas Pluviais - Tubos, Conexões, Caixas e Ralos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</si>
  <si>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</si>
  <si>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</si>
  <si>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</si>
  <si>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</si>
  <si>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00038383 </t>
  </si>
  <si>
    <t>LIXA D'AGUA EM FOLHA, COR PRETA, GRAO 100</t>
  </si>
  <si>
    <t xml:space="preserve"> 00009839 </t>
  </si>
  <si>
    <t>TUBO PVC, SERIE R, DN 75 MM, PARA ESGOTO OU AGUAS PLUVIAIS PREDIAL (NBR 5688)</t>
  </si>
  <si>
    <t>35,00</t>
  </si>
  <si>
    <t xml:space="preserve"> 13.1.3 </t>
  </si>
  <si>
    <t xml:space="preserve"> 101979 </t>
  </si>
  <si>
    <t>CHAPIM (RUFO CAPA) EM AÇO GALVANIZADO, CORTE 33. AF_11/2020</t>
  </si>
  <si>
    <t>Peitoris e Chapins</t>
  </si>
  <si>
    <t xml:space="preserve"> 00001113 </t>
  </si>
  <si>
    <t>RUFO EXTERNO/INTERNO DE CHAPA DE ACO GALVANIZADA NUM 26, CORTE 33 CM</t>
  </si>
  <si>
    <t>36,00</t>
  </si>
  <si>
    <t xml:space="preserve"> 13.1.4 </t>
  </si>
  <si>
    <t xml:space="preserve"> 081828 </t>
  </si>
  <si>
    <t>CAIXA DE AREIA 60X60X80CM (MEDIDAS INTERNAS) FUNDO DE BRITA COM GRELHA METÁLICA FERRO CHATO PADRÃO GOINFRA</t>
  </si>
  <si>
    <t>Un</t>
  </si>
  <si>
    <t xml:space="preserve"> 2217 </t>
  </si>
  <si>
    <t>CHAPA DE AÇO DOBRADA Nº 11 (3,00 MM)</t>
  </si>
  <si>
    <t xml:space="preserve"> 2033 </t>
  </si>
  <si>
    <t>TIJOLO COMUM MACIÇO (4,5x9x19cm)</t>
  </si>
  <si>
    <t xml:space="preserve"> 2470 </t>
  </si>
  <si>
    <t>FERRO CANTONEIRA 1/8" X 7/8"</t>
  </si>
  <si>
    <t xml:space="preserve"> 1861 </t>
  </si>
  <si>
    <t>PREGO 18x24</t>
  </si>
  <si>
    <t xml:space="preserve"> 0102 </t>
  </si>
  <si>
    <t>ARAME RECOZIDO 18 BWG</t>
  </si>
  <si>
    <t xml:space="preserve"> 1696 </t>
  </si>
  <si>
    <t>COMPENSADO RESINADO COLA FENÓLICA 12 MM 2,20X1,10 M</t>
  </si>
  <si>
    <t xml:space="preserve"> 2448 </t>
  </si>
  <si>
    <t>AÇO CA-60 B - 5,0 MM</t>
  </si>
  <si>
    <t xml:space="preserve"> 1973 </t>
  </si>
  <si>
    <t>ADITIVO IMPERMEABILIZANTE DE PEGA NORMAL PARA ARGAMASSA E CONCRETO REF.: SIKA 1 / VEDACIT (D=1,00) OU EQUIVALENTE</t>
  </si>
  <si>
    <t xml:space="preserve"> 0008 </t>
  </si>
  <si>
    <t xml:space="preserve"> 0006 </t>
  </si>
  <si>
    <t>ARMADOR</t>
  </si>
  <si>
    <t xml:space="preserve"> 2423 </t>
  </si>
  <si>
    <t>FERRO CANTONEIRA 1/8" X 3/4"</t>
  </si>
  <si>
    <t xml:space="preserve"> 2804 </t>
  </si>
  <si>
    <t>AREIA GROSSA</t>
  </si>
  <si>
    <t xml:space="preserve"> 0010 </t>
  </si>
  <si>
    <t xml:space="preserve"> 2386 </t>
  </si>
  <si>
    <t>BRITA Nº 1</t>
  </si>
  <si>
    <t xml:space="preserve"> 2023 </t>
  </si>
  <si>
    <t>TABUA PARA FORMA (30CM)</t>
  </si>
  <si>
    <t xml:space="preserve"> 2387 </t>
  </si>
  <si>
    <t>BRITA Nº 0</t>
  </si>
  <si>
    <t xml:space="preserve"> 2884 </t>
  </si>
  <si>
    <t xml:space="preserve"> 0032 </t>
  </si>
  <si>
    <t>OPERADOR DE BETONEIRA</t>
  </si>
  <si>
    <t xml:space="preserve"> 1221 </t>
  </si>
  <si>
    <t>CAL HIDRATADA</t>
  </si>
  <si>
    <t xml:space="preserve"> 0025 </t>
  </si>
  <si>
    <t>OFICIAL "B"</t>
  </si>
  <si>
    <t xml:space="preserve"> 2497 </t>
  </si>
  <si>
    <t>BRITA Nº 2</t>
  </si>
  <si>
    <t>2,00</t>
  </si>
  <si>
    <t xml:space="preserve"> 13.1.5 </t>
  </si>
  <si>
    <t xml:space="preserve"> 081824 </t>
  </si>
  <si>
    <t>CAIXA DE AREIA 40X40X80CM (MEDIDAS INTERNAS), FUNDO DE BRITA COM GRELHA METÁLICA FERRO CHATO PADRÃO GOINFRA</t>
  </si>
  <si>
    <t xml:space="preserve"> 2883 </t>
  </si>
  <si>
    <t>10,00</t>
  </si>
  <si>
    <t xml:space="preserve"> 13.2 </t>
  </si>
  <si>
    <t xml:space="preserve"> 13.2.1 </t>
  </si>
  <si>
    <t xml:space="preserve"> 104328 </t>
  </si>
  <si>
    <t>CAIXA SIFONADA, COM GRELHA QUADRADA, PVC, DN 150 X 150 X 50 MM, JUNTA SOLDÁVEL, FORNECIDA E INSTALADA EM RAMAL DE DESCARGA OU EM RAMAL DE ESGOTO SANITÁRIO. AF_08/2022</t>
  </si>
  <si>
    <t>Instalações Prediais de Esgoto - Caixas e Ralos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</si>
  <si>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</si>
  <si>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</si>
  <si>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</si>
  <si>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</si>
  <si>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 xml:space="preserve"> 00011712 </t>
  </si>
  <si>
    <t>CAIXA SIFONADA, PVC, 150 X 150 X 50 MM, COM GRELHA QUADRADA, BRANCA (NBR 5688)</t>
  </si>
  <si>
    <t>4,00</t>
  </si>
  <si>
    <t xml:space="preserve"> 13.2.2 </t>
  </si>
  <si>
    <t xml:space="preserve"> 86881 </t>
  </si>
  <si>
    <t>SIFÃO DO TIPO GARRAFA EM METAL CROMADO 1 X 1.1/2" - FORNECIMENTO E INSTALAÇÃO. AF_01/2020</t>
  </si>
  <si>
    <t>Louças e Metais</t>
  </si>
  <si>
    <t xml:space="preserve"> 00003146 </t>
  </si>
  <si>
    <t>FITA VEDA ROSCA, EM PTFE, ROLO DE 18 MM X 10 M (L X C)</t>
  </si>
  <si>
    <t xml:space="preserve"> 00006136 </t>
  </si>
  <si>
    <t>SIFAO EM METAL CROMADO PARA PIA OU LAVATORIO, 1 X 1.1/2"</t>
  </si>
  <si>
    <t xml:space="preserve"> 13.2.3 </t>
  </si>
  <si>
    <t xml:space="preserve"> 080672 </t>
  </si>
  <si>
    <t>SIFAO PARA PIA 1.1/2"X2" PVC CROMADO</t>
  </si>
  <si>
    <t xml:space="preserve"> H689 </t>
  </si>
  <si>
    <t>FITA VEDAROSCA 18 MM</t>
  </si>
  <si>
    <t xml:space="preserve"> 0011 </t>
  </si>
  <si>
    <t>ENCANADOR</t>
  </si>
  <si>
    <t xml:space="preserve"> H574 </t>
  </si>
  <si>
    <t xml:space="preserve"> 13.2.4 </t>
  </si>
  <si>
    <t xml:space="preserve"> 080562 </t>
  </si>
  <si>
    <t>SIFAO FLEXIVEL UNIVERSAL (SANFONADO) EM PVC PARA LAVATORIO</t>
  </si>
  <si>
    <t xml:space="preserve"> H539 </t>
  </si>
  <si>
    <t xml:space="preserve"> 13.2.5 </t>
  </si>
  <si>
    <t xml:space="preserve"> 86879 </t>
  </si>
  <si>
    <t>VÁLVULA EM PLÁSTICO 1" PARA PIA, TANQUE OU LAVATÓRIO, COM OU SEM LADRÃO - FORNECIMENTO E INSTALAÇÃO. AF_01/2020</t>
  </si>
  <si>
    <t xml:space="preserve"> 00006153 </t>
  </si>
  <si>
    <t>VALVULA EM PLASTICO BRANCO PARA TANQUE OU LAVATORIO 1", SEM UNHO E SEM LADRAO</t>
  </si>
  <si>
    <t xml:space="preserve"> 13.2.6 </t>
  </si>
  <si>
    <t xml:space="preserve"> 86877 </t>
  </si>
  <si>
    <t>VÁLVULA EM METAL CROMADO 1.1/2" X 1.1/2" PARA TANQUE OU LAVATÓRIO, COM OU SEM LADRÃO - FORNECIMENTO E INSTALAÇÃO. AF_01/2020</t>
  </si>
  <si>
    <t xml:space="preserve"> 00037588 </t>
  </si>
  <si>
    <t>VALVULA DE ESCOAMENTO PARA TANQUE, EM METAL CROMADO, 1.1/2", SEM LADRAO, COM TAMPAO PLASTICO</t>
  </si>
  <si>
    <t xml:space="preserve"> 13.2.7 </t>
  </si>
  <si>
    <t xml:space="preserve"> 081730 </t>
  </si>
  <si>
    <t>CURVA 90 GRAUS CURTA DIAM. 40 MM (ESGOTO)</t>
  </si>
  <si>
    <t xml:space="preserve"> H346 </t>
  </si>
  <si>
    <t>CURVA 90 GRAUS CURTA DIAMETRO 40 mm (ESGOTO)</t>
  </si>
  <si>
    <t xml:space="preserve"> 13.2.8 </t>
  </si>
  <si>
    <t xml:space="preserve"> 081921 </t>
  </si>
  <si>
    <t>JOELHO 45 GRAUS DIAMETRO 40 MM (ESGOTO)</t>
  </si>
  <si>
    <t xml:space="preserve"> H394 </t>
  </si>
  <si>
    <t>JOELHO 45 GRAUS DIAMETRO 40 mm - (ESGOTO)</t>
  </si>
  <si>
    <t xml:space="preserve"> 13.2.9 </t>
  </si>
  <si>
    <t xml:space="preserve"> 081922 </t>
  </si>
  <si>
    <t>JOELHO 45 GRAUS DIAMETRO 50 MM (ESGOTO)</t>
  </si>
  <si>
    <t xml:space="preserve"> H381 </t>
  </si>
  <si>
    <t>JOELHO 45 GRAUS DIAMETRO 50 mm (ESGOTO)</t>
  </si>
  <si>
    <t xml:space="preserve"> 13.2.10 </t>
  </si>
  <si>
    <t xml:space="preserve"> 081936 </t>
  </si>
  <si>
    <t>JOELHO 90 GRAUS DIAMETRO 50 MM (ESGOTO)</t>
  </si>
  <si>
    <t xml:space="preserve"> H371 </t>
  </si>
  <si>
    <t>JOELHO 90 GRAUS DIAMETRO 50 mm (ESGOTO)</t>
  </si>
  <si>
    <t xml:space="preserve"> 13.2.11 </t>
  </si>
  <si>
    <t xml:space="preserve"> 081938 </t>
  </si>
  <si>
    <t>JOELHO 90 GRAUS DIAMETRO 100 MM (ESGOTO)</t>
  </si>
  <si>
    <t xml:space="preserve"> H377 </t>
  </si>
  <si>
    <t>JOELHO 90 GRAUS DIAMETRO 100 mm (ESGOTO)</t>
  </si>
  <si>
    <t xml:space="preserve"> 13.2.12 </t>
  </si>
  <si>
    <t xml:space="preserve"> 081935 </t>
  </si>
  <si>
    <t>JOELHO 90 GRAUS DIAMETRO 40 MM (ESGOTO)</t>
  </si>
  <si>
    <t xml:space="preserve"> H380 </t>
  </si>
  <si>
    <t>JOELHO 90 GRAUS DIAMETRO 40 mm (ESGOTO)</t>
  </si>
  <si>
    <t xml:space="preserve"> 13.2.13 </t>
  </si>
  <si>
    <t xml:space="preserve"> 081973 </t>
  </si>
  <si>
    <t>JUNCAO SIMPLES DIAM. 100 X 50 MM (ESGOTO)</t>
  </si>
  <si>
    <t xml:space="preserve"> H386 </t>
  </si>
  <si>
    <t>JUNCAO SIMPLES DIAMETRO 100 X 50 MM - (ESGOTO)</t>
  </si>
  <si>
    <t xml:space="preserve"> 13.2.14 </t>
  </si>
  <si>
    <t xml:space="preserve"> 082001 </t>
  </si>
  <si>
    <t>LUVA SIMPLES DIAMETRO 40 MM - (ESGOTO)</t>
  </si>
  <si>
    <t xml:space="preserve"> H389 </t>
  </si>
  <si>
    <t>LUVA SIMPLES DIAMETRO 40 mm (ESGOTO)</t>
  </si>
  <si>
    <t xml:space="preserve"> 13.2.15 </t>
  </si>
  <si>
    <t xml:space="preserve"> 082004 </t>
  </si>
  <si>
    <t>LUVA SIMPLES DIAMETRO 100 mm - (ESGOTO)</t>
  </si>
  <si>
    <t xml:space="preserve"> H392 </t>
  </si>
  <si>
    <t xml:space="preserve"> 13.2.16 </t>
  </si>
  <si>
    <t xml:space="preserve"> 082002 </t>
  </si>
  <si>
    <t>LUVA SIMPLES DIAMETRO 50 MM - (ESGOTO)</t>
  </si>
  <si>
    <t xml:space="preserve"> H390 </t>
  </si>
  <si>
    <t>LUVA SIMPLES DIAMETRO 50 mm (ESGOTO)</t>
  </si>
  <si>
    <t xml:space="preserve"> 13.2.17 </t>
  </si>
  <si>
    <t xml:space="preserve"> 082304 </t>
  </si>
  <si>
    <t>TUBO SOLDAVEL PARA ESGOTO DIAMETRO 100 MM</t>
  </si>
  <si>
    <t xml:space="preserve"> H284 </t>
  </si>
  <si>
    <t>3,04</t>
  </si>
  <si>
    <t xml:space="preserve"> 13.2.18 </t>
  </si>
  <si>
    <t xml:space="preserve"> 082301 </t>
  </si>
  <si>
    <t>TUBO SOLDAVEL PARA ESGOTO DIAMETRO 40 MM</t>
  </si>
  <si>
    <t xml:space="preserve"> H285 </t>
  </si>
  <si>
    <t>9,55</t>
  </si>
  <si>
    <t xml:space="preserve"> 13.2.19 </t>
  </si>
  <si>
    <t xml:space="preserve"> 082302 </t>
  </si>
  <si>
    <t>TUBO SOLDAVEL PARA ESGOTO DIAMETRO 50 MM</t>
  </si>
  <si>
    <t xml:space="preserve"> H286 </t>
  </si>
  <si>
    <t>28,65</t>
  </si>
  <si>
    <t xml:space="preserve"> 13.2.20 </t>
  </si>
  <si>
    <t xml:space="preserve"> 082233 </t>
  </si>
  <si>
    <t>TE SANITARIO DIAMETRO 100 X 50 MM (ESGOTO)</t>
  </si>
  <si>
    <t xml:space="preserve"> H413 </t>
  </si>
  <si>
    <t>TE SANITARIO DIAMETRO 100 X 50 mm - (ESGOTO)</t>
  </si>
  <si>
    <t xml:space="preserve"> 13.3 </t>
  </si>
  <si>
    <t xml:space="preserve"> 13.3.1 </t>
  </si>
  <si>
    <t xml:space="preserve"> 89801 </t>
  </si>
  <si>
    <t>JOELHO 90 GRAUS, PVC, SERIE NORMAL, ESGOTO PREDIAL, DN 50 MM, JUNTA ELÁSTICA, FORNECIDO E INSTALADO EM PRUMADA DE ESGOTO SANITÁRIO OU VENTILAÇÃO. AF_08/2022</t>
  </si>
  <si>
    <t>Instalações Prediais de Esgoto - Tubos e Conexões</t>
  </si>
  <si>
    <t xml:space="preserve"> 00000296 </t>
  </si>
  <si>
    <t>ANEL BORRACHA PARA TUBO ESGOTO PREDIAL, DN 50 MM (NBR 5688)</t>
  </si>
  <si>
    <t xml:space="preserve"> 00020078 </t>
  </si>
  <si>
    <t>PASTA LUBRIFICANTE PARA TUBOS E CONEXOES COM JUNTA ELASTICA, EMBALAGEM DE *400* GR (USO EM PVC, ACO, POLIETILENO E OUTROS)</t>
  </si>
  <si>
    <t xml:space="preserve"> 00003526 </t>
  </si>
  <si>
    <t>JOELHO PVC, SOLDAVEL, PB, 90 GRAUS, DN 50 MM, PARA ESGOTO PREDIAL</t>
  </si>
  <si>
    <t xml:space="preserve"> 13.3.2 </t>
  </si>
  <si>
    <t xml:space="preserve"> 89798 </t>
  </si>
  <si>
    <t>TUBO PVC, SERIE NORMAL, ESGOTO PREDIAL, DN 50 MM, FORNECIDO E INSTALADO EM PRUMADA DE ESGOTO SANITÁRIO OU VENTILAÇÃO. AF_08/2022</t>
  </si>
  <si>
    <t xml:space="preserve"> 00009838 </t>
  </si>
  <si>
    <t>TUBO PVC SERIE NORMAL, DN 50 MM, PARA ESGOTO PREDIAL (NBR 5688)</t>
  </si>
  <si>
    <t>0,93</t>
  </si>
  <si>
    <t xml:space="preserve"> 13.3.3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</si>
  <si>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</si>
  <si>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</si>
  <si>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00007097 </t>
  </si>
  <si>
    <t>TE SANITARIO, PVC, DN 50 X 50 MM, SERIE NORMAL, PARA ESGOTO PREDIAL</t>
  </si>
  <si>
    <t xml:space="preserve"> 13.4 </t>
  </si>
  <si>
    <t xml:space="preserve"> 13.4.1 </t>
  </si>
  <si>
    <t xml:space="preserve"> 89364 </t>
  </si>
  <si>
    <t>CURVA 90 GRAUS, PVC, SOLDÁVEL, DN 25MM, INSTALADO EM RAMAL OU SUB-RAMAL DE ÁGUA - FORNECIMENTO E INSTALAÇÃO. AF_06/2022</t>
  </si>
  <si>
    <t>Instalações Prediais de Água Fria em PVC</t>
  </si>
  <si>
    <t xml:space="preserve"> 00001956 </t>
  </si>
  <si>
    <t>CURVA DE PVC 90 GRAUS, SOLDAVEL, 25 MM, COR MARROM, PARA AGUA FRIA PREDIAL</t>
  </si>
  <si>
    <t xml:space="preserve"> 13.4.2 </t>
  </si>
  <si>
    <t xml:space="preserve"> 89356 </t>
  </si>
  <si>
    <t>TUBO, PVC, SOLDÁVEL, DE 25MM, INSTALADO EM RAMAL OU SUB-RAMAL DE ÁGUA - FORNECIMENTO E INSTALAÇÃO. AF_06/2022</t>
  </si>
  <si>
    <t xml:space="preserve"> 00009868 </t>
  </si>
  <si>
    <t>TUBO PVC, SOLDAVEL, DE 25 MM, AGUA FRIA (NBR-5648)</t>
  </si>
  <si>
    <t>9,42</t>
  </si>
  <si>
    <t xml:space="preserve"> 13.4.3 </t>
  </si>
  <si>
    <t xml:space="preserve"> 86915 </t>
  </si>
  <si>
    <t>TORNEIRA CROMADA DE MESA, 1/2" OU 3/4", PARA LAVATÓRIO, PADRÃO MÉDIO - FORNECIMENTO E INSTALAÇÃO. AF_01/2020</t>
  </si>
  <si>
    <t xml:space="preserve"> 00036791 </t>
  </si>
  <si>
    <t>TORNEIRA METALICA CROMADA DE MESA PARA LAVATORIO, BICA ALTA, COM AREJADOR</t>
  </si>
  <si>
    <t xml:space="preserve"> 13.4.4 </t>
  </si>
  <si>
    <t xml:space="preserve"> 86888 </t>
  </si>
  <si>
    <t>VASO SANITÁRIO SIFONADO COM CAIXA ACOPLADA LOUÇA BRANCA - FORNECIMENTO E INSTALAÇÃO. AF_01/2020</t>
  </si>
  <si>
    <t xml:space="preserve"> 00006138 </t>
  </si>
  <si>
    <t>ANEL DE VEDACAO, PVC FLEXIVEL, 100 MM, PARA SAIDA DE BACIA / VASO SANITARIO</t>
  </si>
  <si>
    <t xml:space="preserve"> 00037329 </t>
  </si>
  <si>
    <t>REJUNTE EPOXI, QUALQUER COR</t>
  </si>
  <si>
    <t xml:space="preserve"> 00010422 </t>
  </si>
  <si>
    <t>BACIA SANITARIA (VASO) COM CAIXA ACOPLADA, SIFAO APARENTE,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</si>
  <si>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</si>
  <si>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</si>
  <si>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13.4.5 </t>
  </si>
  <si>
    <t xml:space="preserve"> 080926 </t>
  </si>
  <si>
    <t>REGISTRO DE GAVETA C/CANOPLA DIAMETRO 3/4"</t>
  </si>
  <si>
    <t xml:space="preserve"> H200 </t>
  </si>
  <si>
    <t>REGISTRO DE GAVETA C/CANOPLA DIAM.3/4"</t>
  </si>
  <si>
    <t xml:space="preserve"> 13.4.6 </t>
  </si>
  <si>
    <t xml:space="preserve"> 86886 </t>
  </si>
  <si>
    <t>ENGATE FLEXÍVEL EM INOX, 1/2 X 30CM - FORNECIMENTO E INSTALAÇÃO. AF_01/2020</t>
  </si>
  <si>
    <t xml:space="preserve"> 00011683 </t>
  </si>
  <si>
    <t>ENGATE / RABICHO FLEXIVEL INOX 1/2" X 30 CM</t>
  </si>
  <si>
    <t xml:space="preserve"> 13.4.7 </t>
  </si>
  <si>
    <t xml:space="preserve"> 86884 </t>
  </si>
  <si>
    <t>ENGATE FLEXÍVEL EM PLÁSTICO BRANCO, 1/2" X 30CM - FORNECIMENTO E INSTALAÇÃO. AF_01/2020</t>
  </si>
  <si>
    <t xml:space="preserve"> 00006141 </t>
  </si>
  <si>
    <t>ENGATE/RABICHO FLEXIVEL PLASTICO (PVC OU ABS) BRANCO 1/2" X 30 CM</t>
  </si>
  <si>
    <t xml:space="preserve"> 13.4.8 </t>
  </si>
  <si>
    <t xml:space="preserve"> 89383 </t>
  </si>
  <si>
    <t>ADAPTADOR CURTO COM BOLSA E ROSCA PARA REGISTRO, PVC, SOLDÁVEL, DN 25MM X 3/4, INSTALADO EM RAMAL OU SUB-RAMAL DE ÁGUA - FORNECIMENTO E INSTALAÇÃO. AF_06/2022</t>
  </si>
  <si>
    <t xml:space="preserve"> 00000065 </t>
  </si>
  <si>
    <t>ADAPTADOR PVC SOLDAVEL CURTO COM BOLSA E ROSCA, 25 MM X 3/4", PARA AGUA FRIA</t>
  </si>
  <si>
    <t xml:space="preserve"> 13.4.9 </t>
  </si>
  <si>
    <t xml:space="preserve"> 89362 </t>
  </si>
  <si>
    <t>JOELHO 90 GRAUS, PVC, SOLDÁVEL, DN 25MM, INSTALADO EM RAMAL OU SUB-RAMAL DE ÁGUA - FORNECIMENTO E INSTALAÇÃO. AF_06/2022</t>
  </si>
  <si>
    <t xml:space="preserve"> 00003529 </t>
  </si>
  <si>
    <t>JOELHO PVC, SOLDAVEL, 90 GRAUS, 25 MM, COR MARROM, PARA AGUA FRIA PREDIAL</t>
  </si>
  <si>
    <t xml:space="preserve"> 13.4.10 </t>
  </si>
  <si>
    <t xml:space="preserve"> 89379 </t>
  </si>
  <si>
    <t>LUVA DE CORRER, PVC, SOLDÁVEL, DN 25MM, INSTALADO EM RAMAL OU SUB-RAMAL DE ÁGUA - FORNECIMENTO E INSTALAÇÃO. AF_12/2014</t>
  </si>
  <si>
    <t xml:space="preserve"> 00003873 </t>
  </si>
  <si>
    <t>LUVA DE CORRER PARA TUBO SOLDAVEL, PVC, 25 MM, PARA AGUA FRIA PREDIAL</t>
  </si>
  <si>
    <t xml:space="preserve"> 13.4.11 </t>
  </si>
  <si>
    <t xml:space="preserve"> 89395 </t>
  </si>
  <si>
    <t>TE, PVC, SOLDÁVEL, DN 25MM, INSTALADO EM RAMAL OU SUB-RAMAL DE ÁGUA - FORNECIMENTO E INSTALAÇÃO. AF_06/2022</t>
  </si>
  <si>
    <t xml:space="preserve"> 00007139 </t>
  </si>
  <si>
    <t>TE SOLDAVEL, PVC, 90 GRAUS, 25 MM, PARA AGUA FRIA PREDIAL (NBR 5648)</t>
  </si>
  <si>
    <t xml:space="preserve"> 13.4.12 </t>
  </si>
  <si>
    <t xml:space="preserve"> 081360 </t>
  </si>
  <si>
    <t>JOELHO DE REDUCAO 90 GRAUS SOLDÁVEL COM BUCHA LATAO 25X1/2"</t>
  </si>
  <si>
    <t xml:space="preserve"> H173 </t>
  </si>
  <si>
    <t xml:space="preserve"> 13.5 </t>
  </si>
  <si>
    <t xml:space="preserve"> 13.5.1 </t>
  </si>
  <si>
    <t xml:space="preserve"> 13.5.2 </t>
  </si>
  <si>
    <t xml:space="preserve"> 13.5.3 </t>
  </si>
  <si>
    <t xml:space="preserve"> 13.5.4 </t>
  </si>
  <si>
    <t xml:space="preserve"> 13.5.5 </t>
  </si>
  <si>
    <t xml:space="preserve"> 13.5.6 </t>
  </si>
  <si>
    <t xml:space="preserve"> 13.5.7 </t>
  </si>
  <si>
    <t xml:space="preserve"> 13.5.8 </t>
  </si>
  <si>
    <t xml:space="preserve"> 13.5.9 </t>
  </si>
  <si>
    <t>4,05</t>
  </si>
  <si>
    <t xml:space="preserve"> 13.5.10 </t>
  </si>
  <si>
    <t xml:space="preserve"> 13.5.11 </t>
  </si>
  <si>
    <t xml:space="preserve"> 13.6 </t>
  </si>
  <si>
    <t xml:space="preserve"> 13.6.1 </t>
  </si>
  <si>
    <t xml:space="preserve"> 86909 </t>
  </si>
  <si>
    <t>TORNEIRA CROMADA TUBO MÓVEL, DE MESA, 1/2" OU 3/4", PARA PIA DE COZINHA, PADRÃO ALTO - FORNECIMENTO E INSTALAÇÃO. AF_01/2020</t>
  </si>
  <si>
    <t xml:space="preserve"> 00011772 </t>
  </si>
  <si>
    <t>TORNEIRA METALICA CROMADA, DE MESA/BANCADA, PARA COZINHA, BICA MOVEL, COM AREJADOR, 1/2" OU 3/4"</t>
  </si>
  <si>
    <t xml:space="preserve"> 13.6.2 </t>
  </si>
  <si>
    <t xml:space="preserve"> 13.6.3 </t>
  </si>
  <si>
    <t xml:space="preserve"> 13.6.4 </t>
  </si>
  <si>
    <t xml:space="preserve"> 13.6.5 </t>
  </si>
  <si>
    <t xml:space="preserve"> 13.6.6 </t>
  </si>
  <si>
    <t xml:space="preserve"> 13.6.7 </t>
  </si>
  <si>
    <t>6,86</t>
  </si>
  <si>
    <t xml:space="preserve"> 13.6.8 </t>
  </si>
  <si>
    <t xml:space="preserve"> 081369 </t>
  </si>
  <si>
    <t>JOELHO 90 GRAUS SOLDAVEL COM BUCHA DE LATAO 25 X 3/4"</t>
  </si>
  <si>
    <t xml:space="preserve"> H158 </t>
  </si>
  <si>
    <t>JOELHO 90 GRAUS SOLD.C/BUCHA LATAO DIAM. 25 X 3/4"</t>
  </si>
  <si>
    <t xml:space="preserve"> 13.7 </t>
  </si>
  <si>
    <t xml:space="preserve"> 13.7.1 </t>
  </si>
  <si>
    <t xml:space="preserve"> 13.7.2 </t>
  </si>
  <si>
    <t xml:space="preserve"> 13.7.3 </t>
  </si>
  <si>
    <t xml:space="preserve"> 13.7.4 </t>
  </si>
  <si>
    <t xml:space="preserve"> 13.7.5 </t>
  </si>
  <si>
    <t xml:space="preserve"> 13.7.6 </t>
  </si>
  <si>
    <t>4,55</t>
  </si>
  <si>
    <t xml:space="preserve"> 13.7.7 </t>
  </si>
  <si>
    <t xml:space="preserve"> 13.8 </t>
  </si>
  <si>
    <t xml:space="preserve"> 13.8.1 </t>
  </si>
  <si>
    <t xml:space="preserve"> 080927 </t>
  </si>
  <si>
    <t>REGISTRO DE GAVETA C/CANOPLA DIAMETRO 1"</t>
  </si>
  <si>
    <t xml:space="preserve"> H196 </t>
  </si>
  <si>
    <t>REGISTRO DE GAVETA C/CANOPLA DIAM. 1"</t>
  </si>
  <si>
    <t xml:space="preserve"> 13.8.2 </t>
  </si>
  <si>
    <t xml:space="preserve"> 080928 </t>
  </si>
  <si>
    <t>REGISTRO DE GAVETA C/CANOPLA DIAMETRO 1.1/4"</t>
  </si>
  <si>
    <t xml:space="preserve"> H198 </t>
  </si>
  <si>
    <t>REGISTRO DE GAVETA C/CANOPLA DIAM.1.1/4"</t>
  </si>
  <si>
    <t xml:space="preserve"> 13.8.3 </t>
  </si>
  <si>
    <t xml:space="preserve"> 103991 </t>
  </si>
  <si>
    <t>LUVA COM ROSCA, PVC, SOLDÁVEL, DN 40MM X 1.1/4", INSTALADO EM RAMAL DE DISTRIBUIÇÃO DE ÁGUA - FORNECIMENTO E INSTALAÇÃO. AF_06/2022</t>
  </si>
  <si>
    <t xml:space="preserve"> 00003905 </t>
  </si>
  <si>
    <t>LUVA SOLDAVEL COM ROSCA, PVC, 40 MM X 1 1/4", PARA AGUA FRIA PREDIAL</t>
  </si>
  <si>
    <t xml:space="preserve"> 13.8.4 </t>
  </si>
  <si>
    <t xml:space="preserve"> 081056 </t>
  </si>
  <si>
    <t>ADAPTADOR SOLDÁVEL COM FLANGES LIVRES PARA CAIXA D'ÁGUA 32X1"</t>
  </si>
  <si>
    <t xml:space="preserve"> H518 </t>
  </si>
  <si>
    <t xml:space="preserve"> 13.8.5 </t>
  </si>
  <si>
    <t xml:space="preserve"> 081067 </t>
  </si>
  <si>
    <t>ADAPTADOR SOLDÁVEL CURTO C/ BOLSA E ROSCA PARA REGISTRO 32X1"</t>
  </si>
  <si>
    <t xml:space="preserve"> H102 </t>
  </si>
  <si>
    <t>ADAPTADOR SOLDÁVEL CURTO COM BOLSA E ROSCA PARA REGISTRO 32X1"</t>
  </si>
  <si>
    <t xml:space="preserve"> 13.8.6 </t>
  </si>
  <si>
    <t xml:space="preserve"> 081068 </t>
  </si>
  <si>
    <t>ADAPTADOR SOLDÁVEL CURTO C/ BOLSA E ROSCA PARA REGISTRO 40X1 1/4"</t>
  </si>
  <si>
    <t xml:space="preserve"> H103 </t>
  </si>
  <si>
    <t>ADAPTADOR SOLDÁVEL CURTO COM BOLSA E ROSCA PARA REGISTRO 40X1.1/4"</t>
  </si>
  <si>
    <t xml:space="preserve"> 13.8.7 </t>
  </si>
  <si>
    <t xml:space="preserve"> 105233 </t>
  </si>
  <si>
    <t>BUCHA DE REDUÇÃO PVC, SOLDÁVEL, LONGA, DN 40 X 25 MM, INSTALADO EM RESERVAÇÃO PREDIAL DE ÁGUA - FORNECIMENTO E INSTALAÇÃO. AF_04/2024</t>
  </si>
  <si>
    <t>Instalações Hidráulicas - Reservação e Bombas de Recalque</t>
  </si>
  <si>
    <t xml:space="preserve"> 00000834 </t>
  </si>
  <si>
    <t>BUCHA DE REDUCAO DE PVC, SOLDAVEL, LONGA, COM 40 X 25 MM, PARA AGUA FRIA PREDIAL</t>
  </si>
  <si>
    <t xml:space="preserve"> 13.8.8 </t>
  </si>
  <si>
    <t xml:space="preserve"> 94673 </t>
  </si>
  <si>
    <t>CURVA 90 GRAUS, PVC, SOLDÁVEL, DN 25 MM, INSTALADO EM RESERVAÇÃO PREDIAL DE ÁGUA - FORNECIMENTO E INSTALAÇÃO. AF_04/2024</t>
  </si>
  <si>
    <t xml:space="preserve"> 13.8.9 </t>
  </si>
  <si>
    <t xml:space="preserve"> 94675 </t>
  </si>
  <si>
    <t>CURVA 90 GRAUS, PVC, SOLDÁVEL, DN 32 MM, INSTALADO EM RESERVAÇÃO PREDIAL DE ÁGUA - FORNECIMENTO E INSTALAÇÃO. AF_04/2024</t>
  </si>
  <si>
    <t xml:space="preserve"> 00001957 </t>
  </si>
  <si>
    <t>CURVA DE PVC 90 GRAUS, SOLDAVEL, 32 MM, COR MARROM, PARA AGUA FRIA PREDIAL</t>
  </si>
  <si>
    <t xml:space="preserve"> 13.8.10 </t>
  </si>
  <si>
    <t xml:space="preserve"> 96748 </t>
  </si>
  <si>
    <t>JOELHO 90 GRAUS, PPR, DN 25 MM, INSTALADO EM RESERVAÇÃO PREDIAL DE ÁGUA - FORNECIMENTO E INSTALAÇÃO. AF_04/2024</t>
  </si>
  <si>
    <t xml:space="preserve"> 104091 </t>
  </si>
  <si>
    <t>TERMOFUSORA PARA TUBOS E CONEXÕES EM PPR COM DIÂMETROS DE 20 A 63 MM, POTÊNCIA DE 800 W, TENSAO 220 V - CHP DIURNO. AF_05/2022</t>
  </si>
  <si>
    <t xml:space="preserve"> 104092 </t>
  </si>
  <si>
    <t>TERMOFUSORA PARA TUBOS E CONEXÕES EM PPR COM DIÂMETROS DE 20 A 63 MM, POTÊNCIA DE 800 W, TENSAO 220 V - CHI DIURNO. AF_05/2022</t>
  </si>
  <si>
    <t xml:space="preserve"> 00036360 </t>
  </si>
  <si>
    <t>JOELHO PPR, 90 GRAUS, SOLDAVEL, F/F, DN 25 MM, PARA AGUA QUENTE PREDIAL</t>
  </si>
  <si>
    <t xml:space="preserve"> 13.8.11 </t>
  </si>
  <si>
    <t xml:space="preserve"> 89530 </t>
  </si>
  <si>
    <t>LUVA DE CORRER, PVC, SOLDÁVEL, DN 25MM, INSTALADO EM PRUMADA DE ÁGUA - FORNECIMENTO E INSTALAÇÃO. AF_06/2022</t>
  </si>
  <si>
    <t xml:space="preserve"> 13.8.12 </t>
  </si>
  <si>
    <t xml:space="preserve"> 94661 </t>
  </si>
  <si>
    <t>LUVA, PVC, SOLDÁVEL, DN 40 MM, INSTALADO EM RESERVAÇÃO PREDIAL DE ÁGUA - FORNECIMENTO E INSTALAÇÃO. AF_04/2024</t>
  </si>
  <si>
    <t xml:space="preserve"> 00003862 </t>
  </si>
  <si>
    <t>LUVA PVC SOLDAVEL, 40 MM, PARA AGUA FRIA PREDIAL</t>
  </si>
  <si>
    <t xml:space="preserve"> 13.8.13 </t>
  </si>
  <si>
    <t xml:space="preserve"> 94795 </t>
  </si>
  <si>
    <t>TORNEIRA DE BOIA PARA CAIXA D'ÁGUA, ROSCÁVEL, 1/2" - FORNECIMENTO E INSTALAÇÃO. AF_08/2021</t>
  </si>
  <si>
    <t>Válvulas e Registros para Sistemas Prediais</t>
  </si>
  <si>
    <t xml:space="preserve"> 00011829 </t>
  </si>
  <si>
    <t>TORNEIRA DE BOIA CONVENCIONAL PARA CAIXA D'AGUA, AGUA FRIA, 1/2", COM HASTE E TORNEIRA METALICOS E BALAO PLASTICO</t>
  </si>
  <si>
    <t xml:space="preserve"> 00003148 </t>
  </si>
  <si>
    <t>FITA VEDA ROSCA, EM PTFE, ROLO DE 18 MM X 50 M (L X C)</t>
  </si>
  <si>
    <t xml:space="preserve"> 13.8.14 </t>
  </si>
  <si>
    <t xml:space="preserve"> 94648 </t>
  </si>
  <si>
    <t>TUBO, PVC, SOLDÁVEL, DE 25MM, INSTALADO EM RESERVAÇÃO PREDIAL DE ÁGUA - FORNECIMENTO E INSTALAÇÃO. AF_04/2024</t>
  </si>
  <si>
    <t>8,96</t>
  </si>
  <si>
    <t xml:space="preserve"> 13.8.15 </t>
  </si>
  <si>
    <t xml:space="preserve"> 94649 </t>
  </si>
  <si>
    <t>TUBO, PVC, SOLDÁVEL, DE 32MM, INSTALADO EM RESERVAÇÃO PREDIAL DE ÁGUA - FORNECIMENTO E INSTALAÇÃO. AF_04/2024</t>
  </si>
  <si>
    <t xml:space="preserve"> 00009869 </t>
  </si>
  <si>
    <t>TUBO PVC, SOLDAVEL, DE 32 MM, AGUA FRIA (NBR-5648)</t>
  </si>
  <si>
    <t xml:space="preserve"> 13.8.16 </t>
  </si>
  <si>
    <t xml:space="preserve"> 94650 </t>
  </si>
  <si>
    <t>TUBO, PVC, SOLDÁVEL, DE 40MM, INSTALADO EM RESERVAÇÃO PREDIAL DE ÁGUA - FORNECIMENTO E INSTALAÇÃO. AF_04/2024</t>
  </si>
  <si>
    <t xml:space="preserve"> 00009874 </t>
  </si>
  <si>
    <t>TUBO PVC, SOLDAVEL, DE 40 MM, AGUA FRIA (NBR-5648)</t>
  </si>
  <si>
    <t>8,19</t>
  </si>
  <si>
    <t xml:space="preserve"> 13.8.17 </t>
  </si>
  <si>
    <t xml:space="preserve"> 94690 </t>
  </si>
  <si>
    <t>TÊ, PVC, SOLDÁVEL, DN 32 MM INSTALADO EM RESERVAÇÃO PREDIAL DE ÁGUA - FORNECIMENTO E INSTALAÇÃO. AF_04/2024</t>
  </si>
  <si>
    <t xml:space="preserve"> 00007140 </t>
  </si>
  <si>
    <t>TE SOLDAVEL, PVC, 90 GRAUS, 32 MM, PARA AGUA FRIA PREDIAL (NBR 5648)</t>
  </si>
  <si>
    <t xml:space="preserve"> 13.8.18 </t>
  </si>
  <si>
    <t xml:space="preserve"> 94692 </t>
  </si>
  <si>
    <t>TÊ, PVC, SOLDÁVEL, DN 40 MM INSTALADO EM RESERVAÇÃO PREDIAL DE ÁGUA - FORNECIMENTO E INSTALAÇÃO. AF_04/2024</t>
  </si>
  <si>
    <t xml:space="preserve"> 00007141 </t>
  </si>
  <si>
    <t>TE SOLDAVEL, PVC, 90 GRAUS, 40 MM, PARA AGUA FRIA PREDIAL (NBR 5648)</t>
  </si>
  <si>
    <t xml:space="preserve"> 13.8.19 </t>
  </si>
  <si>
    <t xml:space="preserve"> 081861 </t>
  </si>
  <si>
    <t>CAIXA D'AGUA POLIETILENO 1000 LTS. COM TAMPA</t>
  </si>
  <si>
    <t xml:space="preserve"> H676 </t>
  </si>
  <si>
    <t>CAIXA D'ÁGUA POLIETILENO 1000 LTS. COM TAMPA</t>
  </si>
  <si>
    <t xml:space="preserve"> 13.8.20 </t>
  </si>
  <si>
    <t xml:space="preserve"> 95674 </t>
  </si>
  <si>
    <t>HIDRÔMETRO DN 1/2", 3,0 M3/H - FORNECIMENTO E INSTALAÇÃO. AF_03/2024</t>
  </si>
  <si>
    <t>Sistemas de Medição</t>
  </si>
  <si>
    <t xml:space="preserve"> 00012773 </t>
  </si>
  <si>
    <t>HIDROMETRO UNIJATO / MEDIDOR DE AGUA, DN 1/2", VAZAO MAXIMA DE 3 M3/H, PARA AGUA POTAVEL FRIA, RELOJOARIA PLANA, CLASSE B, HORIZONTAL (SEM CONEXOES)</t>
  </si>
  <si>
    <t xml:space="preserve"> 13.8.21 </t>
  </si>
  <si>
    <t xml:space="preserve"> 95634 </t>
  </si>
  <si>
    <t>KIT CAVALETE PARA MEDIÇÃO DE ÁGUA - ENTRADA PRINCIPAL, EM PVC 20 MM (1/2") - FORNECIMENTO E INSTALAÇÃO (EXCLUSIVE HIDRÔMETRO). AF_03/2024</t>
  </si>
  <si>
    <t xml:space="preserve"> 00003729 </t>
  </si>
  <si>
    <t>KIT CAVALETE, PVC, COM REGISTRO, PARA HIDROMETRO, BITOLAS 1/2" OU 3/4" - COMPLETO</t>
  </si>
  <si>
    <t xml:space="preserve"> 13.8.22 </t>
  </si>
  <si>
    <t xml:space="preserve"> 89489 </t>
  </si>
  <si>
    <t>CURVA 90 GRAUS, PVC, SOLDÁVEL, DN 25MM, INSTALADO EM PRUMADA DE ÁGUA - FORNECIMENTO E INSTALAÇÃO. AF_06/2022</t>
  </si>
  <si>
    <t xml:space="preserve"> 13.8.23 </t>
  </si>
  <si>
    <t xml:space="preserve"> 89425 </t>
  </si>
  <si>
    <t>LUVA DE CORRER, PVC, SOLDÁVEL, DN 25MM, INSTALADO EM RAMAL DE DISTRIBUIÇÃO DE ÁGUA - FORNECIMENTO E INSTALAÇÃO. AF_06/2022</t>
  </si>
  <si>
    <t xml:space="preserve"> 13.9 </t>
  </si>
  <si>
    <t xml:space="preserve"> 13.9.1 </t>
  </si>
  <si>
    <t xml:space="preserve"> 13.9.2 </t>
  </si>
  <si>
    <t xml:space="preserve"> 13.9.3 </t>
  </si>
  <si>
    <t xml:space="preserve"> 89402 </t>
  </si>
  <si>
    <t>TUBO, PVC, SOLDÁVEL, DE 25MM, INSTALADO EM RAMAL DE DISTRIBUIÇÃO DE ÁGUA - FORNECIMENTO E INSTALAÇÃO. AF_06/2022</t>
  </si>
  <si>
    <t>37,61</t>
  </si>
  <si>
    <t xml:space="preserve"> 13.9.4 </t>
  </si>
  <si>
    <t xml:space="preserve"> 89403 </t>
  </si>
  <si>
    <t>TUBO, PVC, SOLDÁVEL, DE 32MM, INSTALADO EM RAMAL DE DISTRIBUIÇÃO DE ÁGUA - FORNECIMENTO E INSTALAÇÃO. AF_06/2022</t>
  </si>
  <si>
    <t xml:space="preserve"> 13.9.5 </t>
  </si>
  <si>
    <t xml:space="preserve"> 103978 </t>
  </si>
  <si>
    <t>TUBO, PVC, SOLDÁVEL, DE 40MM, INSTALADO EM RAMAL DE DISTRIBUIÇÃO DE ÁGUA - FORNECIMENTO E INSTALAÇÃO. AF_06/2022</t>
  </si>
  <si>
    <t>33,78</t>
  </si>
  <si>
    <t xml:space="preserve"> 13.9.6 </t>
  </si>
  <si>
    <t xml:space="preserve"> 13.9.7 </t>
  </si>
  <si>
    <t xml:space="preserve"> 13.9.8 </t>
  </si>
  <si>
    <t xml:space="preserve"> 13.9.9 </t>
  </si>
  <si>
    <t xml:space="preserve"> 13.9.10 </t>
  </si>
  <si>
    <t xml:space="preserve"> 13.9.11 </t>
  </si>
  <si>
    <t xml:space="preserve"> 104014 </t>
  </si>
  <si>
    <t>BUCHA DE REDUÇÃO, LONGA, PVC, SOLDÁVEL, DN 40 X 25 MM, INSTALADO EM RAMAL DE DISTRIBUIÇÃO DE ÁGUA - FORNECIMENTO E INSTALAÇÃO. AF_06/2022</t>
  </si>
  <si>
    <t>9,00</t>
  </si>
  <si>
    <t xml:space="preserve"> 13.9.12 </t>
  </si>
  <si>
    <t xml:space="preserve"> 89411 </t>
  </si>
  <si>
    <t>CURVA 45 GRAUS, PVC, SOLDÁVEL, DN 25MM, INSTALADO EM RAMAL DE DISTRIBUIÇÃO DE ÁGUA - FORNECIMENTO E INSTALAÇÃO. AF_06/2022</t>
  </si>
  <si>
    <t xml:space="preserve"> 00001927 </t>
  </si>
  <si>
    <t>CURVA DE PVC 45 GRAUS, SOLDAVEL, 25 MM, COR MARROM, PARA AGUA FRIA PREDIAL</t>
  </si>
  <si>
    <t xml:space="preserve"> 13.9.13 </t>
  </si>
  <si>
    <t xml:space="preserve"> 103983 </t>
  </si>
  <si>
    <t>CURVA 45 GRAUS, PVC, SOLDÁVEL, DN 40MM, INSTALADO EM RAMAL DE DISTRIBUIÇÃO DE ÁGUA - FORNECIMENTO E INSTALAÇÃO. AF_06/2022</t>
  </si>
  <si>
    <t xml:space="preserve"> 00001929 </t>
  </si>
  <si>
    <t>CURVA DE PVC 45 GRAUS, SOLDAVEL, 40 MM, COR MARROM, PARA AGUA FRIA PREDIAL</t>
  </si>
  <si>
    <t xml:space="preserve"> 13.9.14 </t>
  </si>
  <si>
    <t xml:space="preserve"> 89410 </t>
  </si>
  <si>
    <t>CURVA 90 GRAUS, PVC, SOLDÁVEL, DN 25MM, INSTALADO EM RAMAL DE DISTRIBUIÇÃO DE ÁGUA - FORNECIMENTO E INSTALAÇÃO. AF_06/2022</t>
  </si>
  <si>
    <t xml:space="preserve"> 13.9.15 </t>
  </si>
  <si>
    <t xml:space="preserve"> 89415 </t>
  </si>
  <si>
    <t>CURVA 90 GRAUS, PVC, SOLDÁVEL, DN 32MM, INSTALADO EM RAMAL DE DISTRIBUIÇÃO DE ÁGUA - FORNECIMENTO E INSTALAÇÃO. AF_06/2022</t>
  </si>
  <si>
    <t xml:space="preserve"> 13.9.16 </t>
  </si>
  <si>
    <t xml:space="preserve"> 89408 </t>
  </si>
  <si>
    <t>JOELHO 90 GRAUS, PVC, SOLDÁVEL, DN 25MM, INSTALADO EM RAMAL DE DISTRIBUIÇÃO DE ÁGUA - FORNECIMENTO E INSTALAÇÃO. AF_06/2022</t>
  </si>
  <si>
    <t xml:space="preserve"> 13.9.17 </t>
  </si>
  <si>
    <t xml:space="preserve"> 13.9.18 </t>
  </si>
  <si>
    <t xml:space="preserve"> 103988 </t>
  </si>
  <si>
    <t>LUVA, PVC, SOLDÁVEL, DN 40MM, INSTALADO EM RAMAL DE DISTRIBUIÇÃO DE ÁGUA - FORNECIMENTO E INSTALAÇÃO. AF_06/2022</t>
  </si>
  <si>
    <t xml:space="preserve"> 13.9.19 </t>
  </si>
  <si>
    <t xml:space="preserve"> 89440 </t>
  </si>
  <si>
    <t>TE, PVC, SOLDÁVEL, DN 25MM, INSTALADO EM RAMAL DE DISTRIBUIÇÃO DE ÁGUA - FORNECIMENTO E INSTALAÇÃO. AF_06/2022</t>
  </si>
  <si>
    <t xml:space="preserve"> 13.9.20 </t>
  </si>
  <si>
    <t xml:space="preserve"> 89443 </t>
  </si>
  <si>
    <t>TE, PVC, SOLDÁVEL, DN 32MM, INSTALADO EM RAMAL DE DISTRIBUIÇÃO DE ÁGUA - FORNECIMENTO E INSTALAÇÃO. AF_06/2022</t>
  </si>
  <si>
    <t xml:space="preserve"> 13.9.21 </t>
  </si>
  <si>
    <t xml:space="preserve"> 104011 </t>
  </si>
  <si>
    <t>TE, PVC, SOLDÁVEL, DN 40MM, INSTALADO EM RAMAL DE DISTRIBUIÇÃO DE ÁGUA - FORNECIMENTO E INSTALAÇÃO. AF_06/2022</t>
  </si>
  <si>
    <t xml:space="preserve"> 13.9.22 </t>
  </si>
  <si>
    <t xml:space="preserve"> 081860 </t>
  </si>
  <si>
    <t>CAIXA D'AGUA POLIETILENO 500 LTS. COM TAMPA</t>
  </si>
  <si>
    <t xml:space="preserve"> H675 </t>
  </si>
  <si>
    <t>CAIXA D'ÁGUA POLIETILENO 500 LTS. COM TAMPA</t>
  </si>
  <si>
    <t xml:space="preserve"> 13.10 </t>
  </si>
  <si>
    <t xml:space="preserve"> 13.10.1 </t>
  </si>
  <si>
    <t xml:space="preserve"> 080544 </t>
  </si>
  <si>
    <t>LAVATÓRIO COM COLUNA SUSPENSA - 45X35 CM (MEDIDAS APROXIMADAS)</t>
  </si>
  <si>
    <t xml:space="preserve"> H727 </t>
  </si>
  <si>
    <t>LAVATÓRIO PEQUENO COM COLUNA SUSPENSA (L510 VOGUE PLUS OU EQUIVALENTE)</t>
  </si>
  <si>
    <t xml:space="preserve"> 13.10.2 </t>
  </si>
  <si>
    <t xml:space="preserve"> 080652 </t>
  </si>
  <si>
    <t>PIA MÁRMORE/GRANITO SINTÉTICO 2,00 X 0,54 M</t>
  </si>
  <si>
    <t xml:space="preserve"> H478 </t>
  </si>
  <si>
    <t>PIA MARMORE/GRANITO SINTÉTICO 2,00 X 0,54 M (DIMENSÕES APROXIMADAS)</t>
  </si>
  <si>
    <t xml:space="preserve"> 13.10.3 </t>
  </si>
  <si>
    <t xml:space="preserve"> 080805 </t>
  </si>
  <si>
    <t>TANQUE DE AÇO INOX - CHAPA 0,7MM - MEDIDAS APROXIMADAS 50 X 40 X 22 CM (C X L X A)</t>
  </si>
  <si>
    <t xml:space="preserve"> H429 </t>
  </si>
  <si>
    <t>CONJUNTO DE FIXAÇÃO PARA TANQUE</t>
  </si>
  <si>
    <t xml:space="preserve"> H430 </t>
  </si>
  <si>
    <t>TANQUE ACO INOX 304 0,7MM TAMANHO MÉDIO - MEDIDAS APROXIMADAS 50 X 40 X 22 CM (C X L X A)</t>
  </si>
  <si>
    <t xml:space="preserve"> 14 </t>
  </si>
  <si>
    <t xml:space="preserve"> 14.1 </t>
  </si>
  <si>
    <t xml:space="preserve"> 14.1.1 </t>
  </si>
  <si>
    <t xml:space="preserve"> 91940 </t>
  </si>
  <si>
    <t>CAIXA RETANGULAR 4" X 2" MÉDIA (1,30 M DO PISO), PVC, INSTALADA EM PAREDE - FORNECIMENTO E INSTALAÇÃO. AF_03/2023</t>
  </si>
  <si>
    <t>Instalações Elétricas - Eletrodutos Embutidos, Cabos, Caixas, Tomadas e Interruptores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</si>
  <si>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</si>
  <si>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</si>
  <si>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</si>
  <si>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</si>
  <si>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00001872 </t>
  </si>
  <si>
    <t>CAIXA DE PASSAGEM, EM PVC, DE 4" X 2", PARA ELETRODUTO FLEXIVEL CORRUGADO</t>
  </si>
  <si>
    <t>129,00</t>
  </si>
  <si>
    <t xml:space="preserve"> 14.1.2 </t>
  </si>
  <si>
    <t xml:space="preserve"> 91937 </t>
  </si>
  <si>
    <t>CAIXA OCTOGONAL 3" X 3", PVC, INSTALADA EM LAJE - FORNECIMENTO E INSTALAÇÃO. AF_03/2023</t>
  </si>
  <si>
    <t xml:space="preserve"> 00001871 </t>
  </si>
  <si>
    <t>CAIXA OCTOGONAL DE FUNDO MOVEL, EM PVC, DE 3" X 3", PARA ELETRODUTO FLEXIVEL CORRUGADO</t>
  </si>
  <si>
    <t>32,00</t>
  </si>
  <si>
    <t xml:space="preserve"> 14.2 </t>
  </si>
  <si>
    <t xml:space="preserve"> 14.2.1 </t>
  </si>
  <si>
    <t xml:space="preserve"> 91924 </t>
  </si>
  <si>
    <t>CABO DE COBRE FLEXÍVEL ISOLADO, 1,5 MM², ANTI-CHAMA 450/750 V, PARA CIRCUITOS TERMINAIS - FORNECIMENTO E INSTALAÇÃO. AF_03/2023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</si>
  <si>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</si>
  <si>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</si>
  <si>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</si>
  <si>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</si>
  <si>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>863,15</t>
  </si>
  <si>
    <t xml:space="preserve"> 14.2.2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</si>
  <si>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</si>
  <si>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</si>
  <si>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</si>
  <si>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</si>
  <si>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>1.555,36</t>
  </si>
  <si>
    <t xml:space="preserve"> 14.2.3 </t>
  </si>
  <si>
    <t xml:space="preserve"> 91932 </t>
  </si>
  <si>
    <t>CABO DE COBRE FLEXÍVEL ISOLADO, 10 MM², ANTI-CHAMA 450/750 V, PARA CIRCUITOS TERMINAIS - FORNECIMENTO E INSTALAÇÃO. AF_03/2023</t>
  </si>
  <si>
    <t xml:space="preserve"> 00000980 </t>
  </si>
  <si>
    <t>CABO DE COBRE, FLEXIVEL, CLASSE 4 OU 5, ISOLACAO EM PVC/A, ANTICHAMA BWF-B, 1 CONDUTOR, 450/750 V, SECAO NOMINAL 10 MM2</t>
  </si>
  <si>
    <t>40,25</t>
  </si>
  <si>
    <t xml:space="preserve"> 14.2.4 </t>
  </si>
  <si>
    <t xml:space="preserve"> 92984 </t>
  </si>
  <si>
    <t>CABO DE COBRE FLEXÍVEL ISOLADO, 25 MM², ANTI-CHAMA 0,6/1,0 KV, PARA REDE ENTERRADA DE DISTRIBUIÇÃO DE ENERGIA ELÉTRICA - FORNECIMENTO E INSTALAÇÃO. AF_12/2021</t>
  </si>
  <si>
    <t>Redes Enterradas de Distribuição Elétrica</t>
  </si>
  <si>
    <t xml:space="preserve"> 00000996 </t>
  </si>
  <si>
    <t>CABO DE COBRE, FLEXIVEL, CLASSE 4 OU 5, ISOLACAO EM PVC/A, ANTICHAMA BWF-B, COBERTURA PVC-ST1, ANTICHAMA BWF-B, 1 CONDUTOR, 0,6/1 KV, SECAO NOMINAL 25 MM2</t>
  </si>
  <si>
    <t>14,00</t>
  </si>
  <si>
    <t xml:space="preserve"> 14.3 </t>
  </si>
  <si>
    <t xml:space="preserve"> 14.3.1 </t>
  </si>
  <si>
    <t xml:space="preserve"> 93654 </t>
  </si>
  <si>
    <t>DISJUNTOR MONOPOLAR TIPO DIN, CORRENTE NOMINAL DE 16A - FORNECIMENTO E INSTALAÇÃO. AF_07/2025</t>
  </si>
  <si>
    <t>Instalações Elétricas - Quadros, Cabos, Disjuntores, Contatores e Barramentos Blindados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</si>
  <si>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</si>
  <si>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</si>
  <si>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</si>
  <si>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</si>
  <si>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14.3.2 </t>
  </si>
  <si>
    <t xml:space="preserve"> 93673 </t>
  </si>
  <si>
    <t>DISJUNTOR TRIPOLAR TIPO DIN, CORRENTE NOMINAL DE 50A - FORNECIMENTO E INSTALAÇÃO. AF_07/2025</t>
  </si>
  <si>
    <t xml:space="preserve"> 00034709 </t>
  </si>
  <si>
    <t>DISJUNTOR TERMOMAGNETICO PARA TRILHO DIN (IEC), TRIPOLAR, 10 - 50 A</t>
  </si>
  <si>
    <t xml:space="preserve"> 00001575 </t>
  </si>
  <si>
    <t>TERMINAL A COMPRESSAO EM COBRE ESTANHADO PARA CABO 16 MM2, 1 FURO E 1 COMPRESSAO, PARA PARAFUSO DE FIXACAO M6</t>
  </si>
  <si>
    <t xml:space="preserve"> 14.3.3 </t>
  </si>
  <si>
    <t xml:space="preserve"> 106027 </t>
  </si>
  <si>
    <t>DISPOSITIVO DPS 20KA-175V OU 275V - FORNECIMENTO E INSTALAÇÃO. AF_07/2025</t>
  </si>
  <si>
    <t xml:space="preserve"> 00001573 </t>
  </si>
  <si>
    <t>TERMINAL A COMPRESSAO EM COBRE ESTANHADO PARA CABO 6 MM2, 1 FURO E 1 COMPRESSAO, PARA PARAFUSO DE FIXACAO M6</t>
  </si>
  <si>
    <t xml:space="preserve"> 00039465 </t>
  </si>
  <si>
    <t>DISPOSITIVO DPS CLASSE II, 1 POLO, TENSAO MAXIMA DE 175 V, CORRENTE MAXIMA DE *20* KA (TIPO AC)</t>
  </si>
  <si>
    <t xml:space="preserve"> 14.3.4 </t>
  </si>
  <si>
    <t xml:space="preserve"> 106020 </t>
  </si>
  <si>
    <t>DISJUNTOR TRIPOLAR DIN 63A - FORNECIMENTO E INSTALAÇÃO. AF_07/2025</t>
  </si>
  <si>
    <t xml:space="preserve"> 00034714 </t>
  </si>
  <si>
    <t>DISJUNTOR TERMOMAGNETICO PARA TRILHO DIN (IEC), TRIPOLAR, 63 A</t>
  </si>
  <si>
    <t xml:space="preserve"> 14.3.5 </t>
  </si>
  <si>
    <t xml:space="preserve"> 100556 </t>
  </si>
  <si>
    <t>CAIXA DE PASSAGEM PARA TELEFONE 15X15X10CM (SOBREPOR) - FORNECIMENTO E INSTALAÇÃO. AF_08/2025</t>
  </si>
  <si>
    <t>Redes de Lógica, Telefonia e Imagem</t>
  </si>
  <si>
    <t xml:space="preserve"> 00020254 </t>
  </si>
  <si>
    <t>CAIXA DE PASSAGEM METALICA, DE SOBREPOR, COM TAMPA APARAFUSADA, DIMENSOES 15 X 15 X *10* CM</t>
  </si>
  <si>
    <t xml:space="preserve"> 14.3.6 </t>
  </si>
  <si>
    <t xml:space="preserve"> 100557 </t>
  </si>
  <si>
    <t>CAIXA DE PASSAGEM PARA TELEFONE 80X80X15CM (SOBREPOR) - FORNECIMENTO E INSTALAÇÃO. AF_08/2025</t>
  </si>
  <si>
    <t xml:space="preserve"> 00011256 </t>
  </si>
  <si>
    <t>CAIXA DE PASSAGEM/ LUZ / TELEFONIA, DE SOBREPOR, EM CHAPA DE ACO GALVANIZADO, DIMENSOES 80 X 80 X *12* CM (PADRAO CONCESSIONARIA LOCAL)</t>
  </si>
  <si>
    <t xml:space="preserve"> 14.4 </t>
  </si>
  <si>
    <t xml:space="preserve"> 14.4.1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</si>
  <si>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</si>
  <si>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</si>
  <si>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</si>
  <si>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</si>
  <si>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</si>
  <si>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00039245 </t>
  </si>
  <si>
    <t>ELETRODUTO PVC FLEXIVEL CORRUGADO, REFORCADO, COR LARANJA, DE 32 MM, PARA LAJES E PISOS</t>
  </si>
  <si>
    <t>63,61</t>
  </si>
  <si>
    <t xml:space="preserve"> 14.4.2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</si>
  <si>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</si>
  <si>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</si>
  <si>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00039244 </t>
  </si>
  <si>
    <t>ELETRODUTO PVC FLEXIVEL CORRUGADO, REFORCADO, COR LARANJA, DE 25 MM, PARA LAJES E PISOS</t>
  </si>
  <si>
    <t>705,54</t>
  </si>
  <si>
    <t xml:space="preserve"> 14.4.3 </t>
  </si>
  <si>
    <t xml:space="preserve"> 91873 </t>
  </si>
  <si>
    <t>ELETRODUTO RÍGIDO ROSCÁVEL, PVC, DN 40 MM (1 1/4"), PARA CIRCUITOS TERMINAIS, INSTALADO EM PAREDE - FORNECIMENTO E INSTALAÇÃO. AF_03/2023</t>
  </si>
  <si>
    <t xml:space="preserve"> 00002684 </t>
  </si>
  <si>
    <t>ELETRODUTO DE PVC RIGIDO ROSCAVEL DE 1 1/4", SEM LUVA</t>
  </si>
  <si>
    <t>16,64</t>
  </si>
  <si>
    <t xml:space="preserve"> 14.5 </t>
  </si>
  <si>
    <t xml:space="preserve"> 14.5.1 </t>
  </si>
  <si>
    <t xml:space="preserve"> 91979 </t>
  </si>
  <si>
    <t>INTERRUPTOR INTERMEDIÁRIO (1 MÓDULO), 10A/250V,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</si>
  <si>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</si>
  <si>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</si>
  <si>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91978 </t>
  </si>
  <si>
    <t>INTERRUPTOR INTERMEDIÁRIO (1 MÓDULO), 10A/250V, SEM SUPORTE E SEM PLACA - FORNECIMENTO E INSTALAÇÃO. AF_03/2023</t>
  </si>
  <si>
    <t xml:space="preserve"> 14.5.2 </t>
  </si>
  <si>
    <t xml:space="preserve"> 91955 </t>
  </si>
  <si>
    <t>INTERRUPTOR PARALELO (1 MÓDULO), 10A/250V, INCLUINDO SUPORTE E PLACA - FORNECIMENTO E INSTALAÇÃO. AF_03/2023</t>
  </si>
  <si>
    <t xml:space="preserve"> 91954 </t>
  </si>
  <si>
    <t>INTERRUPTOR PARALELO (1 MÓDULO), 10A/250V, SEM SUPORTE E SEM PLACA - FORNECIMENTO E INSTALAÇÃO. AF_03/2023</t>
  </si>
  <si>
    <t xml:space="preserve"> 14.5.3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</si>
  <si>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</si>
  <si>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</si>
  <si>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</si>
  <si>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</si>
  <si>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>30,00</t>
  </si>
  <si>
    <t xml:space="preserve"> 14.5.4 </t>
  </si>
  <si>
    <t xml:space="preserve"> 91996 </t>
  </si>
  <si>
    <t>TOMADA MÉDIA DE EMBUTIR (1 MÓDULO), 2P+T 10 A, INCLUINDO SUPORTE E PLACA - FORNECIMENTO E INSTALAÇÃO. AF_03/2023</t>
  </si>
  <si>
    <t xml:space="preserve"> 91994 </t>
  </si>
  <si>
    <t>TOMADA MÉDIA DE EMBUTIR (1 MÓDULO), 2P+T 10 A, SEM SUPORTE E SEM PLACA - FORNECIMENTO E INSTALAÇÃO. AF_03/2023</t>
  </si>
  <si>
    <t>20,00</t>
  </si>
  <si>
    <t xml:space="preserve"> 14.5.5 </t>
  </si>
  <si>
    <t xml:space="preserve"> 92013 </t>
  </si>
  <si>
    <t>TOMADA MÉDIA DE EMBUTIR (3 MÓDULOS), 2P+T 20 A, INCLUINDO SUPORTE E PLACA - FORNECIMENTO E INSTALAÇÃO. AF_03/2023</t>
  </si>
  <si>
    <t xml:space="preserve"> 92011 </t>
  </si>
  <si>
    <t>TOMADA MÉDIA DE EMBUTIR (3 MÓDULOS), 2P+T 20 A, SEM SUPORTE E SEM PLACA - FORNECIMENTO E INSTALAÇÃO. AF_03/2023</t>
  </si>
  <si>
    <t>54,00</t>
  </si>
  <si>
    <t xml:space="preserve"> 14.5.6 </t>
  </si>
  <si>
    <t xml:space="preserve"> 91997 </t>
  </si>
  <si>
    <t>TOMADA MÉDIA DE EMBUTIR (1 MÓDULO), 2P+T 20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</si>
  <si>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</si>
  <si>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</si>
  <si>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14.6 </t>
  </si>
  <si>
    <t xml:space="preserve"> 14.6.1 </t>
  </si>
  <si>
    <t xml:space="preserve"> 97610 </t>
  </si>
  <si>
    <t>LÂMPADA COMPACTA DE LED 10 W, BASE E27 - FORNECIMENTO E INSTALAÇÃO. AF_09/2024</t>
  </si>
  <si>
    <t>Iluminação Predial e Monitoramento</t>
  </si>
  <si>
    <t xml:space="preserve"> 00038194 </t>
  </si>
  <si>
    <t>LAMPADA LED 10 W BIVOLT BRANCA, FORMATO TRADICIONAL (BASE E27)</t>
  </si>
  <si>
    <t xml:space="preserve"> 00012295 </t>
  </si>
  <si>
    <t>SOQUETE DE BAQUELITE BASE E27, PARA LAMPADAS</t>
  </si>
  <si>
    <t xml:space="preserve"> 14.6.2 </t>
  </si>
  <si>
    <t xml:space="preserve"> 103782 </t>
  </si>
  <si>
    <t>LUMINÁRIA TIPO PLAFON CIRCULAR, DE SOBREPOR, COM LED DE 12/13 W - FORNECIMENTO E INSTALAÇÃO. AF_09/2024</t>
  </si>
  <si>
    <t xml:space="preserve"> 00039385 </t>
  </si>
  <si>
    <t>LUMINARIA LED PLAFON REDONDO DE SOBREPOR BIVOLT 12/13 W, D = *17* CM</t>
  </si>
  <si>
    <t xml:space="preserve"> 14.6.3 </t>
  </si>
  <si>
    <t xml:space="preserve"> 97609 </t>
  </si>
  <si>
    <t>LÂMPADA COMPACTA DE LED 6 W, BASE E27 - FORNECIMENTO E INSTALAÇÃO. AF_09/2024</t>
  </si>
  <si>
    <t xml:space="preserve"> 00038193 </t>
  </si>
  <si>
    <t>LAMPADA LED 6 W BIVOLT BRANCA, FORMATO TRADICIONAL (BASE E27)</t>
  </si>
  <si>
    <t>67,00</t>
  </si>
  <si>
    <t xml:space="preserve"> 14.6.4 </t>
  </si>
  <si>
    <t>LÂMPADA TUBULAR LED DE 18/20 W, COM SOQUETE, BASE G13 - FORNECIMENTO E INSTALAÇÃO. AF_09/2024_PS</t>
  </si>
  <si>
    <t xml:space="preserve"> 00039387 </t>
  </si>
  <si>
    <t>LAMPADA LED TUBULAR BIVOLT 18/20 W, BASE G13</t>
  </si>
  <si>
    <t xml:space="preserve"> 14.6.5 </t>
  </si>
  <si>
    <t>LÂMPADA TUBULAR LED DE 9/10 W, COM SOQUETE, BASE G13 - FORNECIMENTO E INSTALAÇÃO. AF_09/2024_PS</t>
  </si>
  <si>
    <t xml:space="preserve"> 00039386 </t>
  </si>
  <si>
    <t>LAMPADA LED TUBULAR BIVOLT 9/10 W, BASE G13</t>
  </si>
  <si>
    <t xml:space="preserve"> 14.7 </t>
  </si>
  <si>
    <t xml:space="preserve"> 14.7.1 </t>
  </si>
  <si>
    <t xml:space="preserve"> 101507 </t>
  </si>
  <si>
    <t>ENTRADA DE ENERGIA ELÉTRICA, AÉREA, TRIFÁSICA, COM CAIXA DE SOBREPOR, CABO DE 25 MM2 E DISJUNTOR DIN 63A. AF_07/2020_PS (REF. SINAPI 101507)</t>
  </si>
  <si>
    <t>Instalações Elétricas - Rede de Distribuição</t>
  </si>
  <si>
    <t xml:space="preserve"> 91872 </t>
  </si>
  <si>
    <t>ELETRODUTO RÍGIDO ROSCÁVEL, PVC, DN 32 MM (1"), PARA CIRCUITOS TERMINAIS, INSTALADO EM PAREDE - FORNECIMENTO E INSTALAÇÃO. AF_03/2023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</si>
  <si>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</si>
  <si>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</si>
  <si>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</si>
  <si>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</si>
  <si>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91885 </t>
  </si>
  <si>
    <t>LUVA PARA ELETRODUTO, PVC, ROSCÁVEL, DN 32 MM (1"), PARA CIRCUITOS TERMINAIS, INSTALADA EM PAREDE - FORNECIMENTO E INSTALAÇÃO. AF_03/2023</t>
  </si>
  <si>
    <t xml:space="preserve"> 104749 </t>
  </si>
  <si>
    <t>CONECTOR GRAMPO METÁLICO TIPO OLHAL, PARA SPDA, PARA HASTE DE ATERRAMENTO DE 3/4'' E CABOS DE 10 A 50 MM2 - FORNECIMENTO E INSTALAÇÃO. AF_08/2023</t>
  </si>
  <si>
    <t>Sistema de Proteção contra Descargas Atmosféricas - SPDA</t>
  </si>
  <si>
    <t xml:space="preserve"> 96986 </t>
  </si>
  <si>
    <t>HASTE DE ATERRAMENTO, DIÂMETRO 3/4", COM 3 METROS - FORNECIMENTO E INSTALAÇÃO. AF_08/2023</t>
  </si>
  <si>
    <t xml:space="preserve"> 96977 </t>
  </si>
  <si>
    <t>CORDOALHA DE COBRE NU 50 MM², ENTERRADA - FORNECIMENTO E INSTALAÇÃO. AF_08/2023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</si>
  <si>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</si>
  <si>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</si>
  <si>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</si>
  <si>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00039809 </t>
  </si>
  <si>
    <t>CAIXA PARA MEDIDOR POLIFASICO, EM POLICARBONATO / TERMOPLASTICO, PARA ALOJAR 1 DISJUNTOR (PADRAO DA CONCESSIONARIA LOCAL)</t>
  </si>
  <si>
    <t xml:space="preserve"> 00014165 </t>
  </si>
  <si>
    <t>POSTE CONICO CONTINUO EM ACO GALVANIZADO, RETO, ENGASTADO, H = 9 M, DIAMETRO INFERIOR = *145* MM</t>
  </si>
  <si>
    <t xml:space="preserve"> 00014153 </t>
  </si>
  <si>
    <t>FITA METALICA PERFURADA, L = *18* MM, ROLO DE 30 M, CARGA RECOMENDADA = *30* KGF</t>
  </si>
  <si>
    <t xml:space="preserve"> 00039996 </t>
  </si>
  <si>
    <t>VERGALHAO ZINCADO ROSCA TOTAL, 1/4" (6,3 MM)</t>
  </si>
  <si>
    <t xml:space="preserve"> 00001094 </t>
  </si>
  <si>
    <t>ARMACAO VERTICAL COM HASTE E CONTRA-PINO, EM CHAPA DE ACO GALVANIZADO 3/16", COM 1 ESTRIBO, SEM ISOLADOR</t>
  </si>
  <si>
    <t xml:space="preserve"> 00039997 </t>
  </si>
  <si>
    <t>PORCA ZINCADA, SEXTAVADA, DIAMETRO 1/4"</t>
  </si>
  <si>
    <t xml:space="preserve"> 00011267 </t>
  </si>
  <si>
    <t>ARRUELA LISA, REDONDA, DE LATAO POLIDO, DIAMETRO NOMINAL 5/8", DIAMETRO EXTERNO = 34 MM, DIAMETRO DO FURO = 17 MM, ESPESSURA = *2,5* MM</t>
  </si>
  <si>
    <t xml:space="preserve"> 00004346 </t>
  </si>
  <si>
    <t>PARAFUSO DE FERRO POLIDO, SEXTAVADO, COM ROSCA PARCIAL, DIAMETRO 5/8", COMPRIMENTO 6", COM PORCA E ARRUELA DE PRESSAO MEDIA</t>
  </si>
  <si>
    <t xml:space="preserve"> 00034643 </t>
  </si>
  <si>
    <t>CAIXA DE INSPECAO PARA ATERRAMENTO E PARA RAIOS, EM POLIPROPILENO, DIAMETRO = 300 MM X ALTURA = 400 MM (INCLUIDA TAMPA SEM ESCOTILHA)</t>
  </si>
  <si>
    <t xml:space="preserve"> 00003398 </t>
  </si>
  <si>
    <t>ISOLADOR DE PORCELANA, TIPO ROLDANA, DIMENSOES DE *72* X *72* MM, PARA USO EM BAIXA TENSAO</t>
  </si>
  <si>
    <t xml:space="preserve"> 14.7.2 </t>
  </si>
  <si>
    <t xml:space="preserve"> 00003378 </t>
  </si>
  <si>
    <t>HASTE DE ATERRAMENTO EM ACO COM 3,00 M DE COMPRIMENTO E DN = 3/4", REVESTIDA COM BAIXA CAMADA DE COBRE, SEM CONECTOR</t>
  </si>
  <si>
    <t xml:space="preserve"> 15 </t>
  </si>
  <si>
    <t>FACHADAS</t>
  </si>
  <si>
    <t xml:space="preserve"> 15.1 </t>
  </si>
  <si>
    <t xml:space="preserve"> 100904 </t>
  </si>
  <si>
    <t xml:space="preserve"> 88240 </t>
  </si>
  <si>
    <t xml:space="preserve"> 1326 </t>
  </si>
  <si>
    <t xml:space="preserve"> A00098 </t>
  </si>
  <si>
    <t xml:space="preserve"> M3231 </t>
  </si>
  <si>
    <t>119,31</t>
  </si>
  <si>
    <t xml:space="preserve"> 15.2 </t>
  </si>
  <si>
    <t xml:space="preserve"> 100905 </t>
  </si>
  <si>
    <t>7,71</t>
  </si>
  <si>
    <t xml:space="preserve"> 16 </t>
  </si>
  <si>
    <t xml:space="preserve"> 00010826 </t>
  </si>
  <si>
    <t>MUDA DE ARBUSTO FLORIFERO, CLUSIA/GARDENIA/MOREIA BRANCA/ AZALEIA OU EQUIVALENTE DA REGIAO, H= *50 A 70* CM</t>
  </si>
  <si>
    <t>74,00</t>
  </si>
  <si>
    <t xml:space="preserve"> 16.2 </t>
  </si>
  <si>
    <t xml:space="preserve"> 220104 </t>
  </si>
  <si>
    <t>PISO EM CONCRETO DESEMPENADO ESPESSURA = 7 CM  1</t>
  </si>
  <si>
    <t xml:space="preserve"> 1967 </t>
  </si>
  <si>
    <t>RIPAO DE MADEIRA 15 CM</t>
  </si>
  <si>
    <t>20,69</t>
  </si>
  <si>
    <t xml:space="preserve"> 17 </t>
  </si>
  <si>
    <t xml:space="preserve"> 17.1 </t>
  </si>
  <si>
    <t xml:space="preserve"> 99814 </t>
  </si>
  <si>
    <t>Limpeza de Obra</t>
  </si>
  <si>
    <t xml:space="preserve"> 99833 </t>
  </si>
  <si>
    <t>2.501,44</t>
  </si>
  <si>
    <t xml:space="preserve"> 17.2 </t>
  </si>
  <si>
    <t xml:space="preserve"> 270811 </t>
  </si>
  <si>
    <t>OBELISCO PARA PLACA DE INAUGURAÇÃO - PADRÃO GOINFRA</t>
  </si>
  <si>
    <t xml:space="preserve"> 2294 </t>
  </si>
  <si>
    <t>SELADOR ACRILICO</t>
  </si>
  <si>
    <t>l</t>
  </si>
  <si>
    <t xml:space="preserve"> 1674 </t>
  </si>
  <si>
    <t>LIXA PARA PAREDE Nº 100</t>
  </si>
  <si>
    <t xml:space="preserve"> 0018 </t>
  </si>
  <si>
    <t>PINTOR</t>
  </si>
  <si>
    <t xml:space="preserve"> 2052 </t>
  </si>
  <si>
    <t>TINTA PVA LATEX</t>
  </si>
  <si>
    <t xml:space="preserve"> 2502 </t>
  </si>
  <si>
    <t>AREIA FINA</t>
  </si>
  <si>
    <t xml:space="preserve"> 1867 </t>
  </si>
  <si>
    <t>PEDRA MARROADA</t>
  </si>
  <si>
    <t xml:space="preserve"> 17.3 </t>
  </si>
  <si>
    <t xml:space="preserve"> 270809 </t>
  </si>
  <si>
    <t>PLACA DE INAUGURACAO ACO ESCOVADO 42X60 CM</t>
  </si>
  <si>
    <t xml:space="preserve"> 2412 </t>
  </si>
  <si>
    <t xml:space="preserve"> 1174 </t>
  </si>
  <si>
    <t>BUCHA DE NYLON COM PARAFUSO - S6</t>
  </si>
  <si>
    <t xml:space="preserve"> 16.1 </t>
  </si>
  <si>
    <t>Rua José de Barros Souza, 09. Setor Centro Administrativo, Aragarças-GO.</t>
  </si>
  <si>
    <t>GABINETES DOS VEREADORES DE ARAGARÇAS - GO</t>
  </si>
  <si>
    <t>SINAPI GO 9/2025</t>
  </si>
  <si>
    <t>SICRO3 GO 7/2025</t>
  </si>
  <si>
    <t>GOINFRA CIVIL (AGETOP) 8/2025</t>
  </si>
  <si>
    <t>ESTACA BROCA DE CONCRETO, DIÂMETRO DE 30CM, ESCAVAÇÃO MANUAL COM TRADO CONCHA, COM ARMADURA DE ARRANQUE. AF_05/2020</t>
  </si>
  <si>
    <t>*Composição modificada para composição que se adeque ao FCK pedido.</t>
  </si>
  <si>
    <t>**Composição será adicionada em composições a parte, dessa forma, será retirada.</t>
  </si>
  <si>
    <t xml:space="preserve">Aragarças GO, 24 de novembro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</si>
</sst>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(&quot;R$&quot;* #,##0.00_);_(&quot;R$&quot;* \(#,##0.00\);_(&quot;R$&quot;* &quot;-&quot;??_);_(@_)"/>
    <numFmt numFmtId="167" formatCode="0.0000000"/>
    <numFmt numFmtId="168" formatCode="#,##0.0000"/>
    <numFmt numFmtId="169" formatCode="_(* #,##0.00_);_(* \(#,##0.00\);_(* &quot;-&quot;??_);_(@_)"/>
    <numFmt numFmtId="170" formatCode="&quot;R$&quot;\ #,##0.00"/>
    <numFmt numFmtId="171" formatCode="0.0000"/>
    <numFmt numFmtId="172" formatCode="0.0000000%"/>
    <numFmt numFmtId="173" formatCode="0.0000%"/>
    <numFmt numFmtId="174" formatCode="_-&quot;R$&quot;\ * #,##0.0000_-;\-&quot;R$&quot;\ * #,##0.0000_-;_-&quot;R$&quot;\ * &quot;-&quot;????_-;_-@_-"/>
    <numFmt numFmtId="175" formatCode="0.000"/>
    <numFmt numFmtId="176" formatCode="#,##0.0000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1"/>
      <name val="Verdana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indexed="8"/>
      <name val="Arial"/>
      <family val="2"/>
    </font>
    <font>
      <sz val="8"/>
      <name val="Aptos Narrow"/>
      <family val="2"/>
      <scheme val="minor"/>
    </font>
    <font>
      <sz val="10"/>
      <name val="MS Sans Serif"/>
    </font>
    <font>
      <b/>
      <sz val="11"/>
      <name val="Arial"/>
      <family val="1"/>
    </font>
    <font>
      <sz val="11"/>
      <color rgb="FF000000"/>
      <name val="Arial"/>
      <family val="1"/>
    </font>
    <font>
      <sz val="11"/>
      <name val="Arial"/>
      <family val="1"/>
    </font>
    <font>
      <b/>
      <sz val="11"/>
      <color rgb="FF000000"/>
      <name val="Arial"/>
      <family val="1"/>
    </font>
    <font>
      <sz val="12"/>
      <color rgb="FF000000"/>
      <name val="Calibri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8ECF6"/>
        <bgColor rgb="FFD8ECF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0" fontId="7" fillId="0" borderId="0"/>
    <xf numFmtId="0" fontId="1" fillId="0" borderId="0"/>
    <xf numFmtId="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14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92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5" fontId="2" fillId="0" borderId="0" xfId="1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3" fillId="0" borderId="18" xfId="3" applyFont="1" applyBorder="1" applyAlignment="1">
      <alignment horizontal="center" vertical="center"/>
    </xf>
    <xf numFmtId="165" fontId="6" fillId="0" borderId="0" xfId="4" applyFont="1" applyFill="1" applyBorder="1" applyAlignment="1">
      <alignment horizontal="center" vertical="center"/>
    </xf>
    <xf numFmtId="43" fontId="2" fillId="0" borderId="1" xfId="7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10" fontId="2" fillId="0" borderId="0" xfId="9" applyNumberFormat="1" applyFont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5" xfId="3" applyFont="1" applyBorder="1" applyAlignment="1">
      <alignment horizontal="center" vertical="center"/>
    </xf>
    <xf numFmtId="0" fontId="2" fillId="0" borderId="27" xfId="3" applyFont="1" applyBorder="1" applyAlignment="1">
      <alignment horizontal="center" vertical="center"/>
    </xf>
    <xf numFmtId="0" fontId="2" fillId="0" borderId="29" xfId="3" applyFont="1" applyBorder="1" applyAlignment="1">
      <alignment horizontal="center" vertical="center"/>
    </xf>
    <xf numFmtId="0" fontId="3" fillId="0" borderId="32" xfId="3" applyFont="1" applyBorder="1" applyAlignment="1">
      <alignment horizontal="center" vertical="center"/>
    </xf>
    <xf numFmtId="0" fontId="2" fillId="0" borderId="0" xfId="0" applyFont="1"/>
    <xf numFmtId="0" fontId="10" fillId="0" borderId="0" xfId="12" applyFont="1" applyAlignment="1">
      <alignment horizontal="center" vertical="center"/>
    </xf>
    <xf numFmtId="0" fontId="11" fillId="6" borderId="6" xfId="12" applyFont="1" applyFill="1" applyBorder="1" applyAlignment="1">
      <alignment horizontal="center" vertical="center"/>
    </xf>
    <xf numFmtId="0" fontId="11" fillId="6" borderId="6" xfId="12" applyFont="1" applyFill="1" applyBorder="1" applyAlignment="1">
      <alignment horizontal="center" vertical="center" wrapText="1"/>
    </xf>
    <xf numFmtId="4" fontId="11" fillId="6" borderId="6" xfId="12" applyNumberFormat="1" applyFont="1" applyFill="1" applyBorder="1" applyAlignment="1">
      <alignment horizontal="center" vertical="center"/>
    </xf>
    <xf numFmtId="165" fontId="11" fillId="6" borderId="7" xfId="4" applyFont="1" applyFill="1" applyBorder="1" applyAlignment="1">
      <alignment horizontal="center" vertical="center"/>
    </xf>
    <xf numFmtId="165" fontId="10" fillId="0" borderId="0" xfId="19" applyFont="1" applyBorder="1" applyAlignment="1">
      <alignment horizontal="center" vertical="center" wrapText="1"/>
    </xf>
    <xf numFmtId="165" fontId="2" fillId="0" borderId="0" xfId="1" applyFont="1"/>
    <xf numFmtId="0" fontId="2" fillId="0" borderId="0" xfId="0" applyFont="1" applyAlignment="1">
      <alignment horizontal="center" vertical="center" wrapText="1"/>
    </xf>
    <xf numFmtId="10" fontId="10" fillId="0" borderId="0" xfId="9" applyNumberFormat="1" applyFont="1" applyAlignment="1">
      <alignment horizontal="center" vertical="center"/>
    </xf>
    <xf numFmtId="2" fontId="2" fillId="0" borderId="0" xfId="0" applyNumberFormat="1" applyFont="1" applyAlignment="1">
      <alignment horizontal="left" vertical="center"/>
    </xf>
    <xf numFmtId="165" fontId="6" fillId="0" borderId="0" xfId="10" applyNumberFormat="1" applyFont="1" applyAlignment="1">
      <alignment horizontal="center" vertical="center" wrapText="1"/>
    </xf>
    <xf numFmtId="0" fontId="6" fillId="8" borderId="12" xfId="10" applyFont="1" applyFill="1" applyBorder="1" applyAlignment="1">
      <alignment horizontal="center" vertical="center" wrapText="1"/>
    </xf>
    <xf numFmtId="0" fontId="6" fillId="8" borderId="12" xfId="1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Font="1" applyBorder="1" applyAlignment="1">
      <alignment horizontal="center" vertical="center" wrapText="1"/>
    </xf>
    <xf numFmtId="10" fontId="2" fillId="0" borderId="0" xfId="2" applyNumberFormat="1" applyFont="1"/>
    <xf numFmtId="170" fontId="6" fillId="9" borderId="36" xfId="27" applyNumberFormat="1" applyFont="1" applyFill="1" applyBorder="1" applyAlignment="1">
      <alignment horizontal="center" vertical="center"/>
    </xf>
    <xf numFmtId="170" fontId="2" fillId="0" borderId="0" xfId="0" applyNumberFormat="1" applyFont="1"/>
    <xf numFmtId="0" fontId="3" fillId="10" borderId="1" xfId="0" applyFont="1" applyFill="1" applyBorder="1" applyAlignment="1">
      <alignment horizontal="center" vertical="center"/>
    </xf>
    <xf numFmtId="9" fontId="3" fillId="10" borderId="1" xfId="2" applyFont="1" applyFill="1" applyBorder="1" applyAlignment="1">
      <alignment horizontal="center" vertical="center"/>
    </xf>
    <xf numFmtId="165" fontId="3" fillId="10" borderId="1" xfId="1" applyFont="1" applyFill="1" applyBorder="1" applyAlignment="1">
      <alignment horizontal="center" vertical="center"/>
    </xf>
    <xf numFmtId="2" fontId="3" fillId="11" borderId="1" xfId="0" applyNumberFormat="1" applyFont="1" applyFill="1" applyBorder="1" applyAlignment="1">
      <alignment horizontal="centerContinuous" vertical="center"/>
    </xf>
    <xf numFmtId="2" fontId="2" fillId="11" borderId="1" xfId="0" applyNumberFormat="1" applyFont="1" applyFill="1" applyBorder="1" applyAlignment="1">
      <alignment horizontal="centerContinuous" vertical="center"/>
    </xf>
    <xf numFmtId="0" fontId="2" fillId="11" borderId="1" xfId="0" applyFont="1" applyFill="1" applyBorder="1" applyAlignment="1">
      <alignment horizontal="centerContinuous" vertical="center"/>
    </xf>
    <xf numFmtId="2" fontId="3" fillId="12" borderId="1" xfId="0" applyNumberFormat="1" applyFont="1" applyFill="1" applyBorder="1" applyAlignment="1">
      <alignment horizontal="center" vertical="center"/>
    </xf>
    <xf numFmtId="2" fontId="2" fillId="13" borderId="1" xfId="0" applyNumberFormat="1" applyFont="1" applyFill="1" applyBorder="1" applyAlignment="1">
      <alignment horizontal="centerContinuous" vertical="center" wrapText="1"/>
    </xf>
    <xf numFmtId="0" fontId="2" fillId="13" borderId="1" xfId="0" applyFont="1" applyFill="1" applyBorder="1" applyAlignment="1">
      <alignment horizontal="centerContinuous" vertical="center" wrapText="1"/>
    </xf>
    <xf numFmtId="171" fontId="2" fillId="0" borderId="0" xfId="0" applyNumberFormat="1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165" fontId="2" fillId="0" borderId="0" xfId="26" applyNumberFormat="1" applyFont="1" applyAlignment="1">
      <alignment horizontal="center" vertical="center" wrapText="1"/>
    </xf>
    <xf numFmtId="165" fontId="2" fillId="0" borderId="0" xfId="26" applyNumberFormat="1" applyFont="1" applyAlignment="1">
      <alignment vertical="center"/>
    </xf>
    <xf numFmtId="0" fontId="3" fillId="8" borderId="12" xfId="0" applyFont="1" applyFill="1" applyBorder="1" applyAlignment="1">
      <alignment horizontal="center" vertical="center" wrapText="1"/>
    </xf>
    <xf numFmtId="2" fontId="3" fillId="8" borderId="12" xfId="0" applyNumberFormat="1" applyFont="1" applyFill="1" applyBorder="1" applyAlignment="1">
      <alignment horizontal="center" vertical="center" wrapText="1"/>
    </xf>
    <xf numFmtId="165" fontId="3" fillId="8" borderId="12" xfId="4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11" fillId="6" borderId="5" xfId="12" applyFont="1" applyFill="1" applyBorder="1" applyAlignment="1">
      <alignment horizontal="center" vertical="center"/>
    </xf>
    <xf numFmtId="0" fontId="3" fillId="0" borderId="1" xfId="26" applyFont="1" applyBorder="1" applyAlignment="1">
      <alignment horizontal="center" vertical="center" wrapText="1"/>
    </xf>
    <xf numFmtId="169" fontId="2" fillId="0" borderId="8" xfId="26" applyNumberFormat="1" applyFont="1" applyBorder="1" applyAlignment="1">
      <alignment horizontal="center" vertical="center"/>
    </xf>
    <xf numFmtId="10" fontId="2" fillId="0" borderId="12" xfId="26" applyNumberFormat="1" applyFont="1" applyBorder="1" applyAlignment="1">
      <alignment horizontal="center" vertical="center"/>
    </xf>
    <xf numFmtId="10" fontId="4" fillId="0" borderId="26" xfId="31" applyNumberFormat="1" applyFont="1" applyBorder="1" applyAlignment="1">
      <alignment horizontal="center" vertical="center"/>
    </xf>
    <xf numFmtId="165" fontId="2" fillId="0" borderId="28" xfId="1" applyFont="1" applyFill="1" applyBorder="1" applyAlignment="1">
      <alignment horizontal="center" vertical="center"/>
    </xf>
    <xf numFmtId="10" fontId="4" fillId="0" borderId="26" xfId="31" applyNumberFormat="1" applyFont="1" applyFill="1" applyBorder="1" applyAlignment="1">
      <alignment horizontal="center" vertical="center"/>
    </xf>
    <xf numFmtId="10" fontId="2" fillId="0" borderId="0" xfId="0" applyNumberFormat="1" applyFont="1"/>
    <xf numFmtId="165" fontId="2" fillId="16" borderId="1" xfId="1" applyFont="1" applyFill="1" applyBorder="1" applyAlignment="1">
      <alignment horizontal="center" vertical="center"/>
    </xf>
    <xf numFmtId="10" fontId="2" fillId="16" borderId="1" xfId="2" applyNumberFormat="1" applyFont="1" applyFill="1" applyBorder="1" applyAlignment="1">
      <alignment horizontal="center" vertical="center"/>
    </xf>
    <xf numFmtId="165" fontId="2" fillId="0" borderId="0" xfId="0" applyNumberFormat="1" applyFont="1"/>
    <xf numFmtId="171" fontId="2" fillId="0" borderId="0" xfId="0" applyNumberFormat="1" applyFont="1"/>
    <xf numFmtId="173" fontId="2" fillId="0" borderId="0" xfId="0" applyNumberFormat="1" applyFont="1"/>
    <xf numFmtId="166" fontId="10" fillId="17" borderId="0" xfId="16" applyFont="1" applyFill="1" applyBorder="1" applyAlignment="1">
      <alignment horizontal="center" vertical="center" wrapText="1"/>
    </xf>
    <xf numFmtId="166" fontId="10" fillId="17" borderId="0" xfId="16" applyFont="1" applyFill="1" applyBorder="1" applyAlignment="1">
      <alignment horizontal="center" vertical="center"/>
    </xf>
    <xf numFmtId="165" fontId="3" fillId="16" borderId="1" xfId="1" applyFont="1" applyFill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10" fillId="0" borderId="1" xfId="12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12" applyFont="1" applyBorder="1" applyAlignment="1">
      <alignment horizontal="center" vertical="center" wrapText="1"/>
    </xf>
    <xf numFmtId="165" fontId="6" fillId="9" borderId="36" xfId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4" fillId="0" borderId="0" xfId="23" applyNumberFormat="1" applyFont="1" applyAlignment="1" applyProtection="1">
      <alignment horizontal="left" vertical="top"/>
      <protection hidden="1"/>
    </xf>
    <xf numFmtId="0" fontId="2" fillId="0" borderId="10" xfId="0" applyFont="1" applyBorder="1"/>
    <xf numFmtId="0" fontId="3" fillId="8" borderId="42" xfId="0" applyFont="1" applyFill="1" applyBorder="1" applyAlignment="1">
      <alignment horizontal="center" vertical="center" wrapText="1"/>
    </xf>
    <xf numFmtId="0" fontId="3" fillId="8" borderId="43" xfId="0" applyFont="1" applyFill="1" applyBorder="1" applyAlignment="1">
      <alignment horizontal="center" vertical="center" wrapText="1"/>
    </xf>
    <xf numFmtId="0" fontId="3" fillId="10" borderId="44" xfId="0" applyFont="1" applyFill="1" applyBorder="1" applyAlignment="1">
      <alignment horizontal="center" vertical="center"/>
    </xf>
    <xf numFmtId="165" fontId="3" fillId="10" borderId="45" xfId="1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65" fontId="2" fillId="0" borderId="45" xfId="1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165" fontId="2" fillId="0" borderId="0" xfId="1" applyFont="1" applyBorder="1" applyAlignment="1">
      <alignment horizontal="center" vertical="center"/>
    </xf>
    <xf numFmtId="165" fontId="2" fillId="0" borderId="10" xfId="1" applyFont="1" applyBorder="1" applyAlignment="1">
      <alignment horizontal="center" vertical="center"/>
    </xf>
    <xf numFmtId="165" fontId="2" fillId="0" borderId="0" xfId="1" applyFont="1" applyBorder="1" applyAlignment="1">
      <alignment horizontal="center" vertical="center" wrapText="1"/>
    </xf>
    <xf numFmtId="0" fontId="3" fillId="11" borderId="44" xfId="0" applyFont="1" applyFill="1" applyBorder="1" applyAlignment="1">
      <alignment horizontal="center" vertical="center"/>
    </xf>
    <xf numFmtId="0" fontId="2" fillId="11" borderId="45" xfId="0" applyFont="1" applyFill="1" applyBorder="1" applyAlignment="1">
      <alignment horizontal="centerContinuous" vertical="center"/>
    </xf>
    <xf numFmtId="0" fontId="2" fillId="13" borderId="44" xfId="0" applyFont="1" applyFill="1" applyBorder="1" applyAlignment="1">
      <alignment horizontal="center" vertical="center"/>
    </xf>
    <xf numFmtId="0" fontId="2" fillId="13" borderId="45" xfId="0" applyFont="1" applyFill="1" applyBorder="1" applyAlignment="1">
      <alignment horizontal="centerContinuous" vertical="center" wrapText="1"/>
    </xf>
    <xf numFmtId="2" fontId="2" fillId="0" borderId="14" xfId="0" applyNumberFormat="1" applyFont="1" applyBorder="1" applyAlignment="1">
      <alignment horizontal="center" vertical="center"/>
    </xf>
    <xf numFmtId="0" fontId="11" fillId="0" borderId="9" xfId="12" applyFont="1" applyBorder="1" applyAlignment="1">
      <alignment horizontal="right" vertical="center"/>
    </xf>
    <xf numFmtId="0" fontId="10" fillId="0" borderId="9" xfId="12" applyFont="1" applyBorder="1" applyAlignment="1">
      <alignment horizontal="center" vertical="center"/>
    </xf>
    <xf numFmtId="165" fontId="10" fillId="0" borderId="10" xfId="19" applyFont="1" applyBorder="1" applyAlignment="1">
      <alignment horizontal="center" vertical="center"/>
    </xf>
    <xf numFmtId="0" fontId="10" fillId="0" borderId="14" xfId="12" applyFont="1" applyBorder="1" applyAlignment="1">
      <alignment horizontal="center" vertical="center"/>
    </xf>
    <xf numFmtId="0" fontId="10" fillId="0" borderId="14" xfId="12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8" borderId="46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11" fillId="0" borderId="13" xfId="12" applyFont="1" applyBorder="1" applyAlignment="1">
      <alignment horizontal="center" vertical="center"/>
    </xf>
    <xf numFmtId="171" fontId="10" fillId="0" borderId="1" xfId="12" applyNumberFormat="1" applyFont="1" applyBorder="1" applyAlignment="1">
      <alignment horizontal="center" vertical="center"/>
    </xf>
    <xf numFmtId="171" fontId="10" fillId="0" borderId="14" xfId="12" applyNumberFormat="1" applyFont="1" applyBorder="1" applyAlignment="1">
      <alignment horizontal="center" vertical="center"/>
    </xf>
    <xf numFmtId="167" fontId="10" fillId="0" borderId="14" xfId="12" applyNumberFormat="1" applyFont="1" applyBorder="1" applyAlignment="1">
      <alignment horizontal="center" vertical="center"/>
    </xf>
    <xf numFmtId="14" fontId="4" fillId="0" borderId="0" xfId="23" applyNumberFormat="1" applyFont="1" applyAlignment="1" applyProtection="1">
      <alignment horizontal="center" vertical="center"/>
      <protection hidden="1"/>
    </xf>
    <xf numFmtId="171" fontId="6" fillId="0" borderId="0" xfId="10" applyNumberFormat="1" applyFont="1" applyAlignment="1">
      <alignment horizontal="center" vertical="center" wrapText="1"/>
    </xf>
    <xf numFmtId="2" fontId="2" fillId="0" borderId="0" xfId="0" quotePrefix="1" applyNumberFormat="1" applyFont="1" applyAlignment="1">
      <alignment horizontal="left" vertical="center"/>
    </xf>
    <xf numFmtId="14" fontId="10" fillId="0" borderId="14" xfId="12" applyNumberFormat="1" applyFont="1" applyBorder="1" applyAlignment="1">
      <alignment horizontal="left" vertical="center" wrapText="1"/>
    </xf>
    <xf numFmtId="14" fontId="10" fillId="0" borderId="14" xfId="12" applyNumberFormat="1" applyFont="1" applyBorder="1" applyAlignment="1">
      <alignment horizontal="left" vertical="center"/>
    </xf>
    <xf numFmtId="10" fontId="10" fillId="0" borderId="14" xfId="2" applyNumberFormat="1" applyFont="1" applyBorder="1" applyAlignment="1">
      <alignment horizontal="centerContinuous" vertical="center"/>
    </xf>
    <xf numFmtId="10" fontId="10" fillId="0" borderId="15" xfId="2" applyNumberFormat="1" applyFont="1" applyBorder="1" applyAlignment="1">
      <alignment horizontal="centerContinuous" vertical="center"/>
    </xf>
    <xf numFmtId="2" fontId="6" fillId="0" borderId="9" xfId="5" applyNumberFormat="1" applyFont="1" applyFill="1" applyBorder="1" applyAlignment="1">
      <alignment horizontal="left" vertical="center"/>
    </xf>
    <xf numFmtId="0" fontId="8" fillId="0" borderId="9" xfId="3" applyFont="1" applyBorder="1" applyAlignment="1">
      <alignment vertical="center"/>
    </xf>
    <xf numFmtId="0" fontId="3" fillId="0" borderId="13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/>
    </xf>
    <xf numFmtId="43" fontId="2" fillId="0" borderId="14" xfId="7" applyFont="1" applyBorder="1" applyAlignment="1">
      <alignment horizontal="center" vertical="center"/>
    </xf>
    <xf numFmtId="43" fontId="2" fillId="0" borderId="14" xfId="7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10" fontId="2" fillId="0" borderId="10" xfId="2" applyNumberFormat="1" applyFont="1" applyBorder="1" applyAlignment="1">
      <alignment horizontal="left" vertical="center"/>
    </xf>
    <xf numFmtId="169" fontId="2" fillId="0" borderId="57" xfId="26" applyNumberFormat="1" applyFont="1" applyBorder="1" applyAlignment="1">
      <alignment horizontal="center" vertical="center"/>
    </xf>
    <xf numFmtId="10" fontId="4" fillId="0" borderId="58" xfId="31" applyNumberFormat="1" applyFont="1" applyBorder="1" applyAlignment="1">
      <alignment horizontal="center" vertical="center"/>
    </xf>
    <xf numFmtId="10" fontId="4" fillId="0" borderId="58" xfId="31" applyNumberFormat="1" applyFont="1" applyFill="1" applyBorder="1" applyAlignment="1">
      <alignment horizontal="center" vertical="center"/>
    </xf>
    <xf numFmtId="169" fontId="2" fillId="16" borderId="61" xfId="26" applyNumberFormat="1" applyFont="1" applyFill="1" applyBorder="1" applyAlignment="1">
      <alignment horizontal="center" vertical="center"/>
    </xf>
    <xf numFmtId="10" fontId="2" fillId="16" borderId="61" xfId="2" applyNumberFormat="1" applyFont="1" applyFill="1" applyBorder="1" applyAlignment="1">
      <alignment horizontal="center" vertical="center"/>
    </xf>
    <xf numFmtId="10" fontId="2" fillId="0" borderId="10" xfId="26" applyNumberFormat="1" applyFont="1" applyBorder="1" applyAlignment="1">
      <alignment horizontal="center" vertical="center"/>
    </xf>
    <xf numFmtId="43" fontId="2" fillId="0" borderId="15" xfId="7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5" fontId="2" fillId="0" borderId="1" xfId="0" applyNumberFormat="1" applyFont="1" applyBorder="1" applyAlignment="1">
      <alignment horizontal="center" vertical="center"/>
    </xf>
    <xf numFmtId="0" fontId="3" fillId="17" borderId="44" xfId="0" applyFont="1" applyFill="1" applyBorder="1" applyAlignment="1">
      <alignment horizontal="center" vertical="center"/>
    </xf>
    <xf numFmtId="2" fontId="3" fillId="17" borderId="1" xfId="0" applyNumberFormat="1" applyFont="1" applyFill="1" applyBorder="1" applyAlignment="1">
      <alignment horizontal="centerContinuous" vertical="center"/>
    </xf>
    <xf numFmtId="2" fontId="2" fillId="17" borderId="1" xfId="0" applyNumberFormat="1" applyFont="1" applyFill="1" applyBorder="1" applyAlignment="1">
      <alignment horizontal="centerContinuous" vertical="center"/>
    </xf>
    <xf numFmtId="0" fontId="2" fillId="17" borderId="1" xfId="0" applyFont="1" applyFill="1" applyBorder="1" applyAlignment="1">
      <alignment horizontal="centerContinuous" vertical="center"/>
    </xf>
    <xf numFmtId="0" fontId="2" fillId="17" borderId="45" xfId="0" applyFont="1" applyFill="1" applyBorder="1" applyAlignment="1">
      <alignment horizontal="centerContinuous" vertical="center"/>
    </xf>
    <xf numFmtId="2" fontId="3" fillId="0" borderId="0" xfId="0" applyNumberFormat="1" applyFont="1" applyAlignment="1">
      <alignment horizontal="center" vertical="center"/>
    </xf>
    <xf numFmtId="175" fontId="2" fillId="0" borderId="0" xfId="0" applyNumberFormat="1" applyFont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0" fontId="6" fillId="0" borderId="0" xfId="10" applyFont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  <xf numFmtId="0" fontId="3" fillId="18" borderId="44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9" fontId="3" fillId="18" borderId="1" xfId="2" applyFont="1" applyFill="1" applyBorder="1" applyAlignment="1">
      <alignment horizontal="center" vertical="center"/>
    </xf>
    <xf numFmtId="165" fontId="3" fillId="18" borderId="1" xfId="1" applyFont="1" applyFill="1" applyBorder="1" applyAlignment="1">
      <alignment horizontal="center" vertical="center"/>
    </xf>
    <xf numFmtId="165" fontId="3" fillId="18" borderId="16" xfId="1" applyFont="1" applyFill="1" applyBorder="1" applyAlignment="1">
      <alignment horizontal="center" vertical="center"/>
    </xf>
    <xf numFmtId="2" fontId="10" fillId="0" borderId="1" xfId="12" applyNumberFormat="1" applyFont="1" applyBorder="1" applyAlignment="1">
      <alignment horizontal="center" vertical="center"/>
    </xf>
    <xf numFmtId="0" fontId="10" fillId="0" borderId="1" xfId="12" quotePrefix="1" applyFont="1" applyBorder="1" applyAlignment="1">
      <alignment horizontal="center" vertical="center"/>
    </xf>
    <xf numFmtId="166" fontId="10" fillId="0" borderId="0" xfId="16" applyFont="1" applyFill="1" applyBorder="1" applyAlignment="1">
      <alignment horizontal="center" vertical="center" wrapText="1"/>
    </xf>
    <xf numFmtId="166" fontId="10" fillId="0" borderId="0" xfId="16" applyFont="1" applyFill="1" applyBorder="1" applyAlignment="1">
      <alignment horizontal="center" vertical="center"/>
    </xf>
    <xf numFmtId="166" fontId="10" fillId="19" borderId="0" xfId="16" applyFont="1" applyFill="1" applyBorder="1" applyAlignment="1">
      <alignment horizontal="center" vertical="center" wrapText="1"/>
    </xf>
    <xf numFmtId="166" fontId="10" fillId="19" borderId="0" xfId="16" applyFont="1" applyFill="1" applyBorder="1" applyAlignment="1">
      <alignment horizontal="center" vertical="center"/>
    </xf>
    <xf numFmtId="0" fontId="3" fillId="0" borderId="16" xfId="26" applyFont="1" applyBorder="1" applyAlignment="1">
      <alignment horizontal="center" vertical="center" wrapText="1"/>
    </xf>
    <xf numFmtId="169" fontId="2" fillId="0" borderId="40" xfId="26" applyNumberFormat="1" applyFont="1" applyBorder="1" applyAlignment="1">
      <alignment horizontal="center" vertical="center"/>
    </xf>
    <xf numFmtId="10" fontId="4" fillId="0" borderId="68" xfId="31" applyNumberFormat="1" applyFont="1" applyBorder="1" applyAlignment="1">
      <alignment horizontal="center" vertical="center"/>
    </xf>
    <xf numFmtId="10" fontId="4" fillId="0" borderId="68" xfId="31" applyNumberFormat="1" applyFont="1" applyFill="1" applyBorder="1" applyAlignment="1">
      <alignment horizontal="center" vertical="center"/>
    </xf>
    <xf numFmtId="165" fontId="2" fillId="16" borderId="16" xfId="1" applyFont="1" applyFill="1" applyBorder="1" applyAlignment="1">
      <alignment horizontal="center" vertical="center"/>
    </xf>
    <xf numFmtId="10" fontId="2" fillId="16" borderId="69" xfId="2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15" fillId="20" borderId="1" xfId="0" applyFont="1" applyFill="1" applyBorder="1" applyAlignment="1">
      <alignment horizontal="center" vertical="center" wrapText="1"/>
    </xf>
    <xf numFmtId="0" fontId="16" fillId="21" borderId="1" xfId="0" applyFont="1" applyFill="1" applyBorder="1" applyAlignment="1">
      <alignment horizontal="center" vertical="center" wrapText="1"/>
    </xf>
    <xf numFmtId="176" fontId="16" fillId="21" borderId="1" xfId="0" applyNumberFormat="1" applyFont="1" applyFill="1" applyBorder="1" applyAlignment="1">
      <alignment horizontal="center" vertical="center" wrapText="1"/>
    </xf>
    <xf numFmtId="0" fontId="17" fillId="22" borderId="1" xfId="0" applyFont="1" applyFill="1" applyBorder="1" applyAlignment="1">
      <alignment horizontal="center" vertical="center" wrapText="1"/>
    </xf>
    <xf numFmtId="176" fontId="17" fillId="22" borderId="1" xfId="0" applyNumberFormat="1" applyFont="1" applyFill="1" applyBorder="1" applyAlignment="1">
      <alignment horizontal="center" vertical="center" wrapText="1"/>
    </xf>
    <xf numFmtId="0" fontId="17" fillId="20" borderId="1" xfId="0" applyFont="1" applyFill="1" applyBorder="1" applyAlignment="1">
      <alignment horizontal="center" vertical="center" wrapText="1"/>
    </xf>
    <xf numFmtId="4" fontId="17" fillId="20" borderId="1" xfId="0" applyNumberFormat="1" applyFont="1" applyFill="1" applyBorder="1" applyAlignment="1">
      <alignment horizontal="center" vertical="center" wrapText="1"/>
    </xf>
    <xf numFmtId="176" fontId="15" fillId="20" borderId="1" xfId="0" applyNumberFormat="1" applyFont="1" applyFill="1" applyBorder="1" applyAlignment="1">
      <alignment horizontal="center" vertical="center" wrapText="1"/>
    </xf>
    <xf numFmtId="0" fontId="18" fillId="23" borderId="1" xfId="0" applyFont="1" applyFill="1" applyBorder="1" applyAlignment="1">
      <alignment horizontal="center" vertical="center" wrapText="1"/>
    </xf>
    <xf numFmtId="0" fontId="17" fillId="24" borderId="1" xfId="0" applyFont="1" applyFill="1" applyBorder="1" applyAlignment="1">
      <alignment horizontal="center" vertical="center" wrapText="1"/>
    </xf>
    <xf numFmtId="176" fontId="17" fillId="24" borderId="1" xfId="0" applyNumberFormat="1" applyFont="1" applyFill="1" applyBorder="1" applyAlignment="1">
      <alignment horizontal="center" vertical="center" wrapText="1"/>
    </xf>
    <xf numFmtId="0" fontId="16" fillId="25" borderId="1" xfId="0" applyFont="1" applyFill="1" applyBorder="1" applyAlignment="1">
      <alignment horizontal="center" vertical="center" wrapText="1"/>
    </xf>
    <xf numFmtId="176" fontId="16" fillId="25" borderId="1" xfId="0" applyNumberFormat="1" applyFont="1" applyFill="1" applyBorder="1" applyAlignment="1">
      <alignment horizontal="center" vertical="center" wrapText="1"/>
    </xf>
    <xf numFmtId="167" fontId="10" fillId="0" borderId="0" xfId="12" applyNumberFormat="1" applyFont="1" applyAlignment="1">
      <alignment horizontal="center" vertical="center"/>
    </xf>
    <xf numFmtId="0" fontId="10" fillId="0" borderId="0" xfId="17" applyFont="1" applyAlignment="1">
      <alignment horizontal="center" vertical="center" wrapText="1"/>
    </xf>
    <xf numFmtId="0" fontId="10" fillId="0" borderId="0" xfId="17" applyFont="1" applyAlignment="1">
      <alignment horizontal="center" vertical="center"/>
    </xf>
    <xf numFmtId="0" fontId="10" fillId="0" borderId="0" xfId="18" applyFont="1" applyAlignment="1">
      <alignment horizontal="center" vertical="center" wrapText="1"/>
    </xf>
    <xf numFmtId="4" fontId="10" fillId="0" borderId="0" xfId="17" applyNumberFormat="1" applyFont="1" applyAlignment="1">
      <alignment horizontal="center" vertical="center"/>
    </xf>
    <xf numFmtId="168" fontId="10" fillId="0" borderId="0" xfId="17" applyNumberFormat="1" applyFont="1" applyAlignment="1">
      <alignment horizontal="center" vertical="center" wrapText="1"/>
    </xf>
    <xf numFmtId="0" fontId="11" fillId="6" borderId="0" xfId="21" applyFont="1" applyFill="1" applyAlignment="1">
      <alignment horizontal="centerContinuous" vertical="center" wrapText="1"/>
    </xf>
    <xf numFmtId="0" fontId="10" fillId="6" borderId="0" xfId="21" applyFont="1" applyFill="1" applyAlignment="1">
      <alignment horizontal="centerContinuous" vertical="center" wrapText="1"/>
    </xf>
    <xf numFmtId="0" fontId="10" fillId="6" borderId="0" xfId="21" applyFont="1" applyFill="1" applyAlignment="1">
      <alignment horizontal="center" vertical="center" wrapText="1"/>
    </xf>
    <xf numFmtId="0" fontId="10" fillId="6" borderId="0" xfId="21" applyFont="1" applyFill="1" applyAlignment="1">
      <alignment horizontal="center" vertical="center"/>
    </xf>
    <xf numFmtId="167" fontId="10" fillId="6" borderId="0" xfId="21" applyNumberFormat="1" applyFont="1" applyFill="1" applyAlignment="1">
      <alignment horizontal="center" vertical="center"/>
    </xf>
    <xf numFmtId="0" fontId="10" fillId="17" borderId="0" xfId="21" applyFont="1" applyFill="1" applyAlignment="1">
      <alignment horizontal="center" vertical="center" wrapText="1"/>
    </xf>
    <xf numFmtId="0" fontId="10" fillId="17" borderId="0" xfId="21" applyFont="1" applyFill="1" applyAlignment="1">
      <alignment horizontal="center" vertical="center"/>
    </xf>
    <xf numFmtId="4" fontId="10" fillId="17" borderId="0" xfId="21" applyNumberFormat="1" applyFont="1" applyFill="1" applyAlignment="1">
      <alignment horizontal="center" vertical="center"/>
    </xf>
    <xf numFmtId="171" fontId="10" fillId="17" borderId="0" xfId="21" applyNumberFormat="1" applyFont="1" applyFill="1" applyAlignment="1">
      <alignment horizontal="center" vertical="center" wrapText="1"/>
    </xf>
    <xf numFmtId="0" fontId="10" fillId="19" borderId="0" xfId="21" applyFont="1" applyFill="1" applyAlignment="1">
      <alignment horizontal="center" vertical="center" wrapText="1"/>
    </xf>
    <xf numFmtId="0" fontId="10" fillId="19" borderId="0" xfId="21" applyFont="1" applyFill="1" applyAlignment="1">
      <alignment horizontal="center" vertical="center"/>
    </xf>
    <xf numFmtId="4" fontId="10" fillId="19" borderId="0" xfId="21" applyNumberFormat="1" applyFont="1" applyFill="1" applyAlignment="1">
      <alignment horizontal="center" vertical="center"/>
    </xf>
    <xf numFmtId="171" fontId="10" fillId="19" borderId="0" xfId="21" applyNumberFormat="1" applyFont="1" applyFill="1" applyAlignment="1">
      <alignment horizontal="center" vertical="center" wrapText="1"/>
    </xf>
    <xf numFmtId="0" fontId="10" fillId="0" borderId="0" xfId="21" applyFont="1" applyAlignment="1">
      <alignment horizontal="center" vertical="center" wrapText="1"/>
    </xf>
    <xf numFmtId="0" fontId="10" fillId="0" borderId="0" xfId="21" applyFont="1" applyAlignment="1">
      <alignment horizontal="center" vertical="center"/>
    </xf>
    <xf numFmtId="4" fontId="10" fillId="0" borderId="0" xfId="21" applyNumberFormat="1" applyFont="1" applyAlignment="1">
      <alignment horizontal="center" vertical="center"/>
    </xf>
    <xf numFmtId="171" fontId="10" fillId="0" borderId="0" xfId="21" applyNumberFormat="1" applyFont="1" applyAlignment="1">
      <alignment horizontal="center" vertical="center" wrapText="1"/>
    </xf>
    <xf numFmtId="0" fontId="11" fillId="0" borderId="0" xfId="21" applyFont="1" applyAlignment="1">
      <alignment horizontal="center" vertical="center" wrapText="1"/>
    </xf>
    <xf numFmtId="4" fontId="11" fillId="0" borderId="0" xfId="21" applyNumberFormat="1" applyFont="1" applyAlignment="1">
      <alignment horizontal="center" vertical="center"/>
    </xf>
    <xf numFmtId="167" fontId="11" fillId="0" borderId="0" xfId="21" applyNumberFormat="1" applyFont="1" applyAlignment="1">
      <alignment horizontal="center" vertical="center" wrapText="1"/>
    </xf>
    <xf numFmtId="4" fontId="11" fillId="0" borderId="0" xfId="21" applyNumberFormat="1" applyFont="1" applyAlignment="1">
      <alignment horizontal="center" vertical="center" wrapText="1"/>
    </xf>
    <xf numFmtId="166" fontId="11" fillId="0" borderId="0" xfId="21" applyNumberFormat="1" applyFont="1" applyAlignment="1">
      <alignment horizontal="center" vertical="center"/>
    </xf>
    <xf numFmtId="174" fontId="10" fillId="0" borderId="0" xfId="12" applyNumberFormat="1" applyFont="1" applyAlignment="1">
      <alignment horizontal="center" vertical="center"/>
    </xf>
    <xf numFmtId="2" fontId="10" fillId="0" borderId="0" xfId="12" applyNumberFormat="1" applyFont="1" applyAlignment="1">
      <alignment horizontal="center" vertical="center"/>
    </xf>
    <xf numFmtId="2" fontId="10" fillId="17" borderId="0" xfId="21" applyNumberFormat="1" applyFont="1" applyFill="1" applyAlignment="1">
      <alignment horizontal="center" vertical="center" wrapText="1"/>
    </xf>
    <xf numFmtId="165" fontId="10" fillId="17" borderId="0" xfId="1" applyFont="1" applyFill="1" applyBorder="1" applyAlignment="1">
      <alignment horizontal="center" vertical="center" wrapText="1"/>
    </xf>
    <xf numFmtId="10" fontId="2" fillId="0" borderId="1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9" xfId="23" applyFont="1" applyBorder="1"/>
    <xf numFmtId="0" fontId="10" fillId="0" borderId="0" xfId="23" applyFont="1"/>
    <xf numFmtId="0" fontId="10" fillId="0" borderId="10" xfId="23" applyFont="1" applyBorder="1"/>
    <xf numFmtId="0" fontId="6" fillId="0" borderId="9" xfId="23" applyFont="1" applyBorder="1" applyAlignment="1">
      <alignment horizontal="center" vertical="center"/>
    </xf>
    <xf numFmtId="2" fontId="4" fillId="0" borderId="10" xfId="23" applyNumberFormat="1" applyFont="1" applyBorder="1" applyAlignment="1" applyProtection="1">
      <alignment horizontal="center"/>
      <protection hidden="1"/>
    </xf>
    <xf numFmtId="14" fontId="4" fillId="0" borderId="10" xfId="23" applyNumberFormat="1" applyFont="1" applyBorder="1" applyAlignment="1" applyProtection="1">
      <alignment horizontal="centerContinuous" vertical="top"/>
      <protection hidden="1"/>
    </xf>
    <xf numFmtId="43" fontId="10" fillId="0" borderId="0" xfId="24" applyFont="1" applyBorder="1"/>
    <xf numFmtId="0" fontId="4" fillId="0" borderId="9" xfId="23" applyFont="1" applyBorder="1"/>
    <xf numFmtId="0" fontId="10" fillId="0" borderId="10" xfId="23" applyFont="1" applyBorder="1" applyAlignment="1">
      <alignment wrapText="1"/>
    </xf>
    <xf numFmtId="2" fontId="2" fillId="0" borderId="0" xfId="0" applyNumberFormat="1" applyFont="1" applyAlignment="1">
      <alignment horizontal="left" vertical="center" wrapText="1"/>
    </xf>
    <xf numFmtId="165" fontId="15" fillId="20" borderId="1" xfId="1" applyFont="1" applyFill="1" applyBorder="1" applyAlignment="1">
      <alignment horizontal="center" vertical="center" wrapText="1"/>
    </xf>
    <xf numFmtId="165" fontId="16" fillId="21" borderId="1" xfId="1" applyFont="1" applyFill="1" applyBorder="1" applyAlignment="1">
      <alignment horizontal="center" vertical="center" wrapText="1"/>
    </xf>
    <xf numFmtId="165" fontId="17" fillId="22" borderId="1" xfId="1" applyFont="1" applyFill="1" applyBorder="1" applyAlignment="1">
      <alignment horizontal="center" vertical="center" wrapText="1"/>
    </xf>
    <xf numFmtId="165" fontId="17" fillId="20" borderId="1" xfId="1" applyFont="1" applyFill="1" applyBorder="1" applyAlignment="1">
      <alignment horizontal="center" vertical="center" wrapText="1"/>
    </xf>
    <xf numFmtId="165" fontId="18" fillId="23" borderId="1" xfId="1" applyFont="1" applyFill="1" applyBorder="1" applyAlignment="1">
      <alignment horizontal="center" vertical="center" wrapText="1"/>
    </xf>
    <xf numFmtId="165" fontId="17" fillId="24" borderId="1" xfId="1" applyFont="1" applyFill="1" applyBorder="1" applyAlignment="1">
      <alignment horizontal="center" vertical="center" wrapText="1"/>
    </xf>
    <xf numFmtId="165" fontId="16" fillId="25" borderId="1" xfId="1" applyFont="1" applyFill="1" applyBorder="1" applyAlignment="1">
      <alignment horizontal="center" vertical="center" wrapText="1"/>
    </xf>
    <xf numFmtId="14" fontId="10" fillId="0" borderId="0" xfId="12" applyNumberFormat="1" applyFont="1" applyAlignment="1">
      <alignment horizontal="left" vertical="center" wrapText="1"/>
    </xf>
    <xf numFmtId="14" fontId="10" fillId="0" borderId="0" xfId="12" applyNumberFormat="1" applyFont="1" applyAlignment="1">
      <alignment vertical="center"/>
    </xf>
    <xf numFmtId="0" fontId="10" fillId="0" borderId="0" xfId="12" applyFont="1" applyAlignment="1">
      <alignment horizontal="center" vertical="center" wrapText="1"/>
    </xf>
    <xf numFmtId="165" fontId="11" fillId="0" borderId="0" xfId="12" applyNumberFormat="1" applyFont="1" applyAlignment="1">
      <alignment horizontal="center" vertical="center"/>
    </xf>
    <xf numFmtId="0" fontId="4" fillId="0" borderId="0" xfId="8" applyFont="1" applyAlignment="1">
      <alignment horizontal="center" vertical="center" wrapText="1"/>
    </xf>
    <xf numFmtId="0" fontId="10" fillId="0" borderId="0" xfId="20" applyFont="1" applyAlignment="1">
      <alignment horizontal="center" vertical="center"/>
    </xf>
    <xf numFmtId="0" fontId="10" fillId="0" borderId="13" xfId="12" applyFont="1" applyBorder="1" applyAlignment="1">
      <alignment horizontal="center" vertical="center"/>
    </xf>
    <xf numFmtId="0" fontId="4" fillId="0" borderId="14" xfId="8" applyFont="1" applyBorder="1" applyAlignment="1">
      <alignment horizontal="center" vertical="center" wrapText="1"/>
    </xf>
    <xf numFmtId="0" fontId="10" fillId="0" borderId="14" xfId="20" applyFont="1" applyBorder="1" applyAlignment="1">
      <alignment horizontal="center" vertical="center"/>
    </xf>
    <xf numFmtId="165" fontId="10" fillId="0" borderId="14" xfId="19" applyFont="1" applyBorder="1" applyAlignment="1">
      <alignment horizontal="center" vertical="center" wrapText="1"/>
    </xf>
    <xf numFmtId="165" fontId="10" fillId="0" borderId="15" xfId="19" applyFont="1" applyBorder="1" applyAlignment="1">
      <alignment horizontal="center" vertical="center"/>
    </xf>
    <xf numFmtId="0" fontId="10" fillId="0" borderId="2" xfId="23" applyFont="1" applyBorder="1"/>
    <xf numFmtId="0" fontId="10" fillId="0" borderId="3" xfId="23" applyFont="1" applyBorder="1"/>
    <xf numFmtId="0" fontId="10" fillId="0" borderId="4" xfId="23" applyFont="1" applyBorder="1"/>
    <xf numFmtId="2" fontId="4" fillId="0" borderId="0" xfId="23" applyNumberFormat="1" applyFont="1" applyAlignment="1" applyProtection="1">
      <alignment horizontal="left" vertical="center"/>
      <protection hidden="1"/>
    </xf>
    <xf numFmtId="2" fontId="4" fillId="0" borderId="0" xfId="23" applyNumberFormat="1" applyFont="1" applyAlignment="1" applyProtection="1">
      <alignment horizontal="center"/>
      <protection hidden="1"/>
    </xf>
    <xf numFmtId="14" fontId="4" fillId="0" borderId="0" xfId="23" applyNumberFormat="1" applyFont="1" applyAlignment="1" applyProtection="1">
      <alignment horizontal="left" vertical="center"/>
      <protection hidden="1"/>
    </xf>
    <xf numFmtId="14" fontId="4" fillId="0" borderId="0" xfId="23" applyNumberFormat="1" applyFont="1" applyAlignment="1" applyProtection="1">
      <alignment horizontal="centerContinuous" vertical="top"/>
      <protection hidden="1"/>
    </xf>
    <xf numFmtId="0" fontId="6" fillId="0" borderId="0" xfId="23" applyFont="1"/>
    <xf numFmtId="14" fontId="4" fillId="0" borderId="0" xfId="23" applyNumberFormat="1" applyFont="1" applyAlignment="1">
      <alignment horizontal="left"/>
    </xf>
    <xf numFmtId="0" fontId="9" fillId="0" borderId="0" xfId="17"/>
    <xf numFmtId="0" fontId="0" fillId="0" borderId="10" xfId="0" applyBorder="1"/>
    <xf numFmtId="0" fontId="9" fillId="0" borderId="14" xfId="17" applyBorder="1"/>
    <xf numFmtId="2" fontId="11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10" fontId="2" fillId="0" borderId="4" xfId="2" applyNumberFormat="1" applyFont="1" applyBorder="1" applyAlignment="1">
      <alignment horizontal="center" vertical="center"/>
    </xf>
    <xf numFmtId="165" fontId="2" fillId="0" borderId="0" xfId="4" applyFont="1" applyBorder="1" applyAlignment="1">
      <alignment horizontal="center" vertical="center" wrapText="1"/>
    </xf>
    <xf numFmtId="0" fontId="19" fillId="0" borderId="0" xfId="17" applyFont="1" applyAlignment="1">
      <alignment horizontal="right" vertical="center"/>
    </xf>
    <xf numFmtId="0" fontId="1" fillId="0" borderId="0" xfId="3"/>
    <xf numFmtId="2" fontId="20" fillId="2" borderId="2" xfId="22" applyNumberFormat="1" applyFont="1" applyFill="1" applyBorder="1" applyAlignment="1">
      <alignment horizontal="center" vertical="center" wrapText="1"/>
    </xf>
    <xf numFmtId="2" fontId="20" fillId="2" borderId="3" xfId="22" applyNumberFormat="1" applyFont="1" applyFill="1" applyBorder="1" applyAlignment="1">
      <alignment horizontal="center" vertical="center"/>
    </xf>
    <xf numFmtId="2" fontId="20" fillId="2" borderId="4" xfId="22" applyNumberFormat="1" applyFont="1" applyFill="1" applyBorder="1" applyAlignment="1">
      <alignment horizontal="center" vertical="center"/>
    </xf>
    <xf numFmtId="2" fontId="20" fillId="2" borderId="9" xfId="22" applyNumberFormat="1" applyFont="1" applyFill="1" applyBorder="1" applyAlignment="1">
      <alignment horizontal="center" vertical="center"/>
    </xf>
    <xf numFmtId="2" fontId="20" fillId="2" borderId="0" xfId="22" applyNumberFormat="1" applyFont="1" applyFill="1" applyAlignment="1">
      <alignment horizontal="center" vertical="center"/>
    </xf>
    <xf numFmtId="2" fontId="20" fillId="2" borderId="10" xfId="22" applyNumberFormat="1" applyFont="1" applyFill="1" applyBorder="1" applyAlignment="1">
      <alignment horizontal="center" vertical="center"/>
    </xf>
    <xf numFmtId="2" fontId="20" fillId="2" borderId="13" xfId="22" applyNumberFormat="1" applyFont="1" applyFill="1" applyBorder="1" applyAlignment="1">
      <alignment horizontal="center" vertical="center"/>
    </xf>
    <xf numFmtId="2" fontId="20" fillId="2" borderId="14" xfId="22" applyNumberFormat="1" applyFont="1" applyFill="1" applyBorder="1" applyAlignment="1">
      <alignment horizontal="center" vertical="center"/>
    </xf>
    <xf numFmtId="2" fontId="20" fillId="2" borderId="15" xfId="22" applyNumberFormat="1" applyFont="1" applyFill="1" applyBorder="1" applyAlignment="1">
      <alignment horizontal="center" vertical="center"/>
    </xf>
    <xf numFmtId="0" fontId="6" fillId="8" borderId="5" xfId="23" applyFont="1" applyFill="1" applyBorder="1" applyAlignment="1" applyProtection="1">
      <alignment horizontal="center" vertical="center"/>
      <protection hidden="1"/>
    </xf>
    <xf numFmtId="0" fontId="6" fillId="8" borderId="6" xfId="23" applyFont="1" applyFill="1" applyBorder="1" applyAlignment="1" applyProtection="1">
      <alignment horizontal="center" vertical="center"/>
      <protection hidden="1"/>
    </xf>
    <xf numFmtId="0" fontId="6" fillId="8" borderId="7" xfId="23" applyFont="1" applyFill="1" applyBorder="1" applyAlignment="1" applyProtection="1">
      <alignment horizontal="center" vertical="center"/>
      <protection hidden="1"/>
    </xf>
    <xf numFmtId="0" fontId="9" fillId="0" borderId="0" xfId="17" applyAlignment="1">
      <alignment horizontal="center"/>
    </xf>
    <xf numFmtId="0" fontId="9" fillId="0" borderId="10" xfId="17" applyBorder="1" applyAlignment="1">
      <alignment horizontal="center"/>
    </xf>
    <xf numFmtId="2" fontId="20" fillId="0" borderId="2" xfId="10" applyNumberFormat="1" applyFont="1" applyBorder="1" applyAlignment="1">
      <alignment horizontal="center" vertical="center" wrapText="1"/>
    </xf>
    <xf numFmtId="2" fontId="20" fillId="0" borderId="3" xfId="10" applyNumberFormat="1" applyFont="1" applyBorder="1" applyAlignment="1">
      <alignment horizontal="center" vertical="center" wrapText="1"/>
    </xf>
    <xf numFmtId="2" fontId="20" fillId="0" borderId="4" xfId="10" applyNumberFormat="1" applyFont="1" applyBorder="1" applyAlignment="1">
      <alignment horizontal="center" vertical="center" wrapText="1"/>
    </xf>
    <xf numFmtId="2" fontId="20" fillId="0" borderId="9" xfId="10" applyNumberFormat="1" applyFont="1" applyBorder="1" applyAlignment="1">
      <alignment horizontal="center" vertical="center" wrapText="1"/>
    </xf>
    <xf numFmtId="2" fontId="20" fillId="0" borderId="0" xfId="10" applyNumberFormat="1" applyFont="1" applyAlignment="1">
      <alignment horizontal="center" vertical="center" wrapText="1"/>
    </xf>
    <xf numFmtId="2" fontId="20" fillId="0" borderId="10" xfId="10" applyNumberFormat="1" applyFont="1" applyBorder="1" applyAlignment="1">
      <alignment horizontal="center" vertical="center" wrapText="1"/>
    </xf>
    <xf numFmtId="0" fontId="19" fillId="0" borderId="0" xfId="17" applyFont="1" applyAlignment="1">
      <alignment horizontal="right" vertical="center"/>
    </xf>
    <xf numFmtId="0" fontId="19" fillId="0" borderId="10" xfId="17" applyFont="1" applyBorder="1" applyAlignment="1">
      <alignment horizontal="right" vertical="center"/>
    </xf>
    <xf numFmtId="169" fontId="6" fillId="9" borderId="5" xfId="27" applyNumberFormat="1" applyFont="1" applyFill="1" applyBorder="1" applyAlignment="1">
      <alignment horizontal="right" vertical="center"/>
    </xf>
    <xf numFmtId="169" fontId="6" fillId="9" borderId="6" xfId="27" applyNumberFormat="1" applyFont="1" applyFill="1" applyBorder="1" applyAlignment="1">
      <alignment horizontal="right" vertical="center"/>
    </xf>
    <xf numFmtId="169" fontId="6" fillId="9" borderId="7" xfId="27" applyNumberFormat="1" applyFont="1" applyFill="1" applyBorder="1" applyAlignment="1">
      <alignment horizontal="right" vertical="center"/>
    </xf>
    <xf numFmtId="0" fontId="6" fillId="0" borderId="3" xfId="10" applyFont="1" applyBorder="1" applyAlignment="1">
      <alignment horizontal="center" vertical="center"/>
    </xf>
    <xf numFmtId="0" fontId="6" fillId="0" borderId="0" xfId="1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0" fontId="2" fillId="0" borderId="3" xfId="26" applyNumberFormat="1" applyFont="1" applyBorder="1" applyAlignment="1">
      <alignment horizontal="center" vertical="center"/>
    </xf>
    <xf numFmtId="165" fontId="2" fillId="0" borderId="4" xfId="26" applyNumberFormat="1" applyFont="1" applyBorder="1" applyAlignment="1">
      <alignment horizontal="center" vertical="center"/>
    </xf>
    <xf numFmtId="10" fontId="2" fillId="0" borderId="0" xfId="26" applyNumberFormat="1" applyFont="1" applyAlignment="1">
      <alignment horizontal="center" vertical="center"/>
    </xf>
    <xf numFmtId="10" fontId="2" fillId="0" borderId="10" xfId="26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/>
    </xf>
    <xf numFmtId="2" fontId="20" fillId="0" borderId="13" xfId="10" applyNumberFormat="1" applyFont="1" applyBorder="1" applyAlignment="1">
      <alignment horizontal="center" vertical="center" wrapText="1"/>
    </xf>
    <xf numFmtId="2" fontId="20" fillId="0" borderId="14" xfId="10" applyNumberFormat="1" applyFont="1" applyBorder="1" applyAlignment="1">
      <alignment horizontal="center" vertical="center" wrapText="1"/>
    </xf>
    <xf numFmtId="2" fontId="20" fillId="0" borderId="15" xfId="10" applyNumberFormat="1" applyFont="1" applyBorder="1" applyAlignment="1">
      <alignment horizontal="center" vertical="center" wrapText="1"/>
    </xf>
    <xf numFmtId="10" fontId="2" fillId="0" borderId="0" xfId="2" applyNumberFormat="1" applyFont="1" applyBorder="1" applyAlignment="1">
      <alignment horizontal="center" vertical="center"/>
    </xf>
    <xf numFmtId="10" fontId="2" fillId="0" borderId="10" xfId="2" applyNumberFormat="1" applyFont="1" applyBorder="1" applyAlignment="1">
      <alignment horizontal="center" vertical="center"/>
    </xf>
    <xf numFmtId="10" fontId="2" fillId="0" borderId="0" xfId="26" applyNumberFormat="1" applyFont="1" applyAlignment="1">
      <alignment horizontal="center" vertical="center" wrapText="1"/>
    </xf>
    <xf numFmtId="165" fontId="2" fillId="0" borderId="10" xfId="26" applyNumberFormat="1" applyFont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165" fontId="2" fillId="0" borderId="0" xfId="1" applyFont="1" applyBorder="1" applyAlignment="1">
      <alignment horizontal="center" vertical="center"/>
    </xf>
    <xf numFmtId="165" fontId="2" fillId="0" borderId="10" xfId="1" applyFont="1" applyBorder="1" applyAlignment="1">
      <alignment horizontal="center" vertical="center"/>
    </xf>
    <xf numFmtId="0" fontId="3" fillId="14" borderId="5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10" fontId="2" fillId="0" borderId="10" xfId="1" applyNumberFormat="1" applyFont="1" applyBorder="1" applyAlignment="1">
      <alignment horizontal="center" vertical="center"/>
    </xf>
    <xf numFmtId="165" fontId="2" fillId="0" borderId="0" xfId="1" applyFont="1" applyBorder="1" applyAlignment="1">
      <alignment horizontal="center" vertical="center" wrapText="1"/>
    </xf>
    <xf numFmtId="165" fontId="2" fillId="0" borderId="10" xfId="1" applyFont="1" applyBorder="1" applyAlignment="1">
      <alignment horizontal="center" vertical="center" wrapText="1"/>
    </xf>
    <xf numFmtId="171" fontId="6" fillId="0" borderId="0" xfId="10" applyNumberFormat="1" applyFont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 wrapText="1"/>
    </xf>
    <xf numFmtId="2" fontId="21" fillId="0" borderId="3" xfId="0" applyNumberFormat="1" applyFont="1" applyBorder="1" applyAlignment="1">
      <alignment horizontal="center" vertical="center" wrapText="1"/>
    </xf>
    <xf numFmtId="2" fontId="21" fillId="0" borderId="4" xfId="0" applyNumberFormat="1" applyFont="1" applyBorder="1" applyAlignment="1">
      <alignment horizontal="center" vertical="center" wrapText="1"/>
    </xf>
    <xf numFmtId="2" fontId="21" fillId="0" borderId="9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2" fontId="21" fillId="0" borderId="10" xfId="0" applyNumberFormat="1" applyFont="1" applyBorder="1" applyAlignment="1">
      <alignment horizontal="center" vertical="center" wrapText="1"/>
    </xf>
    <xf numFmtId="2" fontId="21" fillId="0" borderId="13" xfId="0" applyNumberFormat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 wrapText="1"/>
    </xf>
    <xf numFmtId="2" fontId="21" fillId="0" borderId="15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right" vertical="center"/>
    </xf>
    <xf numFmtId="2" fontId="3" fillId="0" borderId="18" xfId="0" applyNumberFormat="1" applyFont="1" applyBorder="1" applyAlignment="1">
      <alignment horizontal="right" vertical="center"/>
    </xf>
    <xf numFmtId="2" fontId="3" fillId="0" borderId="17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165" fontId="2" fillId="0" borderId="10" xfId="26" applyNumberFormat="1" applyFont="1" applyBorder="1" applyAlignment="1">
      <alignment horizontal="center" vertical="center"/>
    </xf>
    <xf numFmtId="10" fontId="2" fillId="0" borderId="0" xfId="9" applyNumberFormat="1" applyFont="1" applyBorder="1" applyAlignment="1">
      <alignment horizontal="center" vertical="center"/>
    </xf>
    <xf numFmtId="10" fontId="2" fillId="0" borderId="10" xfId="9" applyNumberFormat="1" applyFont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/>
    </xf>
    <xf numFmtId="0" fontId="3" fillId="15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2" fillId="0" borderId="2" xfId="12" applyNumberFormat="1" applyFont="1" applyBorder="1" applyAlignment="1">
      <alignment horizontal="center" vertical="center" wrapText="1"/>
    </xf>
    <xf numFmtId="2" fontId="22" fillId="0" borderId="3" xfId="12" applyNumberFormat="1" applyFont="1" applyBorder="1" applyAlignment="1">
      <alignment horizontal="center" vertical="center" wrapText="1"/>
    </xf>
    <xf numFmtId="2" fontId="22" fillId="0" borderId="4" xfId="12" applyNumberFormat="1" applyFont="1" applyBorder="1" applyAlignment="1">
      <alignment horizontal="center" vertical="center" wrapText="1"/>
    </xf>
    <xf numFmtId="2" fontId="22" fillId="0" borderId="9" xfId="12" applyNumberFormat="1" applyFont="1" applyBorder="1" applyAlignment="1">
      <alignment horizontal="center" vertical="center" wrapText="1"/>
    </xf>
    <xf numFmtId="2" fontId="22" fillId="0" borderId="0" xfId="12" applyNumberFormat="1" applyFont="1" applyAlignment="1">
      <alignment horizontal="center" vertical="center" wrapText="1"/>
    </xf>
    <xf numFmtId="2" fontId="22" fillId="0" borderId="10" xfId="12" applyNumberFormat="1" applyFont="1" applyBorder="1" applyAlignment="1">
      <alignment horizontal="center" vertical="center" wrapText="1"/>
    </xf>
    <xf numFmtId="2" fontId="22" fillId="0" borderId="13" xfId="12" applyNumberFormat="1" applyFont="1" applyBorder="1" applyAlignment="1">
      <alignment horizontal="center" vertical="center" wrapText="1"/>
    </xf>
    <xf numFmtId="2" fontId="22" fillId="0" borderId="14" xfId="12" applyNumberFormat="1" applyFont="1" applyBorder="1" applyAlignment="1">
      <alignment horizontal="center" vertical="center" wrapText="1"/>
    </xf>
    <xf numFmtId="2" fontId="22" fillId="0" borderId="15" xfId="12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11" fillId="0" borderId="3" xfId="12" applyFont="1" applyBorder="1" applyAlignment="1">
      <alignment horizontal="center" vertical="center"/>
    </xf>
    <xf numFmtId="0" fontId="11" fillId="0" borderId="0" xfId="12" applyFont="1" applyAlignment="1">
      <alignment horizontal="center" vertical="center"/>
    </xf>
    <xf numFmtId="0" fontId="11" fillId="19" borderId="0" xfId="12" applyFont="1" applyFill="1" applyAlignment="1">
      <alignment horizontal="left" vertical="center"/>
    </xf>
    <xf numFmtId="0" fontId="11" fillId="7" borderId="0" xfId="12" applyFont="1" applyFill="1" applyAlignment="1">
      <alignment horizontal="center" vertical="center" wrapText="1"/>
    </xf>
    <xf numFmtId="0" fontId="11" fillId="17" borderId="0" xfId="12" applyFont="1" applyFill="1" applyAlignment="1">
      <alignment horizontal="left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3" fillId="0" borderId="4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6" xfId="3" applyFont="1" applyBorder="1" applyAlignment="1">
      <alignment horizontal="center" vertical="center"/>
    </xf>
    <xf numFmtId="0" fontId="3" fillId="0" borderId="31" xfId="3" applyFont="1" applyBorder="1" applyAlignment="1">
      <alignment horizontal="center" vertical="center"/>
    </xf>
    <xf numFmtId="43" fontId="3" fillId="0" borderId="33" xfId="7" applyFont="1" applyBorder="1" applyAlignment="1">
      <alignment horizontal="center" vertical="center"/>
    </xf>
    <xf numFmtId="0" fontId="2" fillId="0" borderId="55" xfId="3" applyFont="1" applyBorder="1" applyAlignment="1">
      <alignment horizontal="center" vertical="center"/>
    </xf>
    <xf numFmtId="0" fontId="2" fillId="0" borderId="29" xfId="3" applyFont="1" applyBorder="1" applyAlignment="1">
      <alignment horizontal="center" vertical="center"/>
    </xf>
    <xf numFmtId="43" fontId="2" fillId="0" borderId="30" xfId="7" applyFont="1" applyBorder="1" applyAlignment="1">
      <alignment horizontal="center" vertical="center"/>
    </xf>
    <xf numFmtId="43" fontId="2" fillId="0" borderId="30" xfId="7" applyFont="1" applyFill="1" applyBorder="1" applyAlignment="1">
      <alignment horizontal="center" vertical="center"/>
    </xf>
    <xf numFmtId="43" fontId="2" fillId="0" borderId="66" xfId="7" applyFont="1" applyFill="1" applyBorder="1" applyAlignment="1">
      <alignment horizontal="center" vertical="center"/>
    </xf>
    <xf numFmtId="0" fontId="2" fillId="0" borderId="52" xfId="3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43" fontId="2" fillId="0" borderId="24" xfId="7" applyFont="1" applyBorder="1" applyAlignment="1">
      <alignment horizontal="center" vertical="center"/>
    </xf>
    <xf numFmtId="43" fontId="2" fillId="4" borderId="24" xfId="7" applyFont="1" applyFill="1" applyBorder="1" applyAlignment="1">
      <alignment horizontal="center" vertical="center"/>
    </xf>
    <xf numFmtId="43" fontId="2" fillId="4" borderId="65" xfId="7" applyFont="1" applyFill="1" applyBorder="1" applyAlignment="1">
      <alignment horizontal="center" vertical="center"/>
    </xf>
    <xf numFmtId="0" fontId="2" fillId="0" borderId="54" xfId="3" applyFont="1" applyBorder="1" applyAlignment="1">
      <alignment horizontal="center" vertical="center"/>
    </xf>
    <xf numFmtId="0" fontId="2" fillId="0" borderId="27" xfId="3" applyFont="1" applyBorder="1" applyAlignment="1">
      <alignment horizontal="center" vertical="center"/>
    </xf>
    <xf numFmtId="43" fontId="2" fillId="0" borderId="28" xfId="7" applyFont="1" applyBorder="1" applyAlignment="1">
      <alignment horizontal="center" vertical="center"/>
    </xf>
    <xf numFmtId="10" fontId="3" fillId="0" borderId="33" xfId="2" applyNumberFormat="1" applyFont="1" applyFill="1" applyBorder="1" applyAlignment="1">
      <alignment horizontal="center" vertical="center"/>
    </xf>
    <xf numFmtId="10" fontId="3" fillId="0" borderId="67" xfId="2" applyNumberFormat="1" applyFont="1" applyFill="1" applyBorder="1" applyAlignment="1">
      <alignment horizontal="center" vertical="center"/>
    </xf>
    <xf numFmtId="0" fontId="2" fillId="0" borderId="53" xfId="3" applyFont="1" applyBorder="1" applyAlignment="1">
      <alignment horizontal="center" vertical="center"/>
    </xf>
    <xf numFmtId="0" fontId="2" fillId="0" borderId="25" xfId="3" applyFont="1" applyBorder="1" applyAlignment="1">
      <alignment horizontal="center" vertical="center"/>
    </xf>
    <xf numFmtId="43" fontId="2" fillId="0" borderId="26" xfId="7" applyFont="1" applyBorder="1" applyAlignment="1">
      <alignment horizontal="center" vertical="center"/>
    </xf>
    <xf numFmtId="43" fontId="2" fillId="4" borderId="26" xfId="7" applyFont="1" applyFill="1" applyBorder="1" applyAlignment="1">
      <alignment horizontal="center" vertical="center"/>
    </xf>
    <xf numFmtId="43" fontId="2" fillId="4" borderId="58" xfId="7" applyFont="1" applyFill="1" applyBorder="1" applyAlignment="1">
      <alignment horizontal="center" vertical="center"/>
    </xf>
    <xf numFmtId="0" fontId="3" fillId="0" borderId="47" xfId="3" applyFont="1" applyBorder="1" applyAlignment="1">
      <alignment horizontal="center" vertical="center"/>
    </xf>
    <xf numFmtId="0" fontId="3" fillId="0" borderId="18" xfId="3" applyFont="1" applyBorder="1" applyAlignment="1">
      <alignment horizontal="center" vertical="center"/>
    </xf>
    <xf numFmtId="43" fontId="2" fillId="0" borderId="1" xfId="7" applyFont="1" applyBorder="1" applyAlignment="1">
      <alignment horizontal="center" vertical="center"/>
    </xf>
    <xf numFmtId="43" fontId="2" fillId="0" borderId="1" xfId="7" applyFont="1" applyFill="1" applyBorder="1" applyAlignment="1">
      <alignment horizontal="center" vertical="center"/>
    </xf>
    <xf numFmtId="43" fontId="2" fillId="0" borderId="45" xfId="7" applyFont="1" applyFill="1" applyBorder="1" applyAlignment="1">
      <alignment horizontal="center" vertical="center"/>
    </xf>
    <xf numFmtId="43" fontId="2" fillId="4" borderId="28" xfId="7" applyFont="1" applyFill="1" applyBorder="1" applyAlignment="1">
      <alignment horizontal="center" vertical="center"/>
    </xf>
    <xf numFmtId="43" fontId="2" fillId="4" borderId="59" xfId="7" applyFont="1" applyFill="1" applyBorder="1" applyAlignment="1">
      <alignment horizontal="center" vertical="center"/>
    </xf>
    <xf numFmtId="0" fontId="2" fillId="0" borderId="51" xfId="3" applyFont="1" applyBorder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43" fontId="2" fillId="0" borderId="22" xfId="7" applyFont="1" applyBorder="1" applyAlignment="1">
      <alignment horizontal="center" vertical="center"/>
    </xf>
    <xf numFmtId="43" fontId="2" fillId="4" borderId="22" xfId="7" applyFont="1" applyFill="1" applyBorder="1" applyAlignment="1">
      <alignment horizontal="center" vertical="center"/>
    </xf>
    <xf numFmtId="43" fontId="2" fillId="4" borderId="64" xfId="7" applyFont="1" applyFill="1" applyBorder="1" applyAlignment="1">
      <alignment horizontal="center" vertical="center"/>
    </xf>
    <xf numFmtId="0" fontId="1" fillId="0" borderId="0" xfId="3"/>
    <xf numFmtId="0" fontId="3" fillId="0" borderId="20" xfId="3" applyFont="1" applyBorder="1" applyAlignment="1">
      <alignment horizontal="center" vertical="center"/>
    </xf>
    <xf numFmtId="0" fontId="2" fillId="0" borderId="9" xfId="3" applyFont="1" applyBorder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2" fillId="0" borderId="10" xfId="3" applyFont="1" applyBorder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3" fillId="0" borderId="49" xfId="3" applyFont="1" applyBorder="1" applyAlignment="1">
      <alignment horizontal="center" vertical="center"/>
    </xf>
    <xf numFmtId="0" fontId="3" fillId="0" borderId="19" xfId="3" applyFont="1" applyBorder="1" applyAlignment="1">
      <alignment horizontal="center" vertical="center"/>
    </xf>
    <xf numFmtId="0" fontId="3" fillId="0" borderId="50" xfId="3" applyFont="1" applyBorder="1" applyAlignment="1">
      <alignment horizontal="center" vertical="center"/>
    </xf>
    <xf numFmtId="0" fontId="3" fillId="0" borderId="62" xfId="3" applyFont="1" applyBorder="1" applyAlignment="1">
      <alignment horizontal="center" vertical="center"/>
    </xf>
    <xf numFmtId="0" fontId="3" fillId="0" borderId="63" xfId="3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14" fontId="4" fillId="0" borderId="0" xfId="6" applyNumberFormat="1" applyFont="1" applyFill="1" applyBorder="1" applyAlignment="1">
      <alignment horizontal="left" vertical="center"/>
    </xf>
    <xf numFmtId="0" fontId="6" fillId="3" borderId="5" xfId="8" applyFont="1" applyFill="1" applyBorder="1" applyAlignment="1">
      <alignment horizontal="center" vertical="center"/>
    </xf>
    <xf numFmtId="0" fontId="6" fillId="3" borderId="6" xfId="8" applyFont="1" applyFill="1" applyBorder="1" applyAlignment="1">
      <alignment horizontal="center" vertical="center"/>
    </xf>
    <xf numFmtId="0" fontId="6" fillId="3" borderId="7" xfId="8" applyFont="1" applyFill="1" applyBorder="1" applyAlignment="1">
      <alignment horizontal="center" vertical="center"/>
    </xf>
    <xf numFmtId="2" fontId="21" fillId="0" borderId="2" xfId="3" applyNumberFormat="1" applyFont="1" applyBorder="1" applyAlignment="1">
      <alignment horizontal="center" vertical="center" wrapText="1"/>
    </xf>
    <xf numFmtId="2" fontId="21" fillId="0" borderId="3" xfId="3" applyNumberFormat="1" applyFont="1" applyBorder="1" applyAlignment="1">
      <alignment horizontal="center" vertical="center" wrapText="1"/>
    </xf>
    <xf numFmtId="2" fontId="21" fillId="0" borderId="4" xfId="3" applyNumberFormat="1" applyFont="1" applyBorder="1" applyAlignment="1">
      <alignment horizontal="center" vertical="center" wrapText="1"/>
    </xf>
    <xf numFmtId="2" fontId="21" fillId="0" borderId="9" xfId="3" applyNumberFormat="1" applyFont="1" applyBorder="1" applyAlignment="1">
      <alignment horizontal="center" vertical="center" wrapText="1"/>
    </xf>
    <xf numFmtId="2" fontId="21" fillId="0" borderId="0" xfId="3" applyNumberFormat="1" applyFont="1" applyAlignment="1">
      <alignment horizontal="center" vertical="center" wrapText="1"/>
    </xf>
    <xf numFmtId="2" fontId="21" fillId="0" borderId="10" xfId="3" applyNumberFormat="1" applyFont="1" applyBorder="1" applyAlignment="1">
      <alignment horizontal="center" vertical="center" wrapText="1"/>
    </xf>
    <xf numFmtId="2" fontId="21" fillId="0" borderId="13" xfId="3" applyNumberFormat="1" applyFont="1" applyBorder="1" applyAlignment="1">
      <alignment horizontal="center" vertical="center" wrapText="1"/>
    </xf>
    <xf numFmtId="2" fontId="21" fillId="0" borderId="14" xfId="3" applyNumberFormat="1" applyFont="1" applyBorder="1" applyAlignment="1">
      <alignment horizontal="center" vertical="center" wrapText="1"/>
    </xf>
    <xf numFmtId="2" fontId="21" fillId="0" borderId="15" xfId="3" applyNumberFormat="1" applyFont="1" applyBorder="1" applyAlignment="1">
      <alignment horizontal="center" vertical="center" wrapText="1"/>
    </xf>
    <xf numFmtId="165" fontId="6" fillId="0" borderId="3" xfId="4" applyFont="1" applyFill="1" applyBorder="1" applyAlignment="1">
      <alignment horizontal="center" vertical="center"/>
    </xf>
    <xf numFmtId="165" fontId="6" fillId="0" borderId="0" xfId="4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0" fontId="2" fillId="0" borderId="10" xfId="0" applyNumberFormat="1" applyFont="1" applyBorder="1" applyAlignment="1">
      <alignment horizontal="center" vertical="center"/>
    </xf>
    <xf numFmtId="1" fontId="3" fillId="0" borderId="8" xfId="26" applyNumberFormat="1" applyFont="1" applyBorder="1" applyAlignment="1">
      <alignment horizontal="center" vertical="center"/>
    </xf>
    <xf numFmtId="1" fontId="3" fillId="0" borderId="12" xfId="26" applyNumberFormat="1" applyFont="1" applyBorder="1" applyAlignment="1">
      <alignment horizontal="center" vertical="center"/>
    </xf>
    <xf numFmtId="165" fontId="3" fillId="0" borderId="8" xfId="1" applyFont="1" applyBorder="1" applyAlignment="1">
      <alignment horizontal="center" vertical="center" wrapText="1"/>
    </xf>
    <xf numFmtId="165" fontId="3" fillId="0" borderId="12" xfId="1" applyFont="1" applyBorder="1" applyAlignment="1">
      <alignment horizontal="center" vertical="center" wrapText="1"/>
    </xf>
    <xf numFmtId="1" fontId="3" fillId="0" borderId="48" xfId="26" applyNumberFormat="1" applyFont="1" applyBorder="1" applyAlignment="1">
      <alignment horizontal="center" vertical="center"/>
    </xf>
    <xf numFmtId="1" fontId="3" fillId="0" borderId="42" xfId="26" applyNumberFormat="1" applyFont="1" applyBorder="1" applyAlignment="1">
      <alignment horizontal="center" vertical="center"/>
    </xf>
    <xf numFmtId="1" fontId="3" fillId="0" borderId="40" xfId="26" applyNumberFormat="1" applyFont="1" applyBorder="1" applyAlignment="1">
      <alignment horizontal="center" vertical="center"/>
    </xf>
    <xf numFmtId="1" fontId="3" fillId="0" borderId="41" xfId="26" applyNumberFormat="1" applyFont="1" applyBorder="1" applyAlignment="1">
      <alignment horizontal="center" vertical="center"/>
    </xf>
    <xf numFmtId="1" fontId="3" fillId="0" borderId="34" xfId="26" applyNumberFormat="1" applyFont="1" applyBorder="1" applyAlignment="1">
      <alignment horizontal="center" vertical="center"/>
    </xf>
    <xf numFmtId="1" fontId="3" fillId="0" borderId="35" xfId="26" applyNumberFormat="1" applyFont="1" applyBorder="1" applyAlignment="1">
      <alignment horizontal="center" vertical="center"/>
    </xf>
    <xf numFmtId="40" fontId="3" fillId="0" borderId="8" xfId="26" applyNumberFormat="1" applyFont="1" applyBorder="1" applyAlignment="1">
      <alignment horizontal="center" vertical="center"/>
    </xf>
    <xf numFmtId="0" fontId="3" fillId="0" borderId="12" xfId="26" applyFont="1" applyBorder="1" applyAlignment="1">
      <alignment horizontal="center" vertical="center"/>
    </xf>
    <xf numFmtId="1" fontId="3" fillId="0" borderId="46" xfId="26" applyNumberFormat="1" applyFont="1" applyBorder="1" applyAlignment="1">
      <alignment horizontal="center" vertical="center"/>
    </xf>
    <xf numFmtId="1" fontId="3" fillId="0" borderId="11" xfId="26" applyNumberFormat="1" applyFont="1" applyBorder="1" applyAlignment="1">
      <alignment horizontal="center" vertical="center"/>
    </xf>
    <xf numFmtId="0" fontId="6" fillId="0" borderId="46" xfId="30" applyFont="1" applyBorder="1" applyAlignment="1">
      <alignment horizontal="center" vertical="center" wrapText="1"/>
    </xf>
    <xf numFmtId="0" fontId="6" fillId="0" borderId="42" xfId="30" applyFont="1" applyBorder="1" applyAlignment="1">
      <alignment horizontal="center" vertical="center" wrapText="1"/>
    </xf>
    <xf numFmtId="0" fontId="6" fillId="0" borderId="11" xfId="30" applyFont="1" applyBorder="1" applyAlignment="1">
      <alignment horizontal="center" vertical="center" wrapText="1"/>
    </xf>
    <xf numFmtId="0" fontId="6" fillId="0" borderId="12" xfId="30" applyFont="1" applyBorder="1" applyAlignment="1">
      <alignment horizontal="center" vertical="center" wrapText="1"/>
    </xf>
    <xf numFmtId="0" fontId="3" fillId="0" borderId="1" xfId="26" applyFont="1" applyBorder="1" applyAlignment="1">
      <alignment horizontal="center" vertical="center"/>
    </xf>
    <xf numFmtId="0" fontId="3" fillId="0" borderId="12" xfId="26" applyFont="1" applyBorder="1" applyAlignment="1">
      <alignment horizontal="center" vertical="center" wrapText="1"/>
    </xf>
    <xf numFmtId="0" fontId="3" fillId="0" borderId="1" xfId="26" applyFont="1" applyBorder="1" applyAlignment="1">
      <alignment horizontal="center" vertical="center" wrapText="1"/>
    </xf>
    <xf numFmtId="0" fontId="3" fillId="0" borderId="34" xfId="26" applyFont="1" applyBorder="1" applyAlignment="1">
      <alignment horizontal="center" vertical="center" wrapText="1"/>
    </xf>
    <xf numFmtId="0" fontId="3" fillId="0" borderId="43" xfId="26" applyFont="1" applyBorder="1" applyAlignment="1">
      <alignment horizontal="center" vertical="center" wrapText="1"/>
    </xf>
    <xf numFmtId="169" fontId="2" fillId="16" borderId="60" xfId="32" applyNumberFormat="1" applyFont="1" applyFill="1" applyBorder="1" applyAlignment="1">
      <alignment horizontal="center" vertical="center"/>
    </xf>
    <xf numFmtId="169" fontId="2" fillId="16" borderId="61" xfId="32" applyNumberFormat="1" applyFont="1" applyFill="1" applyBorder="1" applyAlignment="1">
      <alignment horizontal="center" vertical="center"/>
    </xf>
    <xf numFmtId="0" fontId="2" fillId="16" borderId="61" xfId="26" applyFont="1" applyFill="1" applyBorder="1" applyAlignment="1">
      <alignment horizontal="center" vertical="center"/>
    </xf>
    <xf numFmtId="169" fontId="2" fillId="16" borderId="44" xfId="32" applyNumberFormat="1" applyFont="1" applyFill="1" applyBorder="1" applyAlignment="1">
      <alignment horizontal="center" vertical="center"/>
    </xf>
    <xf numFmtId="169" fontId="2" fillId="16" borderId="1" xfId="32" applyNumberFormat="1" applyFont="1" applyFill="1" applyBorder="1" applyAlignment="1">
      <alignment horizontal="center" vertical="center"/>
    </xf>
    <xf numFmtId="0" fontId="2" fillId="16" borderId="1" xfId="26" applyFont="1" applyFill="1" applyBorder="1" applyAlignment="1">
      <alignment horizontal="center" vertical="center"/>
    </xf>
    <xf numFmtId="10" fontId="2" fillId="16" borderId="44" xfId="2" applyNumberFormat="1" applyFont="1" applyFill="1" applyBorder="1" applyAlignment="1">
      <alignment horizontal="center" vertical="center"/>
    </xf>
    <xf numFmtId="10" fontId="2" fillId="16" borderId="1" xfId="2" applyNumberFormat="1" applyFont="1" applyFill="1" applyBorder="1" applyAlignment="1">
      <alignment horizontal="center" vertical="center"/>
    </xf>
  </cellXfs>
  <cellStyles count="33">
    <cellStyle name="Moeda" xfId="1" builtinId="4"/>
    <cellStyle name="Moeda 2" xfId="4" xr:uid="{A75F7AB0-E20E-492B-A4B7-7578A3A5797A}"/>
    <cellStyle name="Moeda 2 2" xfId="16" xr:uid="{049AEA31-DFC7-4A9C-AB85-598286547B9E}"/>
    <cellStyle name="Moeda 3" xfId="29" xr:uid="{EA4E746C-3794-4CFE-9CE9-6AFD5F07D4E8}"/>
    <cellStyle name="Moeda 7" xfId="19" xr:uid="{05E979A7-8889-4B65-9A37-0743B8BC6051}"/>
    <cellStyle name="Normal" xfId="0" builtinId="0"/>
    <cellStyle name="Normal 10" xfId="8" xr:uid="{FA899FA2-B5A9-4475-8688-0450A2DDC05D}"/>
    <cellStyle name="Normal 103" xfId="20" xr:uid="{CDF20D8A-7CF0-4662-B14D-AD1583925AA0}"/>
    <cellStyle name="Normal 2" xfId="22" xr:uid="{FAB2E3BC-1EA1-4ADE-972C-A0E4E6ACB9C8}"/>
    <cellStyle name="Normal 2 3" xfId="10" xr:uid="{5E175B25-BC55-4598-9FCE-51C236BFF050}"/>
    <cellStyle name="Normal 2 3 2" xfId="30" xr:uid="{C981CC54-1AB0-4EDA-8925-09151F6A0118}"/>
    <cellStyle name="Normal 3" xfId="28" xr:uid="{EE265CB5-BF1A-4400-9808-C4CA2A9255E9}"/>
    <cellStyle name="Normal 43 2" xfId="13" xr:uid="{93C83A68-7CE9-4566-B3EE-617D3C590CF3}"/>
    <cellStyle name="Normal 47" xfId="12" xr:uid="{0A7CEA4D-8345-4653-AA40-345185D19032}"/>
    <cellStyle name="Normal 56 2 2" xfId="14" xr:uid="{5D9CDDCF-12F1-43CE-ABB2-A636E78E4F14}"/>
    <cellStyle name="Normal 56 3" xfId="25" xr:uid="{463694AF-53B0-4F7C-A815-C2F5BF12F04E}"/>
    <cellStyle name="Normal 6 3 2" xfId="26" xr:uid="{12D8200D-9E17-4C78-8AB3-7F06992C6512}"/>
    <cellStyle name="Normal 73" xfId="21" xr:uid="{5065689B-FA04-4375-9041-BC59FB0552FB}"/>
    <cellStyle name="Normal 77" xfId="3" xr:uid="{B7DC3430-2A36-4DC4-B6BC-E6A80F7E6ED4}"/>
    <cellStyle name="Normal 77 2 2" xfId="11" xr:uid="{6191A124-E28C-4007-8058-0C2EA7539D7A}"/>
    <cellStyle name="Normal 82" xfId="17" xr:uid="{7894A56D-5D20-4F61-8340-93B7325C6760}"/>
    <cellStyle name="Normal 88" xfId="18" xr:uid="{027EE69D-B947-47DA-990C-8B5A22184383}"/>
    <cellStyle name="Normal 95" xfId="23" xr:uid="{7820531E-DA18-47C0-A496-B5A30D9C7C0E}"/>
    <cellStyle name="Porcentagem" xfId="2" builtinId="5"/>
    <cellStyle name="Porcentagem 10" xfId="9" xr:uid="{C5D36E50-4214-47B2-9C76-30594F905699}"/>
    <cellStyle name="Porcentagem 3 3" xfId="15" xr:uid="{073501FA-9420-40E4-A939-C4768B065A3B}"/>
    <cellStyle name="Porcentagem 7 2 2" xfId="31" xr:uid="{A3D28E07-53DD-46FE-A703-FBC778AA6B85}"/>
    <cellStyle name="Separador de milhares 3 2" xfId="24" xr:uid="{5920C721-E585-44BA-A22A-7EC93FC4A3FD}"/>
    <cellStyle name="Separador de milhares 8 2" xfId="32" xr:uid="{808FA7AD-543D-46FC-BC52-112E47F673A3}"/>
    <cellStyle name="Vírgula 12" xfId="6" xr:uid="{10CF94F3-C1DD-4F8D-98DC-F320FD343E3F}"/>
    <cellStyle name="Vírgula 15" xfId="7" xr:uid="{1D2261D0-81B4-4EC0-9E99-82966FACA92B}"/>
    <cellStyle name="Vírgula 2 3" xfId="5" xr:uid="{3FD2DC01-5A4E-4501-A10E-5C9BB677B49F}"/>
    <cellStyle name="Vírgula 4" xfId="27" xr:uid="{AFBC1365-C577-45DA-971B-DA45B1F08C73}"/>
  </cellStyles>
  <dxfs count="5">
    <dxf>
      <font>
        <color theme="0"/>
      </font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Drop" dropStyle="combo" dx="22" fmlaLink="$W$1" fmlaRange="$U$2:$U$3" noThreeD="1" sel="2" val="0"/>
</file>

<file path=xl/ctrlProps/ctrlProp2.xml><?xml version="1.0" encoding="utf-8"?>
<formControlPr xmlns="http://schemas.microsoft.com/office/spreadsheetml/2009/9/main" objectType="Drop" dropStyle="combo" dx="22" fmlaLink="$W$9" fmlaRange="$U$10:$U$16" noThreeD="1" sel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6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8.emf"/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586153</xdr:colOff>
          <xdr:row>25</xdr:row>
          <xdr:rowOff>36635</xdr:rowOff>
        </xdr:from>
        <xdr:to>
          <xdr:col>8</xdr:col>
          <xdr:colOff>1067287</xdr:colOff>
          <xdr:row>29</xdr:row>
          <xdr:rowOff>139211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CB95D20C-6F36-350B-9C50-8F6D563935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1642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86153" y="5238750"/>
              <a:ext cx="8264769" cy="88655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0</xdr:colOff>
      <xdr:row>0</xdr:row>
      <xdr:rowOff>172793</xdr:rowOff>
    </xdr:from>
    <xdr:to>
      <xdr:col>2</xdr:col>
      <xdr:colOff>230188</xdr:colOff>
      <xdr:row>2</xdr:row>
      <xdr:rowOff>1262062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F29F36-5191-4F2D-8637-3F784452436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72793"/>
          <a:ext cx="2690813" cy="1470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22413</xdr:colOff>
          <xdr:row>40</xdr:row>
          <xdr:rowOff>78441</xdr:rowOff>
        </xdr:from>
        <xdr:to>
          <xdr:col>5</xdr:col>
          <xdr:colOff>2442883</xdr:colOff>
          <xdr:row>48</xdr:row>
          <xdr:rowOff>0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23BEC27C-36ED-4A55-8581-E2ED4CDEF10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174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2413" y="8830235"/>
              <a:ext cx="14567646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67235</xdr:colOff>
      <xdr:row>0</xdr:row>
      <xdr:rowOff>100853</xdr:rowOff>
    </xdr:from>
    <xdr:to>
      <xdr:col>1</xdr:col>
      <xdr:colOff>1236794</xdr:colOff>
      <xdr:row>4</xdr:row>
      <xdr:rowOff>936441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04C873E-E8CB-4708-AE32-10F906D6095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235" y="100853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310</xdr:row>
          <xdr:rowOff>152400</xdr:rowOff>
        </xdr:from>
        <xdr:to>
          <xdr:col>12</xdr:col>
          <xdr:colOff>603996</xdr:colOff>
          <xdr:row>318</xdr:row>
          <xdr:rowOff>73959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07A08A06-1084-4159-984C-32933352FEB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194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66800" y="182870475"/>
              <a:ext cx="14567646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95250</xdr:colOff>
      <xdr:row>0</xdr:row>
      <xdr:rowOff>47625</xdr:rowOff>
    </xdr:from>
    <xdr:to>
      <xdr:col>3</xdr:col>
      <xdr:colOff>266925</xdr:colOff>
      <xdr:row>8</xdr:row>
      <xdr:rowOff>124575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F2363C4-D0E8-425B-AA8D-8DE3A299DE11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0" y="47625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11205</xdr:colOff>
          <xdr:row>2673</xdr:row>
          <xdr:rowOff>168088</xdr:rowOff>
        </xdr:from>
        <xdr:to>
          <xdr:col>9</xdr:col>
          <xdr:colOff>1355911</xdr:colOff>
          <xdr:row>2681</xdr:row>
          <xdr:rowOff>89647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7D665991-3CE7-4B32-9A2E-D204D8335F6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2050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205" y="1071439235"/>
              <a:ext cx="14926235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89648</xdr:colOff>
      <xdr:row>0</xdr:row>
      <xdr:rowOff>145677</xdr:rowOff>
    </xdr:from>
    <xdr:to>
      <xdr:col>1</xdr:col>
      <xdr:colOff>1494530</xdr:colOff>
      <xdr:row>8</xdr:row>
      <xdr:rowOff>219265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FA42BC2-1A8A-4C0F-8392-2689AA2C0CF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9648" y="145677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1323975</xdr:colOff>
          <xdr:row>2214</xdr:row>
          <xdr:rowOff>114300</xdr:rowOff>
        </xdr:from>
        <xdr:to>
          <xdr:col>12</xdr:col>
          <xdr:colOff>918321</xdr:colOff>
          <xdr:row>2222</xdr:row>
          <xdr:rowOff>35859</xdr:rowOff>
        </xdr:to>
        <xdr:pic>
          <xdr:nvPicPr>
            <xdr:cNvPr id="5" name="Imagem 4">
              <a:extLst>
                <a:ext uri="{FF2B5EF4-FFF2-40B4-BE49-F238E27FC236}">
                  <a16:creationId xmlns:a16="http://schemas.microsoft.com/office/drawing/2014/main" id="{B5ED2389-6C5F-4DE0-BA78-D12D30232E2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215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05750" y="426062775"/>
              <a:ext cx="14567646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0</xdr:row>
      <xdr:rowOff>76200</xdr:rowOff>
    </xdr:from>
    <xdr:to>
      <xdr:col>1</xdr:col>
      <xdr:colOff>1609950</xdr:colOff>
      <xdr:row>7</xdr:row>
      <xdr:rowOff>343650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6A6B47CA-1BC3-46D7-B36B-5A5D798197D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7150" y="76200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246531</xdr:colOff>
          <xdr:row>114</xdr:row>
          <xdr:rowOff>156883</xdr:rowOff>
        </xdr:from>
        <xdr:to>
          <xdr:col>9</xdr:col>
          <xdr:colOff>571500</xdr:colOff>
          <xdr:row>122</xdr:row>
          <xdr:rowOff>78442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6F18E3A7-542B-4CB0-8E93-F624C9BBEE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2357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610972" y="25583030"/>
              <a:ext cx="14567646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89647</xdr:colOff>
      <xdr:row>0</xdr:row>
      <xdr:rowOff>33618</xdr:rowOff>
    </xdr:from>
    <xdr:to>
      <xdr:col>2</xdr:col>
      <xdr:colOff>497206</xdr:colOff>
      <xdr:row>8</xdr:row>
      <xdr:rowOff>107206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34B56DA-94C9-461D-84D6-5166BEB49BD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9647" y="33618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52027</xdr:colOff>
      <xdr:row>0</xdr:row>
      <xdr:rowOff>54428</xdr:rowOff>
    </xdr:from>
    <xdr:to>
      <xdr:col>1</xdr:col>
      <xdr:colOff>1735456</xdr:colOff>
      <xdr:row>8</xdr:row>
      <xdr:rowOff>136821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026D00-8F5F-431B-873F-D01C0778859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027" y="54428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278</xdr:row>
          <xdr:rowOff>163285</xdr:rowOff>
        </xdr:from>
        <xdr:to>
          <xdr:col>7</xdr:col>
          <xdr:colOff>1619249</xdr:colOff>
          <xdr:row>286</xdr:row>
          <xdr:rowOff>84844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5CB3ED74-1D2E-4164-BFD1-1AA55B1436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2459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33771821"/>
              <a:ext cx="14913428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847726</xdr:colOff>
      <xdr:row>32</xdr:row>
      <xdr:rowOff>104054</xdr:rowOff>
    </xdr:from>
    <xdr:to>
      <xdr:col>7</xdr:col>
      <xdr:colOff>12886</xdr:colOff>
      <xdr:row>35</xdr:row>
      <xdr:rowOff>127187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0631" y="5378999"/>
          <a:ext cx="3158040" cy="600348"/>
        </a:xfrm>
        <a:prstGeom prst="rect">
          <a:avLst/>
        </a:prstGeom>
        <a:solidFill>
          <a:srgbClr val="DBE5F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904875</xdr:colOff>
          <xdr:row>18</xdr:row>
          <xdr:rowOff>0</xdr:rowOff>
        </xdr:from>
        <xdr:to>
          <xdr:col>3</xdr:col>
          <xdr:colOff>76200</xdr:colOff>
          <xdr:row>19</xdr:row>
          <xdr:rowOff>9525</xdr:rowOff>
        </xdr:to>
        <xdr:sp macro="" textlink="">
          <xdr:nvSpPr>
            <xdr:cNvPr id="15361" name="Drop Dow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7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1190625</xdr:colOff>
          <xdr:row>27</xdr:row>
          <xdr:rowOff>76200</xdr:rowOff>
        </xdr:from>
        <xdr:to>
          <xdr:col>3</xdr:col>
          <xdr:colOff>504825</xdr:colOff>
          <xdr:row>29</xdr:row>
          <xdr:rowOff>19050</xdr:rowOff>
        </xdr:to>
        <xdr:sp macro="" textlink="">
          <xdr:nvSpPr>
            <xdr:cNvPr id="15362" name="Drop Dow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7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133350</xdr:rowOff>
        </xdr:from>
        <xdr:to>
          <xdr:col>12</xdr:col>
          <xdr:colOff>2270871</xdr:colOff>
          <xdr:row>69</xdr:row>
          <xdr:rowOff>54909</xdr:rowOff>
        </xdr:to>
        <xdr:pic>
          <xdr:nvPicPr>
            <xdr:cNvPr id="4" name="Imagem 3">
              <a:extLst>
                <a:ext uri="{FF2B5EF4-FFF2-40B4-BE49-F238E27FC236}">
                  <a16:creationId xmlns:a16="http://schemas.microsoft.com/office/drawing/2014/main" id="{A375BC58-9201-4E89-B944-3BCE42F64A6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1538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8225" y="12049125"/>
              <a:ext cx="14567646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0</xdr:colOff>
      <xdr:row>0</xdr:row>
      <xdr:rowOff>66675</xdr:rowOff>
    </xdr:from>
    <xdr:to>
      <xdr:col>2</xdr:col>
      <xdr:colOff>57375</xdr:colOff>
      <xdr:row>8</xdr:row>
      <xdr:rowOff>105525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A20945B-A80F-4309-A95C-B34D782E901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66675"/>
          <a:ext cx="2772000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68034</xdr:colOff>
      <xdr:row>0</xdr:row>
      <xdr:rowOff>149680</xdr:rowOff>
    </xdr:from>
    <xdr:to>
      <xdr:col>2</xdr:col>
      <xdr:colOff>1004044</xdr:colOff>
      <xdr:row>9</xdr:row>
      <xdr:rowOff>41573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B9BEC1F-B43D-471C-A5D7-B7FA5D3B4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34" y="149680"/>
          <a:ext cx="2772974" cy="16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78</xdr:row>
          <xdr:rowOff>68035</xdr:rowOff>
        </xdr:from>
        <xdr:to>
          <xdr:col>10</xdr:col>
          <xdr:colOff>40821</xdr:colOff>
          <xdr:row>85</xdr:row>
          <xdr:rowOff>180094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1DC5ABAB-C6B4-407B-ACBB-E5F2C2685BF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4]Orçamento Sintético'!$A$167" spid="_x0000_s2561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5294428"/>
              <a:ext cx="14682107" cy="144555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ABELA%20CONSULTORIA%20PROJETOS-BAS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f\Meus%20Documentos%20-%20Henrique\Medi&#231;&#245;es\Henrique\TABELA%20CONSULTORIA%20PROJETOS-BAST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\f\engenharia\Meus%20documentos\DEVOP\COMPOSI&#199;&#195;O%20DEVOP%20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e-138587\Zaca\ENTREGUES%202013\CAMPO%20DO%20JK%20-%20ATUALIZA&#199;&#195;O\CAMPODOJK_THA_REV02_110413_AG_ATUAL_0108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f\USR\Orcelino\Projetos\Dnit\Executivos\Br-414\Projeto%20BR-414%20-%202\Pavimenta&#231;&#227;o\FV-DNE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f\0798\TECNICO\TEACOMP\LOTE06\P09\P10\RELAT6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efe\projetos\PC%20KURODA-%20PROJETOS%202011\CONTRATO%20N&#186;%20004-2011-CAERD%20PAC%20II\Administra&#231;&#227;o%20Loc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e-138586\doc.%20compartilhados_tha\TRABALHOS\PARTICULARES\Jaru\POJETOS\EL&#201;TRICO\_LIST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proacqua\Obras\Aguas%20do%20Imperador\palatinato\Excel\Custo%20Palatinato%20-%20C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efe\projetos\PC%20KURODA-%20PROJETOS%202011\CONTRATO%20N&#186;%20004-2011-CAERD%20PAC%20II\Adm%20Local%20-%20Porto%20Velh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4.click21.com.br/horde/imp/My%20Documents/Particular/Mestrado/FX-B-REST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afael\Desktop\OBRAS%20-%20PREFEITURA%20DE%20ARAGAR&#199;AS\CRAS%20DE%20ARAGAR&#199;AS\PLANILHAS\PLANILHAS%20OR&#199;AMENTARIA%20DA%20REFORMA%20DO%20CRAS,%20E%20AMPLIA&#199;&#195;O%20DO%20CREAS.xlsx" TargetMode="External"/><Relationship Id="rId1" Type="http://schemas.openxmlformats.org/officeDocument/2006/relationships/externalLinkPath" Target="file:///C:\Users\Rafael\Desktop\OBRAS%20-%20PREFEITURA%20DE%20ARAGAR&#199;AS\CRAS%20DE%20ARAGAR&#199;AS\PLANILHAS\PLANILHAS%20OR&#199;AMENTARIA%20DA%20REFORMA%20DO%20CRAS,%20E%20AMPLIA&#199;&#195;O%20DO%20CRE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Consultoria"/>
      <sheetName val="Composições"/>
      <sheetName val="comp. custos1"/>
      <sheetName val="INCCTOT"/>
      <sheetName val="PLANILHA"/>
      <sheetName val="CRONOGRAMA"/>
      <sheetName val="COTAÇÕES"/>
      <sheetName val="COMPOSIÇÕES "/>
      <sheetName val="comp__custos1"/>
      <sheetName val="comp__custos11"/>
      <sheetName val="COMPOSIÇÕES_"/>
      <sheetName val="comp__custos12"/>
      <sheetName val="COMPOSIÇÕES_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Consultoria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ERVISÃO"/>
      <sheetName val="CONSULTORIA"/>
      <sheetName val="TRANSP."/>
      <sheetName val="PONTE MAD."/>
      <sheetName val="SINAL."/>
      <sheetName val="OAE"/>
      <sheetName val="CONSERV. ASF."/>
      <sheetName val="CONSERV. REV. PRIM"/>
      <sheetName val="DRENAG"/>
      <sheetName val="OAC"/>
      <sheetName val="RE. PRIM."/>
      <sheetName val="PAVIM."/>
      <sheetName val="TERRAPLENAGEM"/>
      <sheetName val="MATER."/>
      <sheetName val="HORAXMÁQUINA"/>
      <sheetName val="RESUMO"/>
      <sheetName val="pla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Memoria Calculo"/>
      <sheetName val="Cronograma"/>
      <sheetName val="Composições"/>
      <sheetName val="relatório de cotação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 Local  -RESUMO"/>
      <sheetName val="Adm Local "/>
      <sheetName val="Eng3"/>
      <sheetName val="Eng2"/>
      <sheetName val="Eng1"/>
      <sheetName val="Eng.Assist"/>
      <sheetName val="Chefe de Seção"/>
      <sheetName val="Médico_Trabalho"/>
      <sheetName val="Mestre_Obra"/>
      <sheetName val="Tec_Medio 3"/>
      <sheetName val="Tec_Medio 2"/>
      <sheetName val="Tec_Medio 1"/>
      <sheetName val="Enc_Pessoal"/>
      <sheetName val="Enc_Financeiro"/>
      <sheetName val="Encarregado Serv Gerais"/>
      <sheetName val="Encarregado Geral"/>
      <sheetName val="Téc_Segurança"/>
      <sheetName val="Téc_Enfermagem"/>
      <sheetName val="Auxiliar_Técnico"/>
      <sheetName val="Secretária"/>
      <sheetName val="Recepcionista"/>
      <sheetName val="Topógrafo"/>
      <sheetName val="Almoxarife"/>
      <sheetName val="Apontador"/>
      <sheetName val="Aux_Almoxarife"/>
      <sheetName val="Aux_Pessoal"/>
      <sheetName val="Aux_Topografia"/>
      <sheetName val="Aux_Segurança"/>
      <sheetName val="Aux_Enfermagem"/>
      <sheetName val="M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l de Calculo "/>
      <sheetName val="Planilha Orçametaria Analitica"/>
      <sheetName val="Composição de Cust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OR960887.XLS"/>
      <sheetName val="BR-267_TR01"/>
      <sheetName val="BR-267_TR02"/>
      <sheetName val="BR-267_TR03"/>
      <sheetName val="BR-376"/>
      <sheetName val="BR-463"/>
      <sheetName val="BR-487"/>
      <sheetName val="DG"/>
      <sheetName val="Qd05 Preço"/>
      <sheetName val="Qd06"/>
      <sheetName val="LOTE 6"/>
      <sheetName val="Acumulado"/>
      <sheetName val="TLMB"/>
      <sheetName val="SERVIÇOS"/>
      <sheetName val="[OR960887.XLS][OR960887.XLS][OR"/>
      <sheetName val="Plan1"/>
      <sheetName val="Plan2"/>
      <sheetName val="Plan3"/>
      <sheetName val="//localhost/@/DFBSA00535/dyna01"/>
      <sheetName val="[OR960887.XLS][OR960887.XLS]//l"/>
      <sheetName val="[OR960887.XLS]//localhost/@/DFB"/>
      <sheetName val="comp1"/>
      <sheetName val="SIIG 2010-Jun"/>
      <sheetName val="Estimativa"/>
      <sheetName val="CUSTO LARANJEIRAS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Equipamentos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Teor"/>
      <sheetName val="alteração"/>
      <sheetName val="Mat"/>
      <sheetName val="CONS_CORR"/>
      <sheetName val="Mobra"/>
      <sheetName val="PGR"/>
      <sheetName val="_OR960887.XLS__OR960887.XLS__OR"/>
      <sheetName val="_OR960887.XLS__OR960887.XLS___l"/>
      <sheetName val="_OR960887.XLS___localhost_@_DFB"/>
      <sheetName val="Micro Revest MAN"/>
      <sheetName val="Micro Revest REC 1ªMP"/>
      <sheetName val="REM.MEC MAT.BET.MAN"/>
      <sheetName val="TRANSPORTE REC"/>
      <sheetName val="RELATA VÉIO"/>
      <sheetName val="C"/>
    </sheetNames>
    <definedNames>
      <definedName name="PassaExtenso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26"/>
      <sheetName val="COMPOSIÇÃO"/>
      <sheetName val="REF. SINAPI"/>
      <sheetName val="Resumo Orçamento"/>
      <sheetName val="Orçamento"/>
      <sheetName val="INCCTO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</sheetNames>
    <sheetDataSet>
      <sheetData sheetId="0">
        <row r="3">
          <cell r="A3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>
            <v>4</v>
          </cell>
        </row>
      </sheetData>
      <sheetData sheetId="20" refreshError="1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resumo"/>
      <sheetName val="central"/>
      <sheetName val="b1"/>
      <sheetName val="b2"/>
      <sheetName val="b3"/>
      <sheetName val="b4"/>
      <sheetName val="frentes"/>
      <sheetName val="aloj"/>
      <sheetName val="lote B"/>
      <sheetName val="G-REV_C"/>
      <sheetName val="BDI"/>
      <sheetName val="Encargos Sociais"/>
      <sheetName val="Plan1 (2)"/>
      <sheetName val="Indireto - 40 meses"/>
      <sheetName val="Plan1"/>
      <sheetName val="Sal"/>
      <sheetName val="Gráfico MO"/>
      <sheetName val="Bens Duráveis"/>
      <sheetName val="2"/>
      <sheetName val="3"/>
      <sheetName val="5"/>
      <sheetName val="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Ajudante</v>
          </cell>
          <cell r="C4">
            <v>1.95</v>
          </cell>
          <cell r="D4">
            <v>1.1100000000000001</v>
          </cell>
          <cell r="E4">
            <v>0.94</v>
          </cell>
          <cell r="F4">
            <v>0.87</v>
          </cell>
          <cell r="G4">
            <v>0.94</v>
          </cell>
        </row>
        <row r="5">
          <cell r="B5" t="str">
            <v>Ajudante (Carga e Descarga)</v>
          </cell>
          <cell r="C5">
            <v>1.95</v>
          </cell>
          <cell r="D5">
            <v>1.1100000000000001</v>
          </cell>
          <cell r="E5">
            <v>0.94</v>
          </cell>
          <cell r="F5">
            <v>0.87</v>
          </cell>
          <cell r="G5">
            <v>0.94</v>
          </cell>
        </row>
        <row r="6">
          <cell r="B6" t="str">
            <v>Almoxarife</v>
          </cell>
          <cell r="C6">
            <v>5</v>
          </cell>
          <cell r="D6">
            <v>2.84</v>
          </cell>
          <cell r="E6">
            <v>2.44</v>
          </cell>
          <cell r="F6">
            <v>2.6093636363636361</v>
          </cell>
          <cell r="G6">
            <v>2.61</v>
          </cell>
        </row>
        <row r="7">
          <cell r="B7" t="str">
            <v>Analista de sistema</v>
          </cell>
          <cell r="C7">
            <v>3380.64</v>
          </cell>
          <cell r="D7">
            <v>1917.44</v>
          </cell>
          <cell r="E7">
            <v>1498</v>
          </cell>
          <cell r="F7">
            <v>1498</v>
          </cell>
          <cell r="G7">
            <v>1498</v>
          </cell>
        </row>
        <row r="8">
          <cell r="B8" t="str">
            <v>Apontador</v>
          </cell>
          <cell r="C8">
            <v>3.2</v>
          </cell>
          <cell r="D8">
            <v>1.81</v>
          </cell>
          <cell r="E8">
            <v>1.56</v>
          </cell>
          <cell r="F8">
            <v>1.0441363636363636</v>
          </cell>
          <cell r="G8">
            <v>1.68</v>
          </cell>
        </row>
        <row r="9">
          <cell r="B9" t="str">
            <v>Assist. de Rede</v>
          </cell>
          <cell r="C9">
            <v>1500</v>
          </cell>
          <cell r="D9">
            <v>850.77</v>
          </cell>
          <cell r="E9">
            <v>664.21</v>
          </cell>
          <cell r="F9">
            <v>664.21</v>
          </cell>
          <cell r="G9">
            <v>664.21</v>
          </cell>
        </row>
        <row r="10">
          <cell r="B10" t="str">
            <v>Assist. de Engenharia</v>
          </cell>
          <cell r="C10">
            <v>3380.64</v>
          </cell>
          <cell r="D10">
            <v>1917.44</v>
          </cell>
          <cell r="E10">
            <v>1498</v>
          </cell>
          <cell r="F10">
            <v>1500</v>
          </cell>
          <cell r="G10">
            <v>1500</v>
          </cell>
        </row>
        <row r="11">
          <cell r="B11" t="str">
            <v>Orçamentista</v>
          </cell>
          <cell r="F11">
            <v>1500</v>
          </cell>
          <cell r="G11">
            <v>1500</v>
          </cell>
        </row>
        <row r="12">
          <cell r="B12" t="str">
            <v>Assist. Financeiro</v>
          </cell>
          <cell r="C12">
            <v>4858.3599999999997</v>
          </cell>
          <cell r="D12">
            <v>2755.58</v>
          </cell>
          <cell r="E12">
            <v>1498</v>
          </cell>
          <cell r="F12">
            <v>1498</v>
          </cell>
          <cell r="G12">
            <v>1498</v>
          </cell>
        </row>
        <row r="13">
          <cell r="B13" t="str">
            <v>Assistente Social</v>
          </cell>
          <cell r="C13">
            <v>1433.7</v>
          </cell>
          <cell r="D13">
            <v>813.17</v>
          </cell>
          <cell r="E13">
            <v>961</v>
          </cell>
          <cell r="F13">
            <v>961</v>
          </cell>
          <cell r="G13">
            <v>961</v>
          </cell>
        </row>
        <row r="14">
          <cell r="B14" t="str">
            <v>Assistente técnico I</v>
          </cell>
          <cell r="C14">
            <v>1805.4</v>
          </cell>
          <cell r="D14">
            <v>1023.99</v>
          </cell>
          <cell r="E14">
            <v>961</v>
          </cell>
          <cell r="F14">
            <v>961</v>
          </cell>
          <cell r="G14">
            <v>961</v>
          </cell>
        </row>
        <row r="15">
          <cell r="B15" t="str">
            <v>Aux. de arquivo</v>
          </cell>
          <cell r="C15">
            <v>485.92</v>
          </cell>
          <cell r="D15">
            <v>275.61</v>
          </cell>
          <cell r="E15">
            <v>204</v>
          </cell>
          <cell r="F15">
            <v>204</v>
          </cell>
          <cell r="G15">
            <v>204</v>
          </cell>
        </row>
        <row r="16">
          <cell r="B16" t="str">
            <v>Aux. de pessoal</v>
          </cell>
          <cell r="C16">
            <v>3.2</v>
          </cell>
          <cell r="D16">
            <v>1.81</v>
          </cell>
          <cell r="E16">
            <v>1.56</v>
          </cell>
          <cell r="F16">
            <v>1.5576363636363637</v>
          </cell>
          <cell r="G16">
            <v>1.68</v>
          </cell>
        </row>
        <row r="17">
          <cell r="B17" t="str">
            <v>Aux. Financeiro</v>
          </cell>
          <cell r="C17">
            <v>878.63</v>
          </cell>
          <cell r="D17">
            <v>498.34</v>
          </cell>
          <cell r="E17">
            <v>749</v>
          </cell>
          <cell r="F17">
            <v>749</v>
          </cell>
          <cell r="G17">
            <v>749</v>
          </cell>
        </row>
        <row r="18">
          <cell r="B18" t="str">
            <v>Aux. Laboratório</v>
          </cell>
          <cell r="C18">
            <v>3.2</v>
          </cell>
          <cell r="D18">
            <v>1.81</v>
          </cell>
          <cell r="E18">
            <v>1.56</v>
          </cell>
          <cell r="F18">
            <v>1.56</v>
          </cell>
          <cell r="G18">
            <v>1.68</v>
          </cell>
        </row>
        <row r="19">
          <cell r="B19" t="str">
            <v>Aux. Segurança</v>
          </cell>
          <cell r="C19">
            <v>3.2</v>
          </cell>
          <cell r="D19">
            <v>1.81</v>
          </cell>
          <cell r="E19">
            <v>1.56</v>
          </cell>
          <cell r="F19">
            <v>1.56</v>
          </cell>
          <cell r="G19">
            <v>1.68</v>
          </cell>
        </row>
        <row r="20">
          <cell r="B20" t="str">
            <v>Cadista</v>
          </cell>
          <cell r="F20">
            <v>1000</v>
          </cell>
          <cell r="G20">
            <v>1000</v>
          </cell>
        </row>
        <row r="21">
          <cell r="B21" t="str">
            <v>Aux. técnico</v>
          </cell>
          <cell r="C21">
            <v>933.11</v>
          </cell>
          <cell r="D21">
            <v>529.24</v>
          </cell>
          <cell r="E21">
            <v>749</v>
          </cell>
          <cell r="F21">
            <v>342.68</v>
          </cell>
          <cell r="G21">
            <v>749</v>
          </cell>
        </row>
        <row r="22">
          <cell r="B22" t="str">
            <v>Aux. Serv. Gerais</v>
          </cell>
          <cell r="F22">
            <v>342.68</v>
          </cell>
          <cell r="G22">
            <v>342.68</v>
          </cell>
        </row>
        <row r="23">
          <cell r="B23" t="str">
            <v>Aux.almoxarifado</v>
          </cell>
          <cell r="C23">
            <v>3.67</v>
          </cell>
          <cell r="D23">
            <v>2.08</v>
          </cell>
          <cell r="E23">
            <v>3.4045454545454548</v>
          </cell>
          <cell r="F23">
            <v>1.5576363636363637</v>
          </cell>
          <cell r="G23">
            <v>3.4</v>
          </cell>
        </row>
        <row r="24">
          <cell r="B24" t="str">
            <v>Auxiliar de Topografia</v>
          </cell>
          <cell r="C24">
            <v>3.2</v>
          </cell>
          <cell r="D24">
            <v>1.81</v>
          </cell>
          <cell r="E24">
            <v>0.94</v>
          </cell>
          <cell r="F24">
            <v>0.94</v>
          </cell>
          <cell r="G24">
            <v>1.68</v>
          </cell>
        </row>
        <row r="25">
          <cell r="B25" t="str">
            <v>Carpinteiro</v>
          </cell>
          <cell r="C25">
            <v>3.2</v>
          </cell>
          <cell r="D25">
            <v>1.81</v>
          </cell>
          <cell r="E25">
            <v>1.56</v>
          </cell>
          <cell r="F25">
            <v>1.5576363636363637</v>
          </cell>
          <cell r="G25">
            <v>1.68</v>
          </cell>
        </row>
        <row r="26">
          <cell r="B26" t="str">
            <v>Chefe Administrativo</v>
          </cell>
          <cell r="C26">
            <v>3919.9999999999995</v>
          </cell>
          <cell r="D26">
            <v>2223.36</v>
          </cell>
          <cell r="E26">
            <v>2244</v>
          </cell>
          <cell r="F26">
            <v>2244</v>
          </cell>
          <cell r="G26">
            <v>2244</v>
          </cell>
        </row>
        <row r="27">
          <cell r="B27" t="str">
            <v>Chefe de Laboratório</v>
          </cell>
          <cell r="C27">
            <v>3919.9999999999995</v>
          </cell>
          <cell r="D27">
            <v>2223.36</v>
          </cell>
          <cell r="E27">
            <v>2244</v>
          </cell>
          <cell r="F27">
            <v>956.9</v>
          </cell>
          <cell r="G27">
            <v>2244</v>
          </cell>
        </row>
        <row r="28">
          <cell r="B28" t="str">
            <v>Chefe de Materiais</v>
          </cell>
          <cell r="C28">
            <v>3919.9999999999995</v>
          </cell>
          <cell r="D28">
            <v>2223.36</v>
          </cell>
          <cell r="E28">
            <v>2244</v>
          </cell>
          <cell r="F28">
            <v>2244</v>
          </cell>
          <cell r="G28">
            <v>2244</v>
          </cell>
        </row>
        <row r="29">
          <cell r="B29" t="str">
            <v>Eng. de Medição</v>
          </cell>
          <cell r="C29">
            <v>4804.05</v>
          </cell>
          <cell r="D29">
            <v>2724.77</v>
          </cell>
          <cell r="E29">
            <v>2312</v>
          </cell>
          <cell r="F29">
            <v>2500</v>
          </cell>
          <cell r="G29">
            <v>2500</v>
          </cell>
        </row>
        <row r="30">
          <cell r="B30" t="str">
            <v>Chefe S. Pessoal</v>
          </cell>
          <cell r="C30">
            <v>3919.9999999999995</v>
          </cell>
          <cell r="D30">
            <v>2223.36</v>
          </cell>
          <cell r="E30">
            <v>2244</v>
          </cell>
          <cell r="F30">
            <v>2000</v>
          </cell>
          <cell r="G30">
            <v>2244</v>
          </cell>
        </row>
        <row r="31">
          <cell r="B31" t="str">
            <v>Comprador</v>
          </cell>
          <cell r="C31">
            <v>7.26</v>
          </cell>
          <cell r="D31">
            <v>4.12</v>
          </cell>
          <cell r="E31">
            <v>4.3681818181818182</v>
          </cell>
          <cell r="F31">
            <v>4.3681818181818182</v>
          </cell>
          <cell r="G31">
            <v>4.37</v>
          </cell>
        </row>
        <row r="32">
          <cell r="B32" t="str">
            <v>Contador</v>
          </cell>
          <cell r="C32">
            <v>4115.74</v>
          </cell>
          <cell r="D32">
            <v>2334.38</v>
          </cell>
          <cell r="E32">
            <v>2244</v>
          </cell>
          <cell r="F32">
            <v>2244</v>
          </cell>
          <cell r="G32">
            <v>2244</v>
          </cell>
        </row>
        <row r="33">
          <cell r="B33" t="str">
            <v>Contínuo</v>
          </cell>
          <cell r="F33">
            <v>1.0441363636363636</v>
          </cell>
          <cell r="G33">
            <v>0.94</v>
          </cell>
        </row>
        <row r="34">
          <cell r="B34" t="str">
            <v>Coord. Desenv. Proj.</v>
          </cell>
          <cell r="C34">
            <v>7300</v>
          </cell>
          <cell r="D34">
            <v>4140.43</v>
          </cell>
          <cell r="E34">
            <v>2312</v>
          </cell>
          <cell r="F34">
            <v>2312</v>
          </cell>
          <cell r="G34">
            <v>2312</v>
          </cell>
        </row>
        <row r="35">
          <cell r="B35" t="str">
            <v>Coord. Topografia</v>
          </cell>
          <cell r="C35">
            <v>7300</v>
          </cell>
          <cell r="D35">
            <v>4140.43</v>
          </cell>
          <cell r="E35">
            <v>2312</v>
          </cell>
          <cell r="F35">
            <v>2312</v>
          </cell>
          <cell r="G35">
            <v>2312</v>
          </cell>
        </row>
        <row r="36">
          <cell r="B36" t="str">
            <v>Copeira</v>
          </cell>
          <cell r="C36">
            <v>2.21</v>
          </cell>
          <cell r="D36">
            <v>1.25</v>
          </cell>
          <cell r="E36">
            <v>1.01</v>
          </cell>
          <cell r="F36">
            <v>1.0441363636363636</v>
          </cell>
          <cell r="G36">
            <v>0.94</v>
          </cell>
        </row>
        <row r="37">
          <cell r="B37" t="str">
            <v>Desenhista Projetista</v>
          </cell>
          <cell r="C37">
            <v>3219.64</v>
          </cell>
          <cell r="D37">
            <v>1826.12</v>
          </cell>
          <cell r="E37">
            <v>1498</v>
          </cell>
          <cell r="F37">
            <v>1498</v>
          </cell>
          <cell r="G37">
            <v>1498</v>
          </cell>
        </row>
        <row r="38">
          <cell r="B38" t="str">
            <v>Eletricista</v>
          </cell>
          <cell r="C38">
            <v>3.2</v>
          </cell>
          <cell r="D38">
            <v>1.81</v>
          </cell>
          <cell r="E38">
            <v>1.81</v>
          </cell>
          <cell r="F38">
            <v>1.81</v>
          </cell>
          <cell r="G38">
            <v>1.9</v>
          </cell>
        </row>
        <row r="39">
          <cell r="B39" t="str">
            <v>Enc.Serv.Gerais</v>
          </cell>
          <cell r="C39">
            <v>3380.64</v>
          </cell>
          <cell r="D39">
            <v>1917.44</v>
          </cell>
          <cell r="E39">
            <v>1498</v>
          </cell>
          <cell r="F39">
            <v>510.88</v>
          </cell>
          <cell r="G39">
            <v>1498</v>
          </cell>
        </row>
        <row r="40">
          <cell r="B40" t="str">
            <v>Encanador</v>
          </cell>
          <cell r="C40">
            <v>3.2</v>
          </cell>
          <cell r="D40">
            <v>1.81</v>
          </cell>
          <cell r="E40">
            <v>1.81</v>
          </cell>
          <cell r="F40">
            <v>1.81</v>
          </cell>
          <cell r="G40">
            <v>1.9</v>
          </cell>
        </row>
        <row r="41">
          <cell r="B41" t="str">
            <v>Encarregado Comercial</v>
          </cell>
          <cell r="C41">
            <v>3380.64</v>
          </cell>
          <cell r="D41">
            <v>1917.44</v>
          </cell>
          <cell r="E41">
            <v>1498</v>
          </cell>
          <cell r="F41">
            <v>1498</v>
          </cell>
          <cell r="G41">
            <v>1498</v>
          </cell>
        </row>
        <row r="42">
          <cell r="B42" t="str">
            <v>Encarregado de Apropriação</v>
          </cell>
          <cell r="C42">
            <v>3380.64</v>
          </cell>
          <cell r="D42">
            <v>1917.44</v>
          </cell>
          <cell r="E42">
            <v>1498</v>
          </cell>
          <cell r="F42">
            <v>1498</v>
          </cell>
          <cell r="G42">
            <v>1498</v>
          </cell>
        </row>
        <row r="43">
          <cell r="B43" t="str">
            <v>Encarregado de Transportes</v>
          </cell>
          <cell r="C43">
            <v>3380.64</v>
          </cell>
          <cell r="D43">
            <v>1917.44</v>
          </cell>
          <cell r="E43">
            <v>1498</v>
          </cell>
          <cell r="F43">
            <v>1498</v>
          </cell>
          <cell r="G43">
            <v>1498</v>
          </cell>
        </row>
        <row r="44">
          <cell r="B44" t="str">
            <v>Encarregado de Produção</v>
          </cell>
          <cell r="C44">
            <v>3380.64</v>
          </cell>
          <cell r="D44">
            <v>1917.44</v>
          </cell>
          <cell r="E44">
            <v>1498</v>
          </cell>
          <cell r="F44">
            <v>1498</v>
          </cell>
          <cell r="G44">
            <v>1100</v>
          </cell>
        </row>
        <row r="45">
          <cell r="B45" t="str">
            <v>Mestre de Obras</v>
          </cell>
          <cell r="C45">
            <v>3380.64</v>
          </cell>
          <cell r="D45">
            <v>1917.44</v>
          </cell>
          <cell r="E45">
            <v>2244</v>
          </cell>
          <cell r="F45">
            <v>3500</v>
          </cell>
          <cell r="G45">
            <v>2500</v>
          </cell>
        </row>
        <row r="46">
          <cell r="B46" t="str">
            <v>Enc. Frente Serviço</v>
          </cell>
          <cell r="E46">
            <v>838.2</v>
          </cell>
          <cell r="F46">
            <v>2000</v>
          </cell>
          <cell r="G46">
            <v>2000</v>
          </cell>
        </row>
        <row r="47">
          <cell r="B47" t="str">
            <v>Enc. Financeiro</v>
          </cell>
          <cell r="E47">
            <v>1498</v>
          </cell>
          <cell r="F47">
            <v>1000</v>
          </cell>
          <cell r="G47">
            <v>1498</v>
          </cell>
        </row>
        <row r="48">
          <cell r="B48" t="str">
            <v>Enc. Pessoal</v>
          </cell>
          <cell r="E48">
            <v>1498</v>
          </cell>
          <cell r="F48">
            <v>1000</v>
          </cell>
          <cell r="G48">
            <v>1498</v>
          </cell>
        </row>
        <row r="49">
          <cell r="B49" t="str">
            <v>Eng. Seg.Trabalho</v>
          </cell>
          <cell r="C49">
            <v>5161.32</v>
          </cell>
          <cell r="D49">
            <v>2927.41</v>
          </cell>
          <cell r="E49">
            <v>2312</v>
          </cell>
          <cell r="F49">
            <v>2500</v>
          </cell>
          <cell r="G49">
            <v>2500</v>
          </cell>
        </row>
        <row r="50">
          <cell r="B50" t="str">
            <v>Engenheiro C. Qualidade</v>
          </cell>
          <cell r="C50">
            <v>5161.32</v>
          </cell>
          <cell r="D50">
            <v>2927.41</v>
          </cell>
          <cell r="E50">
            <v>2312</v>
          </cell>
          <cell r="F50">
            <v>2500</v>
          </cell>
          <cell r="G50">
            <v>2500</v>
          </cell>
        </row>
        <row r="51">
          <cell r="B51" t="str">
            <v>Engenheiro Produção</v>
          </cell>
          <cell r="C51">
            <v>5161.32</v>
          </cell>
          <cell r="D51">
            <v>2927.41</v>
          </cell>
          <cell r="E51">
            <v>2312</v>
          </cell>
          <cell r="F51">
            <v>2500</v>
          </cell>
          <cell r="G51">
            <v>2800</v>
          </cell>
        </row>
        <row r="52">
          <cell r="B52" t="str">
            <v>Eng. Projetos</v>
          </cell>
          <cell r="C52">
            <v>5161.32</v>
          </cell>
          <cell r="D52">
            <v>2927.41</v>
          </cell>
          <cell r="E52">
            <v>2312</v>
          </cell>
          <cell r="F52">
            <v>2500</v>
          </cell>
          <cell r="G52">
            <v>2500</v>
          </cell>
        </row>
        <row r="53">
          <cell r="B53" t="str">
            <v>Eng. Planejamento</v>
          </cell>
          <cell r="C53">
            <v>5161.32</v>
          </cell>
          <cell r="D53">
            <v>2927.41</v>
          </cell>
          <cell r="E53">
            <v>2312</v>
          </cell>
          <cell r="F53">
            <v>2800</v>
          </cell>
          <cell r="G53">
            <v>2800</v>
          </cell>
        </row>
        <row r="54">
          <cell r="B54" t="str">
            <v>Eng. Métodos Constr.</v>
          </cell>
          <cell r="F54">
            <v>2800</v>
          </cell>
          <cell r="G54">
            <v>2800</v>
          </cell>
        </row>
        <row r="55">
          <cell r="B55" t="str">
            <v>Engenheiro de Minas</v>
          </cell>
          <cell r="C55">
            <v>5161.32</v>
          </cell>
          <cell r="D55">
            <v>2927.41</v>
          </cell>
          <cell r="E55">
            <v>2312</v>
          </cell>
          <cell r="F55">
            <v>2800</v>
          </cell>
          <cell r="G55">
            <v>2800</v>
          </cell>
        </row>
        <row r="56">
          <cell r="B56" t="str">
            <v>Geólogo</v>
          </cell>
          <cell r="E56">
            <v>2312</v>
          </cell>
          <cell r="F56">
            <v>2800</v>
          </cell>
          <cell r="G56">
            <v>2800</v>
          </cell>
        </row>
        <row r="57">
          <cell r="B57" t="str">
            <v>Faxineiro</v>
          </cell>
          <cell r="C57">
            <v>1.79</v>
          </cell>
          <cell r="D57">
            <v>1.02</v>
          </cell>
          <cell r="E57">
            <v>0.94</v>
          </cell>
          <cell r="F57">
            <v>1.0441363636363636</v>
          </cell>
          <cell r="G57">
            <v>0.94</v>
          </cell>
        </row>
        <row r="58">
          <cell r="B58" t="str">
            <v>Ferramenteiro</v>
          </cell>
          <cell r="C58">
            <v>2.21</v>
          </cell>
          <cell r="D58">
            <v>1.25</v>
          </cell>
          <cell r="E58">
            <v>1.56</v>
          </cell>
          <cell r="F58">
            <v>1.56</v>
          </cell>
          <cell r="G58">
            <v>1.9</v>
          </cell>
        </row>
        <row r="59">
          <cell r="B59" t="str">
            <v>Gerente Adm. Financeiro</v>
          </cell>
          <cell r="C59">
            <v>11773.4</v>
          </cell>
          <cell r="D59">
            <v>6677.67</v>
          </cell>
          <cell r="E59">
            <v>3400</v>
          </cell>
          <cell r="F59">
            <v>4000</v>
          </cell>
          <cell r="G59">
            <v>4000</v>
          </cell>
        </row>
        <row r="60">
          <cell r="B60" t="str">
            <v>Gerente Comercial</v>
          </cell>
          <cell r="C60">
            <v>11773.4</v>
          </cell>
          <cell r="D60">
            <v>6677.67</v>
          </cell>
          <cell r="E60">
            <v>3400</v>
          </cell>
        </row>
        <row r="61">
          <cell r="B61" t="str">
            <v>Gerente Gest. Qualidade</v>
          </cell>
          <cell r="F61">
            <v>4000</v>
          </cell>
          <cell r="G61">
            <v>4000</v>
          </cell>
        </row>
        <row r="62">
          <cell r="B62" t="str">
            <v>Gerente de Sistemas</v>
          </cell>
          <cell r="F62">
            <v>5000</v>
          </cell>
          <cell r="G62">
            <v>5000</v>
          </cell>
        </row>
        <row r="63">
          <cell r="B63" t="str">
            <v>Gerente de Construção</v>
          </cell>
          <cell r="E63">
            <v>3400</v>
          </cell>
          <cell r="F63">
            <v>7000</v>
          </cell>
          <cell r="G63">
            <v>7000</v>
          </cell>
        </row>
        <row r="64">
          <cell r="B64" t="str">
            <v>Gerente Área Técnica</v>
          </cell>
          <cell r="C64">
            <v>11773.4</v>
          </cell>
          <cell r="D64">
            <v>6677.67</v>
          </cell>
          <cell r="E64">
            <v>3400</v>
          </cell>
          <cell r="F64">
            <v>5000</v>
          </cell>
          <cell r="G64">
            <v>5000</v>
          </cell>
        </row>
        <row r="65">
          <cell r="B65" t="str">
            <v>Gerente Obras Civis</v>
          </cell>
          <cell r="C65">
            <v>16947.98</v>
          </cell>
          <cell r="D65">
            <v>9612.6</v>
          </cell>
          <cell r="E65">
            <v>4080</v>
          </cell>
          <cell r="F65">
            <v>5000</v>
          </cell>
          <cell r="G65">
            <v>5000</v>
          </cell>
        </row>
        <row r="66">
          <cell r="B66" t="str">
            <v>1º Repres. Contratada</v>
          </cell>
          <cell r="C66">
            <v>16947.98</v>
          </cell>
          <cell r="D66">
            <v>9612.6</v>
          </cell>
          <cell r="E66">
            <v>4760</v>
          </cell>
          <cell r="F66">
            <v>10000</v>
          </cell>
          <cell r="G66">
            <v>10000</v>
          </cell>
        </row>
        <row r="67">
          <cell r="B67" t="str">
            <v xml:space="preserve">Inspetor de qualidade </v>
          </cell>
          <cell r="C67">
            <v>4292</v>
          </cell>
          <cell r="D67">
            <v>2434.35</v>
          </cell>
          <cell r="E67">
            <v>1498</v>
          </cell>
          <cell r="F67">
            <v>1498</v>
          </cell>
          <cell r="G67">
            <v>1498</v>
          </cell>
        </row>
        <row r="68">
          <cell r="B68" t="str">
            <v>Laboratorista</v>
          </cell>
          <cell r="C68">
            <v>1187.92</v>
          </cell>
          <cell r="D68">
            <v>673.77</v>
          </cell>
          <cell r="E68">
            <v>749</v>
          </cell>
          <cell r="F68">
            <v>749</v>
          </cell>
          <cell r="G68">
            <v>749</v>
          </cell>
        </row>
        <row r="69">
          <cell r="B69" t="str">
            <v>Médico do Trabalho</v>
          </cell>
          <cell r="C69">
            <v>5252.91</v>
          </cell>
          <cell r="D69">
            <v>2979.36</v>
          </cell>
          <cell r="E69">
            <v>2312</v>
          </cell>
          <cell r="F69">
            <v>2000</v>
          </cell>
          <cell r="G69">
            <v>2312</v>
          </cell>
        </row>
        <row r="70">
          <cell r="B70" t="str">
            <v>Motorista</v>
          </cell>
          <cell r="C70">
            <v>3.67</v>
          </cell>
          <cell r="D70">
            <v>2.08</v>
          </cell>
          <cell r="E70">
            <v>1.56</v>
          </cell>
          <cell r="F70">
            <v>1.5576363636363637</v>
          </cell>
          <cell r="G70">
            <v>1.9</v>
          </cell>
        </row>
        <row r="71">
          <cell r="B71" t="str">
            <v>Pedreiro</v>
          </cell>
          <cell r="C71">
            <v>3.2</v>
          </cell>
          <cell r="D71">
            <v>1.81</v>
          </cell>
          <cell r="E71">
            <v>1.56</v>
          </cell>
          <cell r="F71">
            <v>1.56</v>
          </cell>
          <cell r="G71">
            <v>1.9</v>
          </cell>
        </row>
        <row r="72">
          <cell r="B72" t="str">
            <v>Pintor de Placas</v>
          </cell>
          <cell r="C72">
            <v>1.9</v>
          </cell>
          <cell r="D72">
            <v>1.08</v>
          </cell>
          <cell r="E72">
            <v>1.81</v>
          </cell>
          <cell r="F72">
            <v>1.81</v>
          </cell>
          <cell r="G72">
            <v>1.9</v>
          </cell>
        </row>
        <row r="73">
          <cell r="B73" t="str">
            <v>Porteiro</v>
          </cell>
          <cell r="C73">
            <v>1.89</v>
          </cell>
          <cell r="D73">
            <v>1.07</v>
          </cell>
          <cell r="E73">
            <v>1.01</v>
          </cell>
          <cell r="F73">
            <v>1.01</v>
          </cell>
          <cell r="G73">
            <v>0.94</v>
          </cell>
        </row>
        <row r="74">
          <cell r="B74" t="str">
            <v>Recepcionista</v>
          </cell>
          <cell r="C74">
            <v>497</v>
          </cell>
          <cell r="D74">
            <v>281.89</v>
          </cell>
          <cell r="E74">
            <v>398</v>
          </cell>
          <cell r="F74">
            <v>398</v>
          </cell>
          <cell r="G74">
            <v>398</v>
          </cell>
        </row>
        <row r="75">
          <cell r="B75" t="str">
            <v>Secretária</v>
          </cell>
          <cell r="C75">
            <v>1077.73</v>
          </cell>
          <cell r="D75">
            <v>611.27</v>
          </cell>
          <cell r="E75">
            <v>961</v>
          </cell>
          <cell r="F75">
            <v>961</v>
          </cell>
          <cell r="G75">
            <v>961</v>
          </cell>
        </row>
        <row r="76">
          <cell r="B76" t="str">
            <v>Téc. Seg. do Trabalho</v>
          </cell>
          <cell r="C76">
            <v>1518.46</v>
          </cell>
          <cell r="D76">
            <v>861.24</v>
          </cell>
          <cell r="E76">
            <v>961</v>
          </cell>
          <cell r="F76">
            <v>961</v>
          </cell>
          <cell r="G76">
            <v>961</v>
          </cell>
        </row>
        <row r="77">
          <cell r="B77" t="str">
            <v>Técnico  meio ambiente</v>
          </cell>
          <cell r="C77">
            <v>2389.5</v>
          </cell>
          <cell r="D77">
            <v>1355.28</v>
          </cell>
          <cell r="E77">
            <v>1498</v>
          </cell>
          <cell r="F77">
            <v>1498</v>
          </cell>
          <cell r="G77">
            <v>1498</v>
          </cell>
        </row>
        <row r="78">
          <cell r="B78" t="str">
            <v>Técnico de Enfermagem</v>
          </cell>
          <cell r="C78">
            <v>4.66</v>
          </cell>
          <cell r="D78">
            <v>2.64</v>
          </cell>
          <cell r="E78">
            <v>4.3681818181818182</v>
          </cell>
          <cell r="F78">
            <v>1.5576363636363637</v>
          </cell>
          <cell r="G78">
            <v>4.37</v>
          </cell>
        </row>
        <row r="79">
          <cell r="B79" t="str">
            <v>Auxiliar Enfermagem</v>
          </cell>
          <cell r="F79">
            <v>1.0441363636363636</v>
          </cell>
          <cell r="G79">
            <v>1.68</v>
          </cell>
        </row>
        <row r="80">
          <cell r="B80" t="str">
            <v>Topógrafo II</v>
          </cell>
          <cell r="C80">
            <v>10.69</v>
          </cell>
          <cell r="D80">
            <v>6.06</v>
          </cell>
          <cell r="E80">
            <v>6.8090909090909095</v>
          </cell>
          <cell r="F80">
            <v>6.8090909090909095</v>
          </cell>
          <cell r="G80">
            <v>6.81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composição_playground"/>
      <sheetName val="plan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A3">
            <v>4</v>
          </cell>
        </row>
        <row r="4">
          <cell r="A4">
            <v>4.5</v>
          </cell>
        </row>
        <row r="5">
          <cell r="A5">
            <v>5</v>
          </cell>
        </row>
        <row r="6">
          <cell r="A6">
            <v>5.5</v>
          </cell>
        </row>
        <row r="7">
          <cell r="A7">
            <v>6</v>
          </cell>
        </row>
      </sheetData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"/>
      <sheetName val="Orçamento Sintético"/>
      <sheetName val="CPUs"/>
      <sheetName val="Cronograma"/>
      <sheetName val="MEMORIAL DE CÁLCULO"/>
      <sheetName val="BDI- NAO DESONERAD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B544C-A7F9-4DC3-ADE7-42B06F15D0CB}">
  <dimension ref="A1:M32"/>
  <sheetViews>
    <sheetView showGridLines="0" topLeftCell="A16" zoomScale="120" zoomScaleNormal="120" zoomScaleSheetLayoutView="145" workbookViewId="0">
      <selection activeCell="I23" sqref="I23:J23"/>
    </sheetView>
  </sheetViews>
  <sheetFormatPr defaultColWidth="9.140625" defaultRowHeight="15" x14ac:dyDescent="0.25"/>
  <cols>
    <col min="1" max="1" width="18.5703125" style="1" customWidth="1"/>
    <col min="2" max="2" width="18.28515625" style="1" customWidth="1"/>
    <col min="3" max="3" width="16" style="1" customWidth="1"/>
    <col min="4" max="5" width="10.7109375" style="1" customWidth="1"/>
    <col min="6" max="6" width="18.7109375" style="1" customWidth="1"/>
    <col min="7" max="7" width="9.140625" style="1"/>
    <col min="8" max="8" width="14.5703125" style="1" customWidth="1"/>
    <col min="9" max="9" width="24.7109375" style="1" customWidth="1"/>
    <col min="10" max="10" width="18.85546875" style="1" customWidth="1"/>
    <col min="11" max="11" width="9.140625" style="1"/>
    <col min="12" max="12" width="12.5703125" style="1" customWidth="1"/>
    <col min="13" max="13" width="17.28515625" style="1" bestFit="1" customWidth="1"/>
    <col min="14" max="16384" width="9.140625" style="1"/>
  </cols>
  <sheetData>
    <row r="1" spans="1:10" x14ac:dyDescent="0.25">
      <c r="A1" s="277" t="s">
        <v>2249</v>
      </c>
      <c r="B1" s="278"/>
      <c r="C1" s="278"/>
      <c r="D1" s="278"/>
      <c r="E1" s="278"/>
      <c r="F1" s="278"/>
      <c r="G1" s="278"/>
      <c r="H1" s="278"/>
      <c r="I1" s="278"/>
      <c r="J1" s="279"/>
    </row>
    <row r="2" spans="1:10" x14ac:dyDescent="0.25">
      <c r="A2" s="280"/>
      <c r="B2" s="281"/>
      <c r="C2" s="281"/>
      <c r="D2" s="281"/>
      <c r="E2" s="281"/>
      <c r="F2" s="281"/>
      <c r="G2" s="281"/>
      <c r="H2" s="281"/>
      <c r="I2" s="281"/>
      <c r="J2" s="282"/>
    </row>
    <row r="3" spans="1:10" ht="116.25" customHeight="1" thickBot="1" x14ac:dyDescent="0.3">
      <c r="A3" s="283"/>
      <c r="B3" s="284"/>
      <c r="C3" s="284"/>
      <c r="D3" s="284"/>
      <c r="E3" s="284"/>
      <c r="F3" s="284"/>
      <c r="G3" s="284"/>
      <c r="H3" s="284"/>
      <c r="I3" s="284"/>
      <c r="J3" s="285"/>
    </row>
    <row r="4" spans="1:10" ht="15.75" thickBot="1" x14ac:dyDescent="0.25">
      <c r="A4" s="229"/>
      <c r="B4" s="230"/>
      <c r="C4" s="230"/>
      <c r="D4" s="230"/>
      <c r="E4" s="230"/>
      <c r="F4" s="230"/>
      <c r="G4" s="230"/>
      <c r="H4" s="230"/>
      <c r="I4" s="230"/>
      <c r="J4" s="231"/>
    </row>
    <row r="5" spans="1:10" ht="16.5" thickBot="1" x14ac:dyDescent="0.3">
      <c r="A5" s="286" t="s">
        <v>72</v>
      </c>
      <c r="B5" s="287"/>
      <c r="C5" s="287"/>
      <c r="D5" s="287"/>
      <c r="E5" s="287"/>
      <c r="F5" s="287"/>
      <c r="G5" s="287"/>
      <c r="H5" s="287"/>
      <c r="I5" s="287"/>
      <c r="J5" s="288"/>
    </row>
    <row r="6" spans="1:10" x14ac:dyDescent="0.2">
      <c r="A6" s="257"/>
      <c r="B6" s="258"/>
      <c r="C6" s="258"/>
      <c r="D6" s="258"/>
      <c r="E6" s="258"/>
      <c r="F6" s="258"/>
      <c r="G6" s="258"/>
      <c r="H6" s="258"/>
      <c r="I6" s="258"/>
      <c r="J6" s="259"/>
    </row>
    <row r="7" spans="1:10" ht="15.75" x14ac:dyDescent="0.2">
      <c r="A7" s="232" t="s">
        <v>7</v>
      </c>
      <c r="B7" s="260" t="s">
        <v>2249</v>
      </c>
      <c r="C7" s="261"/>
      <c r="D7" s="261"/>
      <c r="E7" s="261"/>
      <c r="F7" s="261"/>
      <c r="G7" s="261"/>
      <c r="H7" s="261"/>
      <c r="I7" s="261"/>
      <c r="J7" s="233"/>
    </row>
    <row r="8" spans="1:10" ht="15.75" x14ac:dyDescent="0.2">
      <c r="A8" s="232" t="s">
        <v>11</v>
      </c>
      <c r="B8" s="260" t="s">
        <v>2248</v>
      </c>
      <c r="C8" s="261"/>
      <c r="D8" s="261"/>
      <c r="E8" s="261"/>
      <c r="F8" s="261"/>
      <c r="G8" s="261"/>
      <c r="H8" s="261"/>
      <c r="I8" s="261"/>
      <c r="J8" s="233"/>
    </row>
    <row r="9" spans="1:10" ht="15.75" x14ac:dyDescent="0.25">
      <c r="A9" s="232" t="s">
        <v>16</v>
      </c>
      <c r="B9" s="262">
        <f ca="1">TODAY()</f>
        <v>46071</v>
      </c>
      <c r="C9" s="263"/>
      <c r="D9" s="263"/>
      <c r="E9" s="263"/>
      <c r="F9" s="263"/>
      <c r="G9" s="263"/>
      <c r="H9" s="263"/>
      <c r="I9" s="263"/>
      <c r="J9" s="234"/>
    </row>
    <row r="10" spans="1:10" ht="15.75" x14ac:dyDescent="0.25">
      <c r="A10" s="229"/>
      <c r="B10" s="264"/>
      <c r="C10" s="265"/>
      <c r="D10" s="230"/>
      <c r="E10" s="230"/>
      <c r="F10" s="235"/>
      <c r="G10" s="230"/>
      <c r="H10" s="230"/>
      <c r="I10" s="230"/>
      <c r="J10" s="231"/>
    </row>
    <row r="11" spans="1:10" x14ac:dyDescent="0.2">
      <c r="A11" s="229"/>
      <c r="B11" s="230"/>
      <c r="C11" s="230"/>
      <c r="D11" s="230"/>
      <c r="E11" s="230"/>
      <c r="F11" s="235"/>
      <c r="G11" s="230"/>
      <c r="H11" s="230"/>
      <c r="I11" s="230"/>
      <c r="J11" s="231"/>
    </row>
    <row r="12" spans="1:10" x14ac:dyDescent="0.2">
      <c r="A12" s="236" t="s">
        <v>155</v>
      </c>
      <c r="B12" s="230"/>
      <c r="C12" s="230"/>
      <c r="D12" s="230"/>
      <c r="E12" s="230"/>
      <c r="F12" s="230"/>
      <c r="G12" s="235"/>
      <c r="H12" s="230"/>
      <c r="I12" s="230"/>
      <c r="J12" s="231"/>
    </row>
    <row r="13" spans="1:10" x14ac:dyDescent="0.2">
      <c r="A13" s="236" t="s">
        <v>156</v>
      </c>
      <c r="B13" s="230"/>
      <c r="C13" s="230"/>
      <c r="D13" s="230"/>
      <c r="E13" s="230"/>
      <c r="F13" s="230"/>
      <c r="G13" s="230"/>
      <c r="H13" s="230"/>
      <c r="I13" s="230"/>
      <c r="J13" s="231"/>
    </row>
    <row r="14" spans="1:10" x14ac:dyDescent="0.2">
      <c r="A14" s="236" t="s">
        <v>157</v>
      </c>
      <c r="B14" s="230"/>
      <c r="C14" s="230"/>
      <c r="D14" s="230"/>
      <c r="E14" s="230"/>
      <c r="G14" s="230"/>
      <c r="H14" s="230"/>
      <c r="I14" s="230"/>
      <c r="J14" s="231"/>
    </row>
    <row r="15" spans="1:10" x14ac:dyDescent="0.2">
      <c r="A15" s="236" t="s">
        <v>73</v>
      </c>
      <c r="B15" s="230"/>
      <c r="C15" s="230"/>
      <c r="D15" s="230"/>
      <c r="E15" s="230"/>
      <c r="F15" s="230"/>
      <c r="G15" s="230"/>
      <c r="H15" s="230"/>
      <c r="I15" s="230"/>
      <c r="J15" s="231"/>
    </row>
    <row r="16" spans="1:10" x14ac:dyDescent="0.2">
      <c r="A16" s="236" t="s">
        <v>158</v>
      </c>
      <c r="B16" s="230"/>
      <c r="C16" s="230"/>
      <c r="D16" s="230"/>
      <c r="E16" s="230"/>
      <c r="F16" s="230"/>
      <c r="G16" s="230"/>
      <c r="H16" s="230"/>
      <c r="I16" s="230"/>
      <c r="J16" s="231"/>
    </row>
    <row r="17" spans="1:13" x14ac:dyDescent="0.2">
      <c r="A17" s="236" t="s">
        <v>216</v>
      </c>
      <c r="B17" s="230"/>
      <c r="C17" s="230"/>
      <c r="D17" s="230"/>
      <c r="E17" s="230"/>
      <c r="F17" s="230"/>
      <c r="G17" s="230"/>
      <c r="H17" s="230"/>
      <c r="I17" s="230"/>
      <c r="J17" s="231"/>
    </row>
    <row r="18" spans="1:13" x14ac:dyDescent="0.2">
      <c r="A18" s="229" t="s">
        <v>214</v>
      </c>
      <c r="B18" s="230"/>
      <c r="C18" s="230"/>
      <c r="D18" s="230"/>
      <c r="E18" s="230"/>
      <c r="F18" s="230"/>
      <c r="G18" s="230"/>
      <c r="H18" s="230"/>
      <c r="I18" s="230"/>
      <c r="J18" s="231"/>
    </row>
    <row r="19" spans="1:13" x14ac:dyDescent="0.2">
      <c r="A19" s="229" t="s">
        <v>215</v>
      </c>
      <c r="B19" s="230"/>
      <c r="C19" s="230"/>
      <c r="D19" s="230"/>
      <c r="E19" s="230"/>
      <c r="F19" s="230"/>
      <c r="G19" s="230"/>
      <c r="H19" s="230"/>
      <c r="I19" s="230"/>
      <c r="J19" s="231"/>
    </row>
    <row r="20" spans="1:13" x14ac:dyDescent="0.2">
      <c r="A20" s="229"/>
      <c r="B20" s="20"/>
      <c r="C20" s="230"/>
      <c r="D20" s="230"/>
      <c r="E20" s="230"/>
      <c r="F20" s="230"/>
      <c r="G20" s="230"/>
      <c r="H20" s="230"/>
      <c r="I20" s="230"/>
      <c r="J20" s="231"/>
    </row>
    <row r="21" spans="1:13" ht="15.75" x14ac:dyDescent="0.25">
      <c r="A21" s="229"/>
      <c r="B21" s="266"/>
      <c r="C21" s="266"/>
      <c r="D21" s="266"/>
      <c r="E21" s="266"/>
      <c r="F21" s="266"/>
      <c r="G21" s="266"/>
      <c r="H21" s="266"/>
      <c r="I21" s="266"/>
      <c r="J21" s="237"/>
    </row>
    <row r="22" spans="1:13" ht="15.75" x14ac:dyDescent="0.25">
      <c r="A22" s="229"/>
      <c r="B22" s="266"/>
      <c r="C22" s="266"/>
      <c r="D22" s="266"/>
      <c r="E22" s="266"/>
      <c r="F22" s="266"/>
      <c r="G22" s="266"/>
      <c r="H22" s="266"/>
      <c r="I22" s="266"/>
      <c r="J22" s="231"/>
    </row>
    <row r="23" spans="1:13" ht="15.75" customHeight="1" x14ac:dyDescent="0.25">
      <c r="A23" s="229"/>
      <c r="B23" s="266"/>
      <c r="C23" s="266"/>
      <c r="D23" s="266"/>
      <c r="E23" s="266"/>
      <c r="F23" s="266"/>
      <c r="G23" s="266"/>
      <c r="H23" s="266"/>
      <c r="I23" s="289" t="s">
        <v>2256</v>
      </c>
      <c r="J23" s="290"/>
    </row>
    <row r="24" spans="1:13" ht="15.75" customHeight="1" x14ac:dyDescent="0.25">
      <c r="A24" s="229"/>
      <c r="B24" s="266"/>
      <c r="C24"/>
      <c r="D24"/>
      <c r="E24"/>
      <c r="F24"/>
      <c r="G24"/>
      <c r="H24"/>
      <c r="I24"/>
      <c r="J24" s="267"/>
      <c r="K24"/>
    </row>
    <row r="25" spans="1:13" ht="15.75" customHeight="1" x14ac:dyDescent="0.25">
      <c r="A25" s="229"/>
      <c r="B25" s="266"/>
      <c r="C25" s="266"/>
      <c r="D25" s="266"/>
      <c r="E25" s="266"/>
      <c r="F25" s="266"/>
      <c r="G25" s="266"/>
      <c r="H25" s="266"/>
      <c r="I25" s="266"/>
      <c r="J25" s="231"/>
      <c r="M25" s="5"/>
    </row>
    <row r="26" spans="1:13" ht="15.75" customHeight="1" x14ac:dyDescent="0.25">
      <c r="A26" s="229"/>
      <c r="B26" s="266"/>
      <c r="C26" s="266"/>
      <c r="D26" s="266"/>
      <c r="E26" s="266"/>
      <c r="F26" s="266"/>
      <c r="G26" s="266"/>
      <c r="H26" s="266"/>
      <c r="I26" s="266"/>
      <c r="J26" s="231"/>
      <c r="M26" s="5"/>
    </row>
    <row r="27" spans="1:13" ht="15.75" customHeight="1" x14ac:dyDescent="0.25">
      <c r="A27" s="229"/>
      <c r="B27" s="266"/>
      <c r="C27" s="266"/>
      <c r="D27" s="266"/>
      <c r="E27" s="266"/>
      <c r="F27" s="266"/>
      <c r="G27" s="266"/>
      <c r="H27" s="266"/>
      <c r="I27" s="266"/>
      <c r="J27" s="231"/>
      <c r="M27" s="5"/>
    </row>
    <row r="28" spans="1:13" ht="15.75" customHeight="1" x14ac:dyDescent="0.25">
      <c r="A28" s="86"/>
      <c r="B28" s="266"/>
      <c r="C28" s="266"/>
      <c r="D28" s="266"/>
      <c r="E28" s="266"/>
      <c r="F28" s="266"/>
      <c r="G28" s="266"/>
      <c r="H28" s="266"/>
      <c r="I28" s="266"/>
      <c r="J28" s="231"/>
    </row>
    <row r="29" spans="1:13" x14ac:dyDescent="0.25">
      <c r="A29" s="86"/>
      <c r="B29" s="266"/>
      <c r="C29" s="266"/>
      <c r="D29" s="266"/>
      <c r="E29" s="266"/>
      <c r="F29" s="266"/>
      <c r="G29" s="266"/>
      <c r="H29" s="266"/>
      <c r="I29" s="266"/>
      <c r="J29" s="87"/>
    </row>
    <row r="30" spans="1:13" x14ac:dyDescent="0.25">
      <c r="A30" s="86"/>
      <c r="B30" s="266"/>
      <c r="C30" s="266"/>
      <c r="D30" s="266"/>
      <c r="E30" s="266"/>
      <c r="F30" s="266"/>
      <c r="G30" s="266"/>
      <c r="H30" s="266"/>
      <c r="I30" s="266"/>
      <c r="J30" s="87"/>
    </row>
    <row r="31" spans="1:13" x14ac:dyDescent="0.25">
      <c r="A31" s="86"/>
      <c r="B31" s="266"/>
      <c r="C31" s="266"/>
      <c r="D31" s="266"/>
      <c r="E31" s="266"/>
      <c r="F31" s="266"/>
      <c r="G31" s="266"/>
      <c r="H31" s="266"/>
      <c r="I31" s="266"/>
      <c r="J31" s="87"/>
    </row>
    <row r="32" spans="1:13" ht="15.75" thickBot="1" x14ac:dyDescent="0.3">
      <c r="A32" s="83"/>
      <c r="B32" s="268"/>
      <c r="C32" s="268"/>
      <c r="D32" s="268"/>
      <c r="E32" s="268"/>
      <c r="F32" s="268"/>
      <c r="G32" s="268"/>
      <c r="H32" s="268"/>
      <c r="I32" s="268"/>
      <c r="J32" s="85"/>
    </row>
  </sheetData>
  <mergeCells count="3">
    <mergeCell ref="A1:J3"/>
    <mergeCell ref="A5:J5"/>
    <mergeCell ref="I23:J23"/>
  </mergeCells>
  <pageMargins left="0.51181102362204722" right="0.51181102362204722" top="0.78740157480314965" bottom="0.78740157480314965" header="0.31496062992125984" footer="0.31496062992125984"/>
  <pageSetup paperSize="9" scale="70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08D7-9FA7-4B45-994F-D64043FBBA67}">
  <sheetPr>
    <pageSetUpPr fitToPage="1"/>
  </sheetPr>
  <dimension ref="A1:N48"/>
  <sheetViews>
    <sheetView showGridLines="0" tabSelected="1" zoomScale="85" zoomScaleNormal="85" zoomScaleSheetLayoutView="100" workbookViewId="0">
      <selection activeCell="H8" sqref="H8"/>
    </sheetView>
  </sheetViews>
  <sheetFormatPr defaultColWidth="9.140625" defaultRowHeight="15" x14ac:dyDescent="0.2"/>
  <cols>
    <col min="1" max="1" width="24" style="20" customWidth="1"/>
    <col min="2" max="2" width="38.140625" style="20" customWidth="1"/>
    <col min="3" max="3" width="46.85546875" style="20" customWidth="1"/>
    <col min="4" max="4" width="39.42578125" style="20" customWidth="1"/>
    <col min="5" max="5" width="33.5703125" style="20" bestFit="1" customWidth="1"/>
    <col min="6" max="6" width="37.140625" style="20" bestFit="1" customWidth="1"/>
    <col min="7" max="7" width="14.5703125" style="20" bestFit="1" customWidth="1"/>
    <col min="8" max="8" width="22.42578125" style="20" customWidth="1"/>
    <col min="9" max="9" width="9.140625" style="20"/>
    <col min="10" max="10" width="23.42578125" style="20" bestFit="1" customWidth="1"/>
    <col min="11" max="11" width="10.28515625" style="20" bestFit="1" customWidth="1"/>
    <col min="12" max="12" width="9.140625" style="20"/>
    <col min="13" max="13" width="12.5703125" style="20" customWidth="1"/>
    <col min="14" max="14" width="17.28515625" style="20" bestFit="1" customWidth="1"/>
    <col min="15" max="16384" width="9.140625" style="20"/>
  </cols>
  <sheetData>
    <row r="1" spans="1:13" ht="16.5" customHeight="1" x14ac:dyDescent="0.2">
      <c r="A1" s="291" t="str">
        <f>CAPA!A1</f>
        <v>GABINETES DOS VEREADORES DE ARAGARÇAS - GO</v>
      </c>
      <c r="B1" s="292"/>
      <c r="C1" s="292"/>
      <c r="D1" s="292"/>
      <c r="E1" s="292"/>
      <c r="F1" s="293"/>
      <c r="G1" s="53"/>
      <c r="H1" s="1"/>
      <c r="I1" s="1"/>
      <c r="J1" s="21"/>
      <c r="K1" s="21" t="s">
        <v>74</v>
      </c>
      <c r="L1" s="21" t="s">
        <v>75</v>
      </c>
      <c r="M1" s="1"/>
    </row>
    <row r="2" spans="1:13" ht="15" customHeight="1" x14ac:dyDescent="0.2">
      <c r="A2" s="294"/>
      <c r="B2" s="295"/>
      <c r="C2" s="295"/>
      <c r="D2" s="295"/>
      <c r="E2" s="295"/>
      <c r="F2" s="296"/>
      <c r="G2" s="53"/>
      <c r="H2" s="1"/>
      <c r="I2" s="1"/>
      <c r="J2" s="21" t="s">
        <v>76</v>
      </c>
      <c r="K2" s="29">
        <v>0.88470000000000004</v>
      </c>
      <c r="L2" s="29">
        <v>0.48620000000000002</v>
      </c>
      <c r="M2" s="1"/>
    </row>
    <row r="3" spans="1:13" ht="15" customHeight="1" x14ac:dyDescent="0.2">
      <c r="A3" s="294"/>
      <c r="B3" s="295"/>
      <c r="C3" s="295"/>
      <c r="D3" s="295"/>
      <c r="E3" s="295"/>
      <c r="F3" s="296"/>
      <c r="G3" s="53"/>
      <c r="H3" s="1"/>
      <c r="I3" s="1"/>
      <c r="J3" s="21" t="s">
        <v>77</v>
      </c>
      <c r="K3" s="29">
        <v>1.1888000000000001</v>
      </c>
      <c r="L3" s="29">
        <v>0.7268</v>
      </c>
      <c r="M3" s="1"/>
    </row>
    <row r="4" spans="1:13" ht="15" customHeight="1" x14ac:dyDescent="0.2">
      <c r="A4" s="294"/>
      <c r="B4" s="295"/>
      <c r="C4" s="295"/>
      <c r="D4" s="295"/>
      <c r="E4" s="295"/>
      <c r="F4" s="296"/>
      <c r="G4" s="53"/>
      <c r="H4" s="1"/>
      <c r="I4" s="1"/>
      <c r="J4" s="21"/>
      <c r="K4" s="29"/>
      <c r="L4" s="29"/>
      <c r="M4" s="1"/>
    </row>
    <row r="5" spans="1:13" ht="79.5" customHeight="1" thickBot="1" x14ac:dyDescent="0.25">
      <c r="A5" s="294"/>
      <c r="B5" s="295"/>
      <c r="C5" s="295"/>
      <c r="D5" s="295"/>
      <c r="E5" s="295"/>
      <c r="F5" s="296"/>
      <c r="G5" s="53"/>
      <c r="H5" s="1"/>
      <c r="I5" s="1"/>
      <c r="J5" s="21"/>
      <c r="K5" s="29"/>
      <c r="L5" s="29"/>
      <c r="M5" s="1"/>
    </row>
    <row r="6" spans="1:13" ht="15.75" x14ac:dyDescent="0.2">
      <c r="A6" s="269" t="s">
        <v>7</v>
      </c>
      <c r="B6" s="270" t="str">
        <f>CAPA!B7</f>
        <v>GABINETES DOS VEREADORES DE ARAGARÇAS - GO</v>
      </c>
      <c r="C6" s="271"/>
      <c r="D6" s="272"/>
      <c r="E6" s="302" t="s">
        <v>8</v>
      </c>
      <c r="F6" s="273" t="s">
        <v>2250</v>
      </c>
      <c r="G6" s="53"/>
      <c r="H6" s="1"/>
      <c r="I6" s="1"/>
      <c r="J6" s="1"/>
      <c r="K6" s="1"/>
      <c r="L6" s="1"/>
      <c r="M6" s="1"/>
    </row>
    <row r="7" spans="1:13" ht="15.75" x14ac:dyDescent="0.2">
      <c r="A7" s="88" t="s">
        <v>11</v>
      </c>
      <c r="B7" s="30" t="str">
        <f>CAPA!B8</f>
        <v>Rua José de Barros Souza, 09. Setor Centro Administrativo, Aragarças-GO.</v>
      </c>
      <c r="C7" s="28"/>
      <c r="E7" s="303"/>
      <c r="F7" s="227" t="s">
        <v>2252</v>
      </c>
      <c r="G7" s="53"/>
      <c r="H7" s="1"/>
      <c r="I7" s="1"/>
      <c r="J7" s="1"/>
      <c r="K7" s="1"/>
      <c r="L7" s="1"/>
      <c r="M7" s="1"/>
    </row>
    <row r="8" spans="1:13" ht="15.75" x14ac:dyDescent="0.2">
      <c r="A8" s="88" t="s">
        <v>16</v>
      </c>
      <c r="B8" s="262">
        <f ca="1">TODAY()</f>
        <v>46071</v>
      </c>
      <c r="C8" s="28"/>
      <c r="E8" s="303"/>
      <c r="F8" s="227" t="s">
        <v>2251</v>
      </c>
      <c r="G8" s="53"/>
      <c r="H8" s="1"/>
      <c r="I8" s="1"/>
      <c r="J8" s="1"/>
      <c r="K8" s="1"/>
      <c r="L8" s="1"/>
      <c r="M8" s="1"/>
    </row>
    <row r="9" spans="1:13" ht="15.75" x14ac:dyDescent="0.2">
      <c r="A9" s="98"/>
      <c r="C9" s="274"/>
      <c r="E9" s="31" t="s">
        <v>18</v>
      </c>
      <c r="F9" s="227" t="s">
        <v>77</v>
      </c>
      <c r="G9" s="52"/>
      <c r="H9" s="1"/>
      <c r="I9" s="1"/>
      <c r="J9" s="1"/>
      <c r="K9" s="1"/>
      <c r="L9" s="1"/>
      <c r="M9" s="1"/>
    </row>
    <row r="10" spans="1:13" ht="15.75" x14ac:dyDescent="0.2">
      <c r="A10" s="115"/>
      <c r="B10" s="1"/>
      <c r="C10" s="274"/>
      <c r="E10" s="31" t="s">
        <v>55</v>
      </c>
      <c r="F10" s="227">
        <f>'VI-BDI CONSTRUÇÃO'!K49</f>
        <v>0.252</v>
      </c>
      <c r="G10" s="1"/>
      <c r="H10" s="1"/>
      <c r="I10" s="1"/>
      <c r="J10" s="1"/>
      <c r="K10" s="1"/>
      <c r="L10" s="1"/>
      <c r="M10" s="1"/>
    </row>
    <row r="11" spans="1:13" ht="15.75" thickBot="1" x14ac:dyDescent="0.25">
      <c r="A11" s="83"/>
      <c r="B11" s="84"/>
      <c r="C11" s="84"/>
      <c r="D11" s="100"/>
      <c r="E11" s="100"/>
      <c r="F11" s="101"/>
      <c r="G11" s="1"/>
      <c r="H11" s="1"/>
      <c r="I11" s="1"/>
      <c r="J11" s="1"/>
      <c r="K11" s="1"/>
      <c r="L11" s="1"/>
      <c r="M11" s="1"/>
    </row>
    <row r="12" spans="1:13" ht="16.5" thickBot="1" x14ac:dyDescent="0.25">
      <c r="A12" s="304" t="str">
        <f>CAPA!A12</f>
        <v>ANEXO I - RESUMO</v>
      </c>
      <c r="B12" s="305"/>
      <c r="C12" s="305"/>
      <c r="D12" s="305"/>
      <c r="E12" s="305"/>
      <c r="F12" s="306"/>
      <c r="G12" s="1"/>
      <c r="H12" s="1"/>
    </row>
    <row r="13" spans="1:13" ht="31.5" x14ac:dyDescent="0.2">
      <c r="A13" s="32" t="s">
        <v>78</v>
      </c>
      <c r="B13" s="33" t="s">
        <v>79</v>
      </c>
      <c r="C13" s="32" t="s">
        <v>80</v>
      </c>
      <c r="D13" s="32" t="s">
        <v>81</v>
      </c>
      <c r="E13" s="32" t="s">
        <v>82</v>
      </c>
      <c r="F13" s="32" t="s">
        <v>164</v>
      </c>
      <c r="G13" s="1"/>
      <c r="H13" s="1"/>
    </row>
    <row r="14" spans="1:13" ht="15.75" x14ac:dyDescent="0.2">
      <c r="A14" s="34">
        <v>1</v>
      </c>
      <c r="B14" s="35" t="str">
        <f>VLOOKUP(A14,'II-PO'!$A$16:$M$295,5,0)</f>
        <v>ADMINISTRAÇÃO E CONTROLE</v>
      </c>
      <c r="C14" s="36">
        <f>VLOOKUP(A14,'II-PO'!$A$16:$M$295,11,0)</f>
        <v>66474.149999999994</v>
      </c>
      <c r="D14" s="36">
        <f>VLOOKUP(A14,'II-PO'!$A$16:$M$295,12,0)</f>
        <v>16751.48000000001</v>
      </c>
      <c r="E14" s="36">
        <f>C14+D14</f>
        <v>83225.63</v>
      </c>
      <c r="F14" s="51">
        <f t="shared" ref="F14:F18" si="0">E14/$E$34</f>
        <v>6.9120852367066263E-2</v>
      </c>
      <c r="G14" s="37"/>
      <c r="H14" s="37"/>
    </row>
    <row r="15" spans="1:13" ht="30" x14ac:dyDescent="0.2">
      <c r="A15" s="34">
        <v>2</v>
      </c>
      <c r="B15" s="35" t="str">
        <f>VLOOKUP(A15,'II-PO'!$A$16:$M$295,5,0)</f>
        <v>SERVIÇOS PRELIMINARES E CANTEIROS DE OBRAS</v>
      </c>
      <c r="C15" s="36">
        <f>VLOOKUP(A15,'II-PO'!$A$16:$M$295,11,0)</f>
        <v>32405.040000000001</v>
      </c>
      <c r="D15" s="36">
        <f>VLOOKUP(A15,'II-PO'!$A$16:$M$295,12,0)</f>
        <v>8162.3599999999969</v>
      </c>
      <c r="E15" s="36">
        <f t="shared" ref="E15:E18" si="1">C15+D15</f>
        <v>40567.399999999994</v>
      </c>
      <c r="F15" s="51">
        <f t="shared" si="0"/>
        <v>3.3692184322494441E-2</v>
      </c>
      <c r="G15" s="37"/>
    </row>
    <row r="16" spans="1:13" ht="15.75" x14ac:dyDescent="0.2">
      <c r="A16" s="34">
        <v>3</v>
      </c>
      <c r="B16" s="35" t="str">
        <f>VLOOKUP(A16,'II-PO'!$A$16:$M$295,5,0)</f>
        <v>MOVIMENTAÇÃO DE TERRA</v>
      </c>
      <c r="C16" s="36">
        <f>VLOOKUP(A16,'II-PO'!$A$16:$M$295,11,0)</f>
        <v>3979.98</v>
      </c>
      <c r="D16" s="36">
        <f>VLOOKUP(A16,'II-PO'!$A$16:$M$295,12,0)</f>
        <v>997.41000000000008</v>
      </c>
      <c r="E16" s="36">
        <f t="shared" si="1"/>
        <v>4977.3900000000003</v>
      </c>
      <c r="F16" s="51">
        <f t="shared" si="0"/>
        <v>4.1338400125455572E-3</v>
      </c>
      <c r="G16" s="37"/>
    </row>
    <row r="17" spans="1:7" ht="15.75" x14ac:dyDescent="0.2">
      <c r="A17" s="34">
        <v>4</v>
      </c>
      <c r="B17" s="35" t="str">
        <f>VLOOKUP(A17,'II-PO'!$A$16:$M$295,5,0)</f>
        <v>INFRAESTRUTURA</v>
      </c>
      <c r="C17" s="36">
        <f>VLOOKUP(A17,'II-PO'!$A$16:$M$295,11,0)</f>
        <v>75577.510000000009</v>
      </c>
      <c r="D17" s="36">
        <f>VLOOKUP(A17,'II-PO'!$A$16:$M$295,12,0)</f>
        <v>19037.150000000001</v>
      </c>
      <c r="E17" s="36">
        <f t="shared" si="1"/>
        <v>94614.66</v>
      </c>
      <c r="F17" s="51">
        <f t="shared" si="0"/>
        <v>7.8579710909009268E-2</v>
      </c>
      <c r="G17" s="37"/>
    </row>
    <row r="18" spans="1:7" ht="15.75" x14ac:dyDescent="0.2">
      <c r="A18" s="34">
        <v>5</v>
      </c>
      <c r="B18" s="35" t="str">
        <f>VLOOKUP(A18,'II-PO'!$A$16:$M$295,5,0)</f>
        <v>SUPERESTRUTURAS</v>
      </c>
      <c r="C18" s="36">
        <f>VLOOKUP(A18,'II-PO'!$A$16:$M$295,11,0)</f>
        <v>136758.37</v>
      </c>
      <c r="D18" s="36">
        <f>VLOOKUP(A18,'II-PO'!$A$16:$M$295,12,0)</f>
        <v>34450.319999999992</v>
      </c>
      <c r="E18" s="36">
        <f t="shared" si="1"/>
        <v>171208.69</v>
      </c>
      <c r="F18" s="51">
        <f t="shared" si="0"/>
        <v>0.14219286276894286</v>
      </c>
      <c r="G18" s="37"/>
    </row>
    <row r="19" spans="1:7" ht="15.75" x14ac:dyDescent="0.2">
      <c r="A19" s="34">
        <v>6</v>
      </c>
      <c r="B19" s="35" t="str">
        <f>VLOOKUP(A19,'II-PO'!$A$16:$M$295,5,0)</f>
        <v>ALVENARIAS E FECHAMENTOS</v>
      </c>
      <c r="C19" s="36">
        <f>VLOOKUP(A19,'II-PO'!$A$16:$M$295,11,0)</f>
        <v>118377.22</v>
      </c>
      <c r="D19" s="36">
        <f>VLOOKUP(A19,'II-PO'!$A$16:$M$295,12,0)</f>
        <v>29810.979999999996</v>
      </c>
      <c r="E19" s="36">
        <f t="shared" ref="E19:E30" si="2">C19+D19</f>
        <v>148188.20000000001</v>
      </c>
      <c r="F19" s="51">
        <f t="shared" ref="F19:F30" si="3">E19/$E$34</f>
        <v>0.12307380184134729</v>
      </c>
      <c r="G19" s="37"/>
    </row>
    <row r="20" spans="1:7" ht="15.75" x14ac:dyDescent="0.2">
      <c r="A20" s="34">
        <v>7</v>
      </c>
      <c r="B20" s="35" t="str">
        <f>VLOOKUP(A20,'II-PO'!$A$16:$M$295,5,0)</f>
        <v>PISOS</v>
      </c>
      <c r="C20" s="36">
        <f>VLOOKUP(A20,'II-PO'!$A$16:$M$295,11,0)</f>
        <v>91322.72</v>
      </c>
      <c r="D20" s="36">
        <f>VLOOKUP(A20,'II-PO'!$A$16:$M$295,12,0)</f>
        <v>23002.6</v>
      </c>
      <c r="E20" s="36">
        <f t="shared" si="2"/>
        <v>114325.32</v>
      </c>
      <c r="F20" s="51">
        <f t="shared" si="3"/>
        <v>9.4949879809111778E-2</v>
      </c>
      <c r="G20" s="37"/>
    </row>
    <row r="21" spans="1:7" ht="15.75" x14ac:dyDescent="0.2">
      <c r="A21" s="34">
        <v>8</v>
      </c>
      <c r="B21" s="35" t="str">
        <f>VLOOKUP(A21,'II-PO'!$A$16:$M$295,5,0)</f>
        <v>IMPERMEABILIZAÇÃO</v>
      </c>
      <c r="C21" s="36">
        <f>VLOOKUP(A21,'II-PO'!$A$16:$M$295,11,0)</f>
        <v>11059.03</v>
      </c>
      <c r="D21" s="36">
        <f>VLOOKUP(A21,'II-PO'!$A$16:$M$295,12,0)</f>
        <v>2786.5299999999988</v>
      </c>
      <c r="E21" s="36">
        <f t="shared" si="2"/>
        <v>13845.56</v>
      </c>
      <c r="F21" s="51">
        <f t="shared" si="3"/>
        <v>1.1499064755645079E-2</v>
      </c>
      <c r="G21" s="37"/>
    </row>
    <row r="22" spans="1:7" ht="15.75" x14ac:dyDescent="0.2">
      <c r="A22" s="34">
        <v>9</v>
      </c>
      <c r="B22" s="35" t="str">
        <f>VLOOKUP(A22,'II-PO'!$A$16:$M$295,5,0)</f>
        <v>ESQUADRIAS</v>
      </c>
      <c r="C22" s="36">
        <f>VLOOKUP(A22,'II-PO'!$A$16:$M$295,11,0)</f>
        <v>49495.72</v>
      </c>
      <c r="D22" s="36">
        <f>VLOOKUP(A22,'II-PO'!$A$16:$M$295,12,0)</f>
        <v>12472.6</v>
      </c>
      <c r="E22" s="36">
        <f t="shared" si="2"/>
        <v>61968.32</v>
      </c>
      <c r="F22" s="51">
        <f t="shared" si="3"/>
        <v>5.1466154094058754E-2</v>
      </c>
      <c r="G22" s="37"/>
    </row>
    <row r="23" spans="1:7" ht="15.75" x14ac:dyDescent="0.2">
      <c r="A23" s="34">
        <v>10</v>
      </c>
      <c r="B23" s="35" t="str">
        <f>VLOOKUP(A23,'II-PO'!$A$16:$M$295,5,0)</f>
        <v>PINTURA</v>
      </c>
      <c r="C23" s="36">
        <f>VLOOKUP(A23,'II-PO'!$A$16:$M$295,11,0)</f>
        <v>53827.11</v>
      </c>
      <c r="D23" s="36">
        <f>VLOOKUP(A23,'II-PO'!$A$16:$M$295,12,0)</f>
        <v>13538.54</v>
      </c>
      <c r="E23" s="36">
        <f t="shared" si="2"/>
        <v>67365.649999999994</v>
      </c>
      <c r="F23" s="51">
        <f t="shared" si="3"/>
        <v>5.5948764199940049E-2</v>
      </c>
      <c r="G23" s="37"/>
    </row>
    <row r="24" spans="1:7" ht="15.75" x14ac:dyDescent="0.2">
      <c r="A24" s="34">
        <v>11</v>
      </c>
      <c r="B24" s="35" t="str">
        <f>VLOOKUP(A24,'II-PO'!$A$16:$M$295,5,0)</f>
        <v>COBERTURA</v>
      </c>
      <c r="C24" s="36">
        <f>VLOOKUP(A24,'II-PO'!$A$16:$M$295,11,0)</f>
        <v>129502.73999999999</v>
      </c>
      <c r="D24" s="36">
        <f>VLOOKUP(A24,'II-PO'!$A$16:$M$295,12,0)</f>
        <v>32633.610000000008</v>
      </c>
      <c r="E24" s="36">
        <f t="shared" si="2"/>
        <v>162136.35</v>
      </c>
      <c r="F24" s="51">
        <f t="shared" si="3"/>
        <v>0.13465807001623156</v>
      </c>
      <c r="G24" s="37"/>
    </row>
    <row r="25" spans="1:7" ht="15.75" x14ac:dyDescent="0.2">
      <c r="A25" s="34">
        <v>12</v>
      </c>
      <c r="B25" s="35" t="str">
        <f>VLOOKUP(A25,'II-PO'!$A$16:$M$295,5,0)</f>
        <v>FORRO</v>
      </c>
      <c r="C25" s="36">
        <f>VLOOKUP(A25,'II-PO'!$A$16:$M$295,11,0)</f>
        <v>59904.56</v>
      </c>
      <c r="D25" s="36">
        <f>VLOOKUP(A25,'II-PO'!$A$16:$M$295,12,0)</f>
        <v>15082.630000000003</v>
      </c>
      <c r="E25" s="36">
        <f t="shared" si="2"/>
        <v>74987.19</v>
      </c>
      <c r="F25" s="51">
        <f t="shared" si="3"/>
        <v>6.2278633269716881E-2</v>
      </c>
      <c r="G25" s="37"/>
    </row>
    <row r="26" spans="1:7" ht="15.75" x14ac:dyDescent="0.2">
      <c r="A26" s="34">
        <v>13</v>
      </c>
      <c r="B26" s="35" t="str">
        <f>VLOOKUP(A26,'II-PO'!$A$16:$M$295,5,0)</f>
        <v>HIDROSSANITÁRIO</v>
      </c>
      <c r="C26" s="36">
        <f>VLOOKUP(A26,'II-PO'!$A$16:$M$295,11,0)</f>
        <v>30508.490000000005</v>
      </c>
      <c r="D26" s="36">
        <f>VLOOKUP(A26,'II-PO'!$A$16:$M$295,12,0)</f>
        <v>7685.5600000000013</v>
      </c>
      <c r="E26" s="36">
        <f t="shared" si="2"/>
        <v>38194.050000000003</v>
      </c>
      <c r="F26" s="51">
        <f t="shared" si="3"/>
        <v>3.1721061064366195E-2</v>
      </c>
      <c r="G26" s="37"/>
    </row>
    <row r="27" spans="1:7" ht="15.75" x14ac:dyDescent="0.2">
      <c r="A27" s="34">
        <v>14</v>
      </c>
      <c r="B27" s="35" t="str">
        <f>VLOOKUP(A27,'II-PO'!$A$16:$M$295,5,0)</f>
        <v>ELÉTRICO</v>
      </c>
      <c r="C27" s="36">
        <f>VLOOKUP(A27,'II-PO'!$A$16:$M$295,11,0)</f>
        <v>37661.949999999997</v>
      </c>
      <c r="D27" s="36">
        <f>VLOOKUP(A27,'II-PO'!$A$16:$M$295,12,0)</f>
        <v>9470.2599999999984</v>
      </c>
      <c r="E27" s="36">
        <f t="shared" si="2"/>
        <v>47132.209999999992</v>
      </c>
      <c r="F27" s="51">
        <f t="shared" si="3"/>
        <v>3.9144414156355001E-2</v>
      </c>
      <c r="G27" s="37"/>
    </row>
    <row r="28" spans="1:7" ht="15.75" x14ac:dyDescent="0.2">
      <c r="A28" s="34">
        <v>15</v>
      </c>
      <c r="B28" s="35" t="str">
        <f>VLOOKUP(A28,'II-PO'!$A$16:$M$295,5,0)</f>
        <v>FACHADA</v>
      </c>
      <c r="C28" s="36">
        <f>VLOOKUP(A28,'II-PO'!$A$16:$M$295,11,0)</f>
        <v>51918.2</v>
      </c>
      <c r="D28" s="36">
        <f>VLOOKUP(A28,'II-PO'!$A$16:$M$295,12,0)</f>
        <v>13082.770000000004</v>
      </c>
      <c r="E28" s="36">
        <f t="shared" si="2"/>
        <v>65000.97</v>
      </c>
      <c r="F28" s="51">
        <f t="shared" si="3"/>
        <v>5.3984841581687065E-2</v>
      </c>
      <c r="G28" s="37"/>
    </row>
    <row r="29" spans="1:7" ht="15.75" x14ac:dyDescent="0.2">
      <c r="A29" s="34">
        <v>16</v>
      </c>
      <c r="B29" s="35" t="str">
        <f>VLOOKUP(A29,'II-PO'!$A$16:$M$295,5,0)</f>
        <v>JARDINAGEM</v>
      </c>
      <c r="C29" s="36">
        <f>VLOOKUP(A29,'II-PO'!$A$16:$M$295,11,0)</f>
        <v>6487.92</v>
      </c>
      <c r="D29" s="36">
        <f>VLOOKUP(A29,'II-PO'!$A$16:$M$295,12,0)</f>
        <v>1634.8499999999997</v>
      </c>
      <c r="E29" s="36">
        <f t="shared" si="2"/>
        <v>8122.7699999999995</v>
      </c>
      <c r="F29" s="51">
        <f t="shared" si="3"/>
        <v>6.7461524290249857E-3</v>
      </c>
      <c r="G29" s="37"/>
    </row>
    <row r="30" spans="1:7" ht="30" x14ac:dyDescent="0.2">
      <c r="A30" s="34">
        <v>17</v>
      </c>
      <c r="B30" s="35" t="str">
        <f>VLOOKUP(A30,'II-PO'!$A$16:$M$295,5,0)</f>
        <v>FINALIZAÇÃO E LIMPEZA DE OBRA</v>
      </c>
      <c r="C30" s="36">
        <f>VLOOKUP(A30,'II-PO'!$A$16:$M$295,11,0)</f>
        <v>6567.19</v>
      </c>
      <c r="D30" s="36">
        <f>VLOOKUP(A30,'II-PO'!$A$16:$M$295,12,0)</f>
        <v>1632.1100000000004</v>
      </c>
      <c r="E30" s="36">
        <f t="shared" si="2"/>
        <v>8199.2999999999993</v>
      </c>
      <c r="F30" s="51">
        <f t="shared" si="3"/>
        <v>6.8097124024568672E-3</v>
      </c>
      <c r="G30" s="37"/>
    </row>
    <row r="31" spans="1:7" ht="15.75" thickBot="1" x14ac:dyDescent="0.25">
      <c r="A31" s="1"/>
      <c r="B31" s="1"/>
      <c r="C31" s="1"/>
      <c r="D31" s="1"/>
      <c r="E31" s="1"/>
      <c r="F31" s="1"/>
    </row>
    <row r="32" spans="1:7" ht="16.5" thickBot="1" x14ac:dyDescent="0.25">
      <c r="A32" s="299" t="s">
        <v>83</v>
      </c>
      <c r="B32" s="300"/>
      <c r="C32" s="300"/>
      <c r="D32" s="301"/>
      <c r="E32" s="82">
        <f>SUM(C14:C30)</f>
        <v>961827.89999999979</v>
      </c>
      <c r="G32" s="72"/>
    </row>
    <row r="33" spans="1:14" ht="16.5" thickBot="1" x14ac:dyDescent="0.25">
      <c r="A33" s="299" t="s">
        <v>84</v>
      </c>
      <c r="B33" s="300"/>
      <c r="C33" s="300"/>
      <c r="D33" s="301"/>
      <c r="E33" s="82">
        <f>SUM(D14:D30)</f>
        <v>242231.76000000004</v>
      </c>
    </row>
    <row r="34" spans="1:14" ht="16.5" thickBot="1" x14ac:dyDescent="0.25">
      <c r="A34" s="299" t="s">
        <v>85</v>
      </c>
      <c r="B34" s="300"/>
      <c r="C34" s="300"/>
      <c r="D34" s="301"/>
      <c r="E34" s="82">
        <f>SUM(E14:E30)</f>
        <v>1204059.6600000001</v>
      </c>
    </row>
    <row r="38" spans="1:14" ht="15.75" x14ac:dyDescent="0.2">
      <c r="E38" s="297" t="s">
        <v>2256</v>
      </c>
      <c r="F38" s="298"/>
    </row>
    <row r="43" spans="1:14" x14ac:dyDescent="0.2">
      <c r="N43" s="27"/>
    </row>
    <row r="44" spans="1:14" x14ac:dyDescent="0.2">
      <c r="N44" s="27"/>
    </row>
    <row r="46" spans="1:14" x14ac:dyDescent="0.2">
      <c r="C46" s="27"/>
      <c r="F46" s="39"/>
    </row>
    <row r="47" spans="1:14" x14ac:dyDescent="0.2">
      <c r="C47" s="27"/>
    </row>
    <row r="48" spans="1:14" x14ac:dyDescent="0.2">
      <c r="C48" s="27"/>
    </row>
  </sheetData>
  <mergeCells count="7">
    <mergeCell ref="A1:F5"/>
    <mergeCell ref="E38:F38"/>
    <mergeCell ref="A34:D34"/>
    <mergeCell ref="E6:E8"/>
    <mergeCell ref="A12:F12"/>
    <mergeCell ref="A32:D32"/>
    <mergeCell ref="A33:D33"/>
  </mergeCells>
  <pageMargins left="0.51181102362204722" right="0.51181102362204722" top="0.78740157480314965" bottom="0.78740157480314965" header="0.31496062992125984" footer="0.31496062992125984"/>
  <pageSetup paperSize="9" scale="62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FE8A4-3713-4013-ADFB-220F4E99489A}">
  <sheetPr>
    <pageSetUpPr fitToPage="1"/>
  </sheetPr>
  <dimension ref="A1:N307"/>
  <sheetViews>
    <sheetView showGridLines="0" topLeftCell="A28" zoomScale="85" zoomScaleNormal="85" zoomScaleSheetLayoutView="85" workbookViewId="0">
      <selection activeCell="A17" sqref="A17:G295"/>
    </sheetView>
  </sheetViews>
  <sheetFormatPr defaultColWidth="9.140625" defaultRowHeight="15" x14ac:dyDescent="0.2"/>
  <cols>
    <col min="1" max="1" width="12.42578125" style="20" customWidth="1"/>
    <col min="2" max="2" width="15.140625" style="20" customWidth="1"/>
    <col min="3" max="3" width="11.42578125" style="20" bestFit="1" customWidth="1"/>
    <col min="4" max="4" width="14" style="20" bestFit="1" customWidth="1"/>
    <col min="5" max="5" width="50.140625" style="20" customWidth="1"/>
    <col min="6" max="6" width="19" style="20" bestFit="1" customWidth="1"/>
    <col min="7" max="7" width="9.85546875" style="20" bestFit="1" customWidth="1"/>
    <col min="8" max="8" width="9.28515625" style="20" bestFit="1" customWidth="1"/>
    <col min="9" max="9" width="21" style="20" bestFit="1" customWidth="1"/>
    <col min="10" max="10" width="20.28515625" style="20" bestFit="1" customWidth="1"/>
    <col min="11" max="11" width="24.28515625" style="20" bestFit="1" customWidth="1"/>
    <col min="12" max="12" width="18.5703125" style="20" bestFit="1" customWidth="1"/>
    <col min="13" max="13" width="21" style="20" bestFit="1" customWidth="1"/>
    <col min="14" max="14" width="19.28515625" style="20" bestFit="1" customWidth="1"/>
    <col min="15" max="15" width="18.42578125" style="20" bestFit="1" customWidth="1"/>
    <col min="16" max="16" width="20.42578125" style="20" bestFit="1" customWidth="1"/>
    <col min="17" max="16384" width="9.140625" style="20"/>
  </cols>
  <sheetData>
    <row r="1" spans="1:13" ht="16.5" customHeight="1" x14ac:dyDescent="0.2">
      <c r="A1" s="291" t="str">
        <f>'I-RESUMO'!A1</f>
        <v>GABINETES DOS VEREADORES DE ARAGARÇAS - GO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3"/>
    </row>
    <row r="2" spans="1:13" ht="15" customHeight="1" x14ac:dyDescent="0.2">
      <c r="A2" s="294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6"/>
    </row>
    <row r="3" spans="1:13" ht="15" customHeight="1" x14ac:dyDescent="0.2">
      <c r="A3" s="294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6"/>
    </row>
    <row r="4" spans="1:13" ht="15" customHeight="1" x14ac:dyDescent="0.2">
      <c r="A4" s="294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6"/>
    </row>
    <row r="5" spans="1:13" ht="15" customHeight="1" x14ac:dyDescent="0.2">
      <c r="A5" s="294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6"/>
    </row>
    <row r="6" spans="1:13" ht="15" customHeight="1" x14ac:dyDescent="0.2">
      <c r="A6" s="294"/>
      <c r="B6" s="295"/>
      <c r="C6" s="295"/>
      <c r="D6" s="295"/>
      <c r="E6" s="295"/>
      <c r="F6" s="295"/>
      <c r="G6" s="295"/>
      <c r="H6" s="295"/>
      <c r="I6" s="295"/>
      <c r="J6" s="295"/>
      <c r="K6" s="295"/>
      <c r="L6" s="295"/>
      <c r="M6" s="296"/>
    </row>
    <row r="7" spans="1:13" ht="15" customHeight="1" x14ac:dyDescent="0.2">
      <c r="A7" s="294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6"/>
    </row>
    <row r="8" spans="1:13" ht="15" customHeight="1" x14ac:dyDescent="0.2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6"/>
    </row>
    <row r="9" spans="1:13" ht="15" customHeight="1" thickBot="1" x14ac:dyDescent="0.25">
      <c r="A9" s="312"/>
      <c r="B9" s="313"/>
      <c r="C9" s="313"/>
      <c r="D9" s="313"/>
      <c r="E9" s="313"/>
      <c r="F9" s="313"/>
      <c r="G9" s="313"/>
      <c r="H9" s="313"/>
      <c r="I9" s="313"/>
      <c r="J9" s="313"/>
      <c r="K9" s="313"/>
      <c r="L9" s="313"/>
      <c r="M9" s="314"/>
    </row>
    <row r="10" spans="1:13" ht="15.75" x14ac:dyDescent="0.2">
      <c r="A10" s="88" t="s">
        <v>7</v>
      </c>
      <c r="B10" s="30" t="str">
        <f>'I-RESUMO'!$B$6</f>
        <v>GABINETES DOS VEREADORES DE ARAGARÇAS - GO</v>
      </c>
      <c r="C10" s="1"/>
      <c r="D10" s="1"/>
      <c r="E10" s="89"/>
      <c r="F10" s="1"/>
      <c r="G10" s="3"/>
      <c r="H10" s="1"/>
      <c r="I10" s="1"/>
      <c r="J10" s="1"/>
      <c r="K10" s="302" t="s">
        <v>8</v>
      </c>
      <c r="L10" s="307" t="str">
        <f>'I-RESUMO'!F6</f>
        <v>SINAPI GO 9/2025</v>
      </c>
      <c r="M10" s="308"/>
    </row>
    <row r="11" spans="1:13" ht="15.75" x14ac:dyDescent="0.2">
      <c r="A11" s="88" t="s">
        <v>11</v>
      </c>
      <c r="B11" s="30" t="str">
        <f>'I-RESUMO'!$B$7</f>
        <v>Rua José de Barros Souza, 09. Setor Centro Administrativo, Aragarças-GO.</v>
      </c>
      <c r="C11" s="1"/>
      <c r="D11" s="1"/>
      <c r="E11" s="89"/>
      <c r="F11" s="1"/>
      <c r="G11" s="3"/>
      <c r="H11" s="1"/>
      <c r="I11" s="1"/>
      <c r="J11" s="1"/>
      <c r="K11" s="303"/>
      <c r="L11" s="309" t="str">
        <f>'I-RESUMO'!F7</f>
        <v>GOINFRA CIVIL (AGETOP) 8/2025</v>
      </c>
      <c r="M11" s="310"/>
    </row>
    <row r="12" spans="1:13" ht="15.75" x14ac:dyDescent="0.2">
      <c r="A12" s="88" t="s">
        <v>16</v>
      </c>
      <c r="B12" s="90">
        <f ca="1">TODAY()</f>
        <v>46071</v>
      </c>
      <c r="C12" s="1"/>
      <c r="D12" s="1"/>
      <c r="E12" s="89"/>
      <c r="F12" s="1"/>
      <c r="G12" s="3"/>
      <c r="H12" s="1"/>
      <c r="I12" s="1"/>
      <c r="J12" s="1"/>
      <c r="K12" s="303"/>
      <c r="L12" s="311" t="str">
        <f>'I-RESUMO'!F8</f>
        <v>SICRO3 GO 7/2025</v>
      </c>
      <c r="M12" s="311"/>
    </row>
    <row r="13" spans="1:13" ht="15.75" x14ac:dyDescent="0.2">
      <c r="A13" s="88"/>
      <c r="B13" s="90"/>
      <c r="C13" s="1"/>
      <c r="D13" s="1"/>
      <c r="E13" s="89"/>
      <c r="F13" s="1"/>
      <c r="G13" s="3"/>
      <c r="H13" s="1"/>
      <c r="I13" s="1"/>
      <c r="J13" s="1"/>
      <c r="K13" s="31" t="s">
        <v>18</v>
      </c>
      <c r="L13" s="317" t="str">
        <f>'I-RESUMO'!$F$9</f>
        <v>NÃO DESONERADO</v>
      </c>
      <c r="M13" s="318"/>
    </row>
    <row r="14" spans="1:13" ht="31.5" x14ac:dyDescent="0.2">
      <c r="A14" s="86"/>
      <c r="B14" s="1"/>
      <c r="C14" s="1"/>
      <c r="D14" s="1"/>
      <c r="E14" s="89"/>
      <c r="F14" s="1"/>
      <c r="G14" s="3"/>
      <c r="H14" s="1"/>
      <c r="I14" s="1"/>
      <c r="J14" s="1"/>
      <c r="K14" s="31" t="s">
        <v>55</v>
      </c>
      <c r="L14" s="315">
        <f>'VI-BDI CONSTRUÇÃO'!K49</f>
        <v>0.252</v>
      </c>
      <c r="M14" s="316"/>
    </row>
    <row r="15" spans="1:13" ht="15.75" thickBot="1" x14ac:dyDescent="0.25">
      <c r="A15" s="86"/>
      <c r="B15" s="1"/>
      <c r="C15" s="1"/>
      <c r="D15" s="1"/>
      <c r="E15" s="89"/>
      <c r="F15" s="1"/>
      <c r="G15" s="3"/>
      <c r="H15" s="1"/>
      <c r="I15" s="1"/>
      <c r="J15" s="1"/>
      <c r="M15" s="91"/>
    </row>
    <row r="16" spans="1:13" ht="16.5" thickBot="1" x14ac:dyDescent="0.25">
      <c r="A16" s="319" t="str">
        <f>CAPA!A13</f>
        <v>ANEXO II - PLANILHA ORÇAMENTÁRIA</v>
      </c>
      <c r="B16" s="320"/>
      <c r="C16" s="320"/>
      <c r="D16" s="320"/>
      <c r="E16" s="320"/>
      <c r="F16" s="320"/>
      <c r="G16" s="320"/>
      <c r="H16" s="320"/>
      <c r="I16" s="320"/>
      <c r="J16" s="320"/>
      <c r="K16" s="320"/>
      <c r="L16" s="320"/>
      <c r="M16" s="321"/>
    </row>
    <row r="17" spans="1:14" ht="15.75" x14ac:dyDescent="0.2">
      <c r="A17" s="92" t="s">
        <v>86</v>
      </c>
      <c r="B17" s="54" t="s">
        <v>87</v>
      </c>
      <c r="C17" s="54" t="s">
        <v>88</v>
      </c>
      <c r="D17" s="54" t="s">
        <v>65</v>
      </c>
      <c r="E17" s="54" t="s">
        <v>67</v>
      </c>
      <c r="F17" s="54" t="s">
        <v>89</v>
      </c>
      <c r="G17" s="55" t="s">
        <v>69</v>
      </c>
      <c r="H17" s="55" t="s">
        <v>90</v>
      </c>
      <c r="I17" s="56" t="s">
        <v>91</v>
      </c>
      <c r="J17" s="54" t="s">
        <v>92</v>
      </c>
      <c r="K17" s="54" t="s">
        <v>93</v>
      </c>
      <c r="L17" s="54" t="s">
        <v>94</v>
      </c>
      <c r="M17" s="93" t="s">
        <v>95</v>
      </c>
    </row>
    <row r="18" spans="1:14" ht="15.75" x14ac:dyDescent="0.2">
      <c r="A18" s="94">
        <v>1</v>
      </c>
      <c r="B18" s="40"/>
      <c r="C18" s="40"/>
      <c r="D18" s="40"/>
      <c r="E18" s="40" t="s">
        <v>96</v>
      </c>
      <c r="F18" s="40"/>
      <c r="G18" s="40"/>
      <c r="H18" s="41"/>
      <c r="I18" s="42"/>
      <c r="J18" s="42"/>
      <c r="K18" s="42">
        <f>K19</f>
        <v>66474.149999999994</v>
      </c>
      <c r="L18" s="42">
        <f>L19</f>
        <v>16751.48000000001</v>
      </c>
      <c r="M18" s="95">
        <f>M19</f>
        <v>83225.63</v>
      </c>
      <c r="N18" s="37"/>
    </row>
    <row r="19" spans="1:14" ht="30" x14ac:dyDescent="0.2">
      <c r="A19" s="96" t="s">
        <v>97</v>
      </c>
      <c r="B19" s="35" t="str" cm="1">
        <f t="array" ref="B19">INDEX('III-PA'!$B$18:$B$2661,1+MATCH(_xlfn.CONCAT(" ",'II-PO'!A19," "),'III-PA'!$A$18:$A$2661,0))</f>
        <v xml:space="preserve"> COMP CIVIL 01 </v>
      </c>
      <c r="C19" s="35" t="str" cm="1">
        <f t="array" ref="C19">INDEX('III-PA'!$C$18:$C$2661,1+MATCH(_xlfn.CONCAT(" ",A19," "),'III-PA'!$A$18:$A$2661,0))</f>
        <v>Próprio</v>
      </c>
      <c r="D19" s="35" t="str" cm="1">
        <f t="array" ref="D19">INDEX('III-PA'!$A$18:$A$2661,1+MATCH(_xlfn.CONCAT(" ",A19," "),'III-PA'!$A$18:$A$2661,0))</f>
        <v>Composição</v>
      </c>
      <c r="E19" s="35" t="str" cm="1">
        <f t="array" ref="E19">INDEX('III-PA'!$D$18:$D$2661,1+MATCH(_xlfn.CONCAT(" ",A19," "),'III-PA'!$A$18:$A$2661,0))</f>
        <v>ADMINISTRAÇÃO LOCAL DA OBRA</v>
      </c>
      <c r="F19" s="35" t="str" cm="1">
        <f t="array" ref="F19">INDEX('III-PA'!$G$18:$G$2661,1+MATCH(_xlfn.CONCAT(" ",A19," "),'III-PA'!$A$18:$A$2661,0))</f>
        <v>%CT</v>
      </c>
      <c r="G19" s="50">
        <f>VLOOKUP(A19,'IV-MEMORIAL'!$A$17:$N$2203,14,0)</f>
        <v>1</v>
      </c>
      <c r="H19" s="51">
        <f>$L$14</f>
        <v>0.252</v>
      </c>
      <c r="I19" s="36" cm="1">
        <f t="array" ref="I19">INDEX('III-PA'!$I$18:$I$2661,1+MATCH(_xlfn.CONCAT(" ",A19," "),'III-PA'!$A$18:$A$2661,0))</f>
        <v>66474.149999999994</v>
      </c>
      <c r="J19" s="36">
        <f>TRUNC(I19*(1+H19),2)</f>
        <v>83225.63</v>
      </c>
      <c r="K19" s="36">
        <f>TRUNC(I19*G19,2)</f>
        <v>66474.149999999994</v>
      </c>
      <c r="L19" s="36">
        <f>M19-K19</f>
        <v>16751.48000000001</v>
      </c>
      <c r="M19" s="97">
        <f>TRUNC(G19*J19,2)</f>
        <v>83225.63</v>
      </c>
    </row>
    <row r="20" spans="1:14" ht="15.75" x14ac:dyDescent="0.2">
      <c r="A20" s="94">
        <v>2</v>
      </c>
      <c r="B20" s="40"/>
      <c r="C20" s="40"/>
      <c r="D20" s="40"/>
      <c r="E20" s="40" t="s">
        <v>218</v>
      </c>
      <c r="F20" s="40"/>
      <c r="G20" s="40"/>
      <c r="H20" s="41"/>
      <c r="I20" s="42"/>
      <c r="J20" s="42"/>
      <c r="K20" s="42">
        <f>SUM(K21:K27)</f>
        <v>32405.040000000001</v>
      </c>
      <c r="L20" s="42">
        <f t="shared" ref="L20:M20" si="0">SUM(L21:L27)</f>
        <v>8162.3599999999969</v>
      </c>
      <c r="M20" s="42">
        <f t="shared" si="0"/>
        <v>40567.399999999994</v>
      </c>
    </row>
    <row r="21" spans="1:14" ht="45" x14ac:dyDescent="0.2">
      <c r="A21" s="96" t="s">
        <v>98</v>
      </c>
      <c r="B21" s="35" t="str" cm="1">
        <f t="array" ref="B21">INDEX('III-PA'!$B$18:$B$2661,1+MATCH(_xlfn.CONCAT(" ",'II-PO'!A21," "),'III-PA'!$A$18:$A$2661,0))</f>
        <v xml:space="preserve"> 103689 </v>
      </c>
      <c r="C21" s="35" t="str" cm="1">
        <f t="array" ref="C21">INDEX('III-PA'!$C$18:$C$2661,1+MATCH(_xlfn.CONCAT(" ",A21," "),'III-PA'!$A$18:$A$2661,0))</f>
        <v>SINAPI</v>
      </c>
      <c r="D21" s="35" t="str" cm="1">
        <f t="array" ref="D21">INDEX('III-PA'!$A$18:$A$2661,1+MATCH(_xlfn.CONCAT(" ",A21," "),'III-PA'!$A$18:$A$2661,0))</f>
        <v>Composição</v>
      </c>
      <c r="E21" s="35" t="str" cm="1">
        <f t="array" ref="E21">INDEX('III-PA'!$D$18:$D$2661,1+MATCH(_xlfn.CONCAT(" ",A21," "),'III-PA'!$A$18:$A$2661,0))</f>
        <v>FORNECIMENTO E INSTALAÇÃO DE PLACA DE OBRA COM CHAPA GALVANIZADA E ESTRUTURA DE MADEIRA. AF_03/2022_PS</v>
      </c>
      <c r="F21" s="35" t="str" cm="1">
        <f t="array" ref="F21">INDEX('III-PA'!$G$18:$G$2661,1+MATCH(_xlfn.CONCAT(" ",A21," "),'III-PA'!$A$18:$A$2661,0))</f>
        <v>m²</v>
      </c>
      <c r="G21" s="50">
        <f>VLOOKUP(A21,'IV-MEMORIAL'!$A$17:$N$2203,14,0)</f>
        <v>4.5</v>
      </c>
      <c r="H21" s="51">
        <f>$L$14</f>
        <v>0.252</v>
      </c>
      <c r="I21" s="36" cm="1">
        <f t="array" ref="I21">INDEX('III-PA'!$I$18:$I$2661,1+MATCH(_xlfn.CONCAT(" ",A21," "),'III-PA'!$A$18:$A$2661,0))</f>
        <v>465.73</v>
      </c>
      <c r="J21" s="36">
        <f>TRUNC(I21*(1+H21),2)</f>
        <v>583.09</v>
      </c>
      <c r="K21" s="36">
        <f>TRUNC(I21*G21,2)</f>
        <v>2095.7800000000002</v>
      </c>
      <c r="L21" s="36">
        <f>M21-K21</f>
        <v>528.11999999999989</v>
      </c>
      <c r="M21" s="97">
        <f>TRUNC(G21*J21,2)</f>
        <v>2623.9</v>
      </c>
    </row>
    <row r="22" spans="1:14" ht="90" x14ac:dyDescent="0.2">
      <c r="A22" s="96" t="s">
        <v>99</v>
      </c>
      <c r="B22" s="35" t="str" cm="1">
        <f t="array" ref="B22">INDEX('III-PA'!$B$18:$B$2661,1+MATCH(_xlfn.CONCAT(" ",'II-PO'!A22," "),'III-PA'!$A$18:$A$2661,0))</f>
        <v xml:space="preserve"> 020231 </v>
      </c>
      <c r="C22" s="35" t="str" cm="1">
        <f t="array" ref="C22">INDEX('III-PA'!$C$18:$C$2661,1+MATCH(_xlfn.CONCAT(" ",A22," "),'III-PA'!$A$18:$A$2661,0))</f>
        <v>AGETOP CIVIL</v>
      </c>
      <c r="D22" s="35" t="str" cm="1">
        <f t="array" ref="D22">INDEX('III-PA'!$A$18:$A$2661,1+MATCH(_xlfn.CONCAT(" ",A22," "),'III-PA'!$A$18:$A$2661,0))</f>
        <v>Composição</v>
      </c>
      <c r="E22" s="35" t="str" cm="1">
        <f t="array" ref="E22">INDEX('III-PA'!$D$18:$D$2661,1+MATCH(_xlfn.CONCAT(" ",A22," "),'III-PA'!$A$18:$A$2661,0))</f>
        <v>LOCAÇÃO DE CONTAINER COM REVESTIMENTO INTERNO, PARA ESCRITÓRIO SEM SANITÁRIOS 6,00 X 2,40 M, INCLUSIVE APARELHO DE AR CONDICIONADO E MOBILIÁRIO (EXCLUSO MOBILIZAÇÃO / DESMOBILIZAÇÃO)</v>
      </c>
      <c r="F22" s="35" t="str" cm="1">
        <f t="array" ref="F22">INDEX('III-PA'!$G$18:$G$2661,1+MATCH(_xlfn.CONCAT(" ",A22," "),'III-PA'!$A$18:$A$2661,0))</f>
        <v>mes</v>
      </c>
      <c r="G22" s="50">
        <f>VLOOKUP(A22,'IV-MEMORIAL'!$A$17:$N$2203,14,0)</f>
        <v>5</v>
      </c>
      <c r="H22" s="51">
        <f t="shared" ref="H22:H27" si="1">$L$14</f>
        <v>0.252</v>
      </c>
      <c r="I22" s="36" cm="1">
        <f t="array" ref="I22">INDEX('III-PA'!$I$18:$I$2661,1+MATCH(_xlfn.CONCAT(" ",A22," "),'III-PA'!$A$18:$A$2661,0))</f>
        <v>2364.59</v>
      </c>
      <c r="J22" s="36">
        <f t="shared" ref="J22:J26" si="2">TRUNC(I22*(1+H22),2)</f>
        <v>2960.46</v>
      </c>
      <c r="K22" s="36">
        <f t="shared" ref="K22:K26" si="3">TRUNC(I22*G22,2)</f>
        <v>11822.95</v>
      </c>
      <c r="L22" s="36">
        <f t="shared" ref="L22:L27" si="4">M22-K22</f>
        <v>2979.3499999999985</v>
      </c>
      <c r="M22" s="97">
        <f t="shared" ref="M22:M26" si="5">TRUNC(G22*J22,2)</f>
        <v>14802.3</v>
      </c>
    </row>
    <row r="23" spans="1:14" ht="75" x14ac:dyDescent="0.2">
      <c r="A23" s="96" t="s">
        <v>100</v>
      </c>
      <c r="B23" s="35" t="str" cm="1">
        <f t="array" ref="B23">INDEX('III-PA'!$B$18:$B$2661,1+MATCH(_xlfn.CONCAT(" ",'II-PO'!A23," "),'III-PA'!$A$18:$A$2661,0))</f>
        <v xml:space="preserve"> 020232 </v>
      </c>
      <c r="C23" s="35" t="str" cm="1">
        <f t="array" ref="C23">INDEX('III-PA'!$C$18:$C$2661,1+MATCH(_xlfn.CONCAT(" ",A23," "),'III-PA'!$A$18:$A$2661,0))</f>
        <v>AGETOP CIVIL</v>
      </c>
      <c r="D23" s="35" t="str" cm="1">
        <f t="array" ref="D23">INDEX('III-PA'!$A$18:$A$2661,1+MATCH(_xlfn.CONCAT(" ",A23," "),'III-PA'!$A$18:$A$2661,0))</f>
        <v>Composição</v>
      </c>
      <c r="E23" s="35" t="str" cm="1">
        <f t="array" ref="E23">INDEX('III-PA'!$D$18:$D$2661,1+MATCH(_xlfn.CONCAT(" ",A23," "),'III-PA'!$A$18:$A$2661,0))</f>
        <v>LOCAÇÃO DE CONTAINER SANITÁRIO MISTO 6,00 X 2,40 M, COM 3 VASOS, 6 CHUVEIROS, LAVATÓRIO E MICTÓRIO (EXCLUSO MOBILIZAÇÃO / DESMOBILIZAÇÃO)</v>
      </c>
      <c r="F23" s="35" t="str" cm="1">
        <f t="array" ref="F23">INDEX('III-PA'!$G$18:$G$2661,1+MATCH(_xlfn.CONCAT(" ",A23," "),'III-PA'!$A$18:$A$2661,0))</f>
        <v>mes</v>
      </c>
      <c r="G23" s="50">
        <f>VLOOKUP(A23,'IV-MEMORIAL'!$A$17:$N$2203,14,0)</f>
        <v>5</v>
      </c>
      <c r="H23" s="51">
        <f t="shared" si="1"/>
        <v>0.252</v>
      </c>
      <c r="I23" s="36" cm="1">
        <f t="array" ref="I23">INDEX('III-PA'!$I$18:$I$2661,1+MATCH(_xlfn.CONCAT(" ",A23," "),'III-PA'!$A$18:$A$2661,0))</f>
        <v>1325.95</v>
      </c>
      <c r="J23" s="36">
        <f t="shared" si="2"/>
        <v>1660.08</v>
      </c>
      <c r="K23" s="36">
        <f t="shared" si="3"/>
        <v>6629.75</v>
      </c>
      <c r="L23" s="36">
        <f t="shared" si="4"/>
        <v>1670.6499999999996</v>
      </c>
      <c r="M23" s="97">
        <f t="shared" si="5"/>
        <v>8300.4</v>
      </c>
      <c r="N23" s="181"/>
    </row>
    <row r="24" spans="1:14" ht="75" x14ac:dyDescent="0.2">
      <c r="A24" s="96" t="s">
        <v>262</v>
      </c>
      <c r="B24" s="35" t="str" cm="1">
        <f t="array" ref="B24">INDEX('III-PA'!$B$18:$B$2661,1+MATCH(_xlfn.CONCAT(" ",'II-PO'!A24," "),'III-PA'!$A$18:$A$2661,0))</f>
        <v xml:space="preserve"> 020230 </v>
      </c>
      <c r="C24" s="35" t="str" cm="1">
        <f t="array" ref="C24">INDEX('III-PA'!$C$18:$C$2661,1+MATCH(_xlfn.CONCAT(" ",A24," "),'III-PA'!$A$18:$A$2661,0))</f>
        <v>AGETOP CIVIL</v>
      </c>
      <c r="D24" s="35" t="str" cm="1">
        <f t="array" ref="D24">INDEX('III-PA'!$A$18:$A$2661,1+MATCH(_xlfn.CONCAT(" ",A24," "),'III-PA'!$A$18:$A$2661,0))</f>
        <v>Composição</v>
      </c>
      <c r="E24" s="35" t="str" cm="1">
        <f t="array" ref="E24">INDEX('III-PA'!$D$18:$D$2661,1+MATCH(_xlfn.CONCAT(" ",A24," "),'III-PA'!$A$18:$A$2661,0))</f>
        <v>LOCAÇÃO DE CONTAINER SEM REVESTIMENTO INTERNO PARA ALMOXARIFADO / DEPÓSITO 6,00 X 2,40 M, INCLUSIVE MOBILIÁRIO (EXCLUSO MOBILIZAÇÃO / DESMOBILIZAÇÃO)</v>
      </c>
      <c r="F24" s="35" t="str" cm="1">
        <f t="array" ref="F24">INDEX('III-PA'!$G$18:$G$2661,1+MATCH(_xlfn.CONCAT(" ",A24," "),'III-PA'!$A$18:$A$2661,0))</f>
        <v>MÊS</v>
      </c>
      <c r="G24" s="50">
        <f>VLOOKUP(A24,'IV-MEMORIAL'!$A$17:$N$2203,14,0)</f>
        <v>5</v>
      </c>
      <c r="H24" s="51">
        <f t="shared" si="1"/>
        <v>0.252</v>
      </c>
      <c r="I24" s="36" cm="1">
        <f t="array" ref="I24">INDEX('III-PA'!$I$18:$I$2661,1+MATCH(_xlfn.CONCAT(" ",A24," "),'III-PA'!$A$18:$A$2661,0))</f>
        <v>1135.26</v>
      </c>
      <c r="J24" s="36">
        <f t="shared" si="2"/>
        <v>1421.34</v>
      </c>
      <c r="K24" s="36">
        <f t="shared" si="3"/>
        <v>5676.3</v>
      </c>
      <c r="L24" s="36">
        <f t="shared" si="4"/>
        <v>1430.3999999999996</v>
      </c>
      <c r="M24" s="97">
        <f t="shared" si="5"/>
        <v>7106.7</v>
      </c>
    </row>
    <row r="25" spans="1:14" ht="30" x14ac:dyDescent="0.2">
      <c r="A25" s="96" t="s">
        <v>261</v>
      </c>
      <c r="B25" s="35" t="str" cm="1">
        <f t="array" ref="B25">INDEX('III-PA'!$B$18:$B$2661,1+MATCH(_xlfn.CONCAT(" ",'II-PO'!A25," "),'III-PA'!$A$18:$A$2661,0))</f>
        <v xml:space="preserve"> 030119 </v>
      </c>
      <c r="C25" s="35" t="str" cm="1">
        <f t="array" ref="C25">INDEX('III-PA'!$C$18:$C$2661,1+MATCH(_xlfn.CONCAT(" ",A25," "),'III-PA'!$A$18:$A$2661,0))</f>
        <v>AGETOP CIVIL</v>
      </c>
      <c r="D25" s="35" t="str" cm="1">
        <f t="array" ref="D25">INDEX('III-PA'!$A$18:$A$2661,1+MATCH(_xlfn.CONCAT(" ",A25," "),'III-PA'!$A$18:$A$2661,0))</f>
        <v>Composição</v>
      </c>
      <c r="E25" s="35" t="str" cm="1">
        <f t="array" ref="E25">INDEX('III-PA'!$D$18:$D$2661,1+MATCH(_xlfn.CONCAT(" ",A25," "),'III-PA'!$A$18:$A$2661,0))</f>
        <v>CARGA, MANOBRA E DESCARGA DE CONTAINER</v>
      </c>
      <c r="F25" s="35" t="str" cm="1">
        <f t="array" ref="F25">INDEX('III-PA'!$G$18:$G$2661,1+MATCH(_xlfn.CONCAT(" ",A25," "),'III-PA'!$A$18:$A$2661,0))</f>
        <v>un</v>
      </c>
      <c r="G25" s="50">
        <f>VLOOKUP(A25,'IV-MEMORIAL'!$A$17:$N$2203,14,0)</f>
        <v>6</v>
      </c>
      <c r="H25" s="51">
        <f t="shared" si="1"/>
        <v>0.252</v>
      </c>
      <c r="I25" s="36" cm="1">
        <f t="array" ref="I25">INDEX('III-PA'!$I$18:$I$2661,1+MATCH(_xlfn.CONCAT(" ",A25," "),'III-PA'!$A$18:$A$2661,0))</f>
        <v>45.58</v>
      </c>
      <c r="J25" s="36">
        <f t="shared" si="2"/>
        <v>57.06</v>
      </c>
      <c r="K25" s="36">
        <f t="shared" si="3"/>
        <v>273.48</v>
      </c>
      <c r="L25" s="36">
        <f t="shared" si="4"/>
        <v>68.88</v>
      </c>
      <c r="M25" s="97">
        <f t="shared" si="5"/>
        <v>342.36</v>
      </c>
    </row>
    <row r="26" spans="1:14" ht="75" x14ac:dyDescent="0.2">
      <c r="A26" s="96" t="s">
        <v>266</v>
      </c>
      <c r="B26" s="35" t="str" cm="1">
        <f t="array" ref="B26">INDEX('III-PA'!$B$18:$B$2661,1+MATCH(_xlfn.CONCAT(" ",'II-PO'!A26," "),'III-PA'!$A$18:$A$2661,0))</f>
        <v xml:space="preserve"> 98525 </v>
      </c>
      <c r="C26" s="35" t="str" cm="1">
        <f t="array" ref="C26">INDEX('III-PA'!$C$18:$C$2661,1+MATCH(_xlfn.CONCAT(" ",A26," "),'III-PA'!$A$18:$A$2661,0))</f>
        <v>SINAPI</v>
      </c>
      <c r="D26" s="35" t="str" cm="1">
        <f t="array" ref="D26">INDEX('III-PA'!$A$18:$A$2661,1+MATCH(_xlfn.CONCAT(" ",A26," "),'III-PA'!$A$18:$A$2661,0))</f>
        <v>Composição</v>
      </c>
      <c r="E26" s="35" t="str" cm="1">
        <f t="array" ref="E26">INDEX('III-PA'!$D$18:$D$2661,1+MATCH(_xlfn.CONCAT(" ",A26," "),'III-PA'!$A$18:$A$2661,0))</f>
        <v>LIMPEZA MECANIZADA DE CAMADA VEGETAL, VEGETAÇÃO E PEQUENAS ÁRVORES (DIÂMETRO DE TRONCO MENOR QUE 0,20 M), COM TRATOR DE ESTEIRAS. AF_03/2024</v>
      </c>
      <c r="F26" s="35" t="str" cm="1">
        <f t="array" ref="F26">INDEX('III-PA'!$G$18:$G$2661,1+MATCH(_xlfn.CONCAT(" ",A26," "),'III-PA'!$A$18:$A$2661,0))</f>
        <v>m²</v>
      </c>
      <c r="G26" s="50">
        <f>VLOOKUP(A26,'IV-MEMORIAL'!$A$17:$N$2203,14,0)</f>
        <v>459</v>
      </c>
      <c r="H26" s="51">
        <f t="shared" si="1"/>
        <v>0.252</v>
      </c>
      <c r="I26" s="36" cm="1">
        <f t="array" ref="I26">INDEX('III-PA'!$I$18:$I$2661,1+MATCH(_xlfn.CONCAT(" ",A26," "),'III-PA'!$A$18:$A$2661,0))</f>
        <v>0.66</v>
      </c>
      <c r="J26" s="36">
        <f t="shared" si="2"/>
        <v>0.82</v>
      </c>
      <c r="K26" s="36">
        <f t="shared" si="3"/>
        <v>302.94</v>
      </c>
      <c r="L26" s="36">
        <f t="shared" si="4"/>
        <v>73.44</v>
      </c>
      <c r="M26" s="97">
        <f t="shared" si="5"/>
        <v>376.38</v>
      </c>
    </row>
    <row r="27" spans="1:14" ht="60" x14ac:dyDescent="0.2">
      <c r="A27" s="96" t="s">
        <v>346</v>
      </c>
      <c r="B27" s="35" t="str" cm="1">
        <f t="array" ref="B27">INDEX('III-PA'!$B$18:$B$2661,1+MATCH(_xlfn.CONCAT(" ",'II-PO'!A27," "),'III-PA'!$A$18:$A$2661,0))</f>
        <v xml:space="preserve"> 99059 </v>
      </c>
      <c r="C27" s="35" t="str" cm="1">
        <f t="array" ref="C27">INDEX('III-PA'!$C$18:$C$2661,1+MATCH(_xlfn.CONCAT(" ",A27," "),'III-PA'!$A$18:$A$2661,0))</f>
        <v>SINAPI</v>
      </c>
      <c r="D27" s="35" t="str" cm="1">
        <f t="array" ref="D27">INDEX('III-PA'!$A$18:$A$2661,1+MATCH(_xlfn.CONCAT(" ",A27," "),'III-PA'!$A$18:$A$2661,0))</f>
        <v>Composição</v>
      </c>
      <c r="E27" s="35" t="str" cm="1">
        <f t="array" ref="E27">INDEX('III-PA'!$D$18:$D$2661,1+MATCH(_xlfn.CONCAT(" ",A27," "),'III-PA'!$A$18:$A$2661,0))</f>
        <v>LOCAÇÃO CONVENCIONAL DE OBRA, UTILIZANDO GABARITO DE TÁBUAS CORRIDAS PONTALETADAS A CADA 2,00M - 2 UTILIZAÇÕES. AF_03/2024</v>
      </c>
      <c r="F27" s="35" t="str" cm="1">
        <f t="array" ref="F27">INDEX('III-PA'!$G$18:$G$2661,1+MATCH(_xlfn.CONCAT(" ",A27," "),'III-PA'!$A$18:$A$2661,0))</f>
        <v>M</v>
      </c>
      <c r="G27" s="50">
        <f>VLOOKUP(A27,'IV-MEMORIAL'!$A$17:$N$2203,14,0)</f>
        <v>88</v>
      </c>
      <c r="H27" s="51">
        <f t="shared" si="1"/>
        <v>0.252</v>
      </c>
      <c r="I27" s="36" cm="1">
        <f t="array" ref="I27">INDEX('III-PA'!$I$18:$I$2661,1+MATCH(_xlfn.CONCAT(" ",A27," "),'III-PA'!$A$18:$A$2661,0))</f>
        <v>63.68</v>
      </c>
      <c r="J27" s="36">
        <f t="shared" ref="J27" si="6">TRUNC(I27*(1+H27),2)</f>
        <v>79.72</v>
      </c>
      <c r="K27" s="36">
        <f t="shared" ref="K27" si="7">TRUNC(I27*G27,2)</f>
        <v>5603.84</v>
      </c>
      <c r="L27" s="36">
        <f t="shared" si="4"/>
        <v>1411.5199999999995</v>
      </c>
      <c r="M27" s="97">
        <f t="shared" ref="M27" si="8">TRUNC(G27*J27,2)</f>
        <v>7015.36</v>
      </c>
    </row>
    <row r="28" spans="1:14" ht="15.75" x14ac:dyDescent="0.2">
      <c r="A28" s="94">
        <v>3</v>
      </c>
      <c r="B28" s="40"/>
      <c r="C28" s="40"/>
      <c r="D28" s="40"/>
      <c r="E28" s="40" t="s">
        <v>276</v>
      </c>
      <c r="F28" s="40"/>
      <c r="G28" s="40"/>
      <c r="H28" s="41"/>
      <c r="I28" s="42"/>
      <c r="J28" s="42"/>
      <c r="K28" s="42">
        <f>SUM(K29:K31)</f>
        <v>3979.98</v>
      </c>
      <c r="L28" s="42">
        <f t="shared" ref="L28:M28" si="9">SUM(L29:L31)</f>
        <v>997.41000000000008</v>
      </c>
      <c r="M28" s="42">
        <f t="shared" si="9"/>
        <v>4977.3899999999994</v>
      </c>
    </row>
    <row r="29" spans="1:14" ht="30" x14ac:dyDescent="0.2">
      <c r="A29" s="96" t="s">
        <v>101</v>
      </c>
      <c r="B29" s="35" t="str" cm="1">
        <f t="array" ref="B29">INDEX('III-PA'!$B$18:$B$2661,1+MATCH(_xlfn.CONCAT(" ",'II-PO'!A29," "),'III-PA'!$A$18:$A$2661,0))</f>
        <v xml:space="preserve"> 100575 </v>
      </c>
      <c r="C29" s="35" t="str" cm="1">
        <f t="array" ref="C29">INDEX('III-PA'!$C$18:$C$2661,1+MATCH(_xlfn.CONCAT(" ",A29," "),'III-PA'!$A$18:$A$2661,0))</f>
        <v>SINAPI</v>
      </c>
      <c r="D29" s="35" t="str" cm="1">
        <f t="array" ref="D29">INDEX('III-PA'!$A$18:$A$2661,1+MATCH(_xlfn.CONCAT(" ",A29," "),'III-PA'!$A$18:$A$2661,0))</f>
        <v>Composição</v>
      </c>
      <c r="E29" s="35" t="str" cm="1">
        <f t="array" ref="E29">INDEX('III-PA'!$D$18:$D$2661,1+MATCH(_xlfn.CONCAT(" ",A29," "),'III-PA'!$A$18:$A$2661,0))</f>
        <v>REGULARIZAÇÃO DE SUPERFÍCIES COM MOTONIVELADORA. AF_09/2024</v>
      </c>
      <c r="F29" s="35" t="str" cm="1">
        <f t="array" ref="F29">INDEX('III-PA'!$G$18:$G$2661,1+MATCH(_xlfn.CONCAT(" ",A29," "),'III-PA'!$A$18:$A$2661,0))</f>
        <v>m²</v>
      </c>
      <c r="G29" s="50">
        <f>VLOOKUP(A29,'IV-MEMORIAL'!$A$17:$N$2203,14,0)</f>
        <v>459</v>
      </c>
      <c r="H29" s="51">
        <f t="shared" ref="H29:H31" si="10">$L$14</f>
        <v>0.252</v>
      </c>
      <c r="I29" s="36" cm="1">
        <f t="array" ref="I29">INDEX('III-PA'!$I$18:$I$2661,1+MATCH(_xlfn.CONCAT(" ",A29," "),'III-PA'!$A$18:$A$2661,0))</f>
        <v>0.55000000000000004</v>
      </c>
      <c r="J29" s="36">
        <f t="shared" ref="J29:J31" si="11">TRUNC(I29*(1+H29),2)</f>
        <v>0.68</v>
      </c>
      <c r="K29" s="36">
        <f t="shared" ref="K29:K31" si="12">TRUNC(I29*G29,2)</f>
        <v>252.45</v>
      </c>
      <c r="L29" s="36">
        <f t="shared" ref="L29:L31" si="13">M29-K29</f>
        <v>59.670000000000016</v>
      </c>
      <c r="M29" s="97">
        <f t="shared" ref="M29:M31" si="14">TRUNC(G29*J29,2)</f>
        <v>312.12</v>
      </c>
    </row>
    <row r="30" spans="1:14" ht="90" x14ac:dyDescent="0.2">
      <c r="A30" s="96" t="s">
        <v>102</v>
      </c>
      <c r="B30" s="35" t="str" cm="1">
        <f t="array" ref="B30">INDEX('III-PA'!$B$18:$B$2661,1+MATCH(_xlfn.CONCAT(" ",'II-PO'!A30," "),'III-PA'!$A$18:$A$2661,0))</f>
        <v xml:space="preserve"> 101136 </v>
      </c>
      <c r="C30" s="35" t="str" cm="1">
        <f t="array" ref="C30">INDEX('III-PA'!$C$18:$C$2661,1+MATCH(_xlfn.CONCAT(" ",A30," "),'III-PA'!$A$18:$A$2661,0))</f>
        <v>SINAPI</v>
      </c>
      <c r="D30" s="35" t="str" cm="1">
        <f t="array" ref="D30">INDEX('III-PA'!$A$18:$A$2661,1+MATCH(_xlfn.CONCAT(" ",A30," "),'III-PA'!$A$18:$A$2661,0))</f>
        <v>Composição</v>
      </c>
      <c r="E30" s="35" t="str" cm="1">
        <f t="array" ref="E30">INDEX('III-PA'!$D$18:$D$2661,1+MATCH(_xlfn.CONCAT(" ",A30," "),'III-PA'!$A$18:$A$2661,0))</f>
        <v>ESCAVAÇÃO HORIZONTAL, INCLUINDO CARGA, DESCARGA E TRANSPORTE EM SOLO DE 1A CATEGORIA COM TRATOR DE ESTEIRAS (170HP/LÂMINA: 5,20M3) E CAMINHÃO BASCULANTE DE 10M3, DMT ATÉ 200M. AF_07/2020</v>
      </c>
      <c r="F30" s="35" t="str" cm="1">
        <f t="array" ref="F30">INDEX('III-PA'!$G$18:$G$2661,1+MATCH(_xlfn.CONCAT(" ",A30," "),'III-PA'!$A$18:$A$2661,0))</f>
        <v>m³</v>
      </c>
      <c r="G30" s="50">
        <f>VLOOKUP(A30,'IV-MEMORIAL'!$A$17:$N$2203,14,0)</f>
        <v>137.69999999999999</v>
      </c>
      <c r="H30" s="51">
        <f t="shared" si="10"/>
        <v>0.252</v>
      </c>
      <c r="I30" s="36" cm="1">
        <f t="array" ref="I30">INDEX('III-PA'!$I$18:$I$2661,1+MATCH(_xlfn.CONCAT(" ",A30," "),'III-PA'!$A$18:$A$2661,0))</f>
        <v>13.61</v>
      </c>
      <c r="J30" s="36">
        <f t="shared" si="11"/>
        <v>17.03</v>
      </c>
      <c r="K30" s="36">
        <f t="shared" si="12"/>
        <v>1874.09</v>
      </c>
      <c r="L30" s="36">
        <f t="shared" si="13"/>
        <v>470.94000000000028</v>
      </c>
      <c r="M30" s="97">
        <f t="shared" si="14"/>
        <v>2345.0300000000002</v>
      </c>
    </row>
    <row r="31" spans="1:14" ht="105" x14ac:dyDescent="0.2">
      <c r="A31" s="96" t="s">
        <v>269</v>
      </c>
      <c r="B31" s="35" t="str" cm="1">
        <f t="array" ref="B31">INDEX('III-PA'!$B$18:$B$2661,1+MATCH(_xlfn.CONCAT(" ",'II-PO'!A31," "),'III-PA'!$A$18:$A$2661,0))</f>
        <v xml:space="preserve"> 105558 </v>
      </c>
      <c r="C31" s="35" t="str" cm="1">
        <f t="array" ref="C31">INDEX('III-PA'!$C$18:$C$2661,1+MATCH(_xlfn.CONCAT(" ",A31," "),'III-PA'!$A$18:$A$2661,0))</f>
        <v>SINAPI</v>
      </c>
      <c r="D31" s="35" t="str" cm="1">
        <f t="array" ref="D31">INDEX('III-PA'!$A$18:$A$2661,1+MATCH(_xlfn.CONCAT(" ",A31," "),'III-PA'!$A$18:$A$2661,0))</f>
        <v>Composição</v>
      </c>
      <c r="E31" s="35" t="str" cm="1">
        <f t="array" ref="E31">INDEX('III-PA'!$D$18:$D$2661,1+MATCH(_xlfn.CONCAT(" ",A31," "),'III-PA'!$A$18:$A$2661,0))</f>
        <v>EXECUÇÃO E COMPACTAÇÃO DE CAMADA FINAL DE ATERRO (100% DE ENERGIA DO PROCTOR NORMAL) COM SOLO PREDOMINANTEMENTE ARGILOSO, EM CAMADAS COM ESPESSURA DE 15 CM - EXCLUSIVE ESCAVAÇÃO, CARGA E TRANSPORTE E SOLO. AF_09/2024</v>
      </c>
      <c r="F31" s="35" t="str" cm="1">
        <f t="array" ref="F31">INDEX('III-PA'!$G$18:$G$2661,1+MATCH(_xlfn.CONCAT(" ",A31," "),'III-PA'!$A$18:$A$2661,0))</f>
        <v>m³</v>
      </c>
      <c r="G31" s="50">
        <f>VLOOKUP(A31,'IV-MEMORIAL'!$A$17:$N$2203,14,0)</f>
        <v>137.69999999999999</v>
      </c>
      <c r="H31" s="51">
        <f t="shared" si="10"/>
        <v>0.252</v>
      </c>
      <c r="I31" s="36" cm="1">
        <f t="array" ref="I31">INDEX('III-PA'!$I$18:$I$2661,1+MATCH(_xlfn.CONCAT(" ",A31," "),'III-PA'!$A$18:$A$2661,0))</f>
        <v>13.46</v>
      </c>
      <c r="J31" s="36">
        <f t="shared" si="11"/>
        <v>16.850000000000001</v>
      </c>
      <c r="K31" s="36">
        <f t="shared" si="12"/>
        <v>1853.44</v>
      </c>
      <c r="L31" s="36">
        <f t="shared" si="13"/>
        <v>466.79999999999973</v>
      </c>
      <c r="M31" s="97">
        <f t="shared" si="14"/>
        <v>2320.2399999999998</v>
      </c>
    </row>
    <row r="32" spans="1:14" ht="15.75" x14ac:dyDescent="0.2">
      <c r="A32" s="94">
        <v>4</v>
      </c>
      <c r="B32" s="40"/>
      <c r="C32" s="40"/>
      <c r="D32" s="40"/>
      <c r="E32" s="40" t="s">
        <v>287</v>
      </c>
      <c r="F32" s="40"/>
      <c r="G32" s="40"/>
      <c r="H32" s="41"/>
      <c r="I32" s="42"/>
      <c r="J32" s="42"/>
      <c r="K32" s="42">
        <f>K33+K37+K45</f>
        <v>75577.510000000009</v>
      </c>
      <c r="L32" s="42">
        <f t="shared" ref="L32:M32" si="15">L33+L37+L45</f>
        <v>19037.150000000001</v>
      </c>
      <c r="M32" s="42">
        <f t="shared" si="15"/>
        <v>94614.66</v>
      </c>
    </row>
    <row r="33" spans="1:13" ht="15.75" x14ac:dyDescent="0.2">
      <c r="A33" s="163" t="s">
        <v>103</v>
      </c>
      <c r="B33" s="164"/>
      <c r="C33" s="164"/>
      <c r="D33" s="164"/>
      <c r="E33" s="164" t="s">
        <v>249</v>
      </c>
      <c r="F33" s="164"/>
      <c r="G33" s="164"/>
      <c r="H33" s="165"/>
      <c r="I33" s="166"/>
      <c r="J33" s="166"/>
      <c r="K33" s="166">
        <f>SUM(K34:K36)</f>
        <v>32032.86</v>
      </c>
      <c r="L33" s="166">
        <f t="shared" ref="L33:M33" si="16">SUM(L34:L36)</f>
        <v>8069.2299999999977</v>
      </c>
      <c r="M33" s="166">
        <f t="shared" si="16"/>
        <v>40102.089999999997</v>
      </c>
    </row>
    <row r="34" spans="1:13" ht="60" x14ac:dyDescent="0.2">
      <c r="A34" s="96" t="s">
        <v>248</v>
      </c>
      <c r="B34" s="35" t="str" cm="1">
        <f t="array" ref="B34">INDEX('III-PA'!$B$18:$B$2661,1+MATCH(_xlfn.CONCAT(" ",'II-PO'!A34," "),'III-PA'!$A$18:$A$2661,0))</f>
        <v xml:space="preserve"> 95584 </v>
      </c>
      <c r="C34" s="35" t="str" cm="1">
        <f t="array" ref="C34">INDEX('III-PA'!$C$18:$C$2661,1+MATCH(_xlfn.CONCAT(" ",A34," "),'III-PA'!$A$18:$A$2661,0))</f>
        <v>SINAPI</v>
      </c>
      <c r="D34" s="35" t="str" cm="1">
        <f t="array" ref="D34">INDEX('III-PA'!$A$18:$A$2661,1+MATCH(_xlfn.CONCAT(" ",A34," "),'III-PA'!$A$18:$A$2661,0))</f>
        <v>Composição</v>
      </c>
      <c r="E34" s="35" t="str" cm="1">
        <f t="array" ref="E34">INDEX('III-PA'!$D$18:$D$2661,1+MATCH(_xlfn.CONCAT(" ",A34," "),'III-PA'!$A$18:$A$2661,0))</f>
        <v>MONTAGEM DE ARMADURA TRANSVERSAL DE ESTACAS DE SEÇÃO CIRCULAR, DIÂMETRO = 6,30 MM. AF_09/2021_PS</v>
      </c>
      <c r="F34" s="35" t="str" cm="1">
        <f t="array" ref="F34">INDEX('III-PA'!$G$18:$G$2661,1+MATCH(_xlfn.CONCAT(" ",A34," "),'III-PA'!$A$18:$A$2661,0))</f>
        <v>KG</v>
      </c>
      <c r="G34" s="50">
        <f>VLOOKUP(A34,'IV-MEMORIAL'!$A$17:$N$2203,14,0)</f>
        <v>36.21</v>
      </c>
      <c r="H34" s="51">
        <f t="shared" ref="H34:H36" si="17">$L$14</f>
        <v>0.252</v>
      </c>
      <c r="I34" s="36" cm="1">
        <f t="array" ref="I34">INDEX('III-PA'!$I$18:$I$2661,1+MATCH(_xlfn.CONCAT(" ",A34," "),'III-PA'!$A$18:$A$2661,0))</f>
        <v>13.2</v>
      </c>
      <c r="J34" s="36">
        <f t="shared" ref="J34:J36" si="18">TRUNC(I34*(1+H34),2)</f>
        <v>16.52</v>
      </c>
      <c r="K34" s="36">
        <f t="shared" ref="K34:K36" si="19">TRUNC(I34*G34,2)</f>
        <v>477.97</v>
      </c>
      <c r="L34" s="36">
        <f t="shared" ref="L34:L36" si="20">M34-K34</f>
        <v>120.20999999999992</v>
      </c>
      <c r="M34" s="97">
        <f t="shared" ref="M34:M36" si="21">TRUNC(G34*J34,2)</f>
        <v>598.17999999999995</v>
      </c>
    </row>
    <row r="35" spans="1:13" ht="30" x14ac:dyDescent="0.2">
      <c r="A35" s="96" t="s">
        <v>250</v>
      </c>
      <c r="B35" s="35" t="str" cm="1">
        <f t="array" ref="B35">INDEX('III-PA'!$B$18:$B$2661,1+MATCH(_xlfn.CONCAT(" ",'II-PO'!A35," "),'III-PA'!$A$18:$A$2661,0))</f>
        <v xml:space="preserve"> 95577 </v>
      </c>
      <c r="C35" s="35" t="str" cm="1">
        <f t="array" ref="C35">INDEX('III-PA'!$C$18:$C$2661,1+MATCH(_xlfn.CONCAT(" ",A35," "),'III-PA'!$A$18:$A$2661,0))</f>
        <v>SINAPI</v>
      </c>
      <c r="D35" s="35" t="str" cm="1">
        <f t="array" ref="D35">INDEX('III-PA'!$A$18:$A$2661,1+MATCH(_xlfn.CONCAT(" ",A35," "),'III-PA'!$A$18:$A$2661,0))</f>
        <v>Composição</v>
      </c>
      <c r="E35" s="35" t="str" cm="1">
        <f t="array" ref="E35">INDEX('III-PA'!$D$18:$D$2661,1+MATCH(_xlfn.CONCAT(" ",A35," "),'III-PA'!$A$18:$A$2661,0))</f>
        <v>MONTAGEM DE ARMADURA DE ESTACAS, DIÂMETRO = 10,0 MM. AF_09/2021_PS</v>
      </c>
      <c r="F35" s="35" t="str" cm="1">
        <f t="array" ref="F35">INDEX('III-PA'!$G$18:$G$2661,1+MATCH(_xlfn.CONCAT(" ",A35," "),'III-PA'!$A$18:$A$2661,0))</f>
        <v>KG</v>
      </c>
      <c r="G35" s="50">
        <f>VLOOKUP(A35,'IV-MEMORIAL'!$A$17:$N$2203,14,0)</f>
        <v>388.41</v>
      </c>
      <c r="H35" s="51">
        <f t="shared" si="17"/>
        <v>0.252</v>
      </c>
      <c r="I35" s="36" cm="1">
        <f t="array" ref="I35">INDEX('III-PA'!$I$18:$I$2661,1+MATCH(_xlfn.CONCAT(" ",A35," "),'III-PA'!$A$18:$A$2661,0))</f>
        <v>9.51</v>
      </c>
      <c r="J35" s="36">
        <f t="shared" si="18"/>
        <v>11.9</v>
      </c>
      <c r="K35" s="36">
        <f t="shared" si="19"/>
        <v>3693.77</v>
      </c>
      <c r="L35" s="36">
        <f t="shared" si="20"/>
        <v>928.29999999999973</v>
      </c>
      <c r="M35" s="97">
        <f t="shared" si="21"/>
        <v>4622.07</v>
      </c>
    </row>
    <row r="36" spans="1:13" ht="75" x14ac:dyDescent="0.2">
      <c r="A36" s="96" t="s">
        <v>251</v>
      </c>
      <c r="B36" s="35" t="str" cm="1">
        <f t="array" ref="B36">INDEX('III-PA'!$B$18:$B$2661,1+MATCH(_xlfn.CONCAT(" ",'II-PO'!A36," "),'III-PA'!$A$18:$A$2661,0))</f>
        <v xml:space="preserve"> 100901 </v>
      </c>
      <c r="C36" s="35" t="str" cm="1">
        <f t="array" ref="C36">INDEX('III-PA'!$C$18:$C$2661,1+MATCH(_xlfn.CONCAT(" ",A36," "),'III-PA'!$A$18:$A$2661,0))</f>
        <v>Próprio</v>
      </c>
      <c r="D36" s="35" t="str" cm="1">
        <f t="array" ref="D36">INDEX('III-PA'!$A$18:$A$2661,1+MATCH(_xlfn.CONCAT(" ",A36," "),'III-PA'!$A$18:$A$2661,0))</f>
        <v>Composição</v>
      </c>
      <c r="E36" s="35" t="str" cm="1">
        <f t="array" ref="E36">INDEX('III-PA'!$D$18:$D$2661,1+MATCH(_xlfn.CONCAT(" ",A36," "),'III-PA'!$A$18:$A$2661,0))</f>
        <v>ESTACA BROCA DE CONCRETO, DIÂMETRO DE 30CM, ESCAVAÇÃO MANUAL COM TRADO CONCHA, SEM ARMADURA DE ARRANQUE. AF_05/2020 (REF.: SINAPI 101175)</v>
      </c>
      <c r="F36" s="35" t="str" cm="1">
        <f t="array" ref="F36">INDEX('III-PA'!$G$18:$G$2661,1+MATCH(_xlfn.CONCAT(" ",A36," "),'III-PA'!$A$18:$A$2661,0))</f>
        <v>M</v>
      </c>
      <c r="G36" s="50">
        <f>VLOOKUP(A36,'IV-MEMORIAL'!$A$17:$N$2203,14,0)</f>
        <v>252</v>
      </c>
      <c r="H36" s="51">
        <f t="shared" si="17"/>
        <v>0.252</v>
      </c>
      <c r="I36" s="36" cm="1">
        <f t="array" ref="I36">INDEX('III-PA'!$I$18:$I$2661,1+MATCH(_xlfn.CONCAT(" ",A36," "),'III-PA'!$A$18:$A$2661,0))</f>
        <v>110.56</v>
      </c>
      <c r="J36" s="36">
        <f t="shared" si="18"/>
        <v>138.41999999999999</v>
      </c>
      <c r="K36" s="36">
        <f t="shared" si="19"/>
        <v>27861.119999999999</v>
      </c>
      <c r="L36" s="36">
        <f t="shared" si="20"/>
        <v>7020.7199999999975</v>
      </c>
      <c r="M36" s="97">
        <f t="shared" si="21"/>
        <v>34881.839999999997</v>
      </c>
    </row>
    <row r="37" spans="1:13" ht="15.75" x14ac:dyDescent="0.2">
      <c r="A37" s="163" t="s">
        <v>104</v>
      </c>
      <c r="B37" s="164"/>
      <c r="C37" s="164"/>
      <c r="D37" s="164"/>
      <c r="E37" s="164" t="s">
        <v>585</v>
      </c>
      <c r="F37" s="164"/>
      <c r="G37" s="164"/>
      <c r="H37" s="165"/>
      <c r="I37" s="166"/>
      <c r="J37" s="166"/>
      <c r="K37" s="166">
        <f>SUM(K38:K44)</f>
        <v>15738.120000000003</v>
      </c>
      <c r="L37" s="166">
        <f t="shared" ref="L37:M37" si="22">SUM(L38:L44)</f>
        <v>3964.7100000000009</v>
      </c>
      <c r="M37" s="166">
        <f t="shared" si="22"/>
        <v>19702.830000000002</v>
      </c>
    </row>
    <row r="38" spans="1:13" ht="30" x14ac:dyDescent="0.2">
      <c r="A38" s="96" t="s">
        <v>253</v>
      </c>
      <c r="B38" s="35" t="str" cm="1">
        <f t="array" ref="B38">INDEX('III-PA'!$B$18:$B$2661,1+MATCH(_xlfn.CONCAT(" ",'II-PO'!A38," "),'III-PA'!$A$18:$A$2661,0))</f>
        <v xml:space="preserve"> 96544 </v>
      </c>
      <c r="C38" s="35" t="str" cm="1">
        <f t="array" ref="C38">INDEX('III-PA'!$C$18:$C$2661,1+MATCH(_xlfn.CONCAT(" ",A38," "),'III-PA'!$A$18:$A$2661,0))</f>
        <v>SINAPI</v>
      </c>
      <c r="D38" s="35" t="str" cm="1">
        <f t="array" ref="D38">INDEX('III-PA'!$A$18:$A$2661,1+MATCH(_xlfn.CONCAT(" ",A38," "),'III-PA'!$A$18:$A$2661,0))</f>
        <v>Composição</v>
      </c>
      <c r="E38" s="35" t="str" cm="1">
        <f t="array" ref="E38">INDEX('III-PA'!$D$18:$D$2661,1+MATCH(_xlfn.CONCAT(" ",A38," "),'III-PA'!$A$18:$A$2661,0))</f>
        <v>ARMAÇÃO DE BLOCO UTILIZANDO AÇO CA-50 DE 6,3 MM - MONTAGEM. AF_01/2024</v>
      </c>
      <c r="F38" s="35" t="str" cm="1">
        <f t="array" ref="F38">INDEX('III-PA'!$G$18:$G$2661,1+MATCH(_xlfn.CONCAT(" ",A38," "),'III-PA'!$A$18:$A$2661,0))</f>
        <v>KG</v>
      </c>
      <c r="G38" s="50">
        <f>VLOOKUP(A38,'IV-MEMORIAL'!$A$17:$N$2203,14,0)</f>
        <v>65.36</v>
      </c>
      <c r="H38" s="51">
        <f t="shared" ref="H38:H44" si="23">$L$14</f>
        <v>0.252</v>
      </c>
      <c r="I38" s="36" cm="1">
        <f t="array" ref="I38">INDEX('III-PA'!$I$18:$I$2661,1+MATCH(_xlfn.CONCAT(" ",A38," "),'III-PA'!$A$18:$A$2661,0))</f>
        <v>17.48</v>
      </c>
      <c r="J38" s="36">
        <f t="shared" ref="J38:J44" si="24">TRUNC(I38*(1+H38),2)</f>
        <v>21.88</v>
      </c>
      <c r="K38" s="36">
        <f t="shared" ref="K38:K44" si="25">TRUNC(I38*G38,2)</f>
        <v>1142.49</v>
      </c>
      <c r="L38" s="36">
        <f t="shared" ref="L38:L44" si="26">M38-K38</f>
        <v>287.57999999999993</v>
      </c>
      <c r="M38" s="97">
        <f t="shared" ref="M38:M44" si="27">TRUNC(G38*J38,2)</f>
        <v>1430.07</v>
      </c>
    </row>
    <row r="39" spans="1:13" ht="30" x14ac:dyDescent="0.2">
      <c r="A39" s="96" t="s">
        <v>254</v>
      </c>
      <c r="B39" s="35" t="str" cm="1">
        <f t="array" ref="B39">INDEX('III-PA'!$B$18:$B$2661,1+MATCH(_xlfn.CONCAT(" ",'II-PO'!A39," "),'III-PA'!$A$18:$A$2661,0))</f>
        <v xml:space="preserve"> 96546 </v>
      </c>
      <c r="C39" s="35" t="str" cm="1">
        <f t="array" ref="C39">INDEX('III-PA'!$C$18:$C$2661,1+MATCH(_xlfn.CONCAT(" ",A39," "),'III-PA'!$A$18:$A$2661,0))</f>
        <v>SINAPI</v>
      </c>
      <c r="D39" s="35" t="str" cm="1">
        <f t="array" ref="D39">INDEX('III-PA'!$A$18:$A$2661,1+MATCH(_xlfn.CONCAT(" ",A39," "),'III-PA'!$A$18:$A$2661,0))</f>
        <v>Composição</v>
      </c>
      <c r="E39" s="35" t="str" cm="1">
        <f t="array" ref="E39">INDEX('III-PA'!$D$18:$D$2661,1+MATCH(_xlfn.CONCAT(" ",A39," "),'III-PA'!$A$18:$A$2661,0))</f>
        <v>ARMAÇÃO DE BLOCO UTILIZANDO AÇO CA-50 DE 10 MM - MONTAGEM. AF_01/2024</v>
      </c>
      <c r="F39" s="35" t="str" cm="1">
        <f t="array" ref="F39">INDEX('III-PA'!$G$18:$G$2661,1+MATCH(_xlfn.CONCAT(" ",A39," "),'III-PA'!$A$18:$A$2661,0))</f>
        <v>KG</v>
      </c>
      <c r="G39" s="50">
        <f>VLOOKUP(A39,'IV-MEMORIAL'!$A$17:$N$2203,14,0)</f>
        <v>54.37</v>
      </c>
      <c r="H39" s="51">
        <f t="shared" si="23"/>
        <v>0.252</v>
      </c>
      <c r="I39" s="36" cm="1">
        <f t="array" ref="I39">INDEX('III-PA'!$I$18:$I$2661,1+MATCH(_xlfn.CONCAT(" ",A39," "),'III-PA'!$A$18:$A$2661,0))</f>
        <v>13.23</v>
      </c>
      <c r="J39" s="36">
        <f t="shared" si="24"/>
        <v>16.559999999999999</v>
      </c>
      <c r="K39" s="36">
        <f t="shared" si="25"/>
        <v>719.31</v>
      </c>
      <c r="L39" s="36">
        <f t="shared" si="26"/>
        <v>181.05000000000007</v>
      </c>
      <c r="M39" s="97">
        <f t="shared" si="27"/>
        <v>900.36</v>
      </c>
    </row>
    <row r="40" spans="1:13" ht="60" x14ac:dyDescent="0.2">
      <c r="A40" s="96" t="s">
        <v>255</v>
      </c>
      <c r="B40" s="35" t="str" cm="1">
        <f t="array" ref="B40">INDEX('III-PA'!$B$18:$B$2661,1+MATCH(_xlfn.CONCAT(" ",'II-PO'!A40," "),'III-PA'!$A$18:$A$2661,0))</f>
        <v xml:space="preserve"> 94971 </v>
      </c>
      <c r="C40" s="35" t="str" cm="1">
        <f t="array" ref="C40">INDEX('III-PA'!$C$18:$C$2661,1+MATCH(_xlfn.CONCAT(" ",A40," "),'III-PA'!$A$18:$A$2661,0))</f>
        <v>SINAPI</v>
      </c>
      <c r="D40" s="35" t="str" cm="1">
        <f t="array" ref="D40">INDEX('III-PA'!$A$18:$A$2661,1+MATCH(_xlfn.CONCAT(" ",A40," "),'III-PA'!$A$18:$A$2661,0))</f>
        <v>Composição</v>
      </c>
      <c r="E40" s="35" t="str" cm="1">
        <f t="array" ref="E40">INDEX('III-PA'!$D$18:$D$2661,1+MATCH(_xlfn.CONCAT(" ",A40," "),'III-PA'!$A$18:$A$2661,0))</f>
        <v>CONCRETO FCK = 25MPA, TRAÇO 1:2,3:2,7 (EM MASSA SECA DE CIMENTO/ AREIA MÉDIA/ BRITA 1) - PREPARO MECÂNICO COM BETONEIRA 600 L. AF_05/2021</v>
      </c>
      <c r="F40" s="35" t="str" cm="1">
        <f t="array" ref="F40">INDEX('III-PA'!$G$18:$G$2661,1+MATCH(_xlfn.CONCAT(" ",A40," "),'III-PA'!$A$18:$A$2661,0))</f>
        <v>m³</v>
      </c>
      <c r="G40" s="50">
        <f>VLOOKUP(A40,'IV-MEMORIAL'!$A$17:$N$2203,14,0)</f>
        <v>7.9</v>
      </c>
      <c r="H40" s="51">
        <f t="shared" si="23"/>
        <v>0.252</v>
      </c>
      <c r="I40" s="36" cm="1">
        <f t="array" ref="I40">INDEX('III-PA'!$I$18:$I$2661,1+MATCH(_xlfn.CONCAT(" ",A40," "),'III-PA'!$A$18:$A$2661,0))</f>
        <v>526.74</v>
      </c>
      <c r="J40" s="36">
        <f t="shared" si="24"/>
        <v>659.47</v>
      </c>
      <c r="K40" s="36">
        <f t="shared" si="25"/>
        <v>4161.24</v>
      </c>
      <c r="L40" s="36">
        <f t="shared" si="26"/>
        <v>1048.5700000000006</v>
      </c>
      <c r="M40" s="97">
        <f t="shared" si="27"/>
        <v>5209.8100000000004</v>
      </c>
    </row>
    <row r="41" spans="1:13" ht="45" x14ac:dyDescent="0.2">
      <c r="A41" s="96" t="s">
        <v>256</v>
      </c>
      <c r="B41" s="35" t="str" cm="1">
        <f t="array" ref="B41">INDEX('III-PA'!$B$18:$B$2661,1+MATCH(_xlfn.CONCAT(" ",'II-PO'!A41," "),'III-PA'!$A$18:$A$2661,0))</f>
        <v xml:space="preserve"> 103670 </v>
      </c>
      <c r="C41" s="35" t="str" cm="1">
        <f t="array" ref="C41">INDEX('III-PA'!$C$18:$C$2661,1+MATCH(_xlfn.CONCAT(" ",A41," "),'III-PA'!$A$18:$A$2661,0))</f>
        <v>SINAPI</v>
      </c>
      <c r="D41" s="35" t="str" cm="1">
        <f t="array" ref="D41">INDEX('III-PA'!$A$18:$A$2661,1+MATCH(_xlfn.CONCAT(" ",A41," "),'III-PA'!$A$18:$A$2661,0))</f>
        <v>Composição</v>
      </c>
      <c r="E41" s="35" t="str" cm="1">
        <f t="array" ref="E41">INDEX('III-PA'!$D$18:$D$2661,1+MATCH(_xlfn.CONCAT(" ",A41," "),'III-PA'!$A$18:$A$2661,0))</f>
        <v>LANÇAMENTO COM USO DE BALDES, ADENSAMENTO E ACABAMENTO DE CONCRETO EM ESTRUTURAS. AF_02/2022</v>
      </c>
      <c r="F41" s="35" t="str" cm="1">
        <f t="array" ref="F41">INDEX('III-PA'!$G$18:$G$2661,1+MATCH(_xlfn.CONCAT(" ",A41," "),'III-PA'!$A$18:$A$2661,0))</f>
        <v>m³</v>
      </c>
      <c r="G41" s="50">
        <f>VLOOKUP(A41,'IV-MEMORIAL'!$A$17:$N$2203,14,0)</f>
        <v>7.9</v>
      </c>
      <c r="H41" s="51">
        <f t="shared" si="23"/>
        <v>0.252</v>
      </c>
      <c r="I41" s="36" cm="1">
        <f t="array" ref="I41">INDEX('III-PA'!$I$18:$I$2661,1+MATCH(_xlfn.CONCAT(" ",A41," "),'III-PA'!$A$18:$A$2661,0))</f>
        <v>324.68</v>
      </c>
      <c r="J41" s="36">
        <f t="shared" si="24"/>
        <v>406.49</v>
      </c>
      <c r="K41" s="36">
        <f t="shared" si="25"/>
        <v>2564.9699999999998</v>
      </c>
      <c r="L41" s="36">
        <f t="shared" si="26"/>
        <v>646.30000000000018</v>
      </c>
      <c r="M41" s="97">
        <f t="shared" si="27"/>
        <v>3211.27</v>
      </c>
    </row>
    <row r="42" spans="1:13" ht="75" x14ac:dyDescent="0.2">
      <c r="A42" s="96" t="s">
        <v>260</v>
      </c>
      <c r="B42" s="35" t="str" cm="1">
        <f t="array" ref="B42">INDEX('III-PA'!$B$18:$B$2661,1+MATCH(_xlfn.CONCAT(" ",'II-PO'!A42," "),'III-PA'!$A$18:$A$2661,0))</f>
        <v xml:space="preserve"> 96521 </v>
      </c>
      <c r="C42" s="35" t="str" cm="1">
        <f t="array" ref="C42">INDEX('III-PA'!$C$18:$C$2661,1+MATCH(_xlfn.CONCAT(" ",A42," "),'III-PA'!$A$18:$A$2661,0))</f>
        <v>SINAPI</v>
      </c>
      <c r="D42" s="35" t="str" cm="1">
        <f t="array" ref="D42">INDEX('III-PA'!$A$18:$A$2661,1+MATCH(_xlfn.CONCAT(" ",A42," "),'III-PA'!$A$18:$A$2661,0))</f>
        <v>Composição</v>
      </c>
      <c r="E42" s="35" t="str" cm="1">
        <f t="array" ref="E42">INDEX('III-PA'!$D$18:$D$2661,1+MATCH(_xlfn.CONCAT(" ",A42," "),'III-PA'!$A$18:$A$2661,0))</f>
        <v>ESCAVAÇÃO MECANIZADA PARA BLOCO DE COROAMENTO OU SAPATA COM RETROESCAVADEIRA (INCLUINDO ESCAVAÇÃO PARA COLOCAÇÃO DE FÔRMAS). AF_01/2024</v>
      </c>
      <c r="F42" s="35" t="str" cm="1">
        <f t="array" ref="F42">INDEX('III-PA'!$G$18:$G$2661,1+MATCH(_xlfn.CONCAT(" ",A42," "),'III-PA'!$A$18:$A$2661,0))</f>
        <v>m³</v>
      </c>
      <c r="G42" s="50">
        <f>VLOOKUP(A42,'IV-MEMORIAL'!$A$17:$N$2203,14,0)</f>
        <v>33.26</v>
      </c>
      <c r="H42" s="51">
        <f t="shared" si="23"/>
        <v>0.252</v>
      </c>
      <c r="I42" s="36" cm="1">
        <f t="array" ref="I42">INDEX('III-PA'!$I$18:$I$2661,1+MATCH(_xlfn.CONCAT(" ",A42," "),'III-PA'!$A$18:$A$2661,0))</f>
        <v>41.43</v>
      </c>
      <c r="J42" s="36">
        <f t="shared" si="24"/>
        <v>51.87</v>
      </c>
      <c r="K42" s="36">
        <f t="shared" si="25"/>
        <v>1377.96</v>
      </c>
      <c r="L42" s="36">
        <f t="shared" si="26"/>
        <v>347.23</v>
      </c>
      <c r="M42" s="97">
        <f t="shared" si="27"/>
        <v>1725.19</v>
      </c>
    </row>
    <row r="43" spans="1:13" ht="30" x14ac:dyDescent="0.2">
      <c r="A43" s="96" t="s">
        <v>278</v>
      </c>
      <c r="B43" s="35" t="str" cm="1">
        <f t="array" ref="B43">INDEX('III-PA'!$B$18:$B$2661,1+MATCH(_xlfn.CONCAT(" ",'II-PO'!A43," "),'III-PA'!$A$18:$A$2661,0))</f>
        <v xml:space="preserve"> 050903 </v>
      </c>
      <c r="C43" s="35" t="str" cm="1">
        <f t="array" ref="C43">INDEX('III-PA'!$C$18:$C$2661,1+MATCH(_xlfn.CONCAT(" ",A43," "),'III-PA'!$A$18:$A$2661,0))</f>
        <v>AGETOP CIVIL</v>
      </c>
      <c r="D43" s="35" t="str" cm="1">
        <f t="array" ref="D43">INDEX('III-PA'!$A$18:$A$2661,1+MATCH(_xlfn.CONCAT(" ",A43," "),'III-PA'!$A$18:$A$2661,0))</f>
        <v>Composição</v>
      </c>
      <c r="E43" s="35" t="str" cm="1">
        <f t="array" ref="E43">INDEX('III-PA'!$D$18:$D$2661,1+MATCH(_xlfn.CONCAT(" ",A43," "),'III-PA'!$A$18:$A$2661,0))</f>
        <v>REATERRO COM APILOAMENTO MANUAL (BLOCOS/SAPATAS)</v>
      </c>
      <c r="F43" s="35" t="str" cm="1">
        <f t="array" ref="F43">INDEX('III-PA'!$G$18:$G$2661,1+MATCH(_xlfn.CONCAT(" ",A43," "),'III-PA'!$A$18:$A$2661,0))</f>
        <v>m³</v>
      </c>
      <c r="G43" s="50">
        <f>VLOOKUP(A43,'IV-MEMORIAL'!$A$17:$N$2203,14,0)</f>
        <v>24.949999999999996</v>
      </c>
      <c r="H43" s="51">
        <f t="shared" si="23"/>
        <v>0.252</v>
      </c>
      <c r="I43" s="36" cm="1">
        <f t="array" ref="I43">INDEX('III-PA'!$I$18:$I$2661,1+MATCH(_xlfn.CONCAT(" ",A43," "),'III-PA'!$A$18:$A$2661,0))</f>
        <v>34.35</v>
      </c>
      <c r="J43" s="36">
        <f t="shared" si="24"/>
        <v>43</v>
      </c>
      <c r="K43" s="36">
        <f t="shared" si="25"/>
        <v>857.03</v>
      </c>
      <c r="L43" s="36">
        <f t="shared" si="26"/>
        <v>215.81999999999994</v>
      </c>
      <c r="M43" s="97">
        <f t="shared" si="27"/>
        <v>1072.8499999999999</v>
      </c>
    </row>
    <row r="44" spans="1:13" ht="75" x14ac:dyDescent="0.2">
      <c r="A44" s="96" t="s">
        <v>279</v>
      </c>
      <c r="B44" s="35" t="str" cm="1">
        <f t="array" ref="B44">INDEX('III-PA'!$B$18:$B$2661,1+MATCH(_xlfn.CONCAT(" ",'II-PO'!A44," "),'III-PA'!$A$18:$A$2661,0))</f>
        <v xml:space="preserve"> 96534 </v>
      </c>
      <c r="C44" s="35" t="str" cm="1">
        <f t="array" ref="C44">INDEX('III-PA'!$C$18:$C$2661,1+MATCH(_xlfn.CONCAT(" ",A44," "),'III-PA'!$A$18:$A$2661,0))</f>
        <v>SINAPI</v>
      </c>
      <c r="D44" s="35" t="str" cm="1">
        <f t="array" ref="D44">INDEX('III-PA'!$A$18:$A$2661,1+MATCH(_xlfn.CONCAT(" ",A44," "),'III-PA'!$A$18:$A$2661,0))</f>
        <v>Composição</v>
      </c>
      <c r="E44" s="35" t="str" cm="1">
        <f t="array" ref="E44">INDEX('III-PA'!$D$18:$D$2661,1+MATCH(_xlfn.CONCAT(" ",A44," "),'III-PA'!$A$18:$A$2661,0))</f>
        <v>FABRICAÇÃO, MONTAGEM E DESMONTAGEM DE FÔRMA PARA BLOCO DE COROAMENTO, EM MADEIRA SERRADA, E=25 MM, 4 UTILIZAÇÕES. AF_01/2024</v>
      </c>
      <c r="F44" s="35" t="str" cm="1">
        <f t="array" ref="F44">INDEX('III-PA'!$G$18:$G$2661,1+MATCH(_xlfn.CONCAT(" ",A44," "),'III-PA'!$A$18:$A$2661,0))</f>
        <v>m²</v>
      </c>
      <c r="G44" s="50">
        <f>VLOOKUP(A44,'IV-MEMORIAL'!$A$17:$N$2203,14,0)</f>
        <v>56</v>
      </c>
      <c r="H44" s="51">
        <f t="shared" si="23"/>
        <v>0.252</v>
      </c>
      <c r="I44" s="36" cm="1">
        <f t="array" ref="I44">INDEX('III-PA'!$I$18:$I$2661,1+MATCH(_xlfn.CONCAT(" ",A44," "),'III-PA'!$A$18:$A$2661,0))</f>
        <v>87.77</v>
      </c>
      <c r="J44" s="36">
        <f t="shared" si="24"/>
        <v>109.88</v>
      </c>
      <c r="K44" s="36">
        <f t="shared" si="25"/>
        <v>4915.12</v>
      </c>
      <c r="L44" s="36">
        <f t="shared" si="26"/>
        <v>1238.1599999999999</v>
      </c>
      <c r="M44" s="97">
        <f t="shared" si="27"/>
        <v>6153.28</v>
      </c>
    </row>
    <row r="45" spans="1:13" ht="15.75" x14ac:dyDescent="0.2">
      <c r="A45" s="163" t="s">
        <v>114</v>
      </c>
      <c r="B45" s="164"/>
      <c r="C45" s="164"/>
      <c r="D45" s="164"/>
      <c r="E45" s="164" t="s">
        <v>288</v>
      </c>
      <c r="F45" s="164"/>
      <c r="G45" s="164"/>
      <c r="H45" s="165"/>
      <c r="I45" s="166"/>
      <c r="J45" s="166"/>
      <c r="K45" s="166">
        <f>SUM(K46:K53)</f>
        <v>27806.53</v>
      </c>
      <c r="L45" s="166">
        <f t="shared" ref="L45:M45" si="28">SUM(L46:L53)</f>
        <v>7003.2100000000019</v>
      </c>
      <c r="M45" s="166">
        <f t="shared" si="28"/>
        <v>34809.74</v>
      </c>
    </row>
    <row r="46" spans="1:13" ht="60" x14ac:dyDescent="0.2">
      <c r="A46" s="96" t="s">
        <v>277</v>
      </c>
      <c r="B46" s="35" t="str" cm="1">
        <f t="array" ref="B46">INDEX('III-PA'!$B$18:$B$2661,1+MATCH(_xlfn.CONCAT(" ",'II-PO'!A46," "),'III-PA'!$A$18:$A$2661,0))</f>
        <v xml:space="preserve"> 104916 </v>
      </c>
      <c r="C46" s="35" t="str" cm="1">
        <f t="array" ref="C46">INDEX('III-PA'!$C$18:$C$2661,1+MATCH(_xlfn.CONCAT(" ",A46," "),'III-PA'!$A$18:$A$2661,0))</f>
        <v>SINAPI</v>
      </c>
      <c r="D46" s="35" t="str" cm="1">
        <f t="array" ref="D46">INDEX('III-PA'!$A$18:$A$2661,1+MATCH(_xlfn.CONCAT(" ",A46," "),'III-PA'!$A$18:$A$2661,0))</f>
        <v>Composição</v>
      </c>
      <c r="E46" s="35" t="str" cm="1">
        <f t="array" ref="E46">INDEX('III-PA'!$D$18:$D$2661,1+MATCH(_xlfn.CONCAT(" ",A46," "),'III-PA'!$A$18:$A$2661,0))</f>
        <v>ARMAÇÃO DE SAPATA ISOLADA, VIGA BALDRAME E SAPATA CORRIDA UTILIZANDO AÇO CA-60 DE 5 MM - MONTAGEM. AF_01/2024</v>
      </c>
      <c r="F46" s="35" t="str" cm="1">
        <f t="array" ref="F46">INDEX('III-PA'!$G$18:$G$2661,1+MATCH(_xlfn.CONCAT(" ",A46," "),'III-PA'!$A$18:$A$2661,0))</f>
        <v>KG</v>
      </c>
      <c r="G46" s="50">
        <f>VLOOKUP(A46,'IV-MEMORIAL'!$A$17:$N$2203,14,0)</f>
        <v>131.01</v>
      </c>
      <c r="H46" s="51">
        <f t="shared" ref="H46:H53" si="29">$L$14</f>
        <v>0.252</v>
      </c>
      <c r="I46" s="36" cm="1">
        <f t="array" ref="I46">INDEX('III-PA'!$I$18:$I$2661,1+MATCH(_xlfn.CONCAT(" ",A46," "),'III-PA'!$A$18:$A$2661,0))</f>
        <v>16.46</v>
      </c>
      <c r="J46" s="36">
        <f t="shared" ref="J46:J53" si="30">TRUNC(I46*(1+H46),2)</f>
        <v>20.6</v>
      </c>
      <c r="K46" s="36">
        <f t="shared" ref="K46:K53" si="31">TRUNC(I46*G46,2)</f>
        <v>2156.42</v>
      </c>
      <c r="L46" s="36">
        <f t="shared" ref="L46:L53" si="32">M46-K46</f>
        <v>542.38000000000011</v>
      </c>
      <c r="M46" s="97">
        <f t="shared" ref="M46:M53" si="33">TRUNC(G46*J46,2)</f>
        <v>2698.8</v>
      </c>
    </row>
    <row r="47" spans="1:13" ht="60" x14ac:dyDescent="0.2">
      <c r="A47" s="96" t="s">
        <v>281</v>
      </c>
      <c r="B47" s="35" t="str" cm="1">
        <f t="array" ref="B47">INDEX('III-PA'!$B$18:$B$2661,1+MATCH(_xlfn.CONCAT(" ",'II-PO'!A47," "),'III-PA'!$A$18:$A$2661,0))</f>
        <v xml:space="preserve"> 104918 </v>
      </c>
      <c r="C47" s="35" t="str" cm="1">
        <f t="array" ref="C47">INDEX('III-PA'!$C$18:$C$2661,1+MATCH(_xlfn.CONCAT(" ",A47," "),'III-PA'!$A$18:$A$2661,0))</f>
        <v>SINAPI</v>
      </c>
      <c r="D47" s="35" t="str" cm="1">
        <f t="array" ref="D47">INDEX('III-PA'!$A$18:$A$2661,1+MATCH(_xlfn.CONCAT(" ",A47," "),'III-PA'!$A$18:$A$2661,0))</f>
        <v>Composição</v>
      </c>
      <c r="E47" s="35" t="str" cm="1">
        <f t="array" ref="E47">INDEX('III-PA'!$D$18:$D$2661,1+MATCH(_xlfn.CONCAT(" ",A47," "),'III-PA'!$A$18:$A$2661,0))</f>
        <v>ARMAÇÃO DE SAPATA ISOLADA, VIGA BALDRAME E SAPATA CORRIDA UTILIZANDO AÇO CA-50 DE 8 MM - MONTAGEM. AF_01/2024</v>
      </c>
      <c r="F47" s="35" t="str" cm="1">
        <f t="array" ref="F47">INDEX('III-PA'!$G$18:$G$2661,1+MATCH(_xlfn.CONCAT(" ",A47," "),'III-PA'!$A$18:$A$2661,0))</f>
        <v>KG</v>
      </c>
      <c r="G47" s="50">
        <f>VLOOKUP(A47,'IV-MEMORIAL'!$A$17:$N$2203,14,0)</f>
        <v>180.32</v>
      </c>
      <c r="H47" s="51">
        <f t="shared" si="29"/>
        <v>0.252</v>
      </c>
      <c r="I47" s="36" cm="1">
        <f t="array" ref="I47">INDEX('III-PA'!$I$18:$I$2661,1+MATCH(_xlfn.CONCAT(" ",A47," "),'III-PA'!$A$18:$A$2661,0))</f>
        <v>13.39</v>
      </c>
      <c r="J47" s="36">
        <f t="shared" si="30"/>
        <v>16.760000000000002</v>
      </c>
      <c r="K47" s="36">
        <f t="shared" si="31"/>
        <v>2414.48</v>
      </c>
      <c r="L47" s="36">
        <f t="shared" si="32"/>
        <v>607.67999999999984</v>
      </c>
      <c r="M47" s="97">
        <f t="shared" si="33"/>
        <v>3022.16</v>
      </c>
    </row>
    <row r="48" spans="1:13" ht="60" x14ac:dyDescent="0.2">
      <c r="A48" s="96" t="s">
        <v>282</v>
      </c>
      <c r="B48" s="35" t="str" cm="1">
        <f t="array" ref="B48">INDEX('III-PA'!$B$18:$B$2661,1+MATCH(_xlfn.CONCAT(" ",'II-PO'!A48," "),'III-PA'!$A$18:$A$2661,0))</f>
        <v xml:space="preserve"> 104919 </v>
      </c>
      <c r="C48" s="35" t="str" cm="1">
        <f t="array" ref="C48">INDEX('III-PA'!$C$18:$C$2661,1+MATCH(_xlfn.CONCAT(" ",A48," "),'III-PA'!$A$18:$A$2661,0))</f>
        <v>SINAPI</v>
      </c>
      <c r="D48" s="35" t="str" cm="1">
        <f t="array" ref="D48">INDEX('III-PA'!$A$18:$A$2661,1+MATCH(_xlfn.CONCAT(" ",A48," "),'III-PA'!$A$18:$A$2661,0))</f>
        <v>Composição</v>
      </c>
      <c r="E48" s="35" t="str" cm="1">
        <f t="array" ref="E48">INDEX('III-PA'!$D$18:$D$2661,1+MATCH(_xlfn.CONCAT(" ",A48," "),'III-PA'!$A$18:$A$2661,0))</f>
        <v>ARMAÇÃO DE SAPATA ISOLADA, VIGA BALDRAME E SAPATA CORRIDA UTILIZANDO AÇO CA-50 DE 10 MM - MONTAGEM. AF_01/2024</v>
      </c>
      <c r="F48" s="35" t="str" cm="1">
        <f t="array" ref="F48">INDEX('III-PA'!$G$18:$G$2661,1+MATCH(_xlfn.CONCAT(" ",A48," "),'III-PA'!$A$18:$A$2661,0))</f>
        <v>KG</v>
      </c>
      <c r="G48" s="50">
        <f>VLOOKUP(A48,'IV-MEMORIAL'!$A$17:$N$2203,14,0)</f>
        <v>121.45</v>
      </c>
      <c r="H48" s="51">
        <f t="shared" si="29"/>
        <v>0.252</v>
      </c>
      <c r="I48" s="36" cm="1">
        <f t="array" ref="I48">INDEX('III-PA'!$I$18:$I$2661,1+MATCH(_xlfn.CONCAT(" ",A48," "),'III-PA'!$A$18:$A$2661,0))</f>
        <v>11.8</v>
      </c>
      <c r="J48" s="36">
        <f t="shared" si="30"/>
        <v>14.77</v>
      </c>
      <c r="K48" s="36">
        <f t="shared" si="31"/>
        <v>1433.11</v>
      </c>
      <c r="L48" s="36">
        <f t="shared" si="32"/>
        <v>360.70000000000005</v>
      </c>
      <c r="M48" s="97">
        <f t="shared" si="33"/>
        <v>1793.81</v>
      </c>
    </row>
    <row r="49" spans="1:13" ht="60" x14ac:dyDescent="0.2">
      <c r="A49" s="96" t="s">
        <v>283</v>
      </c>
      <c r="B49" s="35" t="str" cm="1">
        <f t="array" ref="B49">INDEX('III-PA'!$B$18:$B$2661,1+MATCH(_xlfn.CONCAT(" ",'II-PO'!A49," "),'III-PA'!$A$18:$A$2661,0))</f>
        <v xml:space="preserve"> 94971 </v>
      </c>
      <c r="C49" s="35" t="str" cm="1">
        <f t="array" ref="C49">INDEX('III-PA'!$C$18:$C$2661,1+MATCH(_xlfn.CONCAT(" ",A49," "),'III-PA'!$A$18:$A$2661,0))</f>
        <v>SINAPI</v>
      </c>
      <c r="D49" s="35" t="str" cm="1">
        <f t="array" ref="D49">INDEX('III-PA'!$A$18:$A$2661,1+MATCH(_xlfn.CONCAT(" ",A49," "),'III-PA'!$A$18:$A$2661,0))</f>
        <v>Composição</v>
      </c>
      <c r="E49" s="35" t="str" cm="1">
        <f t="array" ref="E49">INDEX('III-PA'!$D$18:$D$2661,1+MATCH(_xlfn.CONCAT(" ",A49," "),'III-PA'!$A$18:$A$2661,0))</f>
        <v>CONCRETO FCK = 25MPA, TRAÇO 1:2,3:2,7 (EM MASSA SECA DE CIMENTO/ AREIA MÉDIA/ BRITA 1) - PREPARO MECÂNICO COM BETONEIRA 600 L. AF_05/2021</v>
      </c>
      <c r="F49" s="35" t="str" cm="1">
        <f t="array" ref="F49">INDEX('III-PA'!$G$18:$G$2661,1+MATCH(_xlfn.CONCAT(" ",A49," "),'III-PA'!$A$18:$A$2661,0))</f>
        <v>m³</v>
      </c>
      <c r="G49" s="50">
        <f>VLOOKUP(A49,'IV-MEMORIAL'!$A$17:$N$2203,14,0)</f>
        <v>11.05</v>
      </c>
      <c r="H49" s="51">
        <f t="shared" si="29"/>
        <v>0.252</v>
      </c>
      <c r="I49" s="36" cm="1">
        <f t="array" ref="I49">INDEX('III-PA'!$I$18:$I$2661,1+MATCH(_xlfn.CONCAT(" ",A49," "),'III-PA'!$A$18:$A$2661,0))</f>
        <v>526.74</v>
      </c>
      <c r="J49" s="36">
        <f t="shared" si="30"/>
        <v>659.47</v>
      </c>
      <c r="K49" s="36">
        <f t="shared" si="31"/>
        <v>5820.47</v>
      </c>
      <c r="L49" s="36">
        <f t="shared" si="32"/>
        <v>1466.67</v>
      </c>
      <c r="M49" s="97">
        <f t="shared" si="33"/>
        <v>7287.14</v>
      </c>
    </row>
    <row r="50" spans="1:13" ht="45" x14ac:dyDescent="0.2">
      <c r="A50" s="96" t="s">
        <v>284</v>
      </c>
      <c r="B50" s="35" t="str" cm="1">
        <f t="array" ref="B50">INDEX('III-PA'!$B$18:$B$2661,1+MATCH(_xlfn.CONCAT(" ",'II-PO'!A50," "),'III-PA'!$A$18:$A$2661,0))</f>
        <v xml:space="preserve"> 103670 </v>
      </c>
      <c r="C50" s="35" t="str" cm="1">
        <f t="array" ref="C50">INDEX('III-PA'!$C$18:$C$2661,1+MATCH(_xlfn.CONCAT(" ",A50," "),'III-PA'!$A$18:$A$2661,0))</f>
        <v>SINAPI</v>
      </c>
      <c r="D50" s="35" t="str" cm="1">
        <f t="array" ref="D50">INDEX('III-PA'!$A$18:$A$2661,1+MATCH(_xlfn.CONCAT(" ",A50," "),'III-PA'!$A$18:$A$2661,0))</f>
        <v>Composição</v>
      </c>
      <c r="E50" s="35" t="str" cm="1">
        <f t="array" ref="E50">INDEX('III-PA'!$D$18:$D$2661,1+MATCH(_xlfn.CONCAT(" ",A50," "),'III-PA'!$A$18:$A$2661,0))</f>
        <v>LANÇAMENTO COM USO DE BALDES, ADENSAMENTO E ACABAMENTO DE CONCRETO EM ESTRUTURAS. AF_02/2022</v>
      </c>
      <c r="F50" s="35" t="str" cm="1">
        <f t="array" ref="F50">INDEX('III-PA'!$G$18:$G$2661,1+MATCH(_xlfn.CONCAT(" ",A50," "),'III-PA'!$A$18:$A$2661,0))</f>
        <v>m³</v>
      </c>
      <c r="G50" s="50">
        <f>VLOOKUP(A50,'IV-MEMORIAL'!$A$17:$N$2203,14,0)</f>
        <v>11.05</v>
      </c>
      <c r="H50" s="51">
        <f t="shared" si="29"/>
        <v>0.252</v>
      </c>
      <c r="I50" s="36" cm="1">
        <f t="array" ref="I50">INDEX('III-PA'!$I$18:$I$2661,1+MATCH(_xlfn.CONCAT(" ",A50," "),'III-PA'!$A$18:$A$2661,0))</f>
        <v>324.68</v>
      </c>
      <c r="J50" s="36">
        <f t="shared" si="30"/>
        <v>406.49</v>
      </c>
      <c r="K50" s="36">
        <f t="shared" si="31"/>
        <v>3587.71</v>
      </c>
      <c r="L50" s="36">
        <f t="shared" si="32"/>
        <v>904</v>
      </c>
      <c r="M50" s="97">
        <f t="shared" si="33"/>
        <v>4491.71</v>
      </c>
    </row>
    <row r="51" spans="1:13" ht="75" x14ac:dyDescent="0.2">
      <c r="A51" s="96" t="s">
        <v>285</v>
      </c>
      <c r="B51" s="35" t="str" cm="1">
        <f t="array" ref="B51">INDEX('III-PA'!$B$18:$B$2661,1+MATCH(_xlfn.CONCAT(" ",'II-PO'!A51," "),'III-PA'!$A$18:$A$2661,0))</f>
        <v xml:space="preserve"> 96525 </v>
      </c>
      <c r="C51" s="35" t="str" cm="1">
        <f t="array" ref="C51">INDEX('III-PA'!$C$18:$C$2661,1+MATCH(_xlfn.CONCAT(" ",A51," "),'III-PA'!$A$18:$A$2661,0))</f>
        <v>SINAPI</v>
      </c>
      <c r="D51" s="35" t="str" cm="1">
        <f t="array" ref="D51">INDEX('III-PA'!$A$18:$A$2661,1+MATCH(_xlfn.CONCAT(" ",A51," "),'III-PA'!$A$18:$A$2661,0))</f>
        <v>Composição</v>
      </c>
      <c r="E51" s="35" t="str" cm="1">
        <f t="array" ref="E51">INDEX('III-PA'!$D$18:$D$2661,1+MATCH(_xlfn.CONCAT(" ",A51," "),'III-PA'!$A$18:$A$2661,0))</f>
        <v>ESCAVAÇÃO MECANIZADA PARA VIGA BALDRAME OU SAPATA CORRIDA COM MINI-ESCAVADEIRA (INCLUINDO ESCAVAÇÃO PARA COLOCAÇÃO DE FÔRMAS). AF_01/2024</v>
      </c>
      <c r="F51" s="35" t="str" cm="1">
        <f t="array" ref="F51">INDEX('III-PA'!$G$18:$G$2661,1+MATCH(_xlfn.CONCAT(" ",A51," "),'III-PA'!$A$18:$A$2661,0))</f>
        <v>m³</v>
      </c>
      <c r="G51" s="50">
        <f>VLOOKUP(A51,'IV-MEMORIAL'!$A$17:$N$2203,14,0)</f>
        <v>17.8</v>
      </c>
      <c r="H51" s="51">
        <f t="shared" si="29"/>
        <v>0.252</v>
      </c>
      <c r="I51" s="36" cm="1">
        <f t="array" ref="I51">INDEX('III-PA'!$I$18:$I$2661,1+MATCH(_xlfn.CONCAT(" ",A51," "),'III-PA'!$A$18:$A$2661,0))</f>
        <v>58.16</v>
      </c>
      <c r="J51" s="36">
        <f t="shared" si="30"/>
        <v>72.81</v>
      </c>
      <c r="K51" s="36">
        <f t="shared" si="31"/>
        <v>1035.24</v>
      </c>
      <c r="L51" s="36">
        <f t="shared" si="32"/>
        <v>260.77</v>
      </c>
      <c r="M51" s="97">
        <f t="shared" si="33"/>
        <v>1296.01</v>
      </c>
    </row>
    <row r="52" spans="1:13" ht="30" x14ac:dyDescent="0.2">
      <c r="A52" s="96" t="s">
        <v>286</v>
      </c>
      <c r="B52" s="35" t="str" cm="1">
        <f t="array" ref="B52">INDEX('III-PA'!$B$18:$B$2661,1+MATCH(_xlfn.CONCAT(" ",'II-PO'!A52," "),'III-PA'!$A$18:$A$2661,0))</f>
        <v xml:space="preserve"> 040902 </v>
      </c>
      <c r="C52" s="35" t="str" cm="1">
        <f t="array" ref="C52">INDEX('III-PA'!$C$18:$C$2661,1+MATCH(_xlfn.CONCAT(" ",A52," "),'III-PA'!$A$18:$A$2661,0))</f>
        <v>AGETOP CIVIL</v>
      </c>
      <c r="D52" s="35" t="str" cm="1">
        <f t="array" ref="D52">INDEX('III-PA'!$A$18:$A$2661,1+MATCH(_xlfn.CONCAT(" ",A52," "),'III-PA'!$A$18:$A$2661,0))</f>
        <v>Composição</v>
      </c>
      <c r="E52" s="35" t="str" cm="1">
        <f t="array" ref="E52">INDEX('III-PA'!$D$18:$D$2661,1+MATCH(_xlfn.CONCAT(" ",A52," "),'III-PA'!$A$18:$A$2661,0))</f>
        <v>REATERRO COM APILOAMENTO</v>
      </c>
      <c r="F52" s="35" t="str" cm="1">
        <f t="array" ref="F52">INDEX('III-PA'!$G$18:$G$2661,1+MATCH(_xlfn.CONCAT(" ",A52," "),'III-PA'!$A$18:$A$2661,0))</f>
        <v>m³</v>
      </c>
      <c r="G52" s="50">
        <f>VLOOKUP(A52,'IV-MEMORIAL'!$A$17:$N$2203,14,0)</f>
        <v>9.07</v>
      </c>
      <c r="H52" s="51">
        <f t="shared" si="29"/>
        <v>0.252</v>
      </c>
      <c r="I52" s="36" cm="1">
        <f t="array" ref="I52">INDEX('III-PA'!$I$18:$I$2661,1+MATCH(_xlfn.CONCAT(" ",A52," "),'III-PA'!$A$18:$A$2661,0))</f>
        <v>34.35</v>
      </c>
      <c r="J52" s="36">
        <f t="shared" si="30"/>
        <v>43</v>
      </c>
      <c r="K52" s="36">
        <f t="shared" si="31"/>
        <v>311.55</v>
      </c>
      <c r="L52" s="36">
        <f t="shared" si="32"/>
        <v>78.45999999999998</v>
      </c>
      <c r="M52" s="97">
        <f t="shared" si="33"/>
        <v>390.01</v>
      </c>
    </row>
    <row r="53" spans="1:13" ht="60" x14ac:dyDescent="0.2">
      <c r="A53" s="96" t="s">
        <v>317</v>
      </c>
      <c r="B53" s="35" t="str" cm="1">
        <f t="array" ref="B53">INDEX('III-PA'!$B$18:$B$2661,1+MATCH(_xlfn.CONCAT(" ",'II-PO'!A53," "),'III-PA'!$A$18:$A$2661,0))</f>
        <v xml:space="preserve"> 96536 </v>
      </c>
      <c r="C53" s="35" t="str" cm="1">
        <f t="array" ref="C53">INDEX('III-PA'!$C$18:$C$2661,1+MATCH(_xlfn.CONCAT(" ",A53," "),'III-PA'!$A$18:$A$2661,0))</f>
        <v>SINAPI</v>
      </c>
      <c r="D53" s="35" t="str" cm="1">
        <f t="array" ref="D53">INDEX('III-PA'!$A$18:$A$2661,1+MATCH(_xlfn.CONCAT(" ",A53," "),'III-PA'!$A$18:$A$2661,0))</f>
        <v>Composição</v>
      </c>
      <c r="E53" s="35" t="str" cm="1">
        <f t="array" ref="E53">INDEX('III-PA'!$D$18:$D$2661,1+MATCH(_xlfn.CONCAT(" ",A53," "),'III-PA'!$A$18:$A$2661,0))</f>
        <v>FABRICAÇÃO, MONTAGEM E DESMONTAGEM DE FÔRMA PARA VIGA BALDRAME, EM MADEIRA SERRADA, E=25 MM, 4 UTILIZAÇÕES. AF_01/2024</v>
      </c>
      <c r="F53" s="35" t="str" cm="1">
        <f t="array" ref="F53">INDEX('III-PA'!$G$18:$G$2661,1+MATCH(_xlfn.CONCAT(" ",A53," "),'III-PA'!$A$18:$A$2661,0))</f>
        <v>m²</v>
      </c>
      <c r="G53" s="50">
        <f>VLOOKUP(A53,'IV-MEMORIAL'!$A$17:$N$2203,14,0)</f>
        <v>145</v>
      </c>
      <c r="H53" s="51">
        <f t="shared" si="29"/>
        <v>0.252</v>
      </c>
      <c r="I53" s="36" cm="1">
        <f t="array" ref="I53">INDEX('III-PA'!$I$18:$I$2661,1+MATCH(_xlfn.CONCAT(" ",A53," "),'III-PA'!$A$18:$A$2661,0))</f>
        <v>76.19</v>
      </c>
      <c r="J53" s="36">
        <f t="shared" si="30"/>
        <v>95.38</v>
      </c>
      <c r="K53" s="36">
        <f t="shared" si="31"/>
        <v>11047.55</v>
      </c>
      <c r="L53" s="36">
        <f t="shared" si="32"/>
        <v>2782.5500000000011</v>
      </c>
      <c r="M53" s="97">
        <f t="shared" si="33"/>
        <v>13830.1</v>
      </c>
    </row>
    <row r="54" spans="1:13" ht="15.75" x14ac:dyDescent="0.2">
      <c r="A54" s="94">
        <v>5</v>
      </c>
      <c r="B54" s="40"/>
      <c r="C54" s="40"/>
      <c r="D54" s="40"/>
      <c r="E54" s="40" t="s">
        <v>586</v>
      </c>
      <c r="F54" s="40"/>
      <c r="G54" s="40"/>
      <c r="H54" s="41"/>
      <c r="I54" s="42"/>
      <c r="J54" s="42"/>
      <c r="K54" s="42">
        <f>K55+K62+K70</f>
        <v>136758.37</v>
      </c>
      <c r="L54" s="42">
        <f t="shared" ref="L54:M54" si="34">L55+L62+L70</f>
        <v>34450.319999999992</v>
      </c>
      <c r="M54" s="42">
        <f t="shared" si="34"/>
        <v>171208.69</v>
      </c>
    </row>
    <row r="55" spans="1:13" ht="15.75" x14ac:dyDescent="0.2">
      <c r="A55" s="163" t="s">
        <v>105</v>
      </c>
      <c r="B55" s="164"/>
      <c r="C55" s="164"/>
      <c r="D55" s="164"/>
      <c r="E55" s="164" t="s">
        <v>272</v>
      </c>
      <c r="F55" s="164"/>
      <c r="G55" s="164"/>
      <c r="H55" s="165"/>
      <c r="I55" s="166"/>
      <c r="J55" s="166"/>
      <c r="K55" s="166">
        <f>SUM(K56:K61)</f>
        <v>26497.46</v>
      </c>
      <c r="L55" s="166">
        <f t="shared" ref="L55:M55" si="35">SUM(L56:L61)</f>
        <v>6671.1999999999989</v>
      </c>
      <c r="M55" s="166">
        <f t="shared" si="35"/>
        <v>33168.659999999996</v>
      </c>
    </row>
    <row r="56" spans="1:13" ht="60" x14ac:dyDescent="0.2">
      <c r="A56" s="96" t="s">
        <v>587</v>
      </c>
      <c r="B56" s="35" t="str" cm="1">
        <f t="array" ref="B56">INDEX('III-PA'!$B$18:$B$2661,1+MATCH(_xlfn.CONCAT(" ",'II-PO'!A56," "),'III-PA'!$A$18:$A$2661,0))</f>
        <v xml:space="preserve"> 92759 </v>
      </c>
      <c r="C56" s="35" t="str" cm="1">
        <f t="array" ref="C56">INDEX('III-PA'!$C$18:$C$2661,1+MATCH(_xlfn.CONCAT(" ",A56," "),'III-PA'!$A$18:$A$2661,0))</f>
        <v>SINAPI</v>
      </c>
      <c r="D56" s="35" t="str" cm="1">
        <f t="array" ref="D56">INDEX('III-PA'!$A$18:$A$2661,1+MATCH(_xlfn.CONCAT(" ",A56," "),'III-PA'!$A$18:$A$2661,0))</f>
        <v>Composição</v>
      </c>
      <c r="E56" s="35" t="str" cm="1">
        <f t="array" ref="E56">INDEX('III-PA'!$D$18:$D$2661,1+MATCH(_xlfn.CONCAT(" ",A56," "),'III-PA'!$A$18:$A$2661,0))</f>
        <v>ARMAÇÃO DE PILAR OU VIGA DE ESTRUTURA CONVENCIONAL DE CONCRETO ARMADO UTILIZANDO AÇO CA-60 DE 5,0 MM - MONTAGEM. AF_06/2022</v>
      </c>
      <c r="F56" s="35" t="str" cm="1">
        <f t="array" ref="F56">INDEX('III-PA'!$G$18:$G$2661,1+MATCH(_xlfn.CONCAT(" ",A56," "),'III-PA'!$A$18:$A$2661,0))</f>
        <v>KG</v>
      </c>
      <c r="G56" s="50">
        <f>VLOOKUP(A56,'IV-MEMORIAL'!$A$17:$N$2203,14,0)</f>
        <v>213.74</v>
      </c>
      <c r="H56" s="51">
        <f t="shared" ref="H56:H61" si="36">$L$14</f>
        <v>0.252</v>
      </c>
      <c r="I56" s="36" cm="1">
        <f t="array" ref="I56">INDEX('III-PA'!$I$18:$I$2661,1+MATCH(_xlfn.CONCAT(" ",A56," "),'III-PA'!$A$18:$A$2661,0))</f>
        <v>13.6</v>
      </c>
      <c r="J56" s="36">
        <f t="shared" ref="J56:J61" si="37">TRUNC(I56*(1+H56),2)</f>
        <v>17.02</v>
      </c>
      <c r="K56" s="36">
        <f t="shared" ref="K56:K61" si="38">TRUNC(I56*G56,2)</f>
        <v>2906.86</v>
      </c>
      <c r="L56" s="36">
        <f t="shared" ref="L56:L61" si="39">M56-K56</f>
        <v>730.98999999999978</v>
      </c>
      <c r="M56" s="97">
        <f t="shared" ref="M56:M61" si="40">TRUNC(G56*J56,2)</f>
        <v>3637.85</v>
      </c>
    </row>
    <row r="57" spans="1:13" ht="60" x14ac:dyDescent="0.2">
      <c r="A57" s="96" t="s">
        <v>588</v>
      </c>
      <c r="B57" s="35" t="str" cm="1">
        <f t="array" ref="B57">INDEX('III-PA'!$B$18:$B$2661,1+MATCH(_xlfn.CONCAT(" ",'II-PO'!A57," "),'III-PA'!$A$18:$A$2661,0))</f>
        <v xml:space="preserve"> 92762 </v>
      </c>
      <c r="C57" s="35" t="str" cm="1">
        <f t="array" ref="C57">INDEX('III-PA'!$C$18:$C$2661,1+MATCH(_xlfn.CONCAT(" ",A57," "),'III-PA'!$A$18:$A$2661,0))</f>
        <v>SINAPI</v>
      </c>
      <c r="D57" s="35" t="str" cm="1">
        <f t="array" ref="D57">INDEX('III-PA'!$A$18:$A$2661,1+MATCH(_xlfn.CONCAT(" ",A57," "),'III-PA'!$A$18:$A$2661,0))</f>
        <v>Composição</v>
      </c>
      <c r="E57" s="35" t="str" cm="1">
        <f t="array" ref="E57">INDEX('III-PA'!$D$18:$D$2661,1+MATCH(_xlfn.CONCAT(" ",A57," "),'III-PA'!$A$18:$A$2661,0))</f>
        <v>ARMAÇÃO DE PILAR OU VIGA DE ESTRUTURA CONVENCIONAL DE CONCRETO ARMADO UTILIZANDO AÇO CA-50 DE 10,0 MM - MONTAGEM. AF_06/2022</v>
      </c>
      <c r="F57" s="35" t="str" cm="1">
        <f t="array" ref="F57">INDEX('III-PA'!$G$18:$G$2661,1+MATCH(_xlfn.CONCAT(" ",A57," "),'III-PA'!$A$18:$A$2661,0))</f>
        <v>KG</v>
      </c>
      <c r="G57" s="50">
        <f>VLOOKUP(A57,'IV-MEMORIAL'!$A$17:$N$2203,14,0)</f>
        <v>615.72</v>
      </c>
      <c r="H57" s="51">
        <f t="shared" si="36"/>
        <v>0.252</v>
      </c>
      <c r="I57" s="36" cm="1">
        <f t="array" ref="I57">INDEX('III-PA'!$I$18:$I$2661,1+MATCH(_xlfn.CONCAT(" ",A57," "),'III-PA'!$A$18:$A$2661,0))</f>
        <v>9.94</v>
      </c>
      <c r="J57" s="36">
        <f t="shared" si="37"/>
        <v>12.44</v>
      </c>
      <c r="K57" s="36">
        <f t="shared" si="38"/>
        <v>6120.25</v>
      </c>
      <c r="L57" s="36">
        <f t="shared" si="39"/>
        <v>1539.3000000000002</v>
      </c>
      <c r="M57" s="97">
        <f t="shared" si="40"/>
        <v>7659.55</v>
      </c>
    </row>
    <row r="58" spans="1:13" ht="60" x14ac:dyDescent="0.2">
      <c r="A58" s="96" t="s">
        <v>589</v>
      </c>
      <c r="B58" s="35" t="str" cm="1">
        <f t="array" ref="B58">INDEX('III-PA'!$B$18:$B$2661,1+MATCH(_xlfn.CONCAT(" ",'II-PO'!A58," "),'III-PA'!$A$18:$A$2661,0))</f>
        <v xml:space="preserve"> 92763 </v>
      </c>
      <c r="C58" s="35" t="str" cm="1">
        <f t="array" ref="C58">INDEX('III-PA'!$C$18:$C$2661,1+MATCH(_xlfn.CONCAT(" ",A58," "),'III-PA'!$A$18:$A$2661,0))</f>
        <v>SINAPI</v>
      </c>
      <c r="D58" s="35" t="str" cm="1">
        <f t="array" ref="D58">INDEX('III-PA'!$A$18:$A$2661,1+MATCH(_xlfn.CONCAT(" ",A58," "),'III-PA'!$A$18:$A$2661,0))</f>
        <v>Composição</v>
      </c>
      <c r="E58" s="35" t="str" cm="1">
        <f t="array" ref="E58">INDEX('III-PA'!$D$18:$D$2661,1+MATCH(_xlfn.CONCAT(" ",A58," "),'III-PA'!$A$18:$A$2661,0))</f>
        <v>ARMAÇÃO DE PILAR OU VIGA DE ESTRUTURA CONVENCIONAL DE CONCRETO ARMADO UTILIZANDO AÇO CA-50 DE 12,5 MM - MONTAGEM. AF_06/2022</v>
      </c>
      <c r="F58" s="35" t="str" cm="1">
        <f t="array" ref="F58">INDEX('III-PA'!$G$18:$G$2661,1+MATCH(_xlfn.CONCAT(" ",A58," "),'III-PA'!$A$18:$A$2661,0))</f>
        <v>KG</v>
      </c>
      <c r="G58" s="50">
        <f>VLOOKUP(A58,'IV-MEMORIAL'!$A$17:$N$2203,14,0)</f>
        <v>30.34</v>
      </c>
      <c r="H58" s="51">
        <f t="shared" si="36"/>
        <v>0.252</v>
      </c>
      <c r="I58" s="36" cm="1">
        <f t="array" ref="I58">INDEX('III-PA'!$I$18:$I$2661,1+MATCH(_xlfn.CONCAT(" ",A58," "),'III-PA'!$A$18:$A$2661,0))</f>
        <v>8.2899999999999991</v>
      </c>
      <c r="J58" s="36">
        <f t="shared" si="37"/>
        <v>10.37</v>
      </c>
      <c r="K58" s="36">
        <f t="shared" si="38"/>
        <v>251.51</v>
      </c>
      <c r="L58" s="36">
        <f t="shared" si="39"/>
        <v>63.110000000000014</v>
      </c>
      <c r="M58" s="97">
        <f t="shared" si="40"/>
        <v>314.62</v>
      </c>
    </row>
    <row r="59" spans="1:13" ht="60" x14ac:dyDescent="0.2">
      <c r="A59" s="96" t="s">
        <v>590</v>
      </c>
      <c r="B59" s="35" t="str" cm="1">
        <f t="array" ref="B59">INDEX('III-PA'!$B$18:$B$2661,1+MATCH(_xlfn.CONCAT(" ",'II-PO'!A59," "),'III-PA'!$A$18:$A$2661,0))</f>
        <v xml:space="preserve"> 94971 </v>
      </c>
      <c r="C59" s="35" t="str" cm="1">
        <f t="array" ref="C59">INDEX('III-PA'!$C$18:$C$2661,1+MATCH(_xlfn.CONCAT(" ",A59," "),'III-PA'!$A$18:$A$2661,0))</f>
        <v>SINAPI</v>
      </c>
      <c r="D59" s="35" t="str" cm="1">
        <f t="array" ref="D59">INDEX('III-PA'!$A$18:$A$2661,1+MATCH(_xlfn.CONCAT(" ",A59," "),'III-PA'!$A$18:$A$2661,0))</f>
        <v>Composição</v>
      </c>
      <c r="E59" s="35" t="str" cm="1">
        <f t="array" ref="E59">INDEX('III-PA'!$D$18:$D$2661,1+MATCH(_xlfn.CONCAT(" ",A59," "),'III-PA'!$A$18:$A$2661,0))</f>
        <v>CONCRETO FCK = 25MPA, TRAÇO 1:2,3:2,7 (EM MASSA SECA DE CIMENTO/ AREIA MÉDIA/ BRITA 1) - PREPARO MECÂNICO COM BETONEIRA 600 L. AF_05/2021</v>
      </c>
      <c r="F59" s="35" t="str" cm="1">
        <f t="array" ref="F59">INDEX('III-PA'!$G$18:$G$2661,1+MATCH(_xlfn.CONCAT(" ",A59," "),'III-PA'!$A$18:$A$2661,0))</f>
        <v>m³</v>
      </c>
      <c r="G59" s="50">
        <f>VLOOKUP(A59,'IV-MEMORIAL'!$A$17:$N$2203,14,0)</f>
        <v>7.16</v>
      </c>
      <c r="H59" s="51">
        <f t="shared" si="36"/>
        <v>0.252</v>
      </c>
      <c r="I59" s="36" cm="1">
        <f t="array" ref="I59">INDEX('III-PA'!$I$18:$I$2661,1+MATCH(_xlfn.CONCAT(" ",A59," "),'III-PA'!$A$18:$A$2661,0))</f>
        <v>526.74</v>
      </c>
      <c r="J59" s="36">
        <f t="shared" si="37"/>
        <v>659.47</v>
      </c>
      <c r="K59" s="36">
        <f t="shared" si="38"/>
        <v>3771.45</v>
      </c>
      <c r="L59" s="36">
        <f t="shared" si="39"/>
        <v>950.35000000000036</v>
      </c>
      <c r="M59" s="97">
        <f t="shared" si="40"/>
        <v>4721.8</v>
      </c>
    </row>
    <row r="60" spans="1:13" ht="45" x14ac:dyDescent="0.2">
      <c r="A60" s="96" t="s">
        <v>591</v>
      </c>
      <c r="B60" s="35" t="str" cm="1">
        <f t="array" ref="B60">INDEX('III-PA'!$B$18:$B$2661,1+MATCH(_xlfn.CONCAT(" ",'II-PO'!A60," "),'III-PA'!$A$18:$A$2661,0))</f>
        <v xml:space="preserve"> 103670 </v>
      </c>
      <c r="C60" s="35" t="str" cm="1">
        <f t="array" ref="C60">INDEX('III-PA'!$C$18:$C$2661,1+MATCH(_xlfn.CONCAT(" ",A60," "),'III-PA'!$A$18:$A$2661,0))</f>
        <v>SINAPI</v>
      </c>
      <c r="D60" s="35" t="str" cm="1">
        <f t="array" ref="D60">INDEX('III-PA'!$A$18:$A$2661,1+MATCH(_xlfn.CONCAT(" ",A60," "),'III-PA'!$A$18:$A$2661,0))</f>
        <v>Composição</v>
      </c>
      <c r="E60" s="35" t="str" cm="1">
        <f t="array" ref="E60">INDEX('III-PA'!$D$18:$D$2661,1+MATCH(_xlfn.CONCAT(" ",A60," "),'III-PA'!$A$18:$A$2661,0))</f>
        <v>LANÇAMENTO COM USO DE BALDES, ADENSAMENTO E ACABAMENTO DE CONCRETO EM ESTRUTURAS. AF_02/2022</v>
      </c>
      <c r="F60" s="35" t="str" cm="1">
        <f t="array" ref="F60">INDEX('III-PA'!$G$18:$G$2661,1+MATCH(_xlfn.CONCAT(" ",A60," "),'III-PA'!$A$18:$A$2661,0))</f>
        <v>m³</v>
      </c>
      <c r="G60" s="50">
        <f>VLOOKUP(A60,'IV-MEMORIAL'!$A$17:$N$2203,14,0)</f>
        <v>7.16</v>
      </c>
      <c r="H60" s="51">
        <f t="shared" si="36"/>
        <v>0.252</v>
      </c>
      <c r="I60" s="36" cm="1">
        <f t="array" ref="I60">INDEX('III-PA'!$I$18:$I$2661,1+MATCH(_xlfn.CONCAT(" ",A60," "),'III-PA'!$A$18:$A$2661,0))</f>
        <v>324.68</v>
      </c>
      <c r="J60" s="36">
        <f t="shared" si="37"/>
        <v>406.49</v>
      </c>
      <c r="K60" s="36">
        <f t="shared" si="38"/>
        <v>2324.6999999999998</v>
      </c>
      <c r="L60" s="36">
        <f t="shared" si="39"/>
        <v>585.76000000000022</v>
      </c>
      <c r="M60" s="97">
        <f t="shared" si="40"/>
        <v>2910.46</v>
      </c>
    </row>
    <row r="61" spans="1:13" ht="90" x14ac:dyDescent="0.2">
      <c r="A61" s="96" t="s">
        <v>592</v>
      </c>
      <c r="B61" s="35" t="str" cm="1">
        <f t="array" ref="B61">INDEX('III-PA'!$B$18:$B$2661,1+MATCH(_xlfn.CONCAT(" ",'II-PO'!A61," "),'III-PA'!$A$18:$A$2661,0))</f>
        <v xml:space="preserve"> 92427 </v>
      </c>
      <c r="C61" s="35" t="str" cm="1">
        <f t="array" ref="C61">INDEX('III-PA'!$C$18:$C$2661,1+MATCH(_xlfn.CONCAT(" ",A61," "),'III-PA'!$A$18:$A$2661,0))</f>
        <v>SINAPI</v>
      </c>
      <c r="D61" s="35" t="str" cm="1">
        <f t="array" ref="D61">INDEX('III-PA'!$A$18:$A$2661,1+MATCH(_xlfn.CONCAT(" ",A61," "),'III-PA'!$A$18:$A$2661,0))</f>
        <v>Composição</v>
      </c>
      <c r="E61" s="35" t="str" cm="1">
        <f t="array" ref="E61">INDEX('III-PA'!$D$18:$D$2661,1+MATCH(_xlfn.CONCAT(" ",A61," "),'III-PA'!$A$18:$A$2661,0))</f>
        <v>MONTAGEM E DESMONTAGEM DE FÔRMA DE PILARES RETANGULARES E ESTRUTURAS SIMILARES, PÉ-DIREITO SIMPLES, EM CHAPA DE MADEIRA COMPENSADA RESINADA, 8 UTILIZAÇÕES. AF_09/2020</v>
      </c>
      <c r="F61" s="35" t="str" cm="1">
        <f t="array" ref="F61">INDEX('III-PA'!$G$18:$G$2661,1+MATCH(_xlfn.CONCAT(" ",A61," "),'III-PA'!$A$18:$A$2661,0))</f>
        <v>m²</v>
      </c>
      <c r="G61" s="50">
        <f>VLOOKUP(A61,'IV-MEMORIAL'!$A$17:$N$2203,14,0)</f>
        <v>144.94</v>
      </c>
      <c r="H61" s="51">
        <f t="shared" si="36"/>
        <v>0.252</v>
      </c>
      <c r="I61" s="36" cm="1">
        <f t="array" ref="I61">INDEX('III-PA'!$I$18:$I$2661,1+MATCH(_xlfn.CONCAT(" ",A61," "),'III-PA'!$A$18:$A$2661,0))</f>
        <v>76.739999999999995</v>
      </c>
      <c r="J61" s="36">
        <f t="shared" si="37"/>
        <v>96.07</v>
      </c>
      <c r="K61" s="36">
        <f t="shared" si="38"/>
        <v>11122.69</v>
      </c>
      <c r="L61" s="36">
        <f t="shared" si="39"/>
        <v>2801.6899999999987</v>
      </c>
      <c r="M61" s="97">
        <f t="shared" si="40"/>
        <v>13924.38</v>
      </c>
    </row>
    <row r="62" spans="1:13" ht="15.75" x14ac:dyDescent="0.2">
      <c r="A62" s="163" t="s">
        <v>106</v>
      </c>
      <c r="B62" s="164"/>
      <c r="C62" s="164"/>
      <c r="D62" s="164"/>
      <c r="E62" s="164" t="s">
        <v>280</v>
      </c>
      <c r="F62" s="164"/>
      <c r="G62" s="164"/>
      <c r="H62" s="165"/>
      <c r="I62" s="166"/>
      <c r="J62" s="166"/>
      <c r="K62" s="166">
        <f>SUM(K63:K69)</f>
        <v>46326.020000000004</v>
      </c>
      <c r="L62" s="166">
        <f t="shared" ref="L62:M62" si="41">SUM(L63:L69)</f>
        <v>11670.019999999999</v>
      </c>
      <c r="M62" s="166">
        <f t="shared" si="41"/>
        <v>57996.04</v>
      </c>
    </row>
    <row r="63" spans="1:13" ht="60" x14ac:dyDescent="0.2">
      <c r="A63" s="96" t="s">
        <v>593</v>
      </c>
      <c r="B63" s="35" t="str" cm="1">
        <f t="array" ref="B63">INDEX('III-PA'!$B$18:$B$2661,1+MATCH(_xlfn.CONCAT(" ",'II-PO'!A63," "),'III-PA'!$A$18:$A$2661,0))</f>
        <v xml:space="preserve"> 92759 </v>
      </c>
      <c r="C63" s="35" t="str" cm="1">
        <f t="array" ref="C63">INDEX('III-PA'!$C$18:$C$2661,1+MATCH(_xlfn.CONCAT(" ",A63," "),'III-PA'!$A$18:$A$2661,0))</f>
        <v>SINAPI</v>
      </c>
      <c r="D63" s="35" t="str" cm="1">
        <f t="array" ref="D63">INDEX('III-PA'!$A$18:$A$2661,1+MATCH(_xlfn.CONCAT(" ",A63," "),'III-PA'!$A$18:$A$2661,0))</f>
        <v>Composição</v>
      </c>
      <c r="E63" s="35" t="str" cm="1">
        <f t="array" ref="E63">INDEX('III-PA'!$D$18:$D$2661,1+MATCH(_xlfn.CONCAT(" ",A63," "),'III-PA'!$A$18:$A$2661,0))</f>
        <v>ARMAÇÃO DE PILAR OU VIGA DE ESTRUTURA CONVENCIONAL DE CONCRETO ARMADO UTILIZANDO AÇO CA-60 DE 5,0 MM - MONTAGEM. AF_06/2022</v>
      </c>
      <c r="F63" s="35" t="str" cm="1">
        <f t="array" ref="F63">INDEX('III-PA'!$G$18:$G$2661,1+MATCH(_xlfn.CONCAT(" ",A63," "),'III-PA'!$A$18:$A$2661,0))</f>
        <v>KG</v>
      </c>
      <c r="G63" s="50">
        <f>VLOOKUP(A63,'IV-MEMORIAL'!$A$17:$N$2203,14,0)</f>
        <v>153.88</v>
      </c>
      <c r="H63" s="51">
        <f t="shared" ref="H63:H97" si="42">$L$14</f>
        <v>0.252</v>
      </c>
      <c r="I63" s="36" cm="1">
        <f t="array" ref="I63">INDEX('III-PA'!$I$18:$I$2661,1+MATCH(_xlfn.CONCAT(" ",A63," "),'III-PA'!$A$18:$A$2661,0))</f>
        <v>13.6</v>
      </c>
      <c r="J63" s="36">
        <f t="shared" ref="J63:J69" si="43">TRUNC(I63*(1+H63),2)</f>
        <v>17.02</v>
      </c>
      <c r="K63" s="36">
        <f t="shared" ref="K63:K69" si="44">TRUNC(I63*G63,2)</f>
        <v>2092.7600000000002</v>
      </c>
      <c r="L63" s="36">
        <f t="shared" ref="L63:L97" si="45">M63-K63</f>
        <v>526.27</v>
      </c>
      <c r="M63" s="97">
        <f t="shared" ref="M63:M69" si="46">TRUNC(G63*J63,2)</f>
        <v>2619.0300000000002</v>
      </c>
    </row>
    <row r="64" spans="1:13" ht="60" x14ac:dyDescent="0.2">
      <c r="A64" s="96" t="s">
        <v>594</v>
      </c>
      <c r="B64" s="35" t="str" cm="1">
        <f t="array" ref="B64">INDEX('III-PA'!$B$18:$B$2661,1+MATCH(_xlfn.CONCAT(" ",'II-PO'!A64," "),'III-PA'!$A$18:$A$2661,0))</f>
        <v xml:space="preserve"> 92761 </v>
      </c>
      <c r="C64" s="35" t="str" cm="1">
        <f t="array" ref="C64">INDEX('III-PA'!$C$18:$C$2661,1+MATCH(_xlfn.CONCAT(" ",A64," "),'III-PA'!$A$18:$A$2661,0))</f>
        <v>SINAPI</v>
      </c>
      <c r="D64" s="35" t="str" cm="1">
        <f t="array" ref="D64">INDEX('III-PA'!$A$18:$A$2661,1+MATCH(_xlfn.CONCAT(" ",A64," "),'III-PA'!$A$18:$A$2661,0))</f>
        <v>Composição</v>
      </c>
      <c r="E64" s="35" t="str" cm="1">
        <f t="array" ref="E64">INDEX('III-PA'!$D$18:$D$2661,1+MATCH(_xlfn.CONCAT(" ",A64," "),'III-PA'!$A$18:$A$2661,0))</f>
        <v>ARMAÇÃO DE PILAR OU VIGA DE ESTRUTURA CONVENCIONAL DE CONCRETO ARMADO UTILIZANDO AÇO CA-50 DE 8,0 MM - MONTAGEM. AF_06/2022</v>
      </c>
      <c r="F64" s="35" t="str" cm="1">
        <f t="array" ref="F64">INDEX('III-PA'!$G$18:$G$2661,1+MATCH(_xlfn.CONCAT(" ",A64," "),'III-PA'!$A$18:$A$2661,0))</f>
        <v>KG</v>
      </c>
      <c r="G64" s="50">
        <f>VLOOKUP(A64,'IV-MEMORIAL'!$A$17:$N$2203,14,0)</f>
        <v>280.18</v>
      </c>
      <c r="H64" s="51">
        <f t="shared" si="42"/>
        <v>0.252</v>
      </c>
      <c r="I64" s="36" cm="1">
        <f t="array" ref="I64">INDEX('III-PA'!$I$18:$I$2661,1+MATCH(_xlfn.CONCAT(" ",A64," "),'III-PA'!$A$18:$A$2661,0))</f>
        <v>11.3</v>
      </c>
      <c r="J64" s="36">
        <f t="shared" si="43"/>
        <v>14.14</v>
      </c>
      <c r="K64" s="36">
        <f t="shared" si="44"/>
        <v>3166.03</v>
      </c>
      <c r="L64" s="36">
        <f t="shared" si="45"/>
        <v>795.70999999999958</v>
      </c>
      <c r="M64" s="97">
        <f t="shared" si="46"/>
        <v>3961.74</v>
      </c>
    </row>
    <row r="65" spans="1:13" ht="60" x14ac:dyDescent="0.2">
      <c r="A65" s="96" t="s">
        <v>595</v>
      </c>
      <c r="B65" s="35" t="str" cm="1">
        <f t="array" ref="B65">INDEX('III-PA'!$B$18:$B$2661,1+MATCH(_xlfn.CONCAT(" ",'II-PO'!A65," "),'III-PA'!$A$18:$A$2661,0))</f>
        <v xml:space="preserve"> 92762 </v>
      </c>
      <c r="C65" s="35" t="str" cm="1">
        <f t="array" ref="C65">INDEX('III-PA'!$C$18:$C$2661,1+MATCH(_xlfn.CONCAT(" ",A65," "),'III-PA'!$A$18:$A$2661,0))</f>
        <v>SINAPI</v>
      </c>
      <c r="D65" s="35" t="str" cm="1">
        <f t="array" ref="D65">INDEX('III-PA'!$A$18:$A$2661,1+MATCH(_xlfn.CONCAT(" ",A65," "),'III-PA'!$A$18:$A$2661,0))</f>
        <v>Composição</v>
      </c>
      <c r="E65" s="35" t="str" cm="1">
        <f t="array" ref="E65">INDEX('III-PA'!$D$18:$D$2661,1+MATCH(_xlfn.CONCAT(" ",A65," "),'III-PA'!$A$18:$A$2661,0))</f>
        <v>ARMAÇÃO DE PILAR OU VIGA DE ESTRUTURA CONVENCIONAL DE CONCRETO ARMADO UTILIZANDO AÇO CA-50 DE 10,0 MM - MONTAGEM. AF_06/2022</v>
      </c>
      <c r="F65" s="35" t="str" cm="1">
        <f t="array" ref="F65">INDEX('III-PA'!$G$18:$G$2661,1+MATCH(_xlfn.CONCAT(" ",A65," "),'III-PA'!$A$18:$A$2661,0))</f>
        <v>KG</v>
      </c>
      <c r="G65" s="50">
        <f>VLOOKUP(A65,'IV-MEMORIAL'!$A$17:$N$2203,14,0)</f>
        <v>72.8</v>
      </c>
      <c r="H65" s="51">
        <f t="shared" si="42"/>
        <v>0.252</v>
      </c>
      <c r="I65" s="36" cm="1">
        <f t="array" ref="I65">INDEX('III-PA'!$I$18:$I$2661,1+MATCH(_xlfn.CONCAT(" ",A65," "),'III-PA'!$A$18:$A$2661,0))</f>
        <v>9.94</v>
      </c>
      <c r="J65" s="36">
        <f t="shared" si="43"/>
        <v>12.44</v>
      </c>
      <c r="K65" s="36">
        <f t="shared" si="44"/>
        <v>723.63</v>
      </c>
      <c r="L65" s="36">
        <f t="shared" si="45"/>
        <v>182</v>
      </c>
      <c r="M65" s="97">
        <f t="shared" si="46"/>
        <v>905.63</v>
      </c>
    </row>
    <row r="66" spans="1:13" ht="60" x14ac:dyDescent="0.2">
      <c r="A66" s="96" t="s">
        <v>596</v>
      </c>
      <c r="B66" s="35" t="str" cm="1">
        <f t="array" ref="B66">INDEX('III-PA'!$B$18:$B$2661,1+MATCH(_xlfn.CONCAT(" ",'II-PO'!A66," "),'III-PA'!$A$18:$A$2661,0))</f>
        <v xml:space="preserve"> 92763 </v>
      </c>
      <c r="C66" s="35" t="str" cm="1">
        <f t="array" ref="C66">INDEX('III-PA'!$C$18:$C$2661,1+MATCH(_xlfn.CONCAT(" ",A66," "),'III-PA'!$A$18:$A$2661,0))</f>
        <v>SINAPI</v>
      </c>
      <c r="D66" s="35" t="str" cm="1">
        <f t="array" ref="D66">INDEX('III-PA'!$A$18:$A$2661,1+MATCH(_xlfn.CONCAT(" ",A66," "),'III-PA'!$A$18:$A$2661,0))</f>
        <v>Composição</v>
      </c>
      <c r="E66" s="35" t="str" cm="1">
        <f t="array" ref="E66">INDEX('III-PA'!$D$18:$D$2661,1+MATCH(_xlfn.CONCAT(" ",A66," "),'III-PA'!$A$18:$A$2661,0))</f>
        <v>ARMAÇÃO DE PILAR OU VIGA DE ESTRUTURA CONVENCIONAL DE CONCRETO ARMADO UTILIZANDO AÇO CA-50 DE 12,5 MM - MONTAGEM. AF_06/2022</v>
      </c>
      <c r="F66" s="35" t="str" cm="1">
        <f t="array" ref="F66">INDEX('III-PA'!$G$18:$G$2661,1+MATCH(_xlfn.CONCAT(" ",A66," "),'III-PA'!$A$18:$A$2661,0))</f>
        <v>KG</v>
      </c>
      <c r="G66" s="50">
        <f>VLOOKUP(A66,'IV-MEMORIAL'!$A$17:$N$2203,14,0)</f>
        <v>19.649999999999999</v>
      </c>
      <c r="H66" s="51">
        <f t="shared" si="42"/>
        <v>0.252</v>
      </c>
      <c r="I66" s="36" cm="1">
        <f t="array" ref="I66">INDEX('III-PA'!$I$18:$I$2661,1+MATCH(_xlfn.CONCAT(" ",A66," "),'III-PA'!$A$18:$A$2661,0))</f>
        <v>8.2899999999999991</v>
      </c>
      <c r="J66" s="36">
        <f t="shared" si="43"/>
        <v>10.37</v>
      </c>
      <c r="K66" s="36">
        <f t="shared" si="44"/>
        <v>162.88999999999999</v>
      </c>
      <c r="L66" s="36">
        <f t="shared" si="45"/>
        <v>40.880000000000024</v>
      </c>
      <c r="M66" s="97">
        <f t="shared" si="46"/>
        <v>203.77</v>
      </c>
    </row>
    <row r="67" spans="1:13" ht="60" x14ac:dyDescent="0.2">
      <c r="A67" s="96" t="s">
        <v>597</v>
      </c>
      <c r="B67" s="35" t="str" cm="1">
        <f t="array" ref="B67">INDEX('III-PA'!$B$18:$B$2661,1+MATCH(_xlfn.CONCAT(" ",'II-PO'!A67," "),'III-PA'!$A$18:$A$2661,0))</f>
        <v xml:space="preserve"> 94971 </v>
      </c>
      <c r="C67" s="35" t="str" cm="1">
        <f t="array" ref="C67">INDEX('III-PA'!$C$18:$C$2661,1+MATCH(_xlfn.CONCAT(" ",A67," "),'III-PA'!$A$18:$A$2661,0))</f>
        <v>SINAPI</v>
      </c>
      <c r="D67" s="35" t="str" cm="1">
        <f t="array" ref="D67">INDEX('III-PA'!$A$18:$A$2661,1+MATCH(_xlfn.CONCAT(" ",A67," "),'III-PA'!$A$18:$A$2661,0))</f>
        <v>Composição</v>
      </c>
      <c r="E67" s="35" t="str" cm="1">
        <f t="array" ref="E67">INDEX('III-PA'!$D$18:$D$2661,1+MATCH(_xlfn.CONCAT(" ",A67," "),'III-PA'!$A$18:$A$2661,0))</f>
        <v>CONCRETO FCK = 25MPA, TRAÇO 1:2,3:2,7 (EM MASSA SECA DE CIMENTO/ AREIA MÉDIA/ BRITA 1) - PREPARO MECÂNICO COM BETONEIRA 600 L. AF_05/2021</v>
      </c>
      <c r="F67" s="35" t="str" cm="1">
        <f t="array" ref="F67">INDEX('III-PA'!$G$18:$G$2661,1+MATCH(_xlfn.CONCAT(" ",A67," "),'III-PA'!$A$18:$A$2661,0))</f>
        <v>m³</v>
      </c>
      <c r="G67" s="50">
        <f>VLOOKUP(A67,'IV-MEMORIAL'!$A$17:$N$2203,14,0)</f>
        <v>20.470000000000002</v>
      </c>
      <c r="H67" s="51">
        <f t="shared" si="42"/>
        <v>0.252</v>
      </c>
      <c r="I67" s="36" cm="1">
        <f t="array" ref="I67">INDEX('III-PA'!$I$18:$I$2661,1+MATCH(_xlfn.CONCAT(" ",A67," "),'III-PA'!$A$18:$A$2661,0))</f>
        <v>526.74</v>
      </c>
      <c r="J67" s="36">
        <f t="shared" si="43"/>
        <v>659.47</v>
      </c>
      <c r="K67" s="36">
        <f t="shared" si="44"/>
        <v>10782.36</v>
      </c>
      <c r="L67" s="36">
        <f t="shared" si="45"/>
        <v>2716.99</v>
      </c>
      <c r="M67" s="97">
        <f t="shared" si="46"/>
        <v>13499.35</v>
      </c>
    </row>
    <row r="68" spans="1:13" ht="45" x14ac:dyDescent="0.2">
      <c r="A68" s="96" t="s">
        <v>598</v>
      </c>
      <c r="B68" s="35" t="str" cm="1">
        <f t="array" ref="B68">INDEX('III-PA'!$B$18:$B$2661,1+MATCH(_xlfn.CONCAT(" ",'II-PO'!A68," "),'III-PA'!$A$18:$A$2661,0))</f>
        <v xml:space="preserve"> 103670 </v>
      </c>
      <c r="C68" s="35" t="str" cm="1">
        <f t="array" ref="C68">INDEX('III-PA'!$C$18:$C$2661,1+MATCH(_xlfn.CONCAT(" ",A68," "),'III-PA'!$A$18:$A$2661,0))</f>
        <v>SINAPI</v>
      </c>
      <c r="D68" s="35" t="str" cm="1">
        <f t="array" ref="D68">INDEX('III-PA'!$A$18:$A$2661,1+MATCH(_xlfn.CONCAT(" ",A68," "),'III-PA'!$A$18:$A$2661,0))</f>
        <v>Composição</v>
      </c>
      <c r="E68" s="35" t="str" cm="1">
        <f t="array" ref="E68">INDEX('III-PA'!$D$18:$D$2661,1+MATCH(_xlfn.CONCAT(" ",A68," "),'III-PA'!$A$18:$A$2661,0))</f>
        <v>LANÇAMENTO COM USO DE BALDES, ADENSAMENTO E ACABAMENTO DE CONCRETO EM ESTRUTURAS. AF_02/2022</v>
      </c>
      <c r="F68" s="35" t="str" cm="1">
        <f t="array" ref="F68">INDEX('III-PA'!$G$18:$G$2661,1+MATCH(_xlfn.CONCAT(" ",A68," "),'III-PA'!$A$18:$A$2661,0))</f>
        <v>m³</v>
      </c>
      <c r="G68" s="50">
        <f>VLOOKUP(A68,'IV-MEMORIAL'!$A$17:$N$2203,14,0)</f>
        <v>20.470000000000002</v>
      </c>
      <c r="H68" s="51">
        <f t="shared" si="42"/>
        <v>0.252</v>
      </c>
      <c r="I68" s="36" cm="1">
        <f t="array" ref="I68">INDEX('III-PA'!$I$18:$I$2661,1+MATCH(_xlfn.CONCAT(" ",A68," "),'III-PA'!$A$18:$A$2661,0))</f>
        <v>324.68</v>
      </c>
      <c r="J68" s="36">
        <f t="shared" si="43"/>
        <v>406.49</v>
      </c>
      <c r="K68" s="36">
        <f t="shared" si="44"/>
        <v>6646.19</v>
      </c>
      <c r="L68" s="36">
        <f t="shared" si="45"/>
        <v>1674.6600000000008</v>
      </c>
      <c r="M68" s="97">
        <f t="shared" si="46"/>
        <v>8320.85</v>
      </c>
    </row>
    <row r="69" spans="1:13" ht="75" x14ac:dyDescent="0.2">
      <c r="A69" s="96" t="s">
        <v>599</v>
      </c>
      <c r="B69" s="35" t="str" cm="1">
        <f t="array" ref="B69">INDEX('III-PA'!$B$18:$B$2661,1+MATCH(_xlfn.CONCAT(" ",'II-PO'!A69," "),'III-PA'!$A$18:$A$2661,0))</f>
        <v xml:space="preserve"> 92479 </v>
      </c>
      <c r="C69" s="35" t="str" cm="1">
        <f t="array" ref="C69">INDEX('III-PA'!$C$18:$C$2661,1+MATCH(_xlfn.CONCAT(" ",A69," "),'III-PA'!$A$18:$A$2661,0))</f>
        <v>SINAPI</v>
      </c>
      <c r="D69" s="35" t="str" cm="1">
        <f t="array" ref="D69">INDEX('III-PA'!$A$18:$A$2661,1+MATCH(_xlfn.CONCAT(" ",A69," "),'III-PA'!$A$18:$A$2661,0))</f>
        <v>Composição</v>
      </c>
      <c r="E69" s="35" t="str" cm="1">
        <f t="array" ref="E69">INDEX('III-PA'!$D$18:$D$2661,1+MATCH(_xlfn.CONCAT(" ",A69," "),'III-PA'!$A$18:$A$2661,0))</f>
        <v>MONTAGEM E DESMONTAGEM DE FÔRMA DE VIGA, ESCORAMENTO COM GARFO DE MADEIRA, PÉ-DIREITO SIMPLES, EM CHAPA DE MADEIRA PLASTIFICADA, 18 UTILIZAÇÕES. AF_09/2020</v>
      </c>
      <c r="F69" s="35" t="str" cm="1">
        <f t="array" ref="F69">INDEX('III-PA'!$G$18:$G$2661,1+MATCH(_xlfn.CONCAT(" ",A69," "),'III-PA'!$A$18:$A$2661,0))</f>
        <v>m²</v>
      </c>
      <c r="G69" s="50">
        <f>VLOOKUP(A69,'IV-MEMORIAL'!$A$17:$N$2203,14,0)</f>
        <v>279.82</v>
      </c>
      <c r="H69" s="51">
        <f t="shared" si="42"/>
        <v>0.252</v>
      </c>
      <c r="I69" s="36" cm="1">
        <f t="array" ref="I69">INDEX('III-PA'!$I$18:$I$2661,1+MATCH(_xlfn.CONCAT(" ",A69," "),'III-PA'!$A$18:$A$2661,0))</f>
        <v>81.31</v>
      </c>
      <c r="J69" s="36">
        <f t="shared" si="43"/>
        <v>101.8</v>
      </c>
      <c r="K69" s="36">
        <f t="shared" si="44"/>
        <v>22752.16</v>
      </c>
      <c r="L69" s="36">
        <f t="shared" si="45"/>
        <v>5733.5099999999984</v>
      </c>
      <c r="M69" s="97">
        <f t="shared" si="46"/>
        <v>28485.67</v>
      </c>
    </row>
    <row r="70" spans="1:13" ht="15.75" x14ac:dyDescent="0.2">
      <c r="A70" s="163" t="s">
        <v>600</v>
      </c>
      <c r="B70" s="164"/>
      <c r="C70" s="164"/>
      <c r="D70" s="164"/>
      <c r="E70" s="164" t="s">
        <v>318</v>
      </c>
      <c r="F70" s="164"/>
      <c r="G70" s="164"/>
      <c r="H70" s="165"/>
      <c r="I70" s="166"/>
      <c r="J70" s="166"/>
      <c r="K70" s="166">
        <f>SUM(K71:K74)</f>
        <v>63934.89</v>
      </c>
      <c r="L70" s="166">
        <f t="shared" ref="L70:M70" si="47">SUM(L71:L74)</f>
        <v>16109.099999999993</v>
      </c>
      <c r="M70" s="166">
        <f t="shared" si="47"/>
        <v>80043.990000000005</v>
      </c>
    </row>
    <row r="71" spans="1:13" ht="75" x14ac:dyDescent="0.2">
      <c r="A71" s="96" t="s">
        <v>601</v>
      </c>
      <c r="B71" s="35" t="str" cm="1">
        <f t="array" ref="B71">INDEX('III-PA'!$B$18:$B$2661,1+MATCH(_xlfn.CONCAT(" ",'II-PO'!A71," "),'III-PA'!$A$18:$A$2661,0))</f>
        <v xml:space="preserve"> 106060 </v>
      </c>
      <c r="C71" s="35" t="str" cm="1">
        <f t="array" ref="C71">INDEX('III-PA'!$C$18:$C$2661,1+MATCH(_xlfn.CONCAT(" ",A71," "),'III-PA'!$A$18:$A$2661,0))</f>
        <v>SINAPI</v>
      </c>
      <c r="D71" s="35" t="str" cm="1">
        <f t="array" ref="D71">INDEX('III-PA'!$A$18:$A$2661,1+MATCH(_xlfn.CONCAT(" ",A71," "),'III-PA'!$A$18:$A$2661,0))</f>
        <v>Composição</v>
      </c>
      <c r="E71" s="35" t="str" cm="1">
        <f t="array" ref="E71">INDEX('III-PA'!$D$18:$D$2661,1+MATCH(_xlfn.CONCAT(" ",A71," "),'III-PA'!$A$18:$A$2661,0))</f>
        <v>LAJE PRÉ-MOLDADA UNIDIRECIONAL, BIAPOIADA, PARA FORRO, ENCHIMENTO EM EPS, VIGOTA TRELIÇADA, ALTURA TOTAL DA LAJE "LT" = 12 CM (ENCHIMENTO+CAPA) = (8+4). AF_08/2025</v>
      </c>
      <c r="F71" s="35" t="str" cm="1">
        <f t="array" ref="F71">INDEX('III-PA'!$G$18:$G$2661,1+MATCH(_xlfn.CONCAT(" ",A71," "),'III-PA'!$A$18:$A$2661,0))</f>
        <v>m²</v>
      </c>
      <c r="G71" s="50">
        <f>VLOOKUP(A71,'IV-MEMORIAL'!$A$17:$N$2203,14,0)</f>
        <v>317</v>
      </c>
      <c r="H71" s="51">
        <f t="shared" si="42"/>
        <v>0.252</v>
      </c>
      <c r="I71" s="36" cm="1">
        <f t="array" ref="I71">INDEX('III-PA'!$I$18:$I$2661,1+MATCH(_xlfn.CONCAT(" ",A71," "),'III-PA'!$A$18:$A$2661,0))</f>
        <v>190.65</v>
      </c>
      <c r="J71" s="36">
        <f t="shared" ref="J71:J74" si="48">TRUNC(I71*(1+H71),2)</f>
        <v>238.69</v>
      </c>
      <c r="K71" s="36">
        <f t="shared" ref="K71:K74" si="49">TRUNC(I71*G71,2)</f>
        <v>60436.05</v>
      </c>
      <c r="L71" s="36">
        <f t="shared" si="45"/>
        <v>15228.679999999993</v>
      </c>
      <c r="M71" s="97">
        <f t="shared" ref="M71:M74" si="50">TRUNC(G71*J71,2)</f>
        <v>75664.73</v>
      </c>
    </row>
    <row r="72" spans="1:13" ht="60" x14ac:dyDescent="0.2">
      <c r="A72" s="96" t="s">
        <v>602</v>
      </c>
      <c r="B72" s="35" t="str" cm="1">
        <f t="array" ref="B72">INDEX('III-PA'!$B$18:$B$2661,1+MATCH(_xlfn.CONCAT(" ",'II-PO'!A72," "),'III-PA'!$A$18:$A$2661,0))</f>
        <v xml:space="preserve"> 92768 </v>
      </c>
      <c r="C72" s="35" t="str" cm="1">
        <f t="array" ref="C72">INDEX('III-PA'!$C$18:$C$2661,1+MATCH(_xlfn.CONCAT(" ",A72," "),'III-PA'!$A$18:$A$2661,0))</f>
        <v>SINAPI</v>
      </c>
      <c r="D72" s="35" t="str" cm="1">
        <f t="array" ref="D72">INDEX('III-PA'!$A$18:$A$2661,1+MATCH(_xlfn.CONCAT(" ",A72," "),'III-PA'!$A$18:$A$2661,0))</f>
        <v>Composição</v>
      </c>
      <c r="E72" s="35" t="str" cm="1">
        <f t="array" ref="E72">INDEX('III-PA'!$D$18:$D$2661,1+MATCH(_xlfn.CONCAT(" ",A72," "),'III-PA'!$A$18:$A$2661,0))</f>
        <v>ARMAÇÃO DE LAJE DE ESTRUTURA CONVENCIONAL DE CONCRETO ARMADO UTILIZANDO AÇO CA-60 DE 5,0 MM - MONTAGEM. AF_06/2022</v>
      </c>
      <c r="F72" s="35" t="str" cm="1">
        <f t="array" ref="F72">INDEX('III-PA'!$G$18:$G$2661,1+MATCH(_xlfn.CONCAT(" ",A72," "),'III-PA'!$A$18:$A$2661,0))</f>
        <v>KG</v>
      </c>
      <c r="G72" s="50">
        <f>VLOOKUP(A72,'IV-MEMORIAL'!$A$17:$N$2203,14,0)</f>
        <v>3.56</v>
      </c>
      <c r="H72" s="51">
        <f t="shared" si="42"/>
        <v>0.252</v>
      </c>
      <c r="I72" s="36" cm="1">
        <f t="array" ref="I72">INDEX('III-PA'!$I$18:$I$2661,1+MATCH(_xlfn.CONCAT(" ",A72," "),'III-PA'!$A$18:$A$2661,0))</f>
        <v>12.96</v>
      </c>
      <c r="J72" s="36">
        <f t="shared" si="48"/>
        <v>16.22</v>
      </c>
      <c r="K72" s="36">
        <f t="shared" si="49"/>
        <v>46.13</v>
      </c>
      <c r="L72" s="36">
        <f t="shared" si="45"/>
        <v>11.61</v>
      </c>
      <c r="M72" s="97">
        <f t="shared" si="50"/>
        <v>57.74</v>
      </c>
    </row>
    <row r="73" spans="1:13" ht="60" x14ac:dyDescent="0.2">
      <c r="A73" s="96" t="s">
        <v>603</v>
      </c>
      <c r="B73" s="35" t="str" cm="1">
        <f t="array" ref="B73">INDEX('III-PA'!$B$18:$B$2661,1+MATCH(_xlfn.CONCAT(" ",'II-PO'!A73," "),'III-PA'!$A$18:$A$2661,0))</f>
        <v xml:space="preserve"> 92770 </v>
      </c>
      <c r="C73" s="35" t="str" cm="1">
        <f t="array" ref="C73">INDEX('III-PA'!$C$18:$C$2661,1+MATCH(_xlfn.CONCAT(" ",A73," "),'III-PA'!$A$18:$A$2661,0))</f>
        <v>SINAPI</v>
      </c>
      <c r="D73" s="35" t="str" cm="1">
        <f t="array" ref="D73">INDEX('III-PA'!$A$18:$A$2661,1+MATCH(_xlfn.CONCAT(" ",A73," "),'III-PA'!$A$18:$A$2661,0))</f>
        <v>Composição</v>
      </c>
      <c r="E73" s="35" t="str" cm="1">
        <f t="array" ref="E73">INDEX('III-PA'!$D$18:$D$2661,1+MATCH(_xlfn.CONCAT(" ",A73," "),'III-PA'!$A$18:$A$2661,0))</f>
        <v>ARMAÇÃO DE LAJE DE ESTRUTURA CONVENCIONAL DE CONCRETO ARMADO UTILIZANDO AÇO CA-50 DE 8,0 MM - MONTAGEM. AF_06/2022</v>
      </c>
      <c r="F73" s="35" t="str" cm="1">
        <f t="array" ref="F73">INDEX('III-PA'!$G$18:$G$2661,1+MATCH(_xlfn.CONCAT(" ",A73," "),'III-PA'!$A$18:$A$2661,0))</f>
        <v>KG</v>
      </c>
      <c r="G73" s="50">
        <f>VLOOKUP(A73,'IV-MEMORIAL'!$A$17:$N$2203,14,0)</f>
        <v>312.08999999999997</v>
      </c>
      <c r="H73" s="51">
        <f t="shared" si="42"/>
        <v>0.252</v>
      </c>
      <c r="I73" s="36" cm="1">
        <f t="array" ref="I73">INDEX('III-PA'!$I$18:$I$2661,1+MATCH(_xlfn.CONCAT(" ",A73," "),'III-PA'!$A$18:$A$2661,0))</f>
        <v>10.73</v>
      </c>
      <c r="J73" s="36">
        <f t="shared" si="48"/>
        <v>13.43</v>
      </c>
      <c r="K73" s="36">
        <f t="shared" si="49"/>
        <v>3348.72</v>
      </c>
      <c r="L73" s="36">
        <f t="shared" si="45"/>
        <v>842.63999999999987</v>
      </c>
      <c r="M73" s="97">
        <f t="shared" si="50"/>
        <v>4191.3599999999997</v>
      </c>
    </row>
    <row r="74" spans="1:13" ht="60" x14ac:dyDescent="0.2">
      <c r="A74" s="96" t="s">
        <v>604</v>
      </c>
      <c r="B74" s="35" t="str" cm="1">
        <f t="array" ref="B74">INDEX('III-PA'!$B$18:$B$2661,1+MATCH(_xlfn.CONCAT(" ",'II-PO'!A74," "),'III-PA'!$A$18:$A$2661,0))</f>
        <v xml:space="preserve"> 92771 </v>
      </c>
      <c r="C74" s="35" t="str" cm="1">
        <f t="array" ref="C74">INDEX('III-PA'!$C$18:$C$2661,1+MATCH(_xlfn.CONCAT(" ",A74," "),'III-PA'!$A$18:$A$2661,0))</f>
        <v>SINAPI</v>
      </c>
      <c r="D74" s="35" t="str" cm="1">
        <f t="array" ref="D74">INDEX('III-PA'!$A$18:$A$2661,1+MATCH(_xlfn.CONCAT(" ",A74," "),'III-PA'!$A$18:$A$2661,0))</f>
        <v>Composição</v>
      </c>
      <c r="E74" s="35" t="str" cm="1">
        <f t="array" ref="E74">INDEX('III-PA'!$D$18:$D$2661,1+MATCH(_xlfn.CONCAT(" ",A74," "),'III-PA'!$A$18:$A$2661,0))</f>
        <v>ARMAÇÃO DE LAJE DE ESTRUTURA CONVENCIONAL DE CONCRETO ARMADO UTILIZANDO AÇO CA-50 DE 10,0 MM - MONTAGEM. AF_06/2022</v>
      </c>
      <c r="F74" s="35" t="str" cm="1">
        <f t="array" ref="F74">INDEX('III-PA'!$G$18:$G$2661,1+MATCH(_xlfn.CONCAT(" ",A74," "),'III-PA'!$A$18:$A$2661,0))</f>
        <v>KG</v>
      </c>
      <c r="G74" s="50">
        <f>VLOOKUP(A74,'IV-MEMORIAL'!$A$17:$N$2203,14,0)</f>
        <v>11.04</v>
      </c>
      <c r="H74" s="51">
        <f t="shared" si="42"/>
        <v>0.252</v>
      </c>
      <c r="I74" s="36" cm="1">
        <f t="array" ref="I74">INDEX('III-PA'!$I$18:$I$2661,1+MATCH(_xlfn.CONCAT(" ",A74," "),'III-PA'!$A$18:$A$2661,0))</f>
        <v>9.42</v>
      </c>
      <c r="J74" s="36">
        <f t="shared" si="48"/>
        <v>11.79</v>
      </c>
      <c r="K74" s="36">
        <f t="shared" si="49"/>
        <v>103.99</v>
      </c>
      <c r="L74" s="36">
        <f t="shared" si="45"/>
        <v>26.17</v>
      </c>
      <c r="M74" s="97">
        <f t="shared" si="50"/>
        <v>130.16</v>
      </c>
    </row>
    <row r="75" spans="1:13" ht="15.75" x14ac:dyDescent="0.2">
      <c r="A75" s="94">
        <v>6</v>
      </c>
      <c r="B75" s="40"/>
      <c r="C75" s="40"/>
      <c r="D75" s="40"/>
      <c r="E75" s="40" t="s">
        <v>219</v>
      </c>
      <c r="F75" s="40"/>
      <c r="G75" s="40"/>
      <c r="H75" s="41"/>
      <c r="I75" s="42"/>
      <c r="J75" s="42"/>
      <c r="K75" s="42">
        <f>SUM(K76:K86)</f>
        <v>118377.22</v>
      </c>
      <c r="L75" s="42">
        <f t="shared" ref="L75:M75" si="51">SUM(L76:L86)</f>
        <v>29810.979999999996</v>
      </c>
      <c r="M75" s="42">
        <f t="shared" si="51"/>
        <v>148188.20000000001</v>
      </c>
    </row>
    <row r="76" spans="1:13" ht="75" x14ac:dyDescent="0.2">
      <c r="A76" s="96" t="s">
        <v>107</v>
      </c>
      <c r="B76" s="35" t="str" cm="1">
        <f t="array" ref="B76">INDEX('III-PA'!$B$18:$B$2661,1+MATCH(_xlfn.CONCAT(" ",'II-PO'!A76," "),'III-PA'!$A$18:$A$2661,0))</f>
        <v xml:space="preserve"> 103356 </v>
      </c>
      <c r="C76" s="35" t="str" cm="1">
        <f t="array" ref="C76">INDEX('III-PA'!$C$18:$C$2661,1+MATCH(_xlfn.CONCAT(" ",A76," "),'III-PA'!$A$18:$A$2661,0))</f>
        <v>SINAPI</v>
      </c>
      <c r="D76" s="35" t="str" cm="1">
        <f t="array" ref="D76">INDEX('III-PA'!$A$18:$A$2661,1+MATCH(_xlfn.CONCAT(" ",A76," "),'III-PA'!$A$18:$A$2661,0))</f>
        <v>Composição</v>
      </c>
      <c r="E76" s="35" t="str" cm="1">
        <f t="array" ref="E76">INDEX('III-PA'!$D$18:$D$2661,1+MATCH(_xlfn.CONCAT(" ",A76," "),'III-PA'!$A$18:$A$2661,0))</f>
        <v>ALVENARIA DE VEDAÇÃO DE BLOCOS CERÂMICOS FURADOS NA HORIZONTAL DE 9X19X29 CM (ESPESSURA 9 CM) E ARGAMASSA DE ASSENTAMENTO COM PREPARO EM BETONEIRA. AF_12/2021</v>
      </c>
      <c r="F76" s="35" t="str" cm="1">
        <f t="array" ref="F76">INDEX('III-PA'!$G$18:$G$2661,1+MATCH(_xlfn.CONCAT(" ",A76," "),'III-PA'!$A$18:$A$2661,0))</f>
        <v>m²</v>
      </c>
      <c r="G76" s="50">
        <f>VLOOKUP(A76,'IV-MEMORIAL'!$A$17:$N$2203,14,0)</f>
        <v>549.39</v>
      </c>
      <c r="H76" s="51">
        <f t="shared" si="42"/>
        <v>0.252</v>
      </c>
      <c r="I76" s="36" cm="1">
        <f t="array" ref="I76">INDEX('III-PA'!$I$18:$I$2661,1+MATCH(_xlfn.CONCAT(" ",A76," "),'III-PA'!$A$18:$A$2661,0))</f>
        <v>76.47</v>
      </c>
      <c r="J76" s="36">
        <f t="shared" ref="J76:J86" si="52">TRUNC(I76*(1+H76),2)</f>
        <v>95.74</v>
      </c>
      <c r="K76" s="36">
        <f t="shared" ref="K76:K86" si="53">TRUNC(I76*G76,2)</f>
        <v>42011.85</v>
      </c>
      <c r="L76" s="36">
        <f t="shared" si="45"/>
        <v>10586.739999999998</v>
      </c>
      <c r="M76" s="97">
        <f t="shared" ref="M76:M86" si="54">TRUNC(G76*J76,2)</f>
        <v>52598.59</v>
      </c>
    </row>
    <row r="77" spans="1:13" ht="75" x14ac:dyDescent="0.2">
      <c r="A77" s="96" t="s">
        <v>319</v>
      </c>
      <c r="B77" s="35" t="str" cm="1">
        <f t="array" ref="B77">INDEX('III-PA'!$B$18:$B$2661,1+MATCH(_xlfn.CONCAT(" ",'II-PO'!A77," "),'III-PA'!$A$18:$A$2661,0))</f>
        <v xml:space="preserve"> 101162 </v>
      </c>
      <c r="C77" s="35" t="str" cm="1">
        <f t="array" ref="C77">INDEX('III-PA'!$C$18:$C$2661,1+MATCH(_xlfn.CONCAT(" ",A77," "),'III-PA'!$A$18:$A$2661,0))</f>
        <v>SINAPI</v>
      </c>
      <c r="D77" s="35" t="str" cm="1">
        <f t="array" ref="D77">INDEX('III-PA'!$A$18:$A$2661,1+MATCH(_xlfn.CONCAT(" ",A77," "),'III-PA'!$A$18:$A$2661,0))</f>
        <v>Composição</v>
      </c>
      <c r="E77" s="35" t="str" cm="1">
        <f t="array" ref="E77">INDEX('III-PA'!$D$18:$D$2661,1+MATCH(_xlfn.CONCAT(" ",A77," "),'III-PA'!$A$18:$A$2661,0))</f>
        <v>ALVENARIA DE VEDAÇÃO COM ELEMENTO VAZADO DE CERÂMICA (COBOGÓ) DE 7X20X20CM E ARGAMASSA DE ASSENTAMENTO COM PREPARO EM BETONEIRA. AF_05/2020</v>
      </c>
      <c r="F77" s="35" t="str" cm="1">
        <f t="array" ref="F77">INDEX('III-PA'!$G$18:$G$2661,1+MATCH(_xlfn.CONCAT(" ",A77," "),'III-PA'!$A$18:$A$2661,0))</f>
        <v>m²</v>
      </c>
      <c r="G77" s="50">
        <f>VLOOKUP(A77,'IV-MEMORIAL'!$A$17:$N$2203,14,0)</f>
        <v>2.41</v>
      </c>
      <c r="H77" s="51">
        <f t="shared" si="42"/>
        <v>0.252</v>
      </c>
      <c r="I77" s="36" cm="1">
        <f t="array" ref="I77">INDEX('III-PA'!$I$18:$I$2661,1+MATCH(_xlfn.CONCAT(" ",A77," "),'III-PA'!$A$18:$A$2661,0))</f>
        <v>191.36</v>
      </c>
      <c r="J77" s="36">
        <f t="shared" si="52"/>
        <v>239.58</v>
      </c>
      <c r="K77" s="36">
        <f t="shared" si="53"/>
        <v>461.17</v>
      </c>
      <c r="L77" s="36">
        <f t="shared" si="45"/>
        <v>116.20999999999998</v>
      </c>
      <c r="M77" s="97">
        <f t="shared" si="54"/>
        <v>577.38</v>
      </c>
    </row>
    <row r="78" spans="1:13" ht="75" x14ac:dyDescent="0.2">
      <c r="A78" s="96" t="s">
        <v>383</v>
      </c>
      <c r="B78" s="35" t="str" cm="1">
        <f t="array" ref="B78">INDEX('III-PA'!$B$18:$B$2661,1+MATCH(_xlfn.CONCAT(" ",'II-PO'!A78," "),'III-PA'!$A$18:$A$2661,0))</f>
        <v xml:space="preserve"> 102257 </v>
      </c>
      <c r="C78" s="35" t="str" cm="1">
        <f t="array" ref="C78">INDEX('III-PA'!$C$18:$C$2661,1+MATCH(_xlfn.CONCAT(" ",A78," "),'III-PA'!$A$18:$A$2661,0))</f>
        <v>SINAPI</v>
      </c>
      <c r="D78" s="35" t="str" cm="1">
        <f t="array" ref="D78">INDEX('III-PA'!$A$18:$A$2661,1+MATCH(_xlfn.CONCAT(" ",A78," "),'III-PA'!$A$18:$A$2661,0))</f>
        <v>Composição</v>
      </c>
      <c r="E78" s="35" t="str" cm="1">
        <f t="array" ref="E78">INDEX('III-PA'!$D$18:$D$2661,1+MATCH(_xlfn.CONCAT(" ",A78," "),'III-PA'!$A$18:$A$2661,0))</f>
        <v>DIVISORIA SANITÁRIA, TIPO CABINE, EM PAINEL DE GRANILITE, ESP = 3CM, ASSENTADO COM ARGAMASSA COLANTE AC III-E, EXCLUSIVE FERRAGENS. AF_01/2021</v>
      </c>
      <c r="F78" s="35" t="str" cm="1">
        <f t="array" ref="F78">INDEX('III-PA'!$G$18:$G$2661,1+MATCH(_xlfn.CONCAT(" ",A78," "),'III-PA'!$A$18:$A$2661,0))</f>
        <v>m²</v>
      </c>
      <c r="G78" s="50">
        <f>VLOOKUP(A78,'IV-MEMORIAL'!$A$17:$N$2203,14,0)</f>
        <v>6.36</v>
      </c>
      <c r="H78" s="51">
        <f t="shared" si="42"/>
        <v>0.252</v>
      </c>
      <c r="I78" s="36" cm="1">
        <f t="array" ref="I78">INDEX('III-PA'!$I$18:$I$2661,1+MATCH(_xlfn.CONCAT(" ",A78," "),'III-PA'!$A$18:$A$2661,0))</f>
        <v>350.21</v>
      </c>
      <c r="J78" s="36">
        <f t="shared" si="52"/>
        <v>438.46</v>
      </c>
      <c r="K78" s="36">
        <f t="shared" si="53"/>
        <v>2227.33</v>
      </c>
      <c r="L78" s="36">
        <f t="shared" si="45"/>
        <v>561.27</v>
      </c>
      <c r="M78" s="97">
        <f t="shared" si="54"/>
        <v>2788.6</v>
      </c>
    </row>
    <row r="79" spans="1:13" ht="75" x14ac:dyDescent="0.2">
      <c r="A79" s="96" t="s">
        <v>384</v>
      </c>
      <c r="B79" s="35" t="str" cm="1">
        <f t="array" ref="B79">INDEX('III-PA'!$B$18:$B$2661,1+MATCH(_xlfn.CONCAT(" ",'II-PO'!A79," "),'III-PA'!$A$18:$A$2661,0))</f>
        <v xml:space="preserve"> 87879 </v>
      </c>
      <c r="C79" s="35" t="str" cm="1">
        <f t="array" ref="C79">INDEX('III-PA'!$C$18:$C$2661,1+MATCH(_xlfn.CONCAT(" ",A79," "),'III-PA'!$A$18:$A$2661,0))</f>
        <v>SINAPI</v>
      </c>
      <c r="D79" s="35" t="str" cm="1">
        <f t="array" ref="D79">INDEX('III-PA'!$A$18:$A$2661,1+MATCH(_xlfn.CONCAT(" ",A79," "),'III-PA'!$A$18:$A$2661,0))</f>
        <v>Composição</v>
      </c>
      <c r="E79" s="35" t="str" cm="1">
        <f t="array" ref="E79">INDEX('III-PA'!$D$18:$D$2661,1+MATCH(_xlfn.CONCAT(" ",A79," "),'III-PA'!$A$18:$A$2661,0))</f>
        <v>CHAPISCO APLICADO EM ALVENARIAS E ESTRUTURAS DE CONCRETO INTERNAS, COM COLHER DE PEDREIRO. ARGAMASSA TRAÇO 1:3 COM PREPARO EM BETONEIRA 400L. AF_10/2022</v>
      </c>
      <c r="F79" s="35" t="str" cm="1">
        <f t="array" ref="F79">INDEX('III-PA'!$G$18:$G$2661,1+MATCH(_xlfn.CONCAT(" ",A79," "),'III-PA'!$A$18:$A$2661,0))</f>
        <v>m²</v>
      </c>
      <c r="G79" s="50">
        <f>VLOOKUP(A79,'IV-MEMORIAL'!$A$17:$N$2203,14,0)</f>
        <v>1060.03</v>
      </c>
      <c r="H79" s="51">
        <f t="shared" si="42"/>
        <v>0.252</v>
      </c>
      <c r="I79" s="36" cm="1">
        <f t="array" ref="I79">INDEX('III-PA'!$I$18:$I$2661,1+MATCH(_xlfn.CONCAT(" ",A79," "),'III-PA'!$A$18:$A$2661,0))</f>
        <v>4.79</v>
      </c>
      <c r="J79" s="36">
        <f t="shared" si="52"/>
        <v>5.99</v>
      </c>
      <c r="K79" s="36">
        <f t="shared" si="53"/>
        <v>5077.54</v>
      </c>
      <c r="L79" s="36">
        <f t="shared" si="45"/>
        <v>1272.0299999999997</v>
      </c>
      <c r="M79" s="97">
        <f t="shared" si="54"/>
        <v>6349.57</v>
      </c>
    </row>
    <row r="80" spans="1:13" ht="90" x14ac:dyDescent="0.2">
      <c r="A80" s="96" t="s">
        <v>392</v>
      </c>
      <c r="B80" s="35" t="str" cm="1">
        <f t="array" ref="B80">INDEX('III-PA'!$B$18:$B$2661,1+MATCH(_xlfn.CONCAT(" ",'II-PO'!A80," "),'III-PA'!$A$18:$A$2661,0))</f>
        <v xml:space="preserve"> 87905 </v>
      </c>
      <c r="C80" s="35" t="str" cm="1">
        <f t="array" ref="C80">INDEX('III-PA'!$C$18:$C$2661,1+MATCH(_xlfn.CONCAT(" ",A80," "),'III-PA'!$A$18:$A$2661,0))</f>
        <v>SINAPI</v>
      </c>
      <c r="D80" s="35" t="str" cm="1">
        <f t="array" ref="D80">INDEX('III-PA'!$A$18:$A$2661,1+MATCH(_xlfn.CONCAT(" ",A80," "),'III-PA'!$A$18:$A$2661,0))</f>
        <v>Composição</v>
      </c>
      <c r="E80" s="35" t="str" cm="1">
        <f t="array" ref="E80">INDEX('III-PA'!$D$18:$D$2661,1+MATCH(_xlfn.CONCAT(" ",A80," "),'III-PA'!$A$18:$A$2661,0))</f>
        <v>CHAPISCO APLICADO EM ALVENARIA (COM PRESENÇA DE VÃOS) E ESTRUTURAS DE CONCRETO DE FACHADA, COM COLHER DE PEDREIRO. ARGAMASSA TRAÇO 1:3 COM PREPARO EM BETONEIRA 400L. AF_10/2022</v>
      </c>
      <c r="F80" s="35" t="str" cm="1">
        <f t="array" ref="F80">INDEX('III-PA'!$G$18:$G$2661,1+MATCH(_xlfn.CONCAT(" ",A80," "),'III-PA'!$A$18:$A$2661,0))</f>
        <v>m²</v>
      </c>
      <c r="G80" s="50">
        <f>VLOOKUP(A80,'IV-MEMORIAL'!$A$17:$N$2203,14,0)</f>
        <v>73.39</v>
      </c>
      <c r="H80" s="51">
        <f t="shared" si="42"/>
        <v>0.252</v>
      </c>
      <c r="I80" s="36" cm="1">
        <f t="array" ref="I80">INDEX('III-PA'!$I$18:$I$2661,1+MATCH(_xlfn.CONCAT(" ",A80," "),'III-PA'!$A$18:$A$2661,0))</f>
        <v>8.86</v>
      </c>
      <c r="J80" s="36">
        <f t="shared" si="52"/>
        <v>11.09</v>
      </c>
      <c r="K80" s="36">
        <f t="shared" si="53"/>
        <v>650.23</v>
      </c>
      <c r="L80" s="36">
        <f t="shared" si="45"/>
        <v>163.65999999999997</v>
      </c>
      <c r="M80" s="97">
        <f t="shared" si="54"/>
        <v>813.89</v>
      </c>
    </row>
    <row r="81" spans="1:13" ht="90" x14ac:dyDescent="0.2">
      <c r="A81" s="96" t="s">
        <v>394</v>
      </c>
      <c r="B81" s="35" t="str" cm="1">
        <f t="array" ref="B81">INDEX('III-PA'!$B$18:$B$2661,1+MATCH(_xlfn.CONCAT(" ",'II-PO'!A81," "),'III-PA'!$A$18:$A$2661,0))</f>
        <v xml:space="preserve"> 87894 </v>
      </c>
      <c r="C81" s="35" t="str" cm="1">
        <f t="array" ref="C81">INDEX('III-PA'!$C$18:$C$2661,1+MATCH(_xlfn.CONCAT(" ",A81," "),'III-PA'!$A$18:$A$2661,0))</f>
        <v>SINAPI</v>
      </c>
      <c r="D81" s="35" t="str" cm="1">
        <f t="array" ref="D81">INDEX('III-PA'!$A$18:$A$2661,1+MATCH(_xlfn.CONCAT(" ",A81," "),'III-PA'!$A$18:$A$2661,0))</f>
        <v>Composição</v>
      </c>
      <c r="E81" s="35" t="str" cm="1">
        <f t="array" ref="E81">INDEX('III-PA'!$D$18:$D$2661,1+MATCH(_xlfn.CONCAT(" ",A81," "),'III-PA'!$A$18:$A$2661,0))</f>
        <v>CHAPISCO APLICADO EM ALVENARIA (SEM PRESENÇA DE VÃOS) E ESTRUTURAS DE CONCRETO DE FACHADA, COM COLHER DE PEDREIRO. ARGAMASSA TRAÇO 1:3 COM PREPARO EM BETONEIRA 400L. AF_10/2022</v>
      </c>
      <c r="F81" s="35" t="str" cm="1">
        <f t="array" ref="F81">INDEX('III-PA'!$G$18:$G$2661,1+MATCH(_xlfn.CONCAT(" ",A81," "),'III-PA'!$A$18:$A$2661,0))</f>
        <v>m²</v>
      </c>
      <c r="G81" s="50">
        <f>VLOOKUP(A81,'IV-MEMORIAL'!$A$17:$N$2203,14,0)</f>
        <v>301.83999999999997</v>
      </c>
      <c r="H81" s="51">
        <f t="shared" si="42"/>
        <v>0.252</v>
      </c>
      <c r="I81" s="36" cm="1">
        <f t="array" ref="I81">INDEX('III-PA'!$I$18:$I$2661,1+MATCH(_xlfn.CONCAT(" ",A81," "),'III-PA'!$A$18:$A$2661,0))</f>
        <v>7.56</v>
      </c>
      <c r="J81" s="36">
        <f t="shared" si="52"/>
        <v>9.4600000000000009</v>
      </c>
      <c r="K81" s="36">
        <f t="shared" si="53"/>
        <v>2281.91</v>
      </c>
      <c r="L81" s="36">
        <f t="shared" si="45"/>
        <v>573.49000000000024</v>
      </c>
      <c r="M81" s="97">
        <f t="shared" si="54"/>
        <v>2855.4</v>
      </c>
    </row>
    <row r="82" spans="1:13" ht="90" x14ac:dyDescent="0.2">
      <c r="A82" s="96" t="s">
        <v>395</v>
      </c>
      <c r="B82" s="35" t="str" cm="1">
        <f t="array" ref="B82">INDEX('III-PA'!$B$18:$B$2661,1+MATCH(_xlfn.CONCAT(" ",'II-PO'!A82," "),'III-PA'!$A$18:$A$2661,0))</f>
        <v xml:space="preserve"> 87527 </v>
      </c>
      <c r="C82" s="35" t="str" cm="1">
        <f t="array" ref="C82">INDEX('III-PA'!$C$18:$C$2661,1+MATCH(_xlfn.CONCAT(" ",A82," "),'III-PA'!$A$18:$A$2661,0))</f>
        <v>SINAPI</v>
      </c>
      <c r="D82" s="35" t="str" cm="1">
        <f t="array" ref="D82">INDEX('III-PA'!$A$18:$A$2661,1+MATCH(_xlfn.CONCAT(" ",A82," "),'III-PA'!$A$18:$A$2661,0))</f>
        <v>Composição</v>
      </c>
      <c r="E82" s="35" t="str" cm="1">
        <f t="array" ref="E82">INDEX('III-PA'!$D$18:$D$2661,1+MATCH(_xlfn.CONCAT(" ",A82," "),'III-PA'!$A$18:$A$2661,0))</f>
        <v>EMBOÇO, EM ARGAMASSA TRAÇO 1:2:8, PREPARO MECÂNICO, APLICADO MANUALMENTE EM PAREDES INTERNAS DE AMBIENTES COM ÁREA MENOR QUE 5M², E =17,5MM, COM TALISCAS. AF_03/2024</v>
      </c>
      <c r="F82" s="35" t="str" cm="1">
        <f t="array" ref="F82">INDEX('III-PA'!$G$18:$G$2661,1+MATCH(_xlfn.CONCAT(" ",A82," "),'III-PA'!$A$18:$A$2661,0))</f>
        <v>m²</v>
      </c>
      <c r="G82" s="50">
        <f>VLOOKUP(A82,'IV-MEMORIAL'!$A$17:$N$2203,14,0)</f>
        <v>86.3</v>
      </c>
      <c r="H82" s="51">
        <f t="shared" si="42"/>
        <v>0.252</v>
      </c>
      <c r="I82" s="36" cm="1">
        <f t="array" ref="I82">INDEX('III-PA'!$I$18:$I$2661,1+MATCH(_xlfn.CONCAT(" ",A82," "),'III-PA'!$A$18:$A$2661,0))</f>
        <v>43.92</v>
      </c>
      <c r="J82" s="36">
        <f t="shared" si="52"/>
        <v>54.98</v>
      </c>
      <c r="K82" s="36">
        <f t="shared" si="53"/>
        <v>3790.29</v>
      </c>
      <c r="L82" s="36">
        <f t="shared" si="45"/>
        <v>954.48000000000047</v>
      </c>
      <c r="M82" s="97">
        <f t="shared" si="54"/>
        <v>4744.7700000000004</v>
      </c>
    </row>
    <row r="83" spans="1:13" ht="90" x14ac:dyDescent="0.2">
      <c r="A83" s="96" t="s">
        <v>396</v>
      </c>
      <c r="B83" s="35" t="str" cm="1">
        <f t="array" ref="B83">INDEX('III-PA'!$B$18:$B$2661,1+MATCH(_xlfn.CONCAT(" ",'II-PO'!A83," "),'III-PA'!$A$18:$A$2661,0))</f>
        <v xml:space="preserve"> 87531 </v>
      </c>
      <c r="C83" s="35" t="str" cm="1">
        <f t="array" ref="C83">INDEX('III-PA'!$C$18:$C$2661,1+MATCH(_xlfn.CONCAT(" ",A83," "),'III-PA'!$A$18:$A$2661,0))</f>
        <v>SINAPI</v>
      </c>
      <c r="D83" s="35" t="str" cm="1">
        <f t="array" ref="D83">INDEX('III-PA'!$A$18:$A$2661,1+MATCH(_xlfn.CONCAT(" ",A83," "),'III-PA'!$A$18:$A$2661,0))</f>
        <v>Composição</v>
      </c>
      <c r="E83" s="35" t="str" cm="1">
        <f t="array" ref="E83">INDEX('III-PA'!$D$18:$D$2661,1+MATCH(_xlfn.CONCAT(" ",A83," "),'III-PA'!$A$18:$A$2661,0))</f>
        <v>EMBOÇO, EM ARGAMASSA TRAÇO 1:2:8, PREPARO MECÂNICO, APLICADO MANUALMENTE EM PAREDES INTERNAS DE AMBIENTES COM ÁREA ENTRE 5M² E 10M², E = 17,5MM, COM TALISCAS. AF_03/2024</v>
      </c>
      <c r="F83" s="35" t="str" cm="1">
        <f t="array" ref="F83">INDEX('III-PA'!$G$18:$G$2661,1+MATCH(_xlfn.CONCAT(" ",A83," "),'III-PA'!$A$18:$A$2661,0))</f>
        <v>m²</v>
      </c>
      <c r="G83" s="50">
        <f>VLOOKUP(A83,'IV-MEMORIAL'!$A$17:$N$2203,14,0)</f>
        <v>260.61</v>
      </c>
      <c r="H83" s="51">
        <f t="shared" si="42"/>
        <v>0.252</v>
      </c>
      <c r="I83" s="36" cm="1">
        <f t="array" ref="I83">INDEX('III-PA'!$I$18:$I$2661,1+MATCH(_xlfn.CONCAT(" ",A83," "),'III-PA'!$A$18:$A$2661,0))</f>
        <v>39.1</v>
      </c>
      <c r="J83" s="36">
        <f t="shared" si="52"/>
        <v>48.95</v>
      </c>
      <c r="K83" s="36">
        <f t="shared" si="53"/>
        <v>10189.85</v>
      </c>
      <c r="L83" s="36">
        <f t="shared" si="45"/>
        <v>2567</v>
      </c>
      <c r="M83" s="97">
        <f t="shared" si="54"/>
        <v>12756.85</v>
      </c>
    </row>
    <row r="84" spans="1:13" ht="90" x14ac:dyDescent="0.2">
      <c r="A84" s="96" t="s">
        <v>397</v>
      </c>
      <c r="B84" s="35" t="str" cm="1">
        <f t="array" ref="B84">INDEX('III-PA'!$B$18:$B$2661,1+MATCH(_xlfn.CONCAT(" ",'II-PO'!A84," "),'III-PA'!$A$18:$A$2661,0))</f>
        <v xml:space="preserve"> 87535 </v>
      </c>
      <c r="C84" s="35" t="str" cm="1">
        <f t="array" ref="C84">INDEX('III-PA'!$C$18:$C$2661,1+MATCH(_xlfn.CONCAT(" ",A84," "),'III-PA'!$A$18:$A$2661,0))</f>
        <v>SINAPI</v>
      </c>
      <c r="D84" s="35" t="str" cm="1">
        <f t="array" ref="D84">INDEX('III-PA'!$A$18:$A$2661,1+MATCH(_xlfn.CONCAT(" ",A84," "),'III-PA'!$A$18:$A$2661,0))</f>
        <v>Composição</v>
      </c>
      <c r="E84" s="35" t="str" cm="1">
        <f t="array" ref="E84">INDEX('III-PA'!$D$18:$D$2661,1+MATCH(_xlfn.CONCAT(" ",A84," "),'III-PA'!$A$18:$A$2661,0))</f>
        <v>EMBOÇO, EM ARGAMASSA TRAÇO 1:2:8, PREPARO MECÂNICO, APLICADO MANUALMENTE EM PAREDES INTERNAS DE AMBIENTES COM ÁREA MAIOR QUE 10M², E = 17,5MM, COM TALISCAS. AF_03/2024</v>
      </c>
      <c r="F84" s="35" t="str" cm="1">
        <f t="array" ref="F84">INDEX('III-PA'!$G$18:$G$2661,1+MATCH(_xlfn.CONCAT(" ",A84," "),'III-PA'!$A$18:$A$2661,0))</f>
        <v>m²</v>
      </c>
      <c r="G84" s="50">
        <f>VLOOKUP(A84,'IV-MEMORIAL'!$A$17:$N$2203,14,0)</f>
        <v>713.11</v>
      </c>
      <c r="H84" s="51">
        <f t="shared" si="42"/>
        <v>0.252</v>
      </c>
      <c r="I84" s="36" cm="1">
        <f t="array" ref="I84">INDEX('III-PA'!$I$18:$I$2661,1+MATCH(_xlfn.CONCAT(" ",A84," "),'III-PA'!$A$18:$A$2661,0))</f>
        <v>36.229999999999997</v>
      </c>
      <c r="J84" s="36">
        <f t="shared" si="52"/>
        <v>45.35</v>
      </c>
      <c r="K84" s="36">
        <f t="shared" si="53"/>
        <v>25835.97</v>
      </c>
      <c r="L84" s="36">
        <f t="shared" si="45"/>
        <v>6503.5599999999977</v>
      </c>
      <c r="M84" s="97">
        <f t="shared" si="54"/>
        <v>32339.53</v>
      </c>
    </row>
    <row r="85" spans="1:13" ht="105" x14ac:dyDescent="0.2">
      <c r="A85" s="96" t="s">
        <v>398</v>
      </c>
      <c r="B85" s="35" t="str" cm="1">
        <f t="array" ref="B85">INDEX('III-PA'!$B$18:$B$2661,1+MATCH(_xlfn.CONCAT(" ",'II-PO'!A85," "),'III-PA'!$A$18:$A$2661,0))</f>
        <v xml:space="preserve"> 104237 </v>
      </c>
      <c r="C85" s="35" t="str" cm="1">
        <f t="array" ref="C85">INDEX('III-PA'!$C$18:$C$2661,1+MATCH(_xlfn.CONCAT(" ",A85," "),'III-PA'!$A$18:$A$2661,0))</f>
        <v>SINAPI</v>
      </c>
      <c r="D85" s="35" t="str" cm="1">
        <f t="array" ref="D85">INDEX('III-PA'!$A$18:$A$2661,1+MATCH(_xlfn.CONCAT(" ",A85," "),'III-PA'!$A$18:$A$2661,0))</f>
        <v>Composição</v>
      </c>
      <c r="E85" s="35" t="str" cm="1">
        <f t="array" ref="E85">INDEX('III-PA'!$D$18:$D$2661,1+MATCH(_xlfn.CONCAT(" ",A85," "),'III-PA'!$A$18:$A$2661,0))</f>
        <v>EMBOÇO OU MASSA ÚNICA EM ARGAMASSA TRAÇO 1:2:8, PREPARO MECÂNICA COM BETONEIRA 400 L, APLICADA MANUALMENTE EM PANOS DE FACHADA SEM PRESENÇA DE VÃOS, ESPESSURA DE 35 MM, ACESSO POR ANDAIME. AF_08/2022</v>
      </c>
      <c r="F85" s="35" t="str" cm="1">
        <f t="array" ref="F85">INDEX('III-PA'!$G$18:$G$2661,1+MATCH(_xlfn.CONCAT(" ",A85," "),'III-PA'!$A$18:$A$2661,0))</f>
        <v>m²</v>
      </c>
      <c r="G85" s="50">
        <f>VLOOKUP(A85,'IV-MEMORIAL'!$A$17:$N$2203,14,0)</f>
        <v>73.39</v>
      </c>
      <c r="H85" s="51">
        <f t="shared" si="42"/>
        <v>0.252</v>
      </c>
      <c r="I85" s="36" cm="1">
        <f t="array" ref="I85">INDEX('III-PA'!$I$18:$I$2661,1+MATCH(_xlfn.CONCAT(" ",A85," "),'III-PA'!$A$18:$A$2661,0))</f>
        <v>57.23</v>
      </c>
      <c r="J85" s="36">
        <f t="shared" si="52"/>
        <v>71.650000000000006</v>
      </c>
      <c r="K85" s="36">
        <f t="shared" si="53"/>
        <v>4200.1000000000004</v>
      </c>
      <c r="L85" s="36">
        <f t="shared" si="45"/>
        <v>1058.29</v>
      </c>
      <c r="M85" s="97">
        <f t="shared" si="54"/>
        <v>5258.39</v>
      </c>
    </row>
    <row r="86" spans="1:13" ht="105" x14ac:dyDescent="0.2">
      <c r="A86" s="96" t="s">
        <v>399</v>
      </c>
      <c r="B86" s="35" t="str" cm="1">
        <f t="array" ref="B86">INDEX('III-PA'!$B$18:$B$2661,1+MATCH(_xlfn.CONCAT(" ",'II-PO'!A86," "),'III-PA'!$A$18:$A$2661,0))</f>
        <v xml:space="preserve"> 104221 </v>
      </c>
      <c r="C86" s="35" t="str" cm="1">
        <f t="array" ref="C86">INDEX('III-PA'!$C$18:$C$2661,1+MATCH(_xlfn.CONCAT(" ",A86," "),'III-PA'!$A$18:$A$2661,0))</f>
        <v>SINAPI</v>
      </c>
      <c r="D86" s="35" t="str" cm="1">
        <f t="array" ref="D86">INDEX('III-PA'!$A$18:$A$2661,1+MATCH(_xlfn.CONCAT(" ",A86," "),'III-PA'!$A$18:$A$2661,0))</f>
        <v>Composição</v>
      </c>
      <c r="E86" s="35" t="str" cm="1">
        <f t="array" ref="E86">INDEX('III-PA'!$D$18:$D$2661,1+MATCH(_xlfn.CONCAT(" ",A86," "),'III-PA'!$A$18:$A$2661,0))</f>
        <v>EMBOÇO OU MASSA ÚNICA EM ARGAMASSA TRAÇO 1:2:8, PREPARO MECÂNICA COM BETONEIRA 400 L, APLICADA MANUALMENTE EM PANOS DE FACHADA COM PRESENÇA DE VÃOS, ESPESSURA DE 35 MM, ACESSO POR ANDAIME. AF_08/2022</v>
      </c>
      <c r="F86" s="35" t="str" cm="1">
        <f t="array" ref="F86">INDEX('III-PA'!$G$18:$G$2661,1+MATCH(_xlfn.CONCAT(" ",A86," "),'III-PA'!$A$18:$A$2661,0))</f>
        <v>m²</v>
      </c>
      <c r="G86" s="50">
        <f>VLOOKUP(A86,'IV-MEMORIAL'!$A$17:$N$2203,14,0)</f>
        <v>301.83999999999997</v>
      </c>
      <c r="H86" s="51">
        <f t="shared" si="42"/>
        <v>0.252</v>
      </c>
      <c r="I86" s="36" cm="1">
        <f t="array" ref="I86">INDEX('III-PA'!$I$18:$I$2661,1+MATCH(_xlfn.CONCAT(" ",A86," "),'III-PA'!$A$18:$A$2661,0))</f>
        <v>71.73</v>
      </c>
      <c r="J86" s="36">
        <f t="shared" si="52"/>
        <v>89.8</v>
      </c>
      <c r="K86" s="36">
        <f t="shared" si="53"/>
        <v>21650.98</v>
      </c>
      <c r="L86" s="36">
        <f t="shared" si="45"/>
        <v>5454.25</v>
      </c>
      <c r="M86" s="97">
        <f t="shared" si="54"/>
        <v>27105.23</v>
      </c>
    </row>
    <row r="87" spans="1:13" ht="15.75" x14ac:dyDescent="0.2">
      <c r="A87" s="94">
        <v>7</v>
      </c>
      <c r="B87" s="40"/>
      <c r="C87" s="40"/>
      <c r="D87" s="40"/>
      <c r="E87" s="40" t="s">
        <v>220</v>
      </c>
      <c r="F87" s="40"/>
      <c r="G87" s="40"/>
      <c r="H87" s="41"/>
      <c r="I87" s="42"/>
      <c r="J87" s="42"/>
      <c r="K87" s="42">
        <f>SUM(K88:K95)</f>
        <v>91322.72</v>
      </c>
      <c r="L87" s="42">
        <f t="shared" ref="L87:M87" si="55">SUM(L88:L95)</f>
        <v>23002.6</v>
      </c>
      <c r="M87" s="42">
        <f t="shared" si="55"/>
        <v>114325.31999999999</v>
      </c>
    </row>
    <row r="88" spans="1:13" ht="75" x14ac:dyDescent="0.2">
      <c r="A88" s="96" t="s">
        <v>343</v>
      </c>
      <c r="B88" s="35" t="str" cm="1">
        <f t="array" ref="B88">INDEX('III-PA'!$B$18:$B$2661,1+MATCH(_xlfn.CONCAT(" ",'II-PO'!A88," "),'III-PA'!$A$18:$A$2661,0))</f>
        <v xml:space="preserve"> 97084 </v>
      </c>
      <c r="C88" s="35" t="str" cm="1">
        <f t="array" ref="C88">INDEX('III-PA'!$C$18:$C$2661,1+MATCH(_xlfn.CONCAT(" ",A88," "),'III-PA'!$A$18:$A$2661,0))</f>
        <v>SINAPI</v>
      </c>
      <c r="D88" s="35" t="str" cm="1">
        <f t="array" ref="D88">INDEX('III-PA'!$A$18:$A$2661,1+MATCH(_xlfn.CONCAT(" ",A88," "),'III-PA'!$A$18:$A$2661,0))</f>
        <v>Composição</v>
      </c>
      <c r="E88" s="35" t="str" cm="1">
        <f t="array" ref="E88">INDEX('III-PA'!$D$18:$D$2661,1+MATCH(_xlfn.CONCAT(" ",A88," "),'III-PA'!$A$18:$A$2661,0))</f>
        <v>COMPACTAÇÃO MECÂNICA DE SOLO PARA EXECUÇÃO DE RADIER, PISO DE CONCRETO OU LAJE SOBRE SOLO, COM COMPACTADOR DE SOLOS TIPO PLACA VIBRATÓRIA. AF_09/2021</v>
      </c>
      <c r="F88" s="35" t="str" cm="1">
        <f t="array" ref="F88">INDEX('III-PA'!$G$18:$G$2661,1+MATCH(_xlfn.CONCAT(" ",A88," "),'III-PA'!$A$18:$A$2661,0))</f>
        <v>m²</v>
      </c>
      <c r="G88" s="50">
        <f>VLOOKUP(A88,'IV-MEMORIAL'!$A$17:$N$2203,14,0)</f>
        <v>442.82</v>
      </c>
      <c r="H88" s="51">
        <f t="shared" si="42"/>
        <v>0.252</v>
      </c>
      <c r="I88" s="36" cm="1">
        <f t="array" ref="I88">INDEX('III-PA'!$I$18:$I$2661,1+MATCH(_xlfn.CONCAT(" ",A88," "),'III-PA'!$A$18:$A$2661,0))</f>
        <v>0.75</v>
      </c>
      <c r="J88" s="36">
        <f t="shared" ref="J88:J95" si="56">TRUNC(I88*(1+H88),2)</f>
        <v>0.93</v>
      </c>
      <c r="K88" s="36">
        <f t="shared" ref="K88:K95" si="57">TRUNC(I88*G88,2)</f>
        <v>332.11</v>
      </c>
      <c r="L88" s="36">
        <f t="shared" si="45"/>
        <v>79.70999999999998</v>
      </c>
      <c r="M88" s="97">
        <f t="shared" ref="M88:M95" si="58">TRUNC(G88*J88,2)</f>
        <v>411.82</v>
      </c>
    </row>
    <row r="89" spans="1:13" ht="60" x14ac:dyDescent="0.2">
      <c r="A89" s="96" t="s">
        <v>344</v>
      </c>
      <c r="B89" s="35" t="str" cm="1">
        <f t="array" ref="B89">INDEX('III-PA'!$B$18:$B$2661,1+MATCH(_xlfn.CONCAT(" ",'II-PO'!A89," "),'III-PA'!$A$18:$A$2661,0))</f>
        <v xml:space="preserve"> 97087 </v>
      </c>
      <c r="C89" s="35" t="str" cm="1">
        <f t="array" ref="C89">INDEX('III-PA'!$C$18:$C$2661,1+MATCH(_xlfn.CONCAT(" ",A89," "),'III-PA'!$A$18:$A$2661,0))</f>
        <v>SINAPI</v>
      </c>
      <c r="D89" s="35" t="str" cm="1">
        <f t="array" ref="D89">INDEX('III-PA'!$A$18:$A$2661,1+MATCH(_xlfn.CONCAT(" ",A89," "),'III-PA'!$A$18:$A$2661,0))</f>
        <v>Composição</v>
      </c>
      <c r="E89" s="35" t="str" cm="1">
        <f t="array" ref="E89">INDEX('III-PA'!$D$18:$D$2661,1+MATCH(_xlfn.CONCAT(" ",A89," "),'III-PA'!$A$18:$A$2661,0))</f>
        <v>CAMADA SEPARADORA PARA EXECUÇÃO DE RADIER, PISO DE CONCRETO OU LAJE SOBRE SOLO, EM LONA PLÁSTICA. AF_09/2021</v>
      </c>
      <c r="F89" s="35" t="str" cm="1">
        <f t="array" ref="F89">INDEX('III-PA'!$G$18:$G$2661,1+MATCH(_xlfn.CONCAT(" ",A89," "),'III-PA'!$A$18:$A$2661,0))</f>
        <v>m²</v>
      </c>
      <c r="G89" s="50">
        <f>VLOOKUP(A89,'IV-MEMORIAL'!$A$17:$N$2203,14,0)</f>
        <v>442.82</v>
      </c>
      <c r="H89" s="51">
        <f t="shared" si="42"/>
        <v>0.252</v>
      </c>
      <c r="I89" s="36" cm="1">
        <f t="array" ref="I89">INDEX('III-PA'!$I$18:$I$2661,1+MATCH(_xlfn.CONCAT(" ",A89," "),'III-PA'!$A$18:$A$2661,0))</f>
        <v>2.5499999999999998</v>
      </c>
      <c r="J89" s="36">
        <f t="shared" si="56"/>
        <v>3.19</v>
      </c>
      <c r="K89" s="36">
        <f t="shared" si="57"/>
        <v>1129.19</v>
      </c>
      <c r="L89" s="36">
        <f t="shared" si="45"/>
        <v>283.39999999999986</v>
      </c>
      <c r="M89" s="97">
        <f t="shared" si="58"/>
        <v>1412.59</v>
      </c>
    </row>
    <row r="90" spans="1:13" ht="60" x14ac:dyDescent="0.2">
      <c r="A90" s="96" t="s">
        <v>345</v>
      </c>
      <c r="B90" s="35" t="str" cm="1">
        <f t="array" ref="B90">INDEX('III-PA'!$B$18:$B$2661,1+MATCH(_xlfn.CONCAT(" ",'II-PO'!A90," "),'III-PA'!$A$18:$A$2661,0))</f>
        <v xml:space="preserve"> 95240 </v>
      </c>
      <c r="C90" s="35" t="str" cm="1">
        <f t="array" ref="C90">INDEX('III-PA'!$C$18:$C$2661,1+MATCH(_xlfn.CONCAT(" ",A90," "),'III-PA'!$A$18:$A$2661,0))</f>
        <v>SINAPI</v>
      </c>
      <c r="D90" s="35" t="str" cm="1">
        <f t="array" ref="D90">INDEX('III-PA'!$A$18:$A$2661,1+MATCH(_xlfn.CONCAT(" ",A90," "),'III-PA'!$A$18:$A$2661,0))</f>
        <v>Composição</v>
      </c>
      <c r="E90" s="35" t="str" cm="1">
        <f t="array" ref="E90">INDEX('III-PA'!$D$18:$D$2661,1+MATCH(_xlfn.CONCAT(" ",A90," "),'III-PA'!$A$18:$A$2661,0))</f>
        <v>LASTRO DE CONCRETO MAGRO, APLICADO EM PISOS, LAJES SOBRE SOLO OU RADIERS, ESPESSURA DE 3 CM. AF_01/2024</v>
      </c>
      <c r="F90" s="35" t="str" cm="1">
        <f t="array" ref="F90">INDEX('III-PA'!$G$18:$G$2661,1+MATCH(_xlfn.CONCAT(" ",A90," "),'III-PA'!$A$18:$A$2661,0))</f>
        <v>m²</v>
      </c>
      <c r="G90" s="50">
        <f>VLOOKUP(A90,'IV-MEMORIAL'!$A$17:$N$2203,14,0)</f>
        <v>442.82</v>
      </c>
      <c r="H90" s="51">
        <f t="shared" si="42"/>
        <v>0.252</v>
      </c>
      <c r="I90" s="36" cm="1">
        <f t="array" ref="I90">INDEX('III-PA'!$I$18:$I$2661,1+MATCH(_xlfn.CONCAT(" ",A90," "),'III-PA'!$A$18:$A$2661,0))</f>
        <v>20.92</v>
      </c>
      <c r="J90" s="36">
        <f t="shared" si="56"/>
        <v>26.19</v>
      </c>
      <c r="K90" s="36">
        <f t="shared" si="57"/>
        <v>9263.7900000000009</v>
      </c>
      <c r="L90" s="36">
        <f t="shared" si="45"/>
        <v>2333.66</v>
      </c>
      <c r="M90" s="97">
        <f t="shared" si="58"/>
        <v>11597.45</v>
      </c>
    </row>
    <row r="91" spans="1:13" ht="60" x14ac:dyDescent="0.2">
      <c r="A91" s="96" t="s">
        <v>347</v>
      </c>
      <c r="B91" s="35" t="str" cm="1">
        <f t="array" ref="B91">INDEX('III-PA'!$B$18:$B$2661,1+MATCH(_xlfn.CONCAT(" ",'II-PO'!A91," "),'III-PA'!$A$18:$A$2661,0))</f>
        <v xml:space="preserve"> 101749 </v>
      </c>
      <c r="C91" s="35" t="str" cm="1">
        <f t="array" ref="C91">INDEX('III-PA'!$C$18:$C$2661,1+MATCH(_xlfn.CONCAT(" ",A91," "),'III-PA'!$A$18:$A$2661,0))</f>
        <v>SINAPI</v>
      </c>
      <c r="D91" s="35" t="str" cm="1">
        <f t="array" ref="D91">INDEX('III-PA'!$A$18:$A$2661,1+MATCH(_xlfn.CONCAT(" ",A91," "),'III-PA'!$A$18:$A$2661,0))</f>
        <v>Composição</v>
      </c>
      <c r="E91" s="35" t="str" cm="1">
        <f t="array" ref="E91">INDEX('III-PA'!$D$18:$D$2661,1+MATCH(_xlfn.CONCAT(" ",A91," "),'III-PA'!$A$18:$A$2661,0))</f>
        <v>PISO CIMENTADO, TRAÇO 1:3 (CIMENTO E AREIA), ACABAMENTO LISO, ESPESSURA 4,0 CM, PREPARO MECÂNICO DA ARGAMASSA. AF_09/2020</v>
      </c>
      <c r="F91" s="35" t="str" cm="1">
        <f t="array" ref="F91">INDEX('III-PA'!$G$18:$G$2661,1+MATCH(_xlfn.CONCAT(" ",A91," "),'III-PA'!$A$18:$A$2661,0))</f>
        <v>m²</v>
      </c>
      <c r="G91" s="50">
        <f>VLOOKUP(A91,'IV-MEMORIAL'!$A$17:$N$2203,14,0)</f>
        <v>442.82</v>
      </c>
      <c r="H91" s="51">
        <f t="shared" si="42"/>
        <v>0.252</v>
      </c>
      <c r="I91" s="36" cm="1">
        <f t="array" ref="I91">INDEX('III-PA'!$I$18:$I$2661,1+MATCH(_xlfn.CONCAT(" ",A91," "),'III-PA'!$A$18:$A$2661,0))</f>
        <v>58.35</v>
      </c>
      <c r="J91" s="36">
        <f t="shared" si="56"/>
        <v>73.05</v>
      </c>
      <c r="K91" s="36">
        <f t="shared" si="57"/>
        <v>25838.54</v>
      </c>
      <c r="L91" s="36">
        <f t="shared" si="45"/>
        <v>6509.4599999999991</v>
      </c>
      <c r="M91" s="97">
        <f t="shared" si="58"/>
        <v>32348</v>
      </c>
    </row>
    <row r="92" spans="1:13" ht="75" x14ac:dyDescent="0.2">
      <c r="A92" s="96" t="s">
        <v>351</v>
      </c>
      <c r="B92" s="35" t="str" cm="1">
        <f t="array" ref="B92">INDEX('III-PA'!$B$18:$B$2661,1+MATCH(_xlfn.CONCAT(" ",'II-PO'!A92," "),'III-PA'!$A$18:$A$2661,0))</f>
        <v xml:space="preserve"> 87261 </v>
      </c>
      <c r="C92" s="35" t="str" cm="1">
        <f t="array" ref="C92">INDEX('III-PA'!$C$18:$C$2661,1+MATCH(_xlfn.CONCAT(" ",A92," "),'III-PA'!$A$18:$A$2661,0))</f>
        <v>SINAPI</v>
      </c>
      <c r="D92" s="35" t="str" cm="1">
        <f t="array" ref="D92">INDEX('III-PA'!$A$18:$A$2661,1+MATCH(_xlfn.CONCAT(" ",A92," "),'III-PA'!$A$18:$A$2661,0))</f>
        <v>Composição</v>
      </c>
      <c r="E92" s="35" t="str" cm="1">
        <f t="array" ref="E92">INDEX('III-PA'!$D$18:$D$2661,1+MATCH(_xlfn.CONCAT(" ",A92," "),'III-PA'!$A$18:$A$2661,0))</f>
        <v>REVESTIMENTO CERÂMICO PARA PISO COM PLACAS TIPO PORCELANATO DE DIMENSÕES 60X60 CM APLICADA EM AMBIENTES DE ÁREA MENOR QUE 5 M². AF_02/2023_PE</v>
      </c>
      <c r="F92" s="35" t="str" cm="1">
        <f t="array" ref="F92">INDEX('III-PA'!$G$18:$G$2661,1+MATCH(_xlfn.CONCAT(" ",A92," "),'III-PA'!$A$18:$A$2661,0))</f>
        <v>m²</v>
      </c>
      <c r="G92" s="50">
        <f>VLOOKUP(A92,'IV-MEMORIAL'!$A$17:$N$2203,14,0)</f>
        <v>14.94</v>
      </c>
      <c r="H92" s="51">
        <f t="shared" si="42"/>
        <v>0.252</v>
      </c>
      <c r="I92" s="36" cm="1">
        <f t="array" ref="I92">INDEX('III-PA'!$I$18:$I$2661,1+MATCH(_xlfn.CONCAT(" ",A92," "),'III-PA'!$A$18:$A$2661,0))</f>
        <v>138.57</v>
      </c>
      <c r="J92" s="36">
        <f t="shared" si="56"/>
        <v>173.48</v>
      </c>
      <c r="K92" s="36">
        <f t="shared" si="57"/>
        <v>2070.23</v>
      </c>
      <c r="L92" s="36">
        <f t="shared" si="45"/>
        <v>521.55999999999995</v>
      </c>
      <c r="M92" s="97">
        <f t="shared" si="58"/>
        <v>2591.79</v>
      </c>
    </row>
    <row r="93" spans="1:13" ht="75" x14ac:dyDescent="0.2">
      <c r="A93" s="96" t="s">
        <v>352</v>
      </c>
      <c r="B93" s="35" t="str" cm="1">
        <f t="array" ref="B93">INDEX('III-PA'!$B$18:$B$2661,1+MATCH(_xlfn.CONCAT(" ",'II-PO'!A93," "),'III-PA'!$A$18:$A$2661,0))</f>
        <v xml:space="preserve"> 87262 </v>
      </c>
      <c r="C93" s="35" t="str" cm="1">
        <f t="array" ref="C93">INDEX('III-PA'!$C$18:$C$2661,1+MATCH(_xlfn.CONCAT(" ",A93," "),'III-PA'!$A$18:$A$2661,0))</f>
        <v>SINAPI</v>
      </c>
      <c r="D93" s="35" t="str" cm="1">
        <f t="array" ref="D93">INDEX('III-PA'!$A$18:$A$2661,1+MATCH(_xlfn.CONCAT(" ",A93," "),'III-PA'!$A$18:$A$2661,0))</f>
        <v>Composição</v>
      </c>
      <c r="E93" s="35" t="str" cm="1">
        <f t="array" ref="E93">INDEX('III-PA'!$D$18:$D$2661,1+MATCH(_xlfn.CONCAT(" ",A93," "),'III-PA'!$A$18:$A$2661,0))</f>
        <v>REVESTIMENTO CERÂMICO PARA PISO COM PLACAS TIPO PORCELANATO DE DIMENSÕES 60X60 CM APLICADA EM AMBIENTES DE ÁREA ENTRE 5 M² E 10 M². AF_02/2023_PE</v>
      </c>
      <c r="F93" s="35" t="str" cm="1">
        <f t="array" ref="F93">INDEX('III-PA'!$G$18:$G$2661,1+MATCH(_xlfn.CONCAT(" ",A93," "),'III-PA'!$A$18:$A$2661,0))</f>
        <v>m²</v>
      </c>
      <c r="G93" s="50">
        <f>VLOOKUP(A93,'IV-MEMORIAL'!$A$17:$N$2203,14,0)</f>
        <v>8</v>
      </c>
      <c r="H93" s="51">
        <f t="shared" si="42"/>
        <v>0.252</v>
      </c>
      <c r="I93" s="36" cm="1">
        <f t="array" ref="I93">INDEX('III-PA'!$I$18:$I$2661,1+MATCH(_xlfn.CONCAT(" ",A93," "),'III-PA'!$A$18:$A$2661,0))</f>
        <v>124.49</v>
      </c>
      <c r="J93" s="36">
        <f t="shared" si="56"/>
        <v>155.86000000000001</v>
      </c>
      <c r="K93" s="36">
        <f t="shared" si="57"/>
        <v>995.92</v>
      </c>
      <c r="L93" s="36">
        <f t="shared" si="45"/>
        <v>250.96000000000015</v>
      </c>
      <c r="M93" s="97">
        <f t="shared" si="58"/>
        <v>1246.8800000000001</v>
      </c>
    </row>
    <row r="94" spans="1:13" ht="75" x14ac:dyDescent="0.2">
      <c r="A94" s="96" t="s">
        <v>353</v>
      </c>
      <c r="B94" s="35" t="str" cm="1">
        <f t="array" ref="B94">INDEX('III-PA'!$B$18:$B$2661,1+MATCH(_xlfn.CONCAT(" ",'II-PO'!A94," "),'III-PA'!$A$18:$A$2661,0))</f>
        <v xml:space="preserve"> 87263 </v>
      </c>
      <c r="C94" s="35" t="str" cm="1">
        <f t="array" ref="C94">INDEX('III-PA'!$C$18:$C$2661,1+MATCH(_xlfn.CONCAT(" ",A94," "),'III-PA'!$A$18:$A$2661,0))</f>
        <v>SINAPI</v>
      </c>
      <c r="D94" s="35" t="str" cm="1">
        <f t="array" ref="D94">INDEX('III-PA'!$A$18:$A$2661,1+MATCH(_xlfn.CONCAT(" ",A94," "),'III-PA'!$A$18:$A$2661,0))</f>
        <v>Composição</v>
      </c>
      <c r="E94" s="35" t="str" cm="1">
        <f t="array" ref="E94">INDEX('III-PA'!$D$18:$D$2661,1+MATCH(_xlfn.CONCAT(" ",A94," "),'III-PA'!$A$18:$A$2661,0))</f>
        <v>REVESTIMENTO CERÂMICO PARA PISO COM PLACAS TIPO PORCELANATO DE DIMENSÕES 60X60 CM APLICADA EM AMBIENTES DE ÁREA MAIOR QUE 10 M². AF_02/2023_PE</v>
      </c>
      <c r="F94" s="35" t="str" cm="1">
        <f t="array" ref="F94">INDEX('III-PA'!$G$18:$G$2661,1+MATCH(_xlfn.CONCAT(" ",A94," "),'III-PA'!$A$18:$A$2661,0))</f>
        <v>m²</v>
      </c>
      <c r="G94" s="50">
        <f>VLOOKUP(A94,'IV-MEMORIAL'!$A$17:$N$2203,14,0)</f>
        <v>419.88</v>
      </c>
      <c r="H94" s="51">
        <f t="shared" si="42"/>
        <v>0.252</v>
      </c>
      <c r="I94" s="36" cm="1">
        <f t="array" ref="I94">INDEX('III-PA'!$I$18:$I$2661,1+MATCH(_xlfn.CONCAT(" ",A94," "),'III-PA'!$A$18:$A$2661,0))</f>
        <v>113.22</v>
      </c>
      <c r="J94" s="36">
        <f t="shared" si="56"/>
        <v>141.75</v>
      </c>
      <c r="K94" s="36">
        <f t="shared" si="57"/>
        <v>47538.81</v>
      </c>
      <c r="L94" s="36">
        <f t="shared" si="45"/>
        <v>11979.18</v>
      </c>
      <c r="M94" s="97">
        <f t="shared" si="58"/>
        <v>59517.99</v>
      </c>
    </row>
    <row r="95" spans="1:13" ht="45" x14ac:dyDescent="0.2">
      <c r="A95" s="96" t="s">
        <v>400</v>
      </c>
      <c r="B95" s="35" t="str" cm="1">
        <f t="array" ref="B95">INDEX('III-PA'!$B$18:$B$2661,1+MATCH(_xlfn.CONCAT(" ",'II-PO'!A95," "),'III-PA'!$A$18:$A$2661,0))</f>
        <v xml:space="preserve"> 88650 </v>
      </c>
      <c r="C95" s="35" t="str" cm="1">
        <f t="array" ref="C95">INDEX('III-PA'!$C$18:$C$2661,1+MATCH(_xlfn.CONCAT(" ",A95," "),'III-PA'!$A$18:$A$2661,0))</f>
        <v>SINAPI</v>
      </c>
      <c r="D95" s="35" t="str" cm="1">
        <f t="array" ref="D95">INDEX('III-PA'!$A$18:$A$2661,1+MATCH(_xlfn.CONCAT(" ",A95," "),'III-PA'!$A$18:$A$2661,0))</f>
        <v>Composição</v>
      </c>
      <c r="E95" s="35" t="str" cm="1">
        <f t="array" ref="E95">INDEX('III-PA'!$D$18:$D$2661,1+MATCH(_xlfn.CONCAT(" ",A95," "),'III-PA'!$A$18:$A$2661,0))</f>
        <v>RODAPÉ CERÂMICO DE 7CM DE ALTURA COM PLACAS TIPO ESMALTADA DE DIMENSÕES 60X60CM. AF_02/2023</v>
      </c>
      <c r="F95" s="35" t="str" cm="1">
        <f t="array" ref="F95">INDEX('III-PA'!$G$18:$G$2661,1+MATCH(_xlfn.CONCAT(" ",A95," "),'III-PA'!$A$18:$A$2661,0))</f>
        <v>M</v>
      </c>
      <c r="G95" s="50">
        <f>VLOOKUP(A95,'IV-MEMORIAL'!$A$17:$N$2203,14,0)</f>
        <v>350.56</v>
      </c>
      <c r="H95" s="51">
        <f t="shared" si="42"/>
        <v>0.252</v>
      </c>
      <c r="I95" s="36" cm="1">
        <f t="array" ref="I95">INDEX('III-PA'!$I$18:$I$2661,1+MATCH(_xlfn.CONCAT(" ",A95," "),'III-PA'!$A$18:$A$2661,0))</f>
        <v>11.85</v>
      </c>
      <c r="J95" s="36">
        <f t="shared" si="56"/>
        <v>14.83</v>
      </c>
      <c r="K95" s="36">
        <f t="shared" si="57"/>
        <v>4154.13</v>
      </c>
      <c r="L95" s="36">
        <f t="shared" si="45"/>
        <v>1044.67</v>
      </c>
      <c r="M95" s="97">
        <f t="shared" si="58"/>
        <v>5198.8</v>
      </c>
    </row>
    <row r="96" spans="1:13" ht="15.75" x14ac:dyDescent="0.2">
      <c r="A96" s="94">
        <v>8</v>
      </c>
      <c r="B96" s="40"/>
      <c r="C96" s="40"/>
      <c r="D96" s="40"/>
      <c r="E96" s="40" t="s">
        <v>275</v>
      </c>
      <c r="F96" s="40"/>
      <c r="G96" s="40"/>
      <c r="H96" s="41"/>
      <c r="I96" s="42"/>
      <c r="J96" s="42"/>
      <c r="K96" s="42">
        <f>K97</f>
        <v>11059.03</v>
      </c>
      <c r="L96" s="42">
        <f>L97</f>
        <v>2786.5299999999988</v>
      </c>
      <c r="M96" s="95">
        <f>M97</f>
        <v>13845.56</v>
      </c>
    </row>
    <row r="97" spans="1:13" ht="45" x14ac:dyDescent="0.2">
      <c r="A97" s="96" t="s">
        <v>403</v>
      </c>
      <c r="B97" s="35" t="str" cm="1">
        <f t="array" ref="B97">INDEX('III-PA'!$B$18:$B$2661,1+MATCH(_xlfn.CONCAT(" ",'II-PO'!A97," "),'III-PA'!$A$18:$A$2661,0))</f>
        <v xml:space="preserve"> 98557 </v>
      </c>
      <c r="C97" s="35" t="str" cm="1">
        <f t="array" ref="C97">INDEX('III-PA'!$C$18:$C$2661,1+MATCH(_xlfn.CONCAT(" ",A97," "),'III-PA'!$A$18:$A$2661,0))</f>
        <v>SINAPI</v>
      </c>
      <c r="D97" s="35" t="str" cm="1">
        <f t="array" ref="D97">INDEX('III-PA'!$A$18:$A$2661,1+MATCH(_xlfn.CONCAT(" ",A97," "),'III-PA'!$A$18:$A$2661,0))</f>
        <v>Composição</v>
      </c>
      <c r="E97" s="35" t="str" cm="1">
        <f t="array" ref="E97">INDEX('III-PA'!$D$18:$D$2661,1+MATCH(_xlfn.CONCAT(" ",A97," "),'III-PA'!$A$18:$A$2661,0))</f>
        <v>IMPERMEABILIZAÇÃO DE SUPERFÍCIE COM EMULSÃO ASFÁLTICA, 2 DEMÃOS. AF_09/2023</v>
      </c>
      <c r="F97" s="35" t="str" cm="1">
        <f t="array" ref="F97">INDEX('III-PA'!$G$18:$G$2661,1+MATCH(_xlfn.CONCAT(" ",A97," "),'III-PA'!$A$18:$A$2661,0))</f>
        <v>m²</v>
      </c>
      <c r="G97" s="50">
        <f>VLOOKUP(A97,'IV-MEMORIAL'!$A$17:$N$2203,14,0)</f>
        <v>280.90000000000003</v>
      </c>
      <c r="H97" s="51">
        <f t="shared" si="42"/>
        <v>0.252</v>
      </c>
      <c r="I97" s="36" cm="1">
        <f t="array" ref="I97">INDEX('III-PA'!$I$18:$I$2661,1+MATCH(_xlfn.CONCAT(" ",A97," "),'III-PA'!$A$18:$A$2661,0))</f>
        <v>39.369999999999997</v>
      </c>
      <c r="J97" s="36">
        <f t="shared" ref="J97" si="59">TRUNC(I97*(1+H97),2)</f>
        <v>49.29</v>
      </c>
      <c r="K97" s="36">
        <f t="shared" ref="K97" si="60">TRUNC(I97*G97,2)</f>
        <v>11059.03</v>
      </c>
      <c r="L97" s="36">
        <f t="shared" si="45"/>
        <v>2786.5299999999988</v>
      </c>
      <c r="M97" s="97">
        <f t="shared" ref="M97" si="61">TRUNC(G97*J97,2)</f>
        <v>13845.56</v>
      </c>
    </row>
    <row r="98" spans="1:13" ht="15.75" x14ac:dyDescent="0.2">
      <c r="A98" s="94">
        <v>9</v>
      </c>
      <c r="B98" s="40"/>
      <c r="C98" s="40"/>
      <c r="D98" s="40"/>
      <c r="E98" s="40" t="s">
        <v>273</v>
      </c>
      <c r="F98" s="40"/>
      <c r="G98" s="40"/>
      <c r="H98" s="41"/>
      <c r="I98" s="42"/>
      <c r="J98" s="42"/>
      <c r="K98" s="42">
        <f>K99+K103</f>
        <v>49495.72</v>
      </c>
      <c r="L98" s="42">
        <f t="shared" ref="L98:M98" si="62">L99+L103</f>
        <v>12472.6</v>
      </c>
      <c r="M98" s="42">
        <f t="shared" si="62"/>
        <v>61968.319999999992</v>
      </c>
    </row>
    <row r="99" spans="1:13" ht="15.75" x14ac:dyDescent="0.2">
      <c r="A99" s="163" t="s">
        <v>404</v>
      </c>
      <c r="B99" s="164"/>
      <c r="C99" s="164"/>
      <c r="D99" s="164"/>
      <c r="E99" s="164" t="s">
        <v>405</v>
      </c>
      <c r="F99" s="164"/>
      <c r="G99" s="164"/>
      <c r="H99" s="165"/>
      <c r="I99" s="166"/>
      <c r="J99" s="166"/>
      <c r="K99" s="166">
        <f>SUM(K100:K102)</f>
        <v>20187</v>
      </c>
      <c r="L99" s="166">
        <f t="shared" ref="L99:M99" si="63">SUM(L100:L102)</f>
        <v>5086.91</v>
      </c>
      <c r="M99" s="166">
        <f t="shared" si="63"/>
        <v>25273.91</v>
      </c>
    </row>
    <row r="100" spans="1:13" ht="135" x14ac:dyDescent="0.2">
      <c r="A100" s="96" t="s">
        <v>410</v>
      </c>
      <c r="B100" s="35" t="str" cm="1">
        <f t="array" ref="B100">INDEX('III-PA'!$B$18:$B$2661,1+MATCH(_xlfn.CONCAT(" ",'II-PO'!A100," "),'III-PA'!$A$18:$A$2661,0))</f>
        <v xml:space="preserve"> 94562 </v>
      </c>
      <c r="C100" s="35" t="str" cm="1">
        <f t="array" ref="C100">INDEX('III-PA'!$C$18:$C$2661,1+MATCH(_xlfn.CONCAT(" ",A100," "),'III-PA'!$A$18:$A$2661,0))</f>
        <v>SINAPI</v>
      </c>
      <c r="D100" s="35" t="str" cm="1">
        <f t="array" ref="D100">INDEX('III-PA'!$A$18:$A$2661,1+MATCH(_xlfn.CONCAT(" ",A100," "),'III-PA'!$A$18:$A$2661,0))</f>
        <v>Composição</v>
      </c>
      <c r="E100" s="35" t="str" cm="1">
        <f t="array" ref="E100">INDEX('III-PA'!$D$18:$D$2661,1+MATCH(_xlfn.CONCAT(" ",A100," "),'III-PA'!$A$18:$A$2661,0))</f>
        <v>JANELA DE AÇO DE CORRER COM 4 FOLHAS PARA VIDRO (VIDROS NÃO INCLUSOS), BATENTE/ REQUADRO INCLUSO (6 A 14 CM), FIXAÇÃO COM ARGAMASSA, COM PINTURA ANTICORROSIVA, COM FERRAGENS, FIXAÇÃO COM ARGAMASSA, EXCLUSIVE CONTRAMARCO - FORNECIMENTO E INSTALAÇÃO. AF_11/2024</v>
      </c>
      <c r="F100" s="35" t="str" cm="1">
        <f t="array" ref="F100">INDEX('III-PA'!$G$18:$G$2661,1+MATCH(_xlfn.CONCAT(" ",A100," "),'III-PA'!$A$18:$A$2661,0))</f>
        <v>m²</v>
      </c>
      <c r="G100" s="50">
        <f>VLOOKUP(A100,'IV-MEMORIAL'!$A$17:$N$2203,14,0)</f>
        <v>20.25</v>
      </c>
      <c r="H100" s="51">
        <f t="shared" ref="H100:H102" si="64">$L$14</f>
        <v>0.252</v>
      </c>
      <c r="I100" s="36" cm="1">
        <f t="array" ref="I100">INDEX('III-PA'!$I$18:$I$2661,1+MATCH(_xlfn.CONCAT(" ",A100," "),'III-PA'!$A$18:$A$2661,0))</f>
        <v>632.16999999999996</v>
      </c>
      <c r="J100" s="36">
        <f t="shared" ref="J100:J102" si="65">TRUNC(I100*(1+H100),2)</f>
        <v>791.47</v>
      </c>
      <c r="K100" s="36">
        <f t="shared" ref="K100:K102" si="66">TRUNC(I100*G100,2)</f>
        <v>12801.44</v>
      </c>
      <c r="L100" s="36">
        <f t="shared" ref="L100:L102" si="67">M100-K100</f>
        <v>3225.8199999999997</v>
      </c>
      <c r="M100" s="97">
        <f t="shared" ref="M100:M102" si="68">TRUNC(G100*J100,2)</f>
        <v>16027.26</v>
      </c>
    </row>
    <row r="101" spans="1:13" ht="135" x14ac:dyDescent="0.2">
      <c r="A101" s="96" t="s">
        <v>411</v>
      </c>
      <c r="B101" s="35" t="str" cm="1">
        <f t="array" ref="B101">INDEX('III-PA'!$B$18:$B$2661,1+MATCH(_xlfn.CONCAT(" ",'II-PO'!A101," "),'III-PA'!$A$18:$A$2661,0))</f>
        <v xml:space="preserve"> 94559 </v>
      </c>
      <c r="C101" s="35" t="str" cm="1">
        <f t="array" ref="C101">INDEX('III-PA'!$C$18:$C$2661,1+MATCH(_xlfn.CONCAT(" ",A101," "),'III-PA'!$A$18:$A$2661,0))</f>
        <v>SINAPI</v>
      </c>
      <c r="D101" s="35" t="str" cm="1">
        <f t="array" ref="D101">INDEX('III-PA'!$A$18:$A$2661,1+MATCH(_xlfn.CONCAT(" ",A101," "),'III-PA'!$A$18:$A$2661,0))</f>
        <v>Composição</v>
      </c>
      <c r="E101" s="35" t="str" cm="1">
        <f t="array" ref="E101">INDEX('III-PA'!$D$18:$D$2661,1+MATCH(_xlfn.CONCAT(" ",A101," "),'III-PA'!$A$18:$A$2661,0))</f>
        <v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v>
      </c>
      <c r="F101" s="35" t="str" cm="1">
        <f t="array" ref="F101">INDEX('III-PA'!$G$18:$G$2661,1+MATCH(_xlfn.CONCAT(" ",A101," "),'III-PA'!$A$18:$A$2661,0))</f>
        <v>m²</v>
      </c>
      <c r="G101" s="50">
        <f>VLOOKUP(A101,'IV-MEMORIAL'!$A$17:$N$2203,14,0)</f>
        <v>0.72</v>
      </c>
      <c r="H101" s="51">
        <f t="shared" si="64"/>
        <v>0.252</v>
      </c>
      <c r="I101" s="36" cm="1">
        <f t="array" ref="I101">INDEX('III-PA'!$I$18:$I$2661,1+MATCH(_xlfn.CONCAT(" ",A101," "),'III-PA'!$A$18:$A$2661,0))</f>
        <v>749</v>
      </c>
      <c r="J101" s="36">
        <f t="shared" si="65"/>
        <v>937.74</v>
      </c>
      <c r="K101" s="36">
        <f t="shared" si="66"/>
        <v>539.28</v>
      </c>
      <c r="L101" s="36">
        <f t="shared" si="67"/>
        <v>135.88999999999999</v>
      </c>
      <c r="M101" s="97">
        <f t="shared" si="68"/>
        <v>675.17</v>
      </c>
    </row>
    <row r="102" spans="1:13" ht="45" x14ac:dyDescent="0.2">
      <c r="A102" s="96" t="s">
        <v>412</v>
      </c>
      <c r="B102" s="35" t="str" cm="1">
        <f t="array" ref="B102">INDEX('III-PA'!$B$18:$B$2661,1+MATCH(_xlfn.CONCAT(" ",'II-PO'!A102," "),'III-PA'!$A$18:$A$2661,0))</f>
        <v xml:space="preserve"> 102181 </v>
      </c>
      <c r="C102" s="35" t="str" cm="1">
        <f t="array" ref="C102">INDEX('III-PA'!$C$18:$C$2661,1+MATCH(_xlfn.CONCAT(" ",A102," "),'III-PA'!$A$18:$A$2661,0))</f>
        <v>SINAPI</v>
      </c>
      <c r="D102" s="35" t="str" cm="1">
        <f t="array" ref="D102">INDEX('III-PA'!$A$18:$A$2661,1+MATCH(_xlfn.CONCAT(" ",A102," "),'III-PA'!$A$18:$A$2661,0))</f>
        <v>Composição</v>
      </c>
      <c r="E102" s="35" t="str" cm="1">
        <f t="array" ref="E102">INDEX('III-PA'!$D$18:$D$2661,1+MATCH(_xlfn.CONCAT(" ",A102," "),'III-PA'!$A$18:$A$2661,0))</f>
        <v>INSTALAÇÃO DE VIDRO TEMPERADO, E = 10 MM, ENCAIXADO EM PERFIL U. AF_01/2021_PS</v>
      </c>
      <c r="F102" s="35" t="str" cm="1">
        <f t="array" ref="F102">INDEX('III-PA'!$G$18:$G$2661,1+MATCH(_xlfn.CONCAT(" ",A102," "),'III-PA'!$A$18:$A$2661,0))</f>
        <v>m²</v>
      </c>
      <c r="G102" s="50">
        <f>VLOOKUP(A102,'IV-MEMORIAL'!$A$17:$N$2203,14,0)</f>
        <v>20.97</v>
      </c>
      <c r="H102" s="51">
        <f t="shared" si="64"/>
        <v>0.252</v>
      </c>
      <c r="I102" s="36" cm="1">
        <f t="array" ref="I102">INDEX('III-PA'!$I$18:$I$2661,1+MATCH(_xlfn.CONCAT(" ",A102," "),'III-PA'!$A$18:$A$2661,0))</f>
        <v>326.48</v>
      </c>
      <c r="J102" s="36">
        <f t="shared" si="65"/>
        <v>408.75</v>
      </c>
      <c r="K102" s="36">
        <f t="shared" si="66"/>
        <v>6846.28</v>
      </c>
      <c r="L102" s="36">
        <f t="shared" si="67"/>
        <v>1725.1999999999998</v>
      </c>
      <c r="M102" s="97">
        <f t="shared" si="68"/>
        <v>8571.48</v>
      </c>
    </row>
    <row r="103" spans="1:13" ht="15.75" x14ac:dyDescent="0.2">
      <c r="A103" s="163" t="s">
        <v>407</v>
      </c>
      <c r="B103" s="164"/>
      <c r="C103" s="164"/>
      <c r="D103" s="164"/>
      <c r="E103" s="164" t="s">
        <v>408</v>
      </c>
      <c r="F103" s="164"/>
      <c r="G103" s="164"/>
      <c r="H103" s="165"/>
      <c r="I103" s="166"/>
      <c r="J103" s="166"/>
      <c r="K103" s="166">
        <f>SUM(K104:K109)</f>
        <v>29308.720000000001</v>
      </c>
      <c r="L103" s="166">
        <f t="shared" ref="L103:M103" si="69">SUM(L104:L109)</f>
        <v>7385.6900000000005</v>
      </c>
      <c r="M103" s="166">
        <f t="shared" si="69"/>
        <v>36694.409999999996</v>
      </c>
    </row>
    <row r="104" spans="1:13" ht="120" x14ac:dyDescent="0.2">
      <c r="A104" s="96" t="s">
        <v>413</v>
      </c>
      <c r="B104" s="35" t="str" cm="1">
        <f t="array" ref="B104">INDEX('III-PA'!$B$18:$B$2661,1+MATCH(_xlfn.CONCAT(" ",'II-PO'!A104," "),'III-PA'!$A$18:$A$2661,0))</f>
        <v xml:space="preserve"> 90844 </v>
      </c>
      <c r="C104" s="35" t="str" cm="1">
        <f t="array" ref="C104">INDEX('III-PA'!$C$18:$C$2661,1+MATCH(_xlfn.CONCAT(" ",A104," "),'III-PA'!$A$18:$A$2661,0))</f>
        <v>SINAPI</v>
      </c>
      <c r="D104" s="35" t="str" cm="1">
        <f t="array" ref="D104">INDEX('III-PA'!$A$18:$A$2661,1+MATCH(_xlfn.CONCAT(" ",A104," "),'III-PA'!$A$18:$A$2661,0))</f>
        <v>Composição</v>
      </c>
      <c r="E104" s="35" t="str" cm="1">
        <f t="array" ref="E104">INDEX('III-PA'!$D$18:$D$2661,1+MATCH(_xlfn.CONCAT(" ",A104," "),'III-PA'!$A$18:$A$2661,0))</f>
        <v>KIT DE PORTA DE MADEIRA PARA PINTURA, SEMI-OCA (LEVE OU MÉDIA), PADRÃO MÉDIO, 90X210CM, ESPESSURA DE 3,5CM, ITENS INCLUSOS: DOBRADIÇAS, MONTAGEM E INSTALAÇÃO DO BATENTE, FECHADURA COM EXECUÇÃO DO FURO - FORNECIMENTO E INSTALAÇÃO. AF_12/2019</v>
      </c>
      <c r="F104" s="35" t="str" cm="1">
        <f t="array" ref="F104">INDEX('III-PA'!$G$18:$G$2661,1+MATCH(_xlfn.CONCAT(" ",A104," "),'III-PA'!$A$18:$A$2661,0))</f>
        <v>UN</v>
      </c>
      <c r="G104" s="50">
        <f>VLOOKUP(A104,'IV-MEMORIAL'!$A$17:$N$2203,14,0)</f>
        <v>12</v>
      </c>
      <c r="H104" s="51">
        <f t="shared" ref="H104:H109" si="70">$L$14</f>
        <v>0.252</v>
      </c>
      <c r="I104" s="36" cm="1">
        <f t="array" ref="I104">INDEX('III-PA'!$I$18:$I$2661,1+MATCH(_xlfn.CONCAT(" ",A104," "),'III-PA'!$A$18:$A$2661,0))</f>
        <v>1187.3900000000001</v>
      </c>
      <c r="J104" s="36">
        <f t="shared" ref="J104:J109" si="71">TRUNC(I104*(1+H104),2)</f>
        <v>1486.61</v>
      </c>
      <c r="K104" s="36">
        <f t="shared" ref="K104:K109" si="72">TRUNC(I104*G104,2)</f>
        <v>14248.68</v>
      </c>
      <c r="L104" s="36">
        <f t="shared" ref="L104:L109" si="73">M104-K104</f>
        <v>3590.6399999999994</v>
      </c>
      <c r="M104" s="97">
        <f t="shared" ref="M104:M109" si="74">TRUNC(G104*J104,2)</f>
        <v>17839.32</v>
      </c>
    </row>
    <row r="105" spans="1:13" ht="120" x14ac:dyDescent="0.2">
      <c r="A105" s="96" t="s">
        <v>414</v>
      </c>
      <c r="B105" s="35" t="str" cm="1">
        <f t="array" ref="B105">INDEX('III-PA'!$B$18:$B$2661,1+MATCH(_xlfn.CONCAT(" ",'II-PO'!A105," "),'III-PA'!$A$18:$A$2661,0))</f>
        <v xml:space="preserve"> 90843 </v>
      </c>
      <c r="C105" s="35" t="str" cm="1">
        <f t="array" ref="C105">INDEX('III-PA'!$C$18:$C$2661,1+MATCH(_xlfn.CONCAT(" ",A105," "),'III-PA'!$A$18:$A$2661,0))</f>
        <v>SINAPI</v>
      </c>
      <c r="D105" s="35" t="str" cm="1">
        <f t="array" ref="D105">INDEX('III-PA'!$A$18:$A$2661,1+MATCH(_xlfn.CONCAT(" ",A105," "),'III-PA'!$A$18:$A$2661,0))</f>
        <v>Composição</v>
      </c>
      <c r="E105" s="35" t="str" cm="1">
        <f t="array" ref="E105">INDEX('III-PA'!$D$18:$D$2661,1+MATCH(_xlfn.CONCAT(" ",A105," "),'III-PA'!$A$18:$A$2661,0))</f>
        <v>KIT DE PORTA DE MADEIRA PARA PINTURA, SEMI-OCA (LEVE OU MÉDIA), PADRÃO MÉDIO, 80X210CM, ESPESSURA DE 3,5CM, ITENS INCLUSOS: DOBRADIÇAS, MONTAGEM E INSTALAÇÃO DO BATENTE, FECHADURA COM EXECUÇÃO DO FURO - FORNECIMENTO E INSTALAÇÃO. AF_12/2019</v>
      </c>
      <c r="F105" s="35" t="str" cm="1">
        <f t="array" ref="F105">INDEX('III-PA'!$G$18:$G$2661,1+MATCH(_xlfn.CONCAT(" ",A105," "),'III-PA'!$A$18:$A$2661,0))</f>
        <v>UN</v>
      </c>
      <c r="G105" s="50">
        <f>VLOOKUP(A105,'IV-MEMORIAL'!$A$17:$N$2203,14,0)</f>
        <v>3</v>
      </c>
      <c r="H105" s="51">
        <f t="shared" si="70"/>
        <v>0.252</v>
      </c>
      <c r="I105" s="36" cm="1">
        <f t="array" ref="I105">INDEX('III-PA'!$I$18:$I$2661,1+MATCH(_xlfn.CONCAT(" ",A105," "),'III-PA'!$A$18:$A$2661,0))</f>
        <v>1104.9100000000001</v>
      </c>
      <c r="J105" s="36">
        <f t="shared" si="71"/>
        <v>1383.34</v>
      </c>
      <c r="K105" s="36">
        <f t="shared" si="72"/>
        <v>3314.73</v>
      </c>
      <c r="L105" s="36">
        <f t="shared" si="73"/>
        <v>835.29000000000042</v>
      </c>
      <c r="M105" s="97">
        <f t="shared" si="74"/>
        <v>4150.0200000000004</v>
      </c>
    </row>
    <row r="106" spans="1:13" ht="45" x14ac:dyDescent="0.2">
      <c r="A106" s="96" t="s">
        <v>415</v>
      </c>
      <c r="B106" s="35" t="str" cm="1">
        <f t="array" ref="B106">INDEX('III-PA'!$B$18:$B$2661,1+MATCH(_xlfn.CONCAT(" ",'II-PO'!A106," "),'III-PA'!$A$18:$A$2661,0))</f>
        <v xml:space="preserve"> 180506 </v>
      </c>
      <c r="C106" s="35" t="str" cm="1">
        <f t="array" ref="C106">INDEX('III-PA'!$C$18:$C$2661,1+MATCH(_xlfn.CONCAT(" ",A106," "),'III-PA'!$A$18:$A$2661,0))</f>
        <v>AGETOP CIVIL</v>
      </c>
      <c r="D106" s="35" t="str" cm="1">
        <f t="array" ref="D106">INDEX('III-PA'!$A$18:$A$2661,1+MATCH(_xlfn.CONCAT(" ",A106," "),'III-PA'!$A$18:$A$2661,0))</f>
        <v>Composição</v>
      </c>
      <c r="E106" s="35" t="str" cm="1">
        <f t="array" ref="E106">INDEX('III-PA'!$D$18:$D$2661,1+MATCH(_xlfn.CONCAT(" ",A106," "),'III-PA'!$A$18:$A$2661,0))</f>
        <v>PORTA DE CORRER DE 04 FOLHAS EM VIDRO (DUAS FIXAS E DUAS MÓVEIS) PF-6 C/ FERRAGENS</v>
      </c>
      <c r="F106" s="35" t="str" cm="1">
        <f t="array" ref="F106">INDEX('III-PA'!$G$18:$G$2661,1+MATCH(_xlfn.CONCAT(" ",A106," "),'III-PA'!$A$18:$A$2661,0))</f>
        <v>m²</v>
      </c>
      <c r="G106" s="50">
        <f>VLOOKUP(A106,'IV-MEMORIAL'!$A$17:$N$2203,14,0)</f>
        <v>13.54</v>
      </c>
      <c r="H106" s="51">
        <f t="shared" si="70"/>
        <v>0.252</v>
      </c>
      <c r="I106" s="36" cm="1">
        <f t="array" ref="I106">INDEX('III-PA'!$I$18:$I$2661,1+MATCH(_xlfn.CONCAT(" ",A106," "),'III-PA'!$A$18:$A$2661,0))</f>
        <v>318.5</v>
      </c>
      <c r="J106" s="36">
        <f t="shared" si="71"/>
        <v>398.76</v>
      </c>
      <c r="K106" s="36">
        <f t="shared" si="72"/>
        <v>4312.49</v>
      </c>
      <c r="L106" s="36">
        <f t="shared" si="73"/>
        <v>1086.7200000000003</v>
      </c>
      <c r="M106" s="97">
        <f t="shared" si="74"/>
        <v>5399.21</v>
      </c>
    </row>
    <row r="107" spans="1:13" ht="75" x14ac:dyDescent="0.2">
      <c r="A107" s="96" t="s">
        <v>416</v>
      </c>
      <c r="B107" s="35" t="str" cm="1">
        <f t="array" ref="B107">INDEX('III-PA'!$B$18:$B$2661,1+MATCH(_xlfn.CONCAT(" ",'II-PO'!A107," "),'III-PA'!$A$18:$A$2661,0))</f>
        <v xml:space="preserve"> 100902 </v>
      </c>
      <c r="C107" s="35" t="str" cm="1">
        <f t="array" ref="C107">INDEX('III-PA'!$C$18:$C$2661,1+MATCH(_xlfn.CONCAT(" ",A107," "),'III-PA'!$A$18:$A$2661,0))</f>
        <v>Próprio</v>
      </c>
      <c r="D107" s="35" t="str" cm="1">
        <f t="array" ref="D107">INDEX('III-PA'!$A$18:$A$2661,1+MATCH(_xlfn.CONCAT(" ",A107," "),'III-PA'!$A$18:$A$2661,0))</f>
        <v>Composição</v>
      </c>
      <c r="E107" s="35" t="str" cm="1">
        <f t="array" ref="E107">INDEX('III-PA'!$D$18:$D$2661,1+MATCH(_xlfn.CONCAT(" ",A107," "),'III-PA'!$A$18:$A$2661,0))</f>
        <v>PORTA DE CORRER DE ALUMÍNIO, COM FOLHAS MÚLTIPLAS PARA VIDRO, INCLUSO VIDRO LISO INCOLOR, FECHADURA E PUXADOR, SEM ALIZAR. AF_12/2019 (REF.: SINAPI 100702)</v>
      </c>
      <c r="F107" s="35" t="str" cm="1">
        <f t="array" ref="F107">INDEX('III-PA'!$G$18:$G$2661,1+MATCH(_xlfn.CONCAT(" ",A107," "),'III-PA'!$A$18:$A$2661,0))</f>
        <v>m²</v>
      </c>
      <c r="G107" s="50">
        <f>VLOOKUP(A107,'IV-MEMORIAL'!$A$17:$N$2203,14,0)</f>
        <v>3.15</v>
      </c>
      <c r="H107" s="51">
        <f t="shared" si="70"/>
        <v>0.252</v>
      </c>
      <c r="I107" s="36" cm="1">
        <f t="array" ref="I107">INDEX('III-PA'!$I$18:$I$2661,1+MATCH(_xlfn.CONCAT(" ",A107," "),'III-PA'!$A$18:$A$2661,0))</f>
        <v>500.45</v>
      </c>
      <c r="J107" s="36">
        <f t="shared" si="71"/>
        <v>626.55999999999995</v>
      </c>
      <c r="K107" s="36">
        <f t="shared" si="72"/>
        <v>1576.41</v>
      </c>
      <c r="L107" s="36">
        <f t="shared" si="73"/>
        <v>397.25</v>
      </c>
      <c r="M107" s="97">
        <f t="shared" si="74"/>
        <v>1973.66</v>
      </c>
    </row>
    <row r="108" spans="1:13" ht="30" x14ac:dyDescent="0.2">
      <c r="A108" s="96" t="s">
        <v>417</v>
      </c>
      <c r="B108" s="35" t="str" cm="1">
        <f t="array" ref="B108">INDEX('III-PA'!$B$18:$B$2661,1+MATCH(_xlfn.CONCAT(" ",'II-PO'!A108," "),'III-PA'!$A$18:$A$2661,0))</f>
        <v xml:space="preserve"> 180304 </v>
      </c>
      <c r="C108" s="35" t="str" cm="1">
        <f t="array" ref="C108">INDEX('III-PA'!$C$18:$C$2661,1+MATCH(_xlfn.CONCAT(" ",A108," "),'III-PA'!$A$18:$A$2661,0))</f>
        <v>AGETOP CIVIL</v>
      </c>
      <c r="D108" s="35" t="str" cm="1">
        <f t="array" ref="D108">INDEX('III-PA'!$A$18:$A$2661,1+MATCH(_xlfn.CONCAT(" ",A108," "),'III-PA'!$A$18:$A$2661,0))</f>
        <v>Composição</v>
      </c>
      <c r="E108" s="35" t="str" cm="1">
        <f t="array" ref="E108">INDEX('III-PA'!$D$18:$D$2661,1+MATCH(_xlfn.CONCAT(" ",A108," "),'III-PA'!$A$18:$A$2661,0))</f>
        <v>PORTÃO DE ABRIR 01 FOLHA CHAPA 14  PT-4 C/FERRAGENS</v>
      </c>
      <c r="F108" s="35" t="str" cm="1">
        <f t="array" ref="F108">INDEX('III-PA'!$G$18:$G$2661,1+MATCH(_xlfn.CONCAT(" ",A108," "),'III-PA'!$A$18:$A$2661,0))</f>
        <v>m²</v>
      </c>
      <c r="G108" s="50">
        <f>VLOOKUP(A108,'IV-MEMORIAL'!$A$17:$N$2203,14,0)</f>
        <v>6.72</v>
      </c>
      <c r="H108" s="51">
        <f t="shared" si="70"/>
        <v>0.252</v>
      </c>
      <c r="I108" s="36" cm="1">
        <f t="array" ref="I108">INDEX('III-PA'!$I$18:$I$2661,1+MATCH(_xlfn.CONCAT(" ",A108," "),'III-PA'!$A$18:$A$2661,0))</f>
        <v>495.28</v>
      </c>
      <c r="J108" s="36">
        <f t="shared" si="71"/>
        <v>620.09</v>
      </c>
      <c r="K108" s="36">
        <f t="shared" si="72"/>
        <v>3328.28</v>
      </c>
      <c r="L108" s="36">
        <f t="shared" si="73"/>
        <v>838.7199999999998</v>
      </c>
      <c r="M108" s="97">
        <f t="shared" si="74"/>
        <v>4167</v>
      </c>
    </row>
    <row r="109" spans="1:13" ht="30" x14ac:dyDescent="0.2">
      <c r="A109" s="96" t="s">
        <v>418</v>
      </c>
      <c r="B109" s="35" t="str" cm="1">
        <f t="array" ref="B109">INDEX('III-PA'!$B$18:$B$2661,1+MATCH(_xlfn.CONCAT(" ",'II-PO'!A109," "),'III-PA'!$A$18:$A$2661,0))</f>
        <v xml:space="preserve"> 100903 </v>
      </c>
      <c r="C109" s="35" t="str" cm="1">
        <f t="array" ref="C109">INDEX('III-PA'!$C$18:$C$2661,1+MATCH(_xlfn.CONCAT(" ",A109," "),'III-PA'!$A$18:$A$2661,0))</f>
        <v>Próprio</v>
      </c>
      <c r="D109" s="35" t="str" cm="1">
        <f t="array" ref="D109">INDEX('III-PA'!$A$18:$A$2661,1+MATCH(_xlfn.CONCAT(" ",A109," "),'III-PA'!$A$18:$A$2661,0))</f>
        <v>Composição</v>
      </c>
      <c r="E109" s="35" t="str" cm="1">
        <f t="array" ref="E109">INDEX('III-PA'!$D$18:$D$2661,1+MATCH(_xlfn.CONCAT(" ",A109," "),'III-PA'!$A$18:$A$2661,0))</f>
        <v>PORTA MADEIRA 1A CORRER GUARNICAO 15CM/ALIZAR (REF.: SINAPI 84876)</v>
      </c>
      <c r="F109" s="35" t="str" cm="1">
        <f t="array" ref="F109">INDEX('III-PA'!$G$18:$G$2661,1+MATCH(_xlfn.CONCAT(" ",A109," "),'III-PA'!$A$18:$A$2661,0))</f>
        <v>m²</v>
      </c>
      <c r="G109" s="50">
        <f>VLOOKUP(A109,'IV-MEMORIAL'!$A$17:$N$2203,14,0)</f>
        <v>2.31</v>
      </c>
      <c r="H109" s="51">
        <f t="shared" si="70"/>
        <v>0.252</v>
      </c>
      <c r="I109" s="36" cm="1">
        <f t="array" ref="I109">INDEX('III-PA'!$I$18:$I$2661,1+MATCH(_xlfn.CONCAT(" ",A109," "),'III-PA'!$A$18:$A$2661,0))</f>
        <v>1094.43</v>
      </c>
      <c r="J109" s="36">
        <f t="shared" si="71"/>
        <v>1370.22</v>
      </c>
      <c r="K109" s="36">
        <f t="shared" si="72"/>
        <v>2528.13</v>
      </c>
      <c r="L109" s="36">
        <f t="shared" si="73"/>
        <v>637.06999999999971</v>
      </c>
      <c r="M109" s="97">
        <f t="shared" si="74"/>
        <v>3165.2</v>
      </c>
    </row>
    <row r="110" spans="1:13" ht="15.75" x14ac:dyDescent="0.2">
      <c r="A110" s="94">
        <v>10</v>
      </c>
      <c r="B110" s="40"/>
      <c r="C110" s="40"/>
      <c r="D110" s="40"/>
      <c r="E110" s="40" t="s">
        <v>605</v>
      </c>
      <c r="F110" s="40"/>
      <c r="G110" s="40"/>
      <c r="H110" s="41"/>
      <c r="I110" s="42"/>
      <c r="J110" s="42"/>
      <c r="K110" s="42">
        <f>SUM(K111:K114)</f>
        <v>53827.11</v>
      </c>
      <c r="L110" s="42">
        <f t="shared" ref="L110" si="75">SUM(L111:L114)</f>
        <v>13538.54</v>
      </c>
      <c r="M110" s="42">
        <f t="shared" ref="M110" si="76">SUM(M111:M114)</f>
        <v>67365.649999999994</v>
      </c>
    </row>
    <row r="111" spans="1:13" ht="45" x14ac:dyDescent="0.2">
      <c r="A111" s="96" t="s">
        <v>419</v>
      </c>
      <c r="B111" s="35" t="str" cm="1">
        <f t="array" ref="B111">INDEX('III-PA'!$B$18:$B$2661,1+MATCH(_xlfn.CONCAT(" ",'II-PO'!A111," "),'III-PA'!$A$18:$A$2661,0))</f>
        <v xml:space="preserve"> 88485 </v>
      </c>
      <c r="C111" s="35" t="str" cm="1">
        <f t="array" ref="C111">INDEX('III-PA'!$C$18:$C$2661,1+MATCH(_xlfn.CONCAT(" ",A111," "),'III-PA'!$A$18:$A$2661,0))</f>
        <v>SINAPI</v>
      </c>
      <c r="D111" s="35" t="str" cm="1">
        <f t="array" ref="D111">INDEX('III-PA'!$A$18:$A$2661,1+MATCH(_xlfn.CONCAT(" ",A111," "),'III-PA'!$A$18:$A$2661,0))</f>
        <v>Composição</v>
      </c>
      <c r="E111" s="35" t="str" cm="1">
        <f t="array" ref="E111">INDEX('III-PA'!$D$18:$D$2661,1+MATCH(_xlfn.CONCAT(" ",A111," "),'III-PA'!$A$18:$A$2661,0))</f>
        <v>FUNDO SELADOR ACRÍLICO, APLICAÇÃO MANUAL EM PAREDE, UMA DEMÃO. AF_04/2023</v>
      </c>
      <c r="F111" s="35" t="str" cm="1">
        <f t="array" ref="F111">INDEX('III-PA'!$G$18:$G$2661,1+MATCH(_xlfn.CONCAT(" ",A111," "),'III-PA'!$A$18:$A$2661,0))</f>
        <v>m²</v>
      </c>
      <c r="G111" s="50">
        <f>VLOOKUP(A111,'IV-MEMORIAL'!$A$17:$N$2203,14,0)</f>
        <v>1060.03</v>
      </c>
      <c r="H111" s="51">
        <f t="shared" ref="H111:H114" si="77">$L$14</f>
        <v>0.252</v>
      </c>
      <c r="I111" s="36" cm="1">
        <f t="array" ref="I111">INDEX('III-PA'!$I$18:$I$2661,1+MATCH(_xlfn.CONCAT(" ",A111," "),'III-PA'!$A$18:$A$2661,0))</f>
        <v>4.76</v>
      </c>
      <c r="J111" s="36">
        <f t="shared" ref="J111:J114" si="78">TRUNC(I111*(1+H111),2)</f>
        <v>5.95</v>
      </c>
      <c r="K111" s="36">
        <f t="shared" ref="K111:K114" si="79">TRUNC(I111*G111,2)</f>
        <v>5045.74</v>
      </c>
      <c r="L111" s="36">
        <f t="shared" ref="L111:L114" si="80">M111-K111</f>
        <v>1261.4300000000003</v>
      </c>
      <c r="M111" s="97">
        <f t="shared" ref="M111:M114" si="81">TRUNC(G111*J111,2)</f>
        <v>6307.17</v>
      </c>
    </row>
    <row r="112" spans="1:13" ht="45" x14ac:dyDescent="0.2">
      <c r="A112" s="96" t="s">
        <v>421</v>
      </c>
      <c r="B112" s="35" t="str" cm="1">
        <f t="array" ref="B112">INDEX('III-PA'!$B$18:$B$2661,1+MATCH(_xlfn.CONCAT(" ",'II-PO'!A112," "),'III-PA'!$A$18:$A$2661,0))</f>
        <v xml:space="preserve"> 88415 </v>
      </c>
      <c r="C112" s="35" t="str" cm="1">
        <f t="array" ref="C112">INDEX('III-PA'!$C$18:$C$2661,1+MATCH(_xlfn.CONCAT(" ",A112," "),'III-PA'!$A$18:$A$2661,0))</f>
        <v>SINAPI</v>
      </c>
      <c r="D112" s="35" t="str" cm="1">
        <f t="array" ref="D112">INDEX('III-PA'!$A$18:$A$2661,1+MATCH(_xlfn.CONCAT(" ",A112," "),'III-PA'!$A$18:$A$2661,0))</f>
        <v>Composição</v>
      </c>
      <c r="E112" s="35" t="str" cm="1">
        <f t="array" ref="E112">INDEX('III-PA'!$D$18:$D$2661,1+MATCH(_xlfn.CONCAT(" ",A112," "),'III-PA'!$A$18:$A$2661,0))</f>
        <v>APLICAÇÃO MANUAL DE FUNDO SELADOR ACRÍLICO EM PAREDES EXTERNAS DE CASAS. AF_03/2024</v>
      </c>
      <c r="F112" s="35" t="str" cm="1">
        <f t="array" ref="F112">INDEX('III-PA'!$G$18:$G$2661,1+MATCH(_xlfn.CONCAT(" ",A112," "),'III-PA'!$A$18:$A$2661,0))</f>
        <v>m²</v>
      </c>
      <c r="G112" s="50">
        <f>VLOOKUP(A112,'IV-MEMORIAL'!$A$17:$N$2203,14,0)</f>
        <v>375.24</v>
      </c>
      <c r="H112" s="51">
        <f t="shared" si="77"/>
        <v>0.252</v>
      </c>
      <c r="I112" s="36" cm="1">
        <f t="array" ref="I112">INDEX('III-PA'!$I$18:$I$2661,1+MATCH(_xlfn.CONCAT(" ",A112," "),'III-PA'!$A$18:$A$2661,0))</f>
        <v>5.69</v>
      </c>
      <c r="J112" s="36">
        <f t="shared" si="78"/>
        <v>7.12</v>
      </c>
      <c r="K112" s="36">
        <f t="shared" si="79"/>
        <v>2135.11</v>
      </c>
      <c r="L112" s="36">
        <f t="shared" si="80"/>
        <v>536.58999999999969</v>
      </c>
      <c r="M112" s="97">
        <f t="shared" si="81"/>
        <v>2671.7</v>
      </c>
    </row>
    <row r="113" spans="1:13" ht="45" x14ac:dyDescent="0.2">
      <c r="A113" s="96" t="s">
        <v>423</v>
      </c>
      <c r="B113" s="35" t="str" cm="1">
        <f t="array" ref="B113">INDEX('III-PA'!$B$18:$B$2661,1+MATCH(_xlfn.CONCAT(" ",'II-PO'!A113," "),'III-PA'!$A$18:$A$2661,0))</f>
        <v xml:space="preserve"> 88497 </v>
      </c>
      <c r="C113" s="35" t="str" cm="1">
        <f t="array" ref="C113">INDEX('III-PA'!$C$18:$C$2661,1+MATCH(_xlfn.CONCAT(" ",A113," "),'III-PA'!$A$18:$A$2661,0))</f>
        <v>SINAPI</v>
      </c>
      <c r="D113" s="35" t="str" cm="1">
        <f t="array" ref="D113">INDEX('III-PA'!$A$18:$A$2661,1+MATCH(_xlfn.CONCAT(" ",A113," "),'III-PA'!$A$18:$A$2661,0))</f>
        <v>Composição</v>
      </c>
      <c r="E113" s="35" t="str" cm="1">
        <f t="array" ref="E113">INDEX('III-PA'!$D$18:$D$2661,1+MATCH(_xlfn.CONCAT(" ",A113," "),'III-PA'!$A$18:$A$2661,0))</f>
        <v>EMASSAMENTO COM MASSA LÁTEX, APLICAÇÃO EM PAREDE, DUAS DEMÃOS, LIXAMENTO MANUAL. AF_04/2023</v>
      </c>
      <c r="F113" s="35" t="str" cm="1">
        <f t="array" ref="F113">INDEX('III-PA'!$G$18:$G$2661,1+MATCH(_xlfn.CONCAT(" ",A113," "),'III-PA'!$A$18:$A$2661,0))</f>
        <v>m²</v>
      </c>
      <c r="G113" s="50">
        <f>VLOOKUP(A113,'IV-MEMORIAL'!$A$17:$N$2203,14,0)</f>
        <v>1435.27</v>
      </c>
      <c r="H113" s="51">
        <f t="shared" si="77"/>
        <v>0.252</v>
      </c>
      <c r="I113" s="36" cm="1">
        <f t="array" ref="I113">INDEX('III-PA'!$I$18:$I$2661,1+MATCH(_xlfn.CONCAT(" ",A113," "),'III-PA'!$A$18:$A$2661,0))</f>
        <v>18.440000000000001</v>
      </c>
      <c r="J113" s="36">
        <f t="shared" si="78"/>
        <v>23.08</v>
      </c>
      <c r="K113" s="36">
        <f t="shared" si="79"/>
        <v>26466.37</v>
      </c>
      <c r="L113" s="36">
        <f t="shared" si="80"/>
        <v>6659.66</v>
      </c>
      <c r="M113" s="97">
        <f t="shared" si="81"/>
        <v>33126.03</v>
      </c>
    </row>
    <row r="114" spans="1:13" ht="45" x14ac:dyDescent="0.2">
      <c r="A114" s="96" t="s">
        <v>425</v>
      </c>
      <c r="B114" s="35" t="str" cm="1">
        <f t="array" ref="B114">INDEX('III-PA'!$B$18:$B$2661,1+MATCH(_xlfn.CONCAT(" ",'II-PO'!A114," "),'III-PA'!$A$18:$A$2661,0))</f>
        <v xml:space="preserve"> 88489 </v>
      </c>
      <c r="C114" s="35" t="str" cm="1">
        <f t="array" ref="C114">INDEX('III-PA'!$C$18:$C$2661,1+MATCH(_xlfn.CONCAT(" ",A114," "),'III-PA'!$A$18:$A$2661,0))</f>
        <v>SINAPI</v>
      </c>
      <c r="D114" s="35" t="str" cm="1">
        <f t="array" ref="D114">INDEX('III-PA'!$A$18:$A$2661,1+MATCH(_xlfn.CONCAT(" ",A114," "),'III-PA'!$A$18:$A$2661,0))</f>
        <v>Composição</v>
      </c>
      <c r="E114" s="35" t="str" cm="1">
        <f t="array" ref="E114">INDEX('III-PA'!$D$18:$D$2661,1+MATCH(_xlfn.CONCAT(" ",A114," "),'III-PA'!$A$18:$A$2661,0))</f>
        <v>PINTURA LÁTEX ACRÍLICA PREMIUM, APLICAÇÃO MANUAL EM PAREDES, DUAS DEMÃOS. AF_04/2023</v>
      </c>
      <c r="F114" s="35" t="str" cm="1">
        <f t="array" ref="F114">INDEX('III-PA'!$G$18:$G$2661,1+MATCH(_xlfn.CONCAT(" ",A114," "),'III-PA'!$A$18:$A$2661,0))</f>
        <v>m²</v>
      </c>
      <c r="G114" s="50">
        <f>VLOOKUP(A114,'IV-MEMORIAL'!$A$17:$N$2203,14,0)</f>
        <v>1435.27</v>
      </c>
      <c r="H114" s="51">
        <f t="shared" si="77"/>
        <v>0.252</v>
      </c>
      <c r="I114" s="36" cm="1">
        <f t="array" ref="I114">INDEX('III-PA'!$I$18:$I$2661,1+MATCH(_xlfn.CONCAT(" ",A114," "),'III-PA'!$A$18:$A$2661,0))</f>
        <v>14.06</v>
      </c>
      <c r="J114" s="36">
        <f t="shared" si="78"/>
        <v>17.600000000000001</v>
      </c>
      <c r="K114" s="36">
        <f t="shared" si="79"/>
        <v>20179.89</v>
      </c>
      <c r="L114" s="36">
        <f t="shared" si="80"/>
        <v>5080.8600000000006</v>
      </c>
      <c r="M114" s="97">
        <f t="shared" si="81"/>
        <v>25260.75</v>
      </c>
    </row>
    <row r="115" spans="1:13" ht="15.75" x14ac:dyDescent="0.2">
      <c r="A115" s="94">
        <v>11</v>
      </c>
      <c r="B115" s="40"/>
      <c r="C115" s="40"/>
      <c r="D115" s="40"/>
      <c r="E115" s="40" t="s">
        <v>433</v>
      </c>
      <c r="F115" s="40"/>
      <c r="G115" s="40"/>
      <c r="H115" s="41"/>
      <c r="I115" s="42"/>
      <c r="J115" s="42"/>
      <c r="K115" s="42">
        <f>SUM(K116:K119)</f>
        <v>129502.73999999999</v>
      </c>
      <c r="L115" s="42">
        <f t="shared" ref="L115" si="82">SUM(L116:L119)</f>
        <v>32633.610000000008</v>
      </c>
      <c r="M115" s="42">
        <f t="shared" ref="M115" si="83">SUM(M116:M119)</f>
        <v>162136.35</v>
      </c>
    </row>
    <row r="116" spans="1:13" ht="45" x14ac:dyDescent="0.2">
      <c r="A116" s="96" t="s">
        <v>426</v>
      </c>
      <c r="B116" s="35" t="str" cm="1">
        <f t="array" ref="B116">INDEX('III-PA'!$B$18:$B$2661,1+MATCH(_xlfn.CONCAT(" ",'II-PO'!A116," "),'III-PA'!$A$18:$A$2661,0))</f>
        <v xml:space="preserve"> 94216 </v>
      </c>
      <c r="C116" s="35" t="str" cm="1">
        <f t="array" ref="C116">INDEX('III-PA'!$C$18:$C$2661,1+MATCH(_xlfn.CONCAT(" ",A116," "),'III-PA'!$A$18:$A$2661,0))</f>
        <v>SINAPI</v>
      </c>
      <c r="D116" s="35" t="str" cm="1">
        <f t="array" ref="D116">INDEX('III-PA'!$A$18:$A$2661,1+MATCH(_xlfn.CONCAT(" ",A116," "),'III-PA'!$A$18:$A$2661,0))</f>
        <v>Composição</v>
      </c>
      <c r="E116" s="35" t="str" cm="1">
        <f t="array" ref="E116">INDEX('III-PA'!$D$18:$D$2661,1+MATCH(_xlfn.CONCAT(" ",A116," "),'III-PA'!$A$18:$A$2661,0))</f>
        <v>TELHAMENTO COM TELHA METÁLICA TERMOACÚSTICA E = 30 MM, COM ATÉ 2 ÁGUAS, INCLUSO IÇAMENTO. AF_07/2019</v>
      </c>
      <c r="F116" s="35" t="str" cm="1">
        <f t="array" ref="F116">INDEX('III-PA'!$G$18:$G$2661,1+MATCH(_xlfn.CONCAT(" ",A116," "),'III-PA'!$A$18:$A$2661,0))</f>
        <v>m²</v>
      </c>
      <c r="G116" s="50">
        <f>VLOOKUP(A116,'IV-MEMORIAL'!$A$17:$N$2203,14,0)</f>
        <v>381.65999999999997</v>
      </c>
      <c r="H116" s="51">
        <f t="shared" ref="H116:H119" si="84">$L$14</f>
        <v>0.252</v>
      </c>
      <c r="I116" s="36" cm="1">
        <f t="array" ref="I116">INDEX('III-PA'!$I$18:$I$2661,1+MATCH(_xlfn.CONCAT(" ",A116," "),'III-PA'!$A$18:$A$2661,0))</f>
        <v>183.62</v>
      </c>
      <c r="J116" s="36">
        <f t="shared" ref="J116:J119" si="85">TRUNC(I116*(1+H116),2)</f>
        <v>229.89</v>
      </c>
      <c r="K116" s="36">
        <f t="shared" ref="K116:K119" si="86">TRUNC(I116*G116,2)</f>
        <v>70080.399999999994</v>
      </c>
      <c r="L116" s="36">
        <f t="shared" ref="L116:L119" si="87">M116-K116</f>
        <v>17659.410000000003</v>
      </c>
      <c r="M116" s="97">
        <f t="shared" ref="M116:M119" si="88">TRUNC(G116*J116,2)</f>
        <v>87739.81</v>
      </c>
    </row>
    <row r="117" spans="1:13" ht="90" x14ac:dyDescent="0.2">
      <c r="A117" s="96" t="s">
        <v>427</v>
      </c>
      <c r="B117" s="35" t="str" cm="1">
        <f t="array" ref="B117">INDEX('III-PA'!$B$18:$B$2661,1+MATCH(_xlfn.CONCAT(" ",'II-PO'!A117," "),'III-PA'!$A$18:$A$2661,0))</f>
        <v xml:space="preserve"> 92580 </v>
      </c>
      <c r="C117" s="35" t="str" cm="1">
        <f t="array" ref="C117">INDEX('III-PA'!$C$18:$C$2661,1+MATCH(_xlfn.CONCAT(" ",A117," "),'III-PA'!$A$18:$A$2661,0))</f>
        <v>SINAPI</v>
      </c>
      <c r="D117" s="35" t="str" cm="1">
        <f t="array" ref="D117">INDEX('III-PA'!$A$18:$A$2661,1+MATCH(_xlfn.CONCAT(" ",A117," "),'III-PA'!$A$18:$A$2661,0))</f>
        <v>Composição</v>
      </c>
      <c r="E117" s="35" t="str" cm="1">
        <f t="array" ref="E117">INDEX('III-PA'!$D$18:$D$2661,1+MATCH(_xlfn.CONCAT(" ",A117," "),'III-PA'!$A$18:$A$2661,0))</f>
        <v>TRAMA DE AÇO COMPOSTA POR TERÇAS PARA TELHADOS DE ATÉ 2 ÁGUAS PARA TELHA ONDULADA DE FIBROCIMENTO, METÁLICA, PLÁSTICA OU TERMOACÚSTICA, INCLUSO TRANSPORTE VERTICAL. AF_07/2019</v>
      </c>
      <c r="F117" s="35" t="str" cm="1">
        <f t="array" ref="F117">INDEX('III-PA'!$G$18:$G$2661,1+MATCH(_xlfn.CONCAT(" ",A117," "),'III-PA'!$A$18:$A$2661,0))</f>
        <v>m²</v>
      </c>
      <c r="G117" s="50">
        <f>VLOOKUP(A117,'IV-MEMORIAL'!$A$17:$N$2203,14,0)</f>
        <v>381.65999999999997</v>
      </c>
      <c r="H117" s="51">
        <f t="shared" si="84"/>
        <v>0.252</v>
      </c>
      <c r="I117" s="36" cm="1">
        <f t="array" ref="I117">INDEX('III-PA'!$I$18:$I$2661,1+MATCH(_xlfn.CONCAT(" ",A117," "),'III-PA'!$A$18:$A$2661,0))</f>
        <v>46.47</v>
      </c>
      <c r="J117" s="36">
        <f t="shared" si="85"/>
        <v>58.18</v>
      </c>
      <c r="K117" s="36">
        <f t="shared" si="86"/>
        <v>17735.740000000002</v>
      </c>
      <c r="L117" s="36">
        <f t="shared" si="87"/>
        <v>4469.2299999999996</v>
      </c>
      <c r="M117" s="97">
        <f t="shared" si="88"/>
        <v>22204.97</v>
      </c>
    </row>
    <row r="118" spans="1:13" ht="90" x14ac:dyDescent="0.2">
      <c r="A118" s="96" t="s">
        <v>428</v>
      </c>
      <c r="B118" s="35" t="str" cm="1">
        <f t="array" ref="B118">INDEX('III-PA'!$B$18:$B$2661,1+MATCH(_xlfn.CONCAT(" ",'II-PO'!A118," "),'III-PA'!$A$18:$A$2661,0))</f>
        <v xml:space="preserve"> 100367 </v>
      </c>
      <c r="C118" s="35" t="str" cm="1">
        <f t="array" ref="C118">INDEX('III-PA'!$C$18:$C$2661,1+MATCH(_xlfn.CONCAT(" ",A118," "),'III-PA'!$A$18:$A$2661,0))</f>
        <v>SINAPI</v>
      </c>
      <c r="D118" s="35" t="str" cm="1">
        <f t="array" ref="D118">INDEX('III-PA'!$A$18:$A$2661,1+MATCH(_xlfn.CONCAT(" ",A118," "),'III-PA'!$A$18:$A$2661,0))</f>
        <v>Composição</v>
      </c>
      <c r="E118" s="35" t="str" cm="1">
        <f t="array" ref="E118">INDEX('III-PA'!$D$18:$D$2661,1+MATCH(_xlfn.CONCAT(" ",A118," "),'III-PA'!$A$18:$A$2661,0))</f>
        <v>FABRICAÇÃO E INSTALAÇÃO DE MEIA TESOURA DE MADEIRA NÃO APARELHADA, COM VÃO DE 3 M, PARA TELHA ONDULADA DE FIBROCIMENTO, ALUMÍNIO, PLÁSTICA OU TERMOACÚSTICA, INCLUSO IÇAMENTO. AF_07/2019</v>
      </c>
      <c r="F118" s="35" t="str" cm="1">
        <f t="array" ref="F118">INDEX('III-PA'!$G$18:$G$2661,1+MATCH(_xlfn.CONCAT(" ",A118," "),'III-PA'!$A$18:$A$2661,0))</f>
        <v>UN</v>
      </c>
      <c r="G118" s="50">
        <f>VLOOKUP(A118,'IV-MEMORIAL'!$A$17:$N$2203,14,0)</f>
        <v>3</v>
      </c>
      <c r="H118" s="51">
        <f t="shared" si="84"/>
        <v>0.252</v>
      </c>
      <c r="I118" s="36" cm="1">
        <f t="array" ref="I118">INDEX('III-PA'!$I$18:$I$2661,1+MATCH(_xlfn.CONCAT(" ",A118," "),'III-PA'!$A$18:$A$2661,0))</f>
        <v>949.31</v>
      </c>
      <c r="J118" s="36">
        <f t="shared" si="85"/>
        <v>1188.53</v>
      </c>
      <c r="K118" s="36">
        <f t="shared" si="86"/>
        <v>2847.93</v>
      </c>
      <c r="L118" s="36">
        <f t="shared" si="87"/>
        <v>717.66000000000031</v>
      </c>
      <c r="M118" s="97">
        <f t="shared" si="88"/>
        <v>3565.59</v>
      </c>
    </row>
    <row r="119" spans="1:13" ht="90" x14ac:dyDescent="0.2">
      <c r="A119" s="96" t="s">
        <v>444</v>
      </c>
      <c r="B119" s="35" t="str" cm="1">
        <f t="array" ref="B119">INDEX('III-PA'!$B$18:$B$2661,1+MATCH(_xlfn.CONCAT(" ",'II-PO'!A119," "),'III-PA'!$A$18:$A$2661,0))</f>
        <v xml:space="preserve"> 100376 </v>
      </c>
      <c r="C119" s="35" t="str" cm="1">
        <f t="array" ref="C119">INDEX('III-PA'!$C$18:$C$2661,1+MATCH(_xlfn.CONCAT(" ",A119," "),'III-PA'!$A$18:$A$2661,0))</f>
        <v>SINAPI</v>
      </c>
      <c r="D119" s="35" t="str" cm="1">
        <f t="array" ref="D119">INDEX('III-PA'!$A$18:$A$2661,1+MATCH(_xlfn.CONCAT(" ",A119," "),'III-PA'!$A$18:$A$2661,0))</f>
        <v>Composição</v>
      </c>
      <c r="E119" s="35" t="str" cm="1">
        <f t="array" ref="E119">INDEX('III-PA'!$D$18:$D$2661,1+MATCH(_xlfn.CONCAT(" ",A119," "),'III-PA'!$A$18:$A$2661,0))</f>
        <v>FABRICAÇÃO E INSTALAÇÃO DE MEIA TESOURA DE MADEIRA NÃO APARELHADA, COM VÃO DE 12 M, PARA TELHA ONDULADA DE FIBROCIMENTO, ALUMÍNIO, PLÁSTICA OU TERMOACÚSTICA, INCLUSO IÇAMENTO. AF_07/2019</v>
      </c>
      <c r="F119" s="35" t="str" cm="1">
        <f t="array" ref="F119">INDEX('III-PA'!$G$18:$G$2661,1+MATCH(_xlfn.CONCAT(" ",A119," "),'III-PA'!$A$18:$A$2661,0))</f>
        <v>UN</v>
      </c>
      <c r="G119" s="50">
        <f>VLOOKUP(A119,'IV-MEMORIAL'!$A$17:$N$2203,14,0)</f>
        <v>13</v>
      </c>
      <c r="H119" s="51">
        <f t="shared" si="84"/>
        <v>0.252</v>
      </c>
      <c r="I119" s="36" cm="1">
        <f t="array" ref="I119">INDEX('III-PA'!$I$18:$I$2661,1+MATCH(_xlfn.CONCAT(" ",A119," "),'III-PA'!$A$18:$A$2661,0))</f>
        <v>2987.59</v>
      </c>
      <c r="J119" s="36">
        <f t="shared" si="85"/>
        <v>3740.46</v>
      </c>
      <c r="K119" s="36">
        <f t="shared" si="86"/>
        <v>38838.67</v>
      </c>
      <c r="L119" s="36">
        <f t="shared" si="87"/>
        <v>9787.3100000000049</v>
      </c>
      <c r="M119" s="97">
        <f t="shared" si="88"/>
        <v>48625.98</v>
      </c>
    </row>
    <row r="120" spans="1:13" ht="15.75" x14ac:dyDescent="0.2">
      <c r="A120" s="94">
        <v>12</v>
      </c>
      <c r="B120" s="40"/>
      <c r="C120" s="40"/>
      <c r="D120" s="40"/>
      <c r="E120" s="40" t="s">
        <v>606</v>
      </c>
      <c r="F120" s="40"/>
      <c r="G120" s="40"/>
      <c r="H120" s="41"/>
      <c r="I120" s="42"/>
      <c r="J120" s="42"/>
      <c r="K120" s="42">
        <f>SUM(K121:K124)</f>
        <v>59904.56</v>
      </c>
      <c r="L120" s="42">
        <f t="shared" ref="L120:M120" si="89">SUM(L121:L124)</f>
        <v>15082.630000000003</v>
      </c>
      <c r="M120" s="42">
        <f t="shared" si="89"/>
        <v>74987.19</v>
      </c>
    </row>
    <row r="121" spans="1:13" ht="45" x14ac:dyDescent="0.2">
      <c r="A121" s="96" t="s">
        <v>429</v>
      </c>
      <c r="B121" s="35" t="str" cm="1">
        <f t="array" ref="B121">INDEX('III-PA'!$B$18:$B$2661,1+MATCH(_xlfn.CONCAT(" ",'II-PO'!A121," "),'III-PA'!$A$18:$A$2661,0))</f>
        <v xml:space="preserve"> 96114 </v>
      </c>
      <c r="C121" s="35" t="str" cm="1">
        <f t="array" ref="C121">INDEX('III-PA'!$C$18:$C$2661,1+MATCH(_xlfn.CONCAT(" ",A121," "),'III-PA'!$A$18:$A$2661,0))</f>
        <v>SINAPI</v>
      </c>
      <c r="D121" s="35" t="str" cm="1">
        <f t="array" ref="D121">INDEX('III-PA'!$A$18:$A$2661,1+MATCH(_xlfn.CONCAT(" ",A121," "),'III-PA'!$A$18:$A$2661,0))</f>
        <v>Composição</v>
      </c>
      <c r="E121" s="35" t="str" cm="1">
        <f t="array" ref="E121">INDEX('III-PA'!$D$18:$D$2661,1+MATCH(_xlfn.CONCAT(" ",A121," "),'III-PA'!$A$18:$A$2661,0))</f>
        <v>FORRO EM DRYWALL, PARA AMBIENTES COMERCIAIS, INCLUSIVE ESTRUTURA BIRECIONAL DE FIXAÇÃO. AF_08/2023_PS</v>
      </c>
      <c r="F121" s="35" t="str" cm="1">
        <f t="array" ref="F121">INDEX('III-PA'!$G$18:$G$2661,1+MATCH(_xlfn.CONCAT(" ",A121," "),'III-PA'!$A$18:$A$2661,0))</f>
        <v>m²</v>
      </c>
      <c r="G121" s="50">
        <f>VLOOKUP(A121,'IV-MEMORIAL'!$A$17:$N$2203,14,0)</f>
        <v>442.82</v>
      </c>
      <c r="H121" s="51">
        <f t="shared" ref="H121:H124" si="90">$L$14</f>
        <v>0.252</v>
      </c>
      <c r="I121" s="36" cm="1">
        <f t="array" ref="I121">INDEX('III-PA'!$I$18:$I$2661,1+MATCH(_xlfn.CONCAT(" ",A121," "),'III-PA'!$A$18:$A$2661,0))</f>
        <v>71.14</v>
      </c>
      <c r="J121" s="36">
        <f t="shared" ref="J121:J124" si="91">TRUNC(I121*(1+H121),2)</f>
        <v>89.06</v>
      </c>
      <c r="K121" s="36">
        <f t="shared" ref="K121:K124" si="92">TRUNC(I121*G121,2)</f>
        <v>31502.21</v>
      </c>
      <c r="L121" s="36">
        <f t="shared" ref="L121:L124" si="93">M121-K121</f>
        <v>7935.3300000000017</v>
      </c>
      <c r="M121" s="97">
        <f t="shared" ref="M121:M124" si="94">TRUNC(G121*J121,2)</f>
        <v>39437.54</v>
      </c>
    </row>
    <row r="122" spans="1:13" ht="45" x14ac:dyDescent="0.2">
      <c r="A122" s="96" t="s">
        <v>430</v>
      </c>
      <c r="B122" s="35" t="str" cm="1">
        <f t="array" ref="B122">INDEX('III-PA'!$B$18:$B$2661,1+MATCH(_xlfn.CONCAT(" ",'II-PO'!A122," "),'III-PA'!$A$18:$A$2661,0))</f>
        <v xml:space="preserve"> 88494 </v>
      </c>
      <c r="C122" s="35" t="str" cm="1">
        <f t="array" ref="C122">INDEX('III-PA'!$C$18:$C$2661,1+MATCH(_xlfn.CONCAT(" ",A122," "),'III-PA'!$A$18:$A$2661,0))</f>
        <v>SINAPI</v>
      </c>
      <c r="D122" s="35" t="str" cm="1">
        <f t="array" ref="D122">INDEX('III-PA'!$A$18:$A$2661,1+MATCH(_xlfn.CONCAT(" ",A122," "),'III-PA'!$A$18:$A$2661,0))</f>
        <v>Composição</v>
      </c>
      <c r="E122" s="35" t="str" cm="1">
        <f t="array" ref="E122">INDEX('III-PA'!$D$18:$D$2661,1+MATCH(_xlfn.CONCAT(" ",A122," "),'III-PA'!$A$18:$A$2661,0))</f>
        <v>EMASSAMENTO COM MASSA LÁTEX, APLICAÇÃO EM TETO, UMA DEMÃO, LIXAMENTO MANUAL. AF_04/2023</v>
      </c>
      <c r="F122" s="35" t="str" cm="1">
        <f t="array" ref="F122">INDEX('III-PA'!$G$18:$G$2661,1+MATCH(_xlfn.CONCAT(" ",A122," "),'III-PA'!$A$18:$A$2661,0))</f>
        <v>m²</v>
      </c>
      <c r="G122" s="50">
        <f>VLOOKUP(A122,'IV-MEMORIAL'!$A$17:$N$2203,14,0)</f>
        <v>442.82</v>
      </c>
      <c r="H122" s="51">
        <f t="shared" si="90"/>
        <v>0.252</v>
      </c>
      <c r="I122" s="36" cm="1">
        <f t="array" ref="I122">INDEX('III-PA'!$I$18:$I$2661,1+MATCH(_xlfn.CONCAT(" ",A122," "),'III-PA'!$A$18:$A$2661,0))</f>
        <v>22.77</v>
      </c>
      <c r="J122" s="36">
        <f t="shared" si="91"/>
        <v>28.5</v>
      </c>
      <c r="K122" s="36">
        <f t="shared" si="92"/>
        <v>10083.01</v>
      </c>
      <c r="L122" s="36">
        <f t="shared" si="93"/>
        <v>2537.3600000000006</v>
      </c>
      <c r="M122" s="97">
        <f t="shared" si="94"/>
        <v>12620.37</v>
      </c>
    </row>
    <row r="123" spans="1:13" ht="45" x14ac:dyDescent="0.2">
      <c r="A123" s="96" t="s">
        <v>431</v>
      </c>
      <c r="B123" s="35" t="str" cm="1">
        <f t="array" ref="B123">INDEX('III-PA'!$B$18:$B$2661,1+MATCH(_xlfn.CONCAT(" ",'II-PO'!A123," "),'III-PA'!$A$18:$A$2661,0))</f>
        <v xml:space="preserve"> 88488 </v>
      </c>
      <c r="C123" s="35" t="str" cm="1">
        <f t="array" ref="C123">INDEX('III-PA'!$C$18:$C$2661,1+MATCH(_xlfn.CONCAT(" ",A123," "),'III-PA'!$A$18:$A$2661,0))</f>
        <v>SINAPI</v>
      </c>
      <c r="D123" s="35" t="str" cm="1">
        <f t="array" ref="D123">INDEX('III-PA'!$A$18:$A$2661,1+MATCH(_xlfn.CONCAT(" ",A123," "),'III-PA'!$A$18:$A$2661,0))</f>
        <v>Composição</v>
      </c>
      <c r="E123" s="35" t="str" cm="1">
        <f t="array" ref="E123">INDEX('III-PA'!$D$18:$D$2661,1+MATCH(_xlfn.CONCAT(" ",A123," "),'III-PA'!$A$18:$A$2661,0))</f>
        <v>PINTURA LÁTEX ACRÍLICA PREMIUM, APLICAÇÃO MANUAL EM TETO, DUAS DEMÃOS. AF_04/2023</v>
      </c>
      <c r="F123" s="35" t="str" cm="1">
        <f t="array" ref="F123">INDEX('III-PA'!$G$18:$G$2661,1+MATCH(_xlfn.CONCAT(" ",A123," "),'III-PA'!$A$18:$A$2661,0))</f>
        <v>m²</v>
      </c>
      <c r="G123" s="50">
        <f>VLOOKUP(A123,'IV-MEMORIAL'!$A$17:$N$2203,14,0)</f>
        <v>442.82</v>
      </c>
      <c r="H123" s="51">
        <f t="shared" si="90"/>
        <v>0.252</v>
      </c>
      <c r="I123" s="36" cm="1">
        <f t="array" ref="I123">INDEX('III-PA'!$I$18:$I$2661,1+MATCH(_xlfn.CONCAT(" ",A123," "),'III-PA'!$A$18:$A$2661,0))</f>
        <v>16.7</v>
      </c>
      <c r="J123" s="36">
        <f t="shared" si="91"/>
        <v>20.9</v>
      </c>
      <c r="K123" s="36">
        <f t="shared" si="92"/>
        <v>7395.09</v>
      </c>
      <c r="L123" s="36">
        <f t="shared" si="93"/>
        <v>1859.8400000000001</v>
      </c>
      <c r="M123" s="97">
        <f t="shared" si="94"/>
        <v>9254.93</v>
      </c>
    </row>
    <row r="124" spans="1:13" ht="45" x14ac:dyDescent="0.2">
      <c r="A124" s="96" t="s">
        <v>434</v>
      </c>
      <c r="B124" s="35" t="str" cm="1">
        <f t="array" ref="B124">INDEX('III-PA'!$B$18:$B$2661,1+MATCH(_xlfn.CONCAT(" ",'II-PO'!A124," "),'III-PA'!$A$18:$A$2661,0))</f>
        <v xml:space="preserve"> 96123 </v>
      </c>
      <c r="C124" s="35" t="str" cm="1">
        <f t="array" ref="C124">INDEX('III-PA'!$C$18:$C$2661,1+MATCH(_xlfn.CONCAT(" ",A124," "),'III-PA'!$A$18:$A$2661,0))</f>
        <v>SINAPI</v>
      </c>
      <c r="D124" s="35" t="str" cm="1">
        <f t="array" ref="D124">INDEX('III-PA'!$A$18:$A$2661,1+MATCH(_xlfn.CONCAT(" ",A124," "),'III-PA'!$A$18:$A$2661,0))</f>
        <v>Composição</v>
      </c>
      <c r="E124" s="35" t="str" cm="1">
        <f t="array" ref="E124">INDEX('III-PA'!$D$18:$D$2661,1+MATCH(_xlfn.CONCAT(" ",A124," "),'III-PA'!$A$18:$A$2661,0))</f>
        <v>ACABAMENTOS PARA FORRO (MOLDURA EM DRYWALL, COM LARGURA DE 15 CM). AF_08/2023_PS</v>
      </c>
      <c r="F124" s="35" t="str" cm="1">
        <f t="array" ref="F124">INDEX('III-PA'!$G$18:$G$2661,1+MATCH(_xlfn.CONCAT(" ",A124," "),'III-PA'!$A$18:$A$2661,0))</f>
        <v>M</v>
      </c>
      <c r="G124" s="50">
        <f>VLOOKUP(A124,'IV-MEMORIAL'!$A$17:$N$2203,14,0)</f>
        <v>400.88999999999987</v>
      </c>
      <c r="H124" s="51">
        <f t="shared" si="90"/>
        <v>0.252</v>
      </c>
      <c r="I124" s="36" cm="1">
        <f t="array" ref="I124">INDEX('III-PA'!$I$18:$I$2661,1+MATCH(_xlfn.CONCAT(" ",A124," "),'III-PA'!$A$18:$A$2661,0))</f>
        <v>27.25</v>
      </c>
      <c r="J124" s="36">
        <f t="shared" si="91"/>
        <v>34.11</v>
      </c>
      <c r="K124" s="36">
        <f t="shared" si="92"/>
        <v>10924.25</v>
      </c>
      <c r="L124" s="36">
        <f t="shared" si="93"/>
        <v>2750.1000000000004</v>
      </c>
      <c r="M124" s="97">
        <f t="shared" si="94"/>
        <v>13674.35</v>
      </c>
    </row>
    <row r="125" spans="1:13" ht="15.75" x14ac:dyDescent="0.2">
      <c r="A125" s="94">
        <v>13</v>
      </c>
      <c r="B125" s="40"/>
      <c r="C125" s="40"/>
      <c r="D125" s="40"/>
      <c r="E125" s="40" t="s">
        <v>221</v>
      </c>
      <c r="F125" s="40"/>
      <c r="G125" s="40"/>
      <c r="H125" s="41"/>
      <c r="I125" s="42"/>
      <c r="J125" s="42"/>
      <c r="K125" s="42">
        <f>K126+K132+K153+K157+K170+K182+K191+K199+K223+K246</f>
        <v>30508.490000000005</v>
      </c>
      <c r="L125" s="42">
        <f t="shared" ref="L125:M125" si="95">L126+L132+L153+L157+L170+L182+L191+L199+L223+L246</f>
        <v>7685.5600000000013</v>
      </c>
      <c r="M125" s="42">
        <f t="shared" si="95"/>
        <v>38194.050000000003</v>
      </c>
    </row>
    <row r="126" spans="1:13" ht="15.75" x14ac:dyDescent="0.2">
      <c r="A126" s="163" t="s">
        <v>446</v>
      </c>
      <c r="B126" s="164"/>
      <c r="C126" s="164"/>
      <c r="D126" s="164"/>
      <c r="E126" s="164" t="s">
        <v>473</v>
      </c>
      <c r="F126" s="164"/>
      <c r="G126" s="164"/>
      <c r="H126" s="165"/>
      <c r="I126" s="166"/>
      <c r="J126" s="166"/>
      <c r="K126" s="166">
        <f>SUM(K127:K131)</f>
        <v>13057.310000000001</v>
      </c>
      <c r="L126" s="166">
        <f t="shared" ref="L126:M126" si="96">SUM(L127:L131)</f>
        <v>3289.8600000000006</v>
      </c>
      <c r="M126" s="166">
        <f t="shared" si="96"/>
        <v>16347.17</v>
      </c>
    </row>
    <row r="127" spans="1:13" ht="60" x14ac:dyDescent="0.2">
      <c r="A127" s="96" t="s">
        <v>447</v>
      </c>
      <c r="B127" s="35" t="str" cm="1">
        <f t="array" ref="B127">INDEX('III-PA'!$B$18:$B$2661,1+MATCH(_xlfn.CONCAT(" ",'II-PO'!A127," "),'III-PA'!$A$18:$A$2661,0))</f>
        <v xml:space="preserve"> 94228 </v>
      </c>
      <c r="C127" s="35" t="str" cm="1">
        <f t="array" ref="C127">INDEX('III-PA'!$C$18:$C$2661,1+MATCH(_xlfn.CONCAT(" ",A127," "),'III-PA'!$A$18:$A$2661,0))</f>
        <v>SINAPI</v>
      </c>
      <c r="D127" s="35" t="str" cm="1">
        <f t="array" ref="D127">INDEX('III-PA'!$A$18:$A$2661,1+MATCH(_xlfn.CONCAT(" ",A127," "),'III-PA'!$A$18:$A$2661,0))</f>
        <v>Composição</v>
      </c>
      <c r="E127" s="35" t="str" cm="1">
        <f t="array" ref="E127">INDEX('III-PA'!$D$18:$D$2661,1+MATCH(_xlfn.CONCAT(" ",A127," "),'III-PA'!$A$18:$A$2661,0))</f>
        <v>CALHA EM CHAPA DE AÇO GALVANIZADO NÚMERO 24, DESENVOLVIMENTO DE 50 CM, INCLUSO TRANSPORTE VERTICAL. AF_07/2019</v>
      </c>
      <c r="F127" s="35" t="str" cm="1">
        <f t="array" ref="F127">INDEX('III-PA'!$G$18:$G$2661,1+MATCH(_xlfn.CONCAT(" ",A127," "),'III-PA'!$A$18:$A$2661,0))</f>
        <v>M</v>
      </c>
      <c r="G127" s="50">
        <f>VLOOKUP(A127,'IV-MEMORIAL'!$A$17:$N$2203,14,0)</f>
        <v>55</v>
      </c>
      <c r="H127" s="51">
        <f t="shared" ref="H127:H131" si="97">$L$14</f>
        <v>0.252</v>
      </c>
      <c r="I127" s="36" cm="1">
        <f t="array" ref="I127">INDEX('III-PA'!$I$18:$I$2661,1+MATCH(_xlfn.CONCAT(" ",A127," "),'III-PA'!$A$18:$A$2661,0))</f>
        <v>75.45</v>
      </c>
      <c r="J127" s="36">
        <f t="shared" ref="J127:J131" si="98">TRUNC(I127*(1+H127),2)</f>
        <v>94.46</v>
      </c>
      <c r="K127" s="36">
        <f t="shared" ref="K127:K131" si="99">TRUNC(I127*G127,2)</f>
        <v>4149.75</v>
      </c>
      <c r="L127" s="36">
        <f t="shared" ref="L127:L131" si="100">M127-K127</f>
        <v>1045.5500000000002</v>
      </c>
      <c r="M127" s="97">
        <f t="shared" ref="M127:M131" si="101">TRUNC(G127*J127,2)</f>
        <v>5195.3</v>
      </c>
    </row>
    <row r="128" spans="1:13" ht="60" x14ac:dyDescent="0.2">
      <c r="A128" s="96" t="s">
        <v>450</v>
      </c>
      <c r="B128" s="35" t="str" cm="1">
        <f t="array" ref="B128">INDEX('III-PA'!$B$18:$B$2661,1+MATCH(_xlfn.CONCAT(" ",'II-PO'!A128," "),'III-PA'!$A$18:$A$2661,0))</f>
        <v xml:space="preserve"> 89576 </v>
      </c>
      <c r="C128" s="35" t="str" cm="1">
        <f t="array" ref="C128">INDEX('III-PA'!$C$18:$C$2661,1+MATCH(_xlfn.CONCAT(" ",A128," "),'III-PA'!$A$18:$A$2661,0))</f>
        <v>SINAPI</v>
      </c>
      <c r="D128" s="35" t="str" cm="1">
        <f t="array" ref="D128">INDEX('III-PA'!$A$18:$A$2661,1+MATCH(_xlfn.CONCAT(" ",A128," "),'III-PA'!$A$18:$A$2661,0))</f>
        <v>Composição</v>
      </c>
      <c r="E128" s="35" t="str" cm="1">
        <f t="array" ref="E128">INDEX('III-PA'!$D$18:$D$2661,1+MATCH(_xlfn.CONCAT(" ",A128," "),'III-PA'!$A$18:$A$2661,0))</f>
        <v>TUBO PVC, SÉRIE R, ÁGUA PLUVIAL, DN 75 MM, FORNECIDO E INSTALADO EM CONDUTORES VERTICAIS DE ÁGUAS PLUVIAIS. AF_06/2022</v>
      </c>
      <c r="F128" s="35" t="str" cm="1">
        <f t="array" ref="F128">INDEX('III-PA'!$G$18:$G$2661,1+MATCH(_xlfn.CONCAT(" ",A128," "),'III-PA'!$A$18:$A$2661,0))</f>
        <v>M</v>
      </c>
      <c r="G128" s="50">
        <f>VLOOKUP(A128,'IV-MEMORIAL'!$A$17:$N$2203,14,0)</f>
        <v>35</v>
      </c>
      <c r="H128" s="51">
        <f t="shared" si="97"/>
        <v>0.252</v>
      </c>
      <c r="I128" s="36" cm="1">
        <f t="array" ref="I128">INDEX('III-PA'!$I$18:$I$2661,1+MATCH(_xlfn.CONCAT(" ",A128," "),'III-PA'!$A$18:$A$2661,0))</f>
        <v>29.26</v>
      </c>
      <c r="J128" s="36">
        <f t="shared" si="98"/>
        <v>36.630000000000003</v>
      </c>
      <c r="K128" s="36">
        <f t="shared" si="99"/>
        <v>1024.0999999999999</v>
      </c>
      <c r="L128" s="36">
        <f t="shared" si="100"/>
        <v>257.95000000000005</v>
      </c>
      <c r="M128" s="97">
        <f t="shared" si="101"/>
        <v>1282.05</v>
      </c>
    </row>
    <row r="129" spans="1:13" ht="30" x14ac:dyDescent="0.2">
      <c r="A129" s="96" t="s">
        <v>475</v>
      </c>
      <c r="B129" s="35" t="str" cm="1">
        <f t="array" ref="B129">INDEX('III-PA'!$B$18:$B$2661,1+MATCH(_xlfn.CONCAT(" ",'II-PO'!A129," "),'III-PA'!$A$18:$A$2661,0))</f>
        <v xml:space="preserve"> 101979 </v>
      </c>
      <c r="C129" s="35" t="str" cm="1">
        <f t="array" ref="C129">INDEX('III-PA'!$C$18:$C$2661,1+MATCH(_xlfn.CONCAT(" ",A129," "),'III-PA'!$A$18:$A$2661,0))</f>
        <v>SINAPI</v>
      </c>
      <c r="D129" s="35" t="str" cm="1">
        <f t="array" ref="D129">INDEX('III-PA'!$A$18:$A$2661,1+MATCH(_xlfn.CONCAT(" ",A129," "),'III-PA'!$A$18:$A$2661,0))</f>
        <v>Composição</v>
      </c>
      <c r="E129" s="35" t="str" cm="1">
        <f t="array" ref="E129">INDEX('III-PA'!$D$18:$D$2661,1+MATCH(_xlfn.CONCAT(" ",A129," "),'III-PA'!$A$18:$A$2661,0))</f>
        <v>CHAPIM (RUFO CAPA) EM AÇO GALVANIZADO, CORTE 33. AF_11/2020</v>
      </c>
      <c r="F129" s="35" t="str" cm="1">
        <f t="array" ref="F129">INDEX('III-PA'!$G$18:$G$2661,1+MATCH(_xlfn.CONCAT(" ",A129," "),'III-PA'!$A$18:$A$2661,0))</f>
        <v>M</v>
      </c>
      <c r="G129" s="50">
        <f>VLOOKUP(A129,'IV-MEMORIAL'!$A$17:$N$2203,14,0)</f>
        <v>36</v>
      </c>
      <c r="H129" s="51">
        <f t="shared" si="97"/>
        <v>0.252</v>
      </c>
      <c r="I129" s="36" cm="1">
        <f t="array" ref="I129">INDEX('III-PA'!$I$18:$I$2661,1+MATCH(_xlfn.CONCAT(" ",A129," "),'III-PA'!$A$18:$A$2661,0))</f>
        <v>39.270000000000003</v>
      </c>
      <c r="J129" s="36">
        <f t="shared" si="98"/>
        <v>49.16</v>
      </c>
      <c r="K129" s="36">
        <f t="shared" si="99"/>
        <v>1413.72</v>
      </c>
      <c r="L129" s="36">
        <f t="shared" si="100"/>
        <v>356.03999999999996</v>
      </c>
      <c r="M129" s="97">
        <f t="shared" si="101"/>
        <v>1769.76</v>
      </c>
    </row>
    <row r="130" spans="1:13" ht="60" x14ac:dyDescent="0.2">
      <c r="A130" s="96" t="s">
        <v>476</v>
      </c>
      <c r="B130" s="35" t="str" cm="1">
        <f t="array" ref="B130">INDEX('III-PA'!$B$18:$B$2661,1+MATCH(_xlfn.CONCAT(" ",'II-PO'!A130," "),'III-PA'!$A$18:$A$2661,0))</f>
        <v xml:space="preserve"> 081828 </v>
      </c>
      <c r="C130" s="35" t="str" cm="1">
        <f t="array" ref="C130">INDEX('III-PA'!$C$18:$C$2661,1+MATCH(_xlfn.CONCAT(" ",A130," "),'III-PA'!$A$18:$A$2661,0))</f>
        <v>AGETOP CIVIL</v>
      </c>
      <c r="D130" s="35" t="str" cm="1">
        <f t="array" ref="D130">INDEX('III-PA'!$A$18:$A$2661,1+MATCH(_xlfn.CONCAT(" ",A130," "),'III-PA'!$A$18:$A$2661,0))</f>
        <v>Composição</v>
      </c>
      <c r="E130" s="35" t="str" cm="1">
        <f t="array" ref="E130">INDEX('III-PA'!$D$18:$D$2661,1+MATCH(_xlfn.CONCAT(" ",A130," "),'III-PA'!$A$18:$A$2661,0))</f>
        <v>CAIXA DE AREIA 60X60X80CM (MEDIDAS INTERNAS) FUNDO DE BRITA COM GRELHA METÁLICA FERRO CHATO PADRÃO GOINFRA</v>
      </c>
      <c r="F130" s="35" t="str" cm="1">
        <f t="array" ref="F130">INDEX('III-PA'!$G$18:$G$2661,1+MATCH(_xlfn.CONCAT(" ",A130," "),'III-PA'!$A$18:$A$2661,0))</f>
        <v>Un</v>
      </c>
      <c r="G130" s="50">
        <f>VLOOKUP(A130,'IV-MEMORIAL'!$A$17:$N$2203,14,0)</f>
        <v>2</v>
      </c>
      <c r="H130" s="51">
        <f t="shared" si="97"/>
        <v>0.252</v>
      </c>
      <c r="I130" s="36" cm="1">
        <f t="array" ref="I130">INDEX('III-PA'!$I$18:$I$2661,1+MATCH(_xlfn.CONCAT(" ",A130," "),'III-PA'!$A$18:$A$2661,0))</f>
        <v>762.37</v>
      </c>
      <c r="J130" s="36">
        <f t="shared" si="98"/>
        <v>954.48</v>
      </c>
      <c r="K130" s="36">
        <f t="shared" si="99"/>
        <v>1524.74</v>
      </c>
      <c r="L130" s="36">
        <f t="shared" si="100"/>
        <v>384.22</v>
      </c>
      <c r="M130" s="97">
        <f t="shared" si="101"/>
        <v>1908.96</v>
      </c>
    </row>
    <row r="131" spans="1:13" ht="60" x14ac:dyDescent="0.2">
      <c r="A131" s="96" t="s">
        <v>477</v>
      </c>
      <c r="B131" s="35" t="str" cm="1">
        <f t="array" ref="B131">INDEX('III-PA'!$B$18:$B$2661,1+MATCH(_xlfn.CONCAT(" ",'II-PO'!A131," "),'III-PA'!$A$18:$A$2661,0))</f>
        <v xml:space="preserve"> 081824 </v>
      </c>
      <c r="C131" s="35" t="str" cm="1">
        <f t="array" ref="C131">INDEX('III-PA'!$C$18:$C$2661,1+MATCH(_xlfn.CONCAT(" ",A131," "),'III-PA'!$A$18:$A$2661,0))</f>
        <v>AGETOP CIVIL</v>
      </c>
      <c r="D131" s="35" t="str" cm="1">
        <f t="array" ref="D131">INDEX('III-PA'!$A$18:$A$2661,1+MATCH(_xlfn.CONCAT(" ",A131," "),'III-PA'!$A$18:$A$2661,0))</f>
        <v>Composição</v>
      </c>
      <c r="E131" s="35" t="str" cm="1">
        <f t="array" ref="E131">INDEX('III-PA'!$D$18:$D$2661,1+MATCH(_xlfn.CONCAT(" ",A131," "),'III-PA'!$A$18:$A$2661,0))</f>
        <v>CAIXA DE AREIA 40X40X80CM (MEDIDAS INTERNAS), FUNDO DE BRITA COM GRELHA METÁLICA FERRO CHATO PADRÃO GOINFRA</v>
      </c>
      <c r="F131" s="35" t="str" cm="1">
        <f t="array" ref="F131">INDEX('III-PA'!$G$18:$G$2661,1+MATCH(_xlfn.CONCAT(" ",A131," "),'III-PA'!$A$18:$A$2661,0))</f>
        <v>un</v>
      </c>
      <c r="G131" s="50">
        <f>VLOOKUP(A131,'IV-MEMORIAL'!$A$17:$N$2203,14,0)</f>
        <v>10</v>
      </c>
      <c r="H131" s="51">
        <f t="shared" si="97"/>
        <v>0.252</v>
      </c>
      <c r="I131" s="36" cm="1">
        <f t="array" ref="I131">INDEX('III-PA'!$I$18:$I$2661,1+MATCH(_xlfn.CONCAT(" ",A131," "),'III-PA'!$A$18:$A$2661,0))</f>
        <v>494.5</v>
      </c>
      <c r="J131" s="36">
        <f t="shared" si="98"/>
        <v>619.11</v>
      </c>
      <c r="K131" s="36">
        <f t="shared" si="99"/>
        <v>4945</v>
      </c>
      <c r="L131" s="36">
        <f t="shared" si="100"/>
        <v>1246.1000000000004</v>
      </c>
      <c r="M131" s="97">
        <f t="shared" si="101"/>
        <v>6191.1</v>
      </c>
    </row>
    <row r="132" spans="1:13" ht="15.75" x14ac:dyDescent="0.2">
      <c r="A132" s="163" t="s">
        <v>451</v>
      </c>
      <c r="B132" s="164"/>
      <c r="C132" s="164"/>
      <c r="D132" s="164"/>
      <c r="E132" s="164" t="s">
        <v>478</v>
      </c>
      <c r="F132" s="164"/>
      <c r="G132" s="164"/>
      <c r="H132" s="165"/>
      <c r="I132" s="166"/>
      <c r="J132" s="166"/>
      <c r="K132" s="166">
        <f>SUM(K133:K152)</f>
        <v>2970.15</v>
      </c>
      <c r="L132" s="166">
        <f t="shared" ref="L132:M132" si="102">SUM(L133:L152)</f>
        <v>747.83999999999992</v>
      </c>
      <c r="M132" s="166">
        <f t="shared" si="102"/>
        <v>3717.99</v>
      </c>
    </row>
    <row r="133" spans="1:13" ht="90" x14ac:dyDescent="0.2">
      <c r="A133" s="96" t="s">
        <v>519</v>
      </c>
      <c r="B133" s="35" t="str" cm="1">
        <f t="array" ref="B133">INDEX('III-PA'!$B$18:$B$2661,1+MATCH(_xlfn.CONCAT(" ",'II-PO'!A133," "),'III-PA'!$A$18:$A$2661,0))</f>
        <v xml:space="preserve"> 104328 </v>
      </c>
      <c r="C133" s="35" t="str" cm="1">
        <f t="array" ref="C133">INDEX('III-PA'!$C$18:$C$2661,1+MATCH(_xlfn.CONCAT(" ",A133," "),'III-PA'!$A$18:$A$2661,0))</f>
        <v>SINAPI</v>
      </c>
      <c r="D133" s="35" t="str" cm="1">
        <f t="array" ref="D133">INDEX('III-PA'!$A$18:$A$2661,1+MATCH(_xlfn.CONCAT(" ",A133," "),'III-PA'!$A$18:$A$2661,0))</f>
        <v>Composição</v>
      </c>
      <c r="E133" s="35" t="str" cm="1">
        <f t="array" ref="E133">INDEX('III-PA'!$D$18:$D$2661,1+MATCH(_xlfn.CONCAT(" ",A133," "),'III-PA'!$A$18:$A$2661,0))</f>
        <v>CAIXA SIFONADA, COM GRELHA QUADRADA, PVC, DN 150 X 150 X 50 MM, JUNTA SOLDÁVEL, FORNECIDA E INSTALADA EM RAMAL DE DESCARGA OU EM RAMAL DE ESGOTO SANITÁRIO. AF_08/2022</v>
      </c>
      <c r="F133" s="35" t="str" cm="1">
        <f t="array" ref="F133">INDEX('III-PA'!$G$18:$G$2661,1+MATCH(_xlfn.CONCAT(" ",A133," "),'III-PA'!$A$18:$A$2661,0))</f>
        <v>UN</v>
      </c>
      <c r="G133" s="50">
        <f>VLOOKUP(A133,'IV-MEMORIAL'!$A$17:$N$2203,14,0)</f>
        <v>4</v>
      </c>
      <c r="H133" s="51">
        <f t="shared" ref="H133:H152" si="103">$L$14</f>
        <v>0.252</v>
      </c>
      <c r="I133" s="36" cm="1">
        <f t="array" ref="I133">INDEX('III-PA'!$I$18:$I$2661,1+MATCH(_xlfn.CONCAT(" ",A133," "),'III-PA'!$A$18:$A$2661,0))</f>
        <v>75.34</v>
      </c>
      <c r="J133" s="36">
        <f t="shared" ref="J133:J152" si="104">TRUNC(I133*(1+H133),2)</f>
        <v>94.32</v>
      </c>
      <c r="K133" s="36">
        <f t="shared" ref="K133:K152" si="105">TRUNC(I133*G133,2)</f>
        <v>301.36</v>
      </c>
      <c r="L133" s="36">
        <f t="shared" ref="L133:L152" si="106">M133-K133</f>
        <v>75.919999999999959</v>
      </c>
      <c r="M133" s="97">
        <f t="shared" ref="M133:M152" si="107">TRUNC(G133*J133,2)</f>
        <v>377.28</v>
      </c>
    </row>
    <row r="134" spans="1:13" ht="45" x14ac:dyDescent="0.2">
      <c r="A134" s="96" t="s">
        <v>520</v>
      </c>
      <c r="B134" s="35" t="str" cm="1">
        <f t="array" ref="B134">INDEX('III-PA'!$B$18:$B$2661,1+MATCH(_xlfn.CONCAT(" ",'II-PO'!A134," "),'III-PA'!$A$18:$A$2661,0))</f>
        <v xml:space="preserve"> 86881 </v>
      </c>
      <c r="C134" s="35" t="str" cm="1">
        <f t="array" ref="C134">INDEX('III-PA'!$C$18:$C$2661,1+MATCH(_xlfn.CONCAT(" ",A134," "),'III-PA'!$A$18:$A$2661,0))</f>
        <v>SINAPI</v>
      </c>
      <c r="D134" s="35" t="str" cm="1">
        <f t="array" ref="D134">INDEX('III-PA'!$A$18:$A$2661,1+MATCH(_xlfn.CONCAT(" ",A134," "),'III-PA'!$A$18:$A$2661,0))</f>
        <v>Composição</v>
      </c>
      <c r="E134" s="35" t="str" cm="1">
        <f t="array" ref="E134">INDEX('III-PA'!$D$18:$D$2661,1+MATCH(_xlfn.CONCAT(" ",A134," "),'III-PA'!$A$18:$A$2661,0))</f>
        <v>SIFÃO DO TIPO GARRAFA EM METAL CROMADO 1 X 1.1/2" - FORNECIMENTO E INSTALAÇÃO. AF_01/2020</v>
      </c>
      <c r="F134" s="35" t="str" cm="1">
        <f t="array" ref="F134">INDEX('III-PA'!$G$18:$G$2661,1+MATCH(_xlfn.CONCAT(" ",A134," "),'III-PA'!$A$18:$A$2661,0))</f>
        <v>UN</v>
      </c>
      <c r="G134" s="50">
        <f>VLOOKUP(A134,'IV-MEMORIAL'!$A$17:$N$2203,14,0)</f>
        <v>3</v>
      </c>
      <c r="H134" s="51">
        <f t="shared" si="103"/>
        <v>0.252</v>
      </c>
      <c r="I134" s="36" cm="1">
        <f t="array" ref="I134">INDEX('III-PA'!$I$18:$I$2661,1+MATCH(_xlfn.CONCAT(" ",A134," "),'III-PA'!$A$18:$A$2661,0))</f>
        <v>228.07</v>
      </c>
      <c r="J134" s="36">
        <f t="shared" si="104"/>
        <v>285.54000000000002</v>
      </c>
      <c r="K134" s="36">
        <f t="shared" si="105"/>
        <v>684.21</v>
      </c>
      <c r="L134" s="36">
        <f t="shared" si="106"/>
        <v>172.40999999999997</v>
      </c>
      <c r="M134" s="97">
        <f t="shared" si="107"/>
        <v>856.62</v>
      </c>
    </row>
    <row r="135" spans="1:13" ht="30" x14ac:dyDescent="0.2">
      <c r="A135" s="96" t="s">
        <v>521</v>
      </c>
      <c r="B135" s="35" t="str" cm="1">
        <f t="array" ref="B135">INDEX('III-PA'!$B$18:$B$2661,1+MATCH(_xlfn.CONCAT(" ",'II-PO'!A135," "),'III-PA'!$A$18:$A$2661,0))</f>
        <v xml:space="preserve"> 080672 </v>
      </c>
      <c r="C135" s="35" t="str" cm="1">
        <f t="array" ref="C135">INDEX('III-PA'!$C$18:$C$2661,1+MATCH(_xlfn.CONCAT(" ",A135," "),'III-PA'!$A$18:$A$2661,0))</f>
        <v>AGETOP CIVIL</v>
      </c>
      <c r="D135" s="35" t="str" cm="1">
        <f t="array" ref="D135">INDEX('III-PA'!$A$18:$A$2661,1+MATCH(_xlfn.CONCAT(" ",A135," "),'III-PA'!$A$18:$A$2661,0))</f>
        <v>Composição</v>
      </c>
      <c r="E135" s="35" t="str" cm="1">
        <f t="array" ref="E135">INDEX('III-PA'!$D$18:$D$2661,1+MATCH(_xlfn.CONCAT(" ",A135," "),'III-PA'!$A$18:$A$2661,0))</f>
        <v>SIFAO PARA PIA 1.1/2"X2" PVC CROMADO</v>
      </c>
      <c r="F135" s="35" t="str" cm="1">
        <f t="array" ref="F135">INDEX('III-PA'!$G$18:$G$2661,1+MATCH(_xlfn.CONCAT(" ",A135," "),'III-PA'!$A$18:$A$2661,0))</f>
        <v>Un</v>
      </c>
      <c r="G135" s="50">
        <f>VLOOKUP(A135,'IV-MEMORIAL'!$A$17:$N$2203,14,0)</f>
        <v>2</v>
      </c>
      <c r="H135" s="51">
        <f t="shared" si="103"/>
        <v>0.252</v>
      </c>
      <c r="I135" s="36" cm="1">
        <f t="array" ref="I135">INDEX('III-PA'!$I$18:$I$2661,1+MATCH(_xlfn.CONCAT(" ",A135," "),'III-PA'!$A$18:$A$2661,0))</f>
        <v>53.32</v>
      </c>
      <c r="J135" s="36">
        <f t="shared" si="104"/>
        <v>66.75</v>
      </c>
      <c r="K135" s="36">
        <f t="shared" si="105"/>
        <v>106.64</v>
      </c>
      <c r="L135" s="36">
        <f t="shared" si="106"/>
        <v>26.86</v>
      </c>
      <c r="M135" s="97">
        <f t="shared" si="107"/>
        <v>133.5</v>
      </c>
    </row>
    <row r="136" spans="1:13" ht="30" x14ac:dyDescent="0.2">
      <c r="A136" s="96" t="s">
        <v>522</v>
      </c>
      <c r="B136" s="35" t="str" cm="1">
        <f t="array" ref="B136">INDEX('III-PA'!$B$18:$B$2661,1+MATCH(_xlfn.CONCAT(" ",'II-PO'!A136," "),'III-PA'!$A$18:$A$2661,0))</f>
        <v xml:space="preserve"> 080562 </v>
      </c>
      <c r="C136" s="35" t="str" cm="1">
        <f t="array" ref="C136">INDEX('III-PA'!$C$18:$C$2661,1+MATCH(_xlfn.CONCAT(" ",A136," "),'III-PA'!$A$18:$A$2661,0))</f>
        <v>AGETOP CIVIL</v>
      </c>
      <c r="D136" s="35" t="str" cm="1">
        <f t="array" ref="D136">INDEX('III-PA'!$A$18:$A$2661,1+MATCH(_xlfn.CONCAT(" ",A136," "),'III-PA'!$A$18:$A$2661,0))</f>
        <v>Composição</v>
      </c>
      <c r="E136" s="35" t="str" cm="1">
        <f t="array" ref="E136">INDEX('III-PA'!$D$18:$D$2661,1+MATCH(_xlfn.CONCAT(" ",A136," "),'III-PA'!$A$18:$A$2661,0))</f>
        <v>SIFAO FLEXIVEL UNIVERSAL (SANFONADO) EM PVC PARA LAVATORIO</v>
      </c>
      <c r="F136" s="35" t="str" cm="1">
        <f t="array" ref="F136">INDEX('III-PA'!$G$18:$G$2661,1+MATCH(_xlfn.CONCAT(" ",A136," "),'III-PA'!$A$18:$A$2661,0))</f>
        <v>Un</v>
      </c>
      <c r="G136" s="50">
        <f>VLOOKUP(A136,'IV-MEMORIAL'!$A$17:$N$2203,14,0)</f>
        <v>1</v>
      </c>
      <c r="H136" s="51">
        <f t="shared" si="103"/>
        <v>0.252</v>
      </c>
      <c r="I136" s="36" cm="1">
        <f t="array" ref="I136">INDEX('III-PA'!$I$18:$I$2661,1+MATCH(_xlfn.CONCAT(" ",A136," "),'III-PA'!$A$18:$A$2661,0))</f>
        <v>27.06</v>
      </c>
      <c r="J136" s="36">
        <f t="shared" si="104"/>
        <v>33.869999999999997</v>
      </c>
      <c r="K136" s="36">
        <f t="shared" si="105"/>
        <v>27.06</v>
      </c>
      <c r="L136" s="36">
        <f t="shared" si="106"/>
        <v>6.8099999999999987</v>
      </c>
      <c r="M136" s="97">
        <f t="shared" si="107"/>
        <v>33.869999999999997</v>
      </c>
    </row>
    <row r="137" spans="1:13" ht="60" x14ac:dyDescent="0.2">
      <c r="A137" s="96" t="s">
        <v>523</v>
      </c>
      <c r="B137" s="35" t="str" cm="1">
        <f t="array" ref="B137">INDEX('III-PA'!$B$18:$B$2661,1+MATCH(_xlfn.CONCAT(" ",'II-PO'!A137," "),'III-PA'!$A$18:$A$2661,0))</f>
        <v xml:space="preserve"> 86879 </v>
      </c>
      <c r="C137" s="35" t="str" cm="1">
        <f t="array" ref="C137">INDEX('III-PA'!$C$18:$C$2661,1+MATCH(_xlfn.CONCAT(" ",A137," "),'III-PA'!$A$18:$A$2661,0))</f>
        <v>SINAPI</v>
      </c>
      <c r="D137" s="35" t="str" cm="1">
        <f t="array" ref="D137">INDEX('III-PA'!$A$18:$A$2661,1+MATCH(_xlfn.CONCAT(" ",A137," "),'III-PA'!$A$18:$A$2661,0))</f>
        <v>Composição</v>
      </c>
      <c r="E137" s="35" t="str" cm="1">
        <f t="array" ref="E137">INDEX('III-PA'!$D$18:$D$2661,1+MATCH(_xlfn.CONCAT(" ",A137," "),'III-PA'!$A$18:$A$2661,0))</f>
        <v>VÁLVULA EM PLÁSTICO 1" PARA PIA, TANQUE OU LAVATÓRIO, COM OU SEM LADRÃO - FORNECIMENTO E INSTALAÇÃO. AF_01/2020</v>
      </c>
      <c r="F137" s="35" t="str" cm="1">
        <f t="array" ref="F137">INDEX('III-PA'!$G$18:$G$2661,1+MATCH(_xlfn.CONCAT(" ",A137," "),'III-PA'!$A$18:$A$2661,0))</f>
        <v>UN</v>
      </c>
      <c r="G137" s="50">
        <f>VLOOKUP(A137,'IV-MEMORIAL'!$A$17:$N$2203,14,0)</f>
        <v>5</v>
      </c>
      <c r="H137" s="51">
        <f t="shared" si="103"/>
        <v>0.252</v>
      </c>
      <c r="I137" s="36" cm="1">
        <f t="array" ref="I137">INDEX('III-PA'!$I$18:$I$2661,1+MATCH(_xlfn.CONCAT(" ",A137," "),'III-PA'!$A$18:$A$2661,0))</f>
        <v>9.5299999999999994</v>
      </c>
      <c r="J137" s="36">
        <f t="shared" si="104"/>
        <v>11.93</v>
      </c>
      <c r="K137" s="36">
        <f t="shared" si="105"/>
        <v>47.65</v>
      </c>
      <c r="L137" s="36">
        <f t="shared" si="106"/>
        <v>12</v>
      </c>
      <c r="M137" s="97">
        <f t="shared" si="107"/>
        <v>59.65</v>
      </c>
    </row>
    <row r="138" spans="1:13" ht="60" x14ac:dyDescent="0.2">
      <c r="A138" s="96" t="s">
        <v>524</v>
      </c>
      <c r="B138" s="35" t="str" cm="1">
        <f t="array" ref="B138">INDEX('III-PA'!$B$18:$B$2661,1+MATCH(_xlfn.CONCAT(" ",'II-PO'!A138," "),'III-PA'!$A$18:$A$2661,0))</f>
        <v xml:space="preserve"> 86877 </v>
      </c>
      <c r="C138" s="35" t="str" cm="1">
        <f t="array" ref="C138">INDEX('III-PA'!$C$18:$C$2661,1+MATCH(_xlfn.CONCAT(" ",A138," "),'III-PA'!$A$18:$A$2661,0))</f>
        <v>SINAPI</v>
      </c>
      <c r="D138" s="35" t="str" cm="1">
        <f t="array" ref="D138">INDEX('III-PA'!$A$18:$A$2661,1+MATCH(_xlfn.CONCAT(" ",A138," "),'III-PA'!$A$18:$A$2661,0))</f>
        <v>Composição</v>
      </c>
      <c r="E138" s="35" t="str" cm="1">
        <f t="array" ref="E138">INDEX('III-PA'!$D$18:$D$2661,1+MATCH(_xlfn.CONCAT(" ",A138," "),'III-PA'!$A$18:$A$2661,0))</f>
        <v>VÁLVULA EM METAL CROMADO 1.1/2" X 1.1/2" PARA TANQUE OU LAVATÓRIO, COM OU SEM LADRÃO - FORNECIMENTO E INSTALAÇÃO. AF_01/2020</v>
      </c>
      <c r="F138" s="35" t="str" cm="1">
        <f t="array" ref="F138">INDEX('III-PA'!$G$18:$G$2661,1+MATCH(_xlfn.CONCAT(" ",A138," "),'III-PA'!$A$18:$A$2661,0))</f>
        <v>UN</v>
      </c>
      <c r="G138" s="50">
        <f>VLOOKUP(A138,'IV-MEMORIAL'!$A$17:$N$2203,14,0)</f>
        <v>1</v>
      </c>
      <c r="H138" s="51">
        <f t="shared" si="103"/>
        <v>0.252</v>
      </c>
      <c r="I138" s="36" cm="1">
        <f t="array" ref="I138">INDEX('III-PA'!$I$18:$I$2661,1+MATCH(_xlfn.CONCAT(" ",A138," "),'III-PA'!$A$18:$A$2661,0))</f>
        <v>75.23</v>
      </c>
      <c r="J138" s="36">
        <f t="shared" si="104"/>
        <v>94.18</v>
      </c>
      <c r="K138" s="36">
        <f t="shared" si="105"/>
        <v>75.23</v>
      </c>
      <c r="L138" s="36">
        <f t="shared" si="106"/>
        <v>18.950000000000003</v>
      </c>
      <c r="M138" s="97">
        <f t="shared" si="107"/>
        <v>94.18</v>
      </c>
    </row>
    <row r="139" spans="1:13" ht="30" x14ac:dyDescent="0.2">
      <c r="A139" s="96" t="s">
        <v>525</v>
      </c>
      <c r="B139" s="35" t="str" cm="1">
        <f t="array" ref="B139">INDEX('III-PA'!$B$18:$B$2661,1+MATCH(_xlfn.CONCAT(" ",'II-PO'!A139," "),'III-PA'!$A$18:$A$2661,0))</f>
        <v xml:space="preserve"> 081730 </v>
      </c>
      <c r="C139" s="35" t="str" cm="1">
        <f t="array" ref="C139">INDEX('III-PA'!$C$18:$C$2661,1+MATCH(_xlfn.CONCAT(" ",A139," "),'III-PA'!$A$18:$A$2661,0))</f>
        <v>AGETOP CIVIL</v>
      </c>
      <c r="D139" s="35" t="str" cm="1">
        <f t="array" ref="D139">INDEX('III-PA'!$A$18:$A$2661,1+MATCH(_xlfn.CONCAT(" ",A139," "),'III-PA'!$A$18:$A$2661,0))</f>
        <v>Composição</v>
      </c>
      <c r="E139" s="35" t="str" cm="1">
        <f t="array" ref="E139">INDEX('III-PA'!$D$18:$D$2661,1+MATCH(_xlfn.CONCAT(" ",A139," "),'III-PA'!$A$18:$A$2661,0))</f>
        <v>CURVA 90 GRAUS CURTA DIAM. 40 MM (ESGOTO)</v>
      </c>
      <c r="F139" s="35" t="str" cm="1">
        <f t="array" ref="F139">INDEX('III-PA'!$G$18:$G$2661,1+MATCH(_xlfn.CONCAT(" ",A139," "),'III-PA'!$A$18:$A$2661,0))</f>
        <v>Un</v>
      </c>
      <c r="G139" s="50">
        <f>VLOOKUP(A139,'IV-MEMORIAL'!$A$17:$N$2203,14,0)</f>
        <v>4</v>
      </c>
      <c r="H139" s="51">
        <f t="shared" si="103"/>
        <v>0.252</v>
      </c>
      <c r="I139" s="36" cm="1">
        <f t="array" ref="I139">INDEX('III-PA'!$I$18:$I$2661,1+MATCH(_xlfn.CONCAT(" ",A139," "),'III-PA'!$A$18:$A$2661,0))</f>
        <v>19.8</v>
      </c>
      <c r="J139" s="36">
        <f t="shared" si="104"/>
        <v>24.78</v>
      </c>
      <c r="K139" s="36">
        <f t="shared" si="105"/>
        <v>79.2</v>
      </c>
      <c r="L139" s="36">
        <f t="shared" si="106"/>
        <v>19.920000000000002</v>
      </c>
      <c r="M139" s="97">
        <f t="shared" si="107"/>
        <v>99.12</v>
      </c>
    </row>
    <row r="140" spans="1:13" ht="30" x14ac:dyDescent="0.2">
      <c r="A140" s="96" t="s">
        <v>526</v>
      </c>
      <c r="B140" s="35" t="str" cm="1">
        <f t="array" ref="B140">INDEX('III-PA'!$B$18:$B$2661,1+MATCH(_xlfn.CONCAT(" ",'II-PO'!A140," "),'III-PA'!$A$18:$A$2661,0))</f>
        <v xml:space="preserve"> 081921 </v>
      </c>
      <c r="C140" s="35" t="str" cm="1">
        <f t="array" ref="C140">INDEX('III-PA'!$C$18:$C$2661,1+MATCH(_xlfn.CONCAT(" ",A140," "),'III-PA'!$A$18:$A$2661,0))</f>
        <v>AGETOP CIVIL</v>
      </c>
      <c r="D140" s="35" t="str" cm="1">
        <f t="array" ref="D140">INDEX('III-PA'!$A$18:$A$2661,1+MATCH(_xlfn.CONCAT(" ",A140," "),'III-PA'!$A$18:$A$2661,0))</f>
        <v>Composição</v>
      </c>
      <c r="E140" s="35" t="str" cm="1">
        <f t="array" ref="E140">INDEX('III-PA'!$D$18:$D$2661,1+MATCH(_xlfn.CONCAT(" ",A140," "),'III-PA'!$A$18:$A$2661,0))</f>
        <v>JOELHO 45 GRAUS DIAMETRO 40 MM (ESGOTO)</v>
      </c>
      <c r="F140" s="35" t="str" cm="1">
        <f t="array" ref="F140">INDEX('III-PA'!$G$18:$G$2661,1+MATCH(_xlfn.CONCAT(" ",A140," "),'III-PA'!$A$18:$A$2661,0))</f>
        <v>Un</v>
      </c>
      <c r="G140" s="50">
        <f>VLOOKUP(A140,'IV-MEMORIAL'!$A$17:$N$2203,14,0)</f>
        <v>5</v>
      </c>
      <c r="H140" s="51">
        <f t="shared" si="103"/>
        <v>0.252</v>
      </c>
      <c r="I140" s="36" cm="1">
        <f t="array" ref="I140">INDEX('III-PA'!$I$18:$I$2661,1+MATCH(_xlfn.CONCAT(" ",A140," "),'III-PA'!$A$18:$A$2661,0))</f>
        <v>16.559999999999999</v>
      </c>
      <c r="J140" s="36">
        <f t="shared" si="104"/>
        <v>20.73</v>
      </c>
      <c r="K140" s="36">
        <f t="shared" si="105"/>
        <v>82.8</v>
      </c>
      <c r="L140" s="36">
        <f t="shared" si="106"/>
        <v>20.850000000000009</v>
      </c>
      <c r="M140" s="97">
        <f t="shared" si="107"/>
        <v>103.65</v>
      </c>
    </row>
    <row r="141" spans="1:13" ht="30" x14ac:dyDescent="0.2">
      <c r="A141" s="96" t="s">
        <v>527</v>
      </c>
      <c r="B141" s="35" t="str" cm="1">
        <f t="array" ref="B141">INDEX('III-PA'!$B$18:$B$2661,1+MATCH(_xlfn.CONCAT(" ",'II-PO'!A141," "),'III-PA'!$A$18:$A$2661,0))</f>
        <v xml:space="preserve"> 081922 </v>
      </c>
      <c r="C141" s="35" t="str" cm="1">
        <f t="array" ref="C141">INDEX('III-PA'!$C$18:$C$2661,1+MATCH(_xlfn.CONCAT(" ",A141," "),'III-PA'!$A$18:$A$2661,0))</f>
        <v>AGETOP CIVIL</v>
      </c>
      <c r="D141" s="35" t="str" cm="1">
        <f t="array" ref="D141">INDEX('III-PA'!$A$18:$A$2661,1+MATCH(_xlfn.CONCAT(" ",A141," "),'III-PA'!$A$18:$A$2661,0))</f>
        <v>Composição</v>
      </c>
      <c r="E141" s="35" t="str" cm="1">
        <f t="array" ref="E141">INDEX('III-PA'!$D$18:$D$2661,1+MATCH(_xlfn.CONCAT(" ",A141," "),'III-PA'!$A$18:$A$2661,0))</f>
        <v>JOELHO 45 GRAUS DIAMETRO 50 MM (ESGOTO)</v>
      </c>
      <c r="F141" s="35" t="str" cm="1">
        <f t="array" ref="F141">INDEX('III-PA'!$G$18:$G$2661,1+MATCH(_xlfn.CONCAT(" ",A141," "),'III-PA'!$A$18:$A$2661,0))</f>
        <v>Un</v>
      </c>
      <c r="G141" s="50">
        <f>VLOOKUP(A141,'IV-MEMORIAL'!$A$17:$N$2203,14,0)</f>
        <v>1</v>
      </c>
      <c r="H141" s="51">
        <f t="shared" si="103"/>
        <v>0.252</v>
      </c>
      <c r="I141" s="36" cm="1">
        <f t="array" ref="I141">INDEX('III-PA'!$I$18:$I$2661,1+MATCH(_xlfn.CONCAT(" ",A141," "),'III-PA'!$A$18:$A$2661,0))</f>
        <v>17.59</v>
      </c>
      <c r="J141" s="36">
        <f t="shared" si="104"/>
        <v>22.02</v>
      </c>
      <c r="K141" s="36">
        <f t="shared" si="105"/>
        <v>17.59</v>
      </c>
      <c r="L141" s="36">
        <f t="shared" si="106"/>
        <v>4.43</v>
      </c>
      <c r="M141" s="97">
        <f t="shared" si="107"/>
        <v>22.02</v>
      </c>
    </row>
    <row r="142" spans="1:13" ht="30" x14ac:dyDescent="0.2">
      <c r="A142" s="96" t="s">
        <v>528</v>
      </c>
      <c r="B142" s="35" t="str" cm="1">
        <f t="array" ref="B142">INDEX('III-PA'!$B$18:$B$2661,1+MATCH(_xlfn.CONCAT(" ",'II-PO'!A142," "),'III-PA'!$A$18:$A$2661,0))</f>
        <v xml:space="preserve"> 081936 </v>
      </c>
      <c r="C142" s="35" t="str" cm="1">
        <f t="array" ref="C142">INDEX('III-PA'!$C$18:$C$2661,1+MATCH(_xlfn.CONCAT(" ",A142," "),'III-PA'!$A$18:$A$2661,0))</f>
        <v>AGETOP CIVIL</v>
      </c>
      <c r="D142" s="35" t="str" cm="1">
        <f t="array" ref="D142">INDEX('III-PA'!$A$18:$A$2661,1+MATCH(_xlfn.CONCAT(" ",A142," "),'III-PA'!$A$18:$A$2661,0))</f>
        <v>Composição</v>
      </c>
      <c r="E142" s="35" t="str" cm="1">
        <f t="array" ref="E142">INDEX('III-PA'!$D$18:$D$2661,1+MATCH(_xlfn.CONCAT(" ",A142," "),'III-PA'!$A$18:$A$2661,0))</f>
        <v>JOELHO 90 GRAUS DIAMETRO 50 MM (ESGOTO)</v>
      </c>
      <c r="F142" s="35" t="str" cm="1">
        <f t="array" ref="F142">INDEX('III-PA'!$G$18:$G$2661,1+MATCH(_xlfn.CONCAT(" ",A142," "),'III-PA'!$A$18:$A$2661,0))</f>
        <v>Un</v>
      </c>
      <c r="G142" s="50">
        <f>VLOOKUP(A142,'IV-MEMORIAL'!$A$17:$N$2203,14,0)</f>
        <v>4</v>
      </c>
      <c r="H142" s="51">
        <f t="shared" si="103"/>
        <v>0.252</v>
      </c>
      <c r="I142" s="36" cm="1">
        <f t="array" ref="I142">INDEX('III-PA'!$I$18:$I$2661,1+MATCH(_xlfn.CONCAT(" ",A142," "),'III-PA'!$A$18:$A$2661,0))</f>
        <v>17.239999999999998</v>
      </c>
      <c r="J142" s="36">
        <f t="shared" si="104"/>
        <v>21.58</v>
      </c>
      <c r="K142" s="36">
        <f t="shared" si="105"/>
        <v>68.959999999999994</v>
      </c>
      <c r="L142" s="36">
        <f t="shared" si="106"/>
        <v>17.36</v>
      </c>
      <c r="M142" s="97">
        <f t="shared" si="107"/>
        <v>86.32</v>
      </c>
    </row>
    <row r="143" spans="1:13" ht="30" x14ac:dyDescent="0.2">
      <c r="A143" s="96" t="s">
        <v>529</v>
      </c>
      <c r="B143" s="35" t="str" cm="1">
        <f t="array" ref="B143">INDEX('III-PA'!$B$18:$B$2661,1+MATCH(_xlfn.CONCAT(" ",'II-PO'!A143," "),'III-PA'!$A$18:$A$2661,0))</f>
        <v xml:space="preserve"> 081938 </v>
      </c>
      <c r="C143" s="35" t="str" cm="1">
        <f t="array" ref="C143">INDEX('III-PA'!$C$18:$C$2661,1+MATCH(_xlfn.CONCAT(" ",A143," "),'III-PA'!$A$18:$A$2661,0))</f>
        <v>AGETOP CIVIL</v>
      </c>
      <c r="D143" s="35" t="str" cm="1">
        <f t="array" ref="D143">INDEX('III-PA'!$A$18:$A$2661,1+MATCH(_xlfn.CONCAT(" ",A143," "),'III-PA'!$A$18:$A$2661,0))</f>
        <v>Composição</v>
      </c>
      <c r="E143" s="35" t="str" cm="1">
        <f t="array" ref="E143">INDEX('III-PA'!$D$18:$D$2661,1+MATCH(_xlfn.CONCAT(" ",A143," "),'III-PA'!$A$18:$A$2661,0))</f>
        <v>JOELHO 90 GRAUS DIAMETRO 100 MM (ESGOTO)</v>
      </c>
      <c r="F143" s="35" t="str" cm="1">
        <f t="array" ref="F143">INDEX('III-PA'!$G$18:$G$2661,1+MATCH(_xlfn.CONCAT(" ",A143," "),'III-PA'!$A$18:$A$2661,0))</f>
        <v>Un</v>
      </c>
      <c r="G143" s="50">
        <f>VLOOKUP(A143,'IV-MEMORIAL'!$A$17:$N$2203,14,0)</f>
        <v>3</v>
      </c>
      <c r="H143" s="51">
        <f t="shared" si="103"/>
        <v>0.252</v>
      </c>
      <c r="I143" s="36" cm="1">
        <f t="array" ref="I143">INDEX('III-PA'!$I$18:$I$2661,1+MATCH(_xlfn.CONCAT(" ",A143," "),'III-PA'!$A$18:$A$2661,0))</f>
        <v>30.91</v>
      </c>
      <c r="J143" s="36">
        <f t="shared" si="104"/>
        <v>38.69</v>
      </c>
      <c r="K143" s="36">
        <f t="shared" si="105"/>
        <v>92.73</v>
      </c>
      <c r="L143" s="36">
        <f t="shared" si="106"/>
        <v>23.339999999999989</v>
      </c>
      <c r="M143" s="97">
        <f t="shared" si="107"/>
        <v>116.07</v>
      </c>
    </row>
    <row r="144" spans="1:13" ht="30" x14ac:dyDescent="0.2">
      <c r="A144" s="96" t="s">
        <v>530</v>
      </c>
      <c r="B144" s="35" t="str" cm="1">
        <f t="array" ref="B144">INDEX('III-PA'!$B$18:$B$2661,1+MATCH(_xlfn.CONCAT(" ",'II-PO'!A144," "),'III-PA'!$A$18:$A$2661,0))</f>
        <v xml:space="preserve"> 081935 </v>
      </c>
      <c r="C144" s="35" t="str" cm="1">
        <f t="array" ref="C144">INDEX('III-PA'!$C$18:$C$2661,1+MATCH(_xlfn.CONCAT(" ",A144," "),'III-PA'!$A$18:$A$2661,0))</f>
        <v>AGETOP CIVIL</v>
      </c>
      <c r="D144" s="35" t="str" cm="1">
        <f t="array" ref="D144">INDEX('III-PA'!$A$18:$A$2661,1+MATCH(_xlfn.CONCAT(" ",A144," "),'III-PA'!$A$18:$A$2661,0))</f>
        <v>Composição</v>
      </c>
      <c r="E144" s="35" t="str" cm="1">
        <f t="array" ref="E144">INDEX('III-PA'!$D$18:$D$2661,1+MATCH(_xlfn.CONCAT(" ",A144," "),'III-PA'!$A$18:$A$2661,0))</f>
        <v>JOELHO 90 GRAUS DIAMETRO 40 MM (ESGOTO)</v>
      </c>
      <c r="F144" s="35" t="str" cm="1">
        <f t="array" ref="F144">INDEX('III-PA'!$G$18:$G$2661,1+MATCH(_xlfn.CONCAT(" ",A144," "),'III-PA'!$A$18:$A$2661,0))</f>
        <v>Un</v>
      </c>
      <c r="G144" s="50">
        <f>VLOOKUP(A144,'IV-MEMORIAL'!$A$17:$N$2203,14,0)</f>
        <v>4</v>
      </c>
      <c r="H144" s="51">
        <f t="shared" si="103"/>
        <v>0.252</v>
      </c>
      <c r="I144" s="36" cm="1">
        <f t="array" ref="I144">INDEX('III-PA'!$I$18:$I$2661,1+MATCH(_xlfn.CONCAT(" ",A144," "),'III-PA'!$A$18:$A$2661,0))</f>
        <v>16.64</v>
      </c>
      <c r="J144" s="36">
        <f t="shared" si="104"/>
        <v>20.83</v>
      </c>
      <c r="K144" s="36">
        <f t="shared" si="105"/>
        <v>66.56</v>
      </c>
      <c r="L144" s="36">
        <f t="shared" si="106"/>
        <v>16.759999999999991</v>
      </c>
      <c r="M144" s="97">
        <f t="shared" si="107"/>
        <v>83.32</v>
      </c>
    </row>
    <row r="145" spans="1:13" ht="30" x14ac:dyDescent="0.2">
      <c r="A145" s="96" t="s">
        <v>531</v>
      </c>
      <c r="B145" s="35" t="str" cm="1">
        <f t="array" ref="B145">INDEX('III-PA'!$B$18:$B$2661,1+MATCH(_xlfn.CONCAT(" ",'II-PO'!A145," "),'III-PA'!$A$18:$A$2661,0))</f>
        <v xml:space="preserve"> 081973 </v>
      </c>
      <c r="C145" s="35" t="str" cm="1">
        <f t="array" ref="C145">INDEX('III-PA'!$C$18:$C$2661,1+MATCH(_xlfn.CONCAT(" ",A145," "),'III-PA'!$A$18:$A$2661,0))</f>
        <v>AGETOP CIVIL</v>
      </c>
      <c r="D145" s="35" t="str" cm="1">
        <f t="array" ref="D145">INDEX('III-PA'!$A$18:$A$2661,1+MATCH(_xlfn.CONCAT(" ",A145," "),'III-PA'!$A$18:$A$2661,0))</f>
        <v>Composição</v>
      </c>
      <c r="E145" s="35" t="str" cm="1">
        <f t="array" ref="E145">INDEX('III-PA'!$D$18:$D$2661,1+MATCH(_xlfn.CONCAT(" ",A145," "),'III-PA'!$A$18:$A$2661,0))</f>
        <v>JUNCAO SIMPLES DIAM. 100 X 50 MM (ESGOTO)</v>
      </c>
      <c r="F145" s="35" t="str" cm="1">
        <f t="array" ref="F145">INDEX('III-PA'!$G$18:$G$2661,1+MATCH(_xlfn.CONCAT(" ",A145," "),'III-PA'!$A$18:$A$2661,0))</f>
        <v>Un</v>
      </c>
      <c r="G145" s="50">
        <f>VLOOKUP(A145,'IV-MEMORIAL'!$A$17:$N$2203,14,0)</f>
        <v>1</v>
      </c>
      <c r="H145" s="51">
        <f t="shared" si="103"/>
        <v>0.252</v>
      </c>
      <c r="I145" s="36" cm="1">
        <f t="array" ref="I145">INDEX('III-PA'!$I$18:$I$2661,1+MATCH(_xlfn.CONCAT(" ",A145," "),'III-PA'!$A$18:$A$2661,0))</f>
        <v>38.39</v>
      </c>
      <c r="J145" s="36">
        <f t="shared" si="104"/>
        <v>48.06</v>
      </c>
      <c r="K145" s="36">
        <f t="shared" si="105"/>
        <v>38.39</v>
      </c>
      <c r="L145" s="36">
        <f t="shared" si="106"/>
        <v>9.6700000000000017</v>
      </c>
      <c r="M145" s="97">
        <f t="shared" si="107"/>
        <v>48.06</v>
      </c>
    </row>
    <row r="146" spans="1:13" ht="30" x14ac:dyDescent="0.2">
      <c r="A146" s="96" t="s">
        <v>532</v>
      </c>
      <c r="B146" s="35" t="str" cm="1">
        <f t="array" ref="B146">INDEX('III-PA'!$B$18:$B$2661,1+MATCH(_xlfn.CONCAT(" ",'II-PO'!A146," "),'III-PA'!$A$18:$A$2661,0))</f>
        <v xml:space="preserve"> 082001 </v>
      </c>
      <c r="C146" s="35" t="str" cm="1">
        <f t="array" ref="C146">INDEX('III-PA'!$C$18:$C$2661,1+MATCH(_xlfn.CONCAT(" ",A146," "),'III-PA'!$A$18:$A$2661,0))</f>
        <v>AGETOP CIVIL</v>
      </c>
      <c r="D146" s="35" t="str" cm="1">
        <f t="array" ref="D146">INDEX('III-PA'!$A$18:$A$2661,1+MATCH(_xlfn.CONCAT(" ",A146," "),'III-PA'!$A$18:$A$2661,0))</f>
        <v>Composição</v>
      </c>
      <c r="E146" s="35" t="str" cm="1">
        <f t="array" ref="E146">INDEX('III-PA'!$D$18:$D$2661,1+MATCH(_xlfn.CONCAT(" ",A146," "),'III-PA'!$A$18:$A$2661,0))</f>
        <v>LUVA SIMPLES DIAMETRO 40 MM - (ESGOTO)</v>
      </c>
      <c r="F146" s="35" t="str" cm="1">
        <f t="array" ref="F146">INDEX('III-PA'!$G$18:$G$2661,1+MATCH(_xlfn.CONCAT(" ",A146," "),'III-PA'!$A$18:$A$2661,0))</f>
        <v>Un</v>
      </c>
      <c r="G146" s="50">
        <f>VLOOKUP(A146,'IV-MEMORIAL'!$A$17:$N$2203,14,0)</f>
        <v>4</v>
      </c>
      <c r="H146" s="51">
        <f t="shared" si="103"/>
        <v>0.252</v>
      </c>
      <c r="I146" s="36" cm="1">
        <f t="array" ref="I146">INDEX('III-PA'!$I$18:$I$2661,1+MATCH(_xlfn.CONCAT(" ",A146," "),'III-PA'!$A$18:$A$2661,0))</f>
        <v>8.84</v>
      </c>
      <c r="J146" s="36">
        <f t="shared" si="104"/>
        <v>11.06</v>
      </c>
      <c r="K146" s="36">
        <f t="shared" si="105"/>
        <v>35.36</v>
      </c>
      <c r="L146" s="36">
        <f t="shared" si="106"/>
        <v>8.8800000000000026</v>
      </c>
      <c r="M146" s="97">
        <f t="shared" si="107"/>
        <v>44.24</v>
      </c>
    </row>
    <row r="147" spans="1:13" ht="30" x14ac:dyDescent="0.2">
      <c r="A147" s="96" t="s">
        <v>533</v>
      </c>
      <c r="B147" s="35" t="str" cm="1">
        <f t="array" ref="B147">INDEX('III-PA'!$B$18:$B$2661,1+MATCH(_xlfn.CONCAT(" ",'II-PO'!A147," "),'III-PA'!$A$18:$A$2661,0))</f>
        <v xml:space="preserve"> 082004 </v>
      </c>
      <c r="C147" s="35" t="str" cm="1">
        <f t="array" ref="C147">INDEX('III-PA'!$C$18:$C$2661,1+MATCH(_xlfn.CONCAT(" ",A147," "),'III-PA'!$A$18:$A$2661,0))</f>
        <v>AGETOP CIVIL</v>
      </c>
      <c r="D147" s="35" t="str" cm="1">
        <f t="array" ref="D147">INDEX('III-PA'!$A$18:$A$2661,1+MATCH(_xlfn.CONCAT(" ",A147," "),'III-PA'!$A$18:$A$2661,0))</f>
        <v>Composição</v>
      </c>
      <c r="E147" s="35" t="str" cm="1">
        <f t="array" ref="E147">INDEX('III-PA'!$D$18:$D$2661,1+MATCH(_xlfn.CONCAT(" ",A147," "),'III-PA'!$A$18:$A$2661,0))</f>
        <v>LUVA SIMPLES DIAMETRO 100 mm - (ESGOTO)</v>
      </c>
      <c r="F147" s="35" t="str" cm="1">
        <f t="array" ref="F147">INDEX('III-PA'!$G$18:$G$2661,1+MATCH(_xlfn.CONCAT(" ",A147," "),'III-PA'!$A$18:$A$2661,0))</f>
        <v>Un</v>
      </c>
      <c r="G147" s="50">
        <f>VLOOKUP(A147,'IV-MEMORIAL'!$A$17:$N$2203,14,0)</f>
        <v>5</v>
      </c>
      <c r="H147" s="51">
        <f t="shared" si="103"/>
        <v>0.252</v>
      </c>
      <c r="I147" s="36" cm="1">
        <f t="array" ref="I147">INDEX('III-PA'!$I$18:$I$2661,1+MATCH(_xlfn.CONCAT(" ",A147," "),'III-PA'!$A$18:$A$2661,0))</f>
        <v>16.43</v>
      </c>
      <c r="J147" s="36">
        <f t="shared" si="104"/>
        <v>20.57</v>
      </c>
      <c r="K147" s="36">
        <f t="shared" si="105"/>
        <v>82.15</v>
      </c>
      <c r="L147" s="36">
        <f t="shared" si="106"/>
        <v>20.699999999999989</v>
      </c>
      <c r="M147" s="97">
        <f t="shared" si="107"/>
        <v>102.85</v>
      </c>
    </row>
    <row r="148" spans="1:13" ht="30" x14ac:dyDescent="0.2">
      <c r="A148" s="96" t="s">
        <v>534</v>
      </c>
      <c r="B148" s="35" t="str" cm="1">
        <f t="array" ref="B148">INDEX('III-PA'!$B$18:$B$2661,1+MATCH(_xlfn.CONCAT(" ",'II-PO'!A148," "),'III-PA'!$A$18:$A$2661,0))</f>
        <v xml:space="preserve"> 082002 </v>
      </c>
      <c r="C148" s="35" t="str" cm="1">
        <f t="array" ref="C148">INDEX('III-PA'!$C$18:$C$2661,1+MATCH(_xlfn.CONCAT(" ",A148," "),'III-PA'!$A$18:$A$2661,0))</f>
        <v>AGETOP CIVIL</v>
      </c>
      <c r="D148" s="35" t="str" cm="1">
        <f t="array" ref="D148">INDEX('III-PA'!$A$18:$A$2661,1+MATCH(_xlfn.CONCAT(" ",A148," "),'III-PA'!$A$18:$A$2661,0))</f>
        <v>Composição</v>
      </c>
      <c r="E148" s="35" t="str" cm="1">
        <f t="array" ref="E148">INDEX('III-PA'!$D$18:$D$2661,1+MATCH(_xlfn.CONCAT(" ",A148," "),'III-PA'!$A$18:$A$2661,0))</f>
        <v>LUVA SIMPLES DIAMETRO 50 MM - (ESGOTO)</v>
      </c>
      <c r="F148" s="35" t="str" cm="1">
        <f t="array" ref="F148">INDEX('III-PA'!$G$18:$G$2661,1+MATCH(_xlfn.CONCAT(" ",A148," "),'III-PA'!$A$18:$A$2661,0))</f>
        <v>Un</v>
      </c>
      <c r="G148" s="50">
        <f>VLOOKUP(A148,'IV-MEMORIAL'!$A$17:$N$2203,14,0)</f>
        <v>10</v>
      </c>
      <c r="H148" s="51">
        <f t="shared" si="103"/>
        <v>0.252</v>
      </c>
      <c r="I148" s="36" cm="1">
        <f t="array" ref="I148">INDEX('III-PA'!$I$18:$I$2661,1+MATCH(_xlfn.CONCAT(" ",A148," "),'III-PA'!$A$18:$A$2661,0))</f>
        <v>9.52</v>
      </c>
      <c r="J148" s="36">
        <f t="shared" si="104"/>
        <v>11.91</v>
      </c>
      <c r="K148" s="36">
        <f t="shared" si="105"/>
        <v>95.2</v>
      </c>
      <c r="L148" s="36">
        <f t="shared" si="106"/>
        <v>23.899999999999991</v>
      </c>
      <c r="M148" s="97">
        <f t="shared" si="107"/>
        <v>119.1</v>
      </c>
    </row>
    <row r="149" spans="1:13" ht="30" x14ac:dyDescent="0.2">
      <c r="A149" s="96" t="s">
        <v>535</v>
      </c>
      <c r="B149" s="35" t="str" cm="1">
        <f t="array" ref="B149">INDEX('III-PA'!$B$18:$B$2661,1+MATCH(_xlfn.CONCAT(" ",'II-PO'!A149," "),'III-PA'!$A$18:$A$2661,0))</f>
        <v xml:space="preserve"> 082304 </v>
      </c>
      <c r="C149" s="35" t="str" cm="1">
        <f t="array" ref="C149">INDEX('III-PA'!$C$18:$C$2661,1+MATCH(_xlfn.CONCAT(" ",A149," "),'III-PA'!$A$18:$A$2661,0))</f>
        <v>AGETOP CIVIL</v>
      </c>
      <c r="D149" s="35" t="str" cm="1">
        <f t="array" ref="D149">INDEX('III-PA'!$A$18:$A$2661,1+MATCH(_xlfn.CONCAT(" ",A149," "),'III-PA'!$A$18:$A$2661,0))</f>
        <v>Composição</v>
      </c>
      <c r="E149" s="35" t="str" cm="1">
        <f t="array" ref="E149">INDEX('III-PA'!$D$18:$D$2661,1+MATCH(_xlfn.CONCAT(" ",A149," "),'III-PA'!$A$18:$A$2661,0))</f>
        <v>TUBO SOLDAVEL PARA ESGOTO DIAMETRO 100 MM</v>
      </c>
      <c r="F149" s="35" t="str" cm="1">
        <f t="array" ref="F149">INDEX('III-PA'!$G$18:$G$2661,1+MATCH(_xlfn.CONCAT(" ",A149," "),'III-PA'!$A$18:$A$2661,0))</f>
        <v>m</v>
      </c>
      <c r="G149" s="50">
        <f>VLOOKUP(A149,'IV-MEMORIAL'!$A$17:$N$2203,14,0)</f>
        <v>3.04</v>
      </c>
      <c r="H149" s="51">
        <f t="shared" si="103"/>
        <v>0.252</v>
      </c>
      <c r="I149" s="36" cm="1">
        <f t="array" ref="I149">INDEX('III-PA'!$I$18:$I$2661,1+MATCH(_xlfn.CONCAT(" ",A149," "),'III-PA'!$A$18:$A$2661,0))</f>
        <v>42.21</v>
      </c>
      <c r="J149" s="36">
        <f t="shared" si="104"/>
        <v>52.84</v>
      </c>
      <c r="K149" s="36">
        <f t="shared" si="105"/>
        <v>128.31</v>
      </c>
      <c r="L149" s="36">
        <f t="shared" si="106"/>
        <v>32.319999999999993</v>
      </c>
      <c r="M149" s="97">
        <f t="shared" si="107"/>
        <v>160.63</v>
      </c>
    </row>
    <row r="150" spans="1:13" ht="30" x14ac:dyDescent="0.2">
      <c r="A150" s="96" t="s">
        <v>536</v>
      </c>
      <c r="B150" s="35" t="str" cm="1">
        <f t="array" ref="B150">INDEX('III-PA'!$B$18:$B$2661,1+MATCH(_xlfn.CONCAT(" ",'II-PO'!A150," "),'III-PA'!$A$18:$A$2661,0))</f>
        <v xml:space="preserve"> 082301 </v>
      </c>
      <c r="C150" s="35" t="str" cm="1">
        <f t="array" ref="C150">INDEX('III-PA'!$C$18:$C$2661,1+MATCH(_xlfn.CONCAT(" ",A150," "),'III-PA'!$A$18:$A$2661,0))</f>
        <v>AGETOP CIVIL</v>
      </c>
      <c r="D150" s="35" t="str" cm="1">
        <f t="array" ref="D150">INDEX('III-PA'!$A$18:$A$2661,1+MATCH(_xlfn.CONCAT(" ",A150," "),'III-PA'!$A$18:$A$2661,0))</f>
        <v>Composição</v>
      </c>
      <c r="E150" s="35" t="str" cm="1">
        <f t="array" ref="E150">INDEX('III-PA'!$D$18:$D$2661,1+MATCH(_xlfn.CONCAT(" ",A150," "),'III-PA'!$A$18:$A$2661,0))</f>
        <v>TUBO SOLDAVEL PARA ESGOTO DIAMETRO 40 MM</v>
      </c>
      <c r="F150" s="35" t="str" cm="1">
        <f t="array" ref="F150">INDEX('III-PA'!$G$18:$G$2661,1+MATCH(_xlfn.CONCAT(" ",A150," "),'III-PA'!$A$18:$A$2661,0))</f>
        <v>m</v>
      </c>
      <c r="G150" s="50">
        <f>VLOOKUP(A150,'IV-MEMORIAL'!$A$17:$N$2203,14,0)</f>
        <v>9.5500000000000007</v>
      </c>
      <c r="H150" s="51">
        <f t="shared" si="103"/>
        <v>0.252</v>
      </c>
      <c r="I150" s="36" cm="1">
        <f t="array" ref="I150">INDEX('III-PA'!$I$18:$I$2661,1+MATCH(_xlfn.CONCAT(" ",A150," "),'III-PA'!$A$18:$A$2661,0))</f>
        <v>19.239999999999998</v>
      </c>
      <c r="J150" s="36">
        <f t="shared" si="104"/>
        <v>24.08</v>
      </c>
      <c r="K150" s="36">
        <f t="shared" si="105"/>
        <v>183.74</v>
      </c>
      <c r="L150" s="36">
        <f t="shared" si="106"/>
        <v>46.22</v>
      </c>
      <c r="M150" s="97">
        <f t="shared" si="107"/>
        <v>229.96</v>
      </c>
    </row>
    <row r="151" spans="1:13" ht="30" x14ac:dyDescent="0.2">
      <c r="A151" s="96" t="s">
        <v>537</v>
      </c>
      <c r="B151" s="35" t="str" cm="1">
        <f t="array" ref="B151">INDEX('III-PA'!$B$18:$B$2661,1+MATCH(_xlfn.CONCAT(" ",'II-PO'!A151," "),'III-PA'!$A$18:$A$2661,0))</f>
        <v xml:space="preserve"> 082302 </v>
      </c>
      <c r="C151" s="35" t="str" cm="1">
        <f t="array" ref="C151">INDEX('III-PA'!$C$18:$C$2661,1+MATCH(_xlfn.CONCAT(" ",A151," "),'III-PA'!$A$18:$A$2661,0))</f>
        <v>AGETOP CIVIL</v>
      </c>
      <c r="D151" s="35" t="str" cm="1">
        <f t="array" ref="D151">INDEX('III-PA'!$A$18:$A$2661,1+MATCH(_xlfn.CONCAT(" ",A151," "),'III-PA'!$A$18:$A$2661,0))</f>
        <v>Composição</v>
      </c>
      <c r="E151" s="35" t="str" cm="1">
        <f t="array" ref="E151">INDEX('III-PA'!$D$18:$D$2661,1+MATCH(_xlfn.CONCAT(" ",A151," "),'III-PA'!$A$18:$A$2661,0))</f>
        <v>TUBO SOLDAVEL PARA ESGOTO DIAMETRO 50 MM</v>
      </c>
      <c r="F151" s="35" t="str" cm="1">
        <f t="array" ref="F151">INDEX('III-PA'!$G$18:$G$2661,1+MATCH(_xlfn.CONCAT(" ",A151," "),'III-PA'!$A$18:$A$2661,0))</f>
        <v>m</v>
      </c>
      <c r="G151" s="50">
        <f>VLOOKUP(A151,'IV-MEMORIAL'!$A$17:$N$2203,14,0)</f>
        <v>28.65</v>
      </c>
      <c r="H151" s="51">
        <f t="shared" si="103"/>
        <v>0.252</v>
      </c>
      <c r="I151" s="36" cm="1">
        <f t="array" ref="I151">INDEX('III-PA'!$I$18:$I$2661,1+MATCH(_xlfn.CONCAT(" ",A151," "),'III-PA'!$A$18:$A$2661,0))</f>
        <v>25.23</v>
      </c>
      <c r="J151" s="36">
        <f t="shared" si="104"/>
        <v>31.58</v>
      </c>
      <c r="K151" s="36">
        <f t="shared" si="105"/>
        <v>722.83</v>
      </c>
      <c r="L151" s="36">
        <f t="shared" si="106"/>
        <v>181.92999999999995</v>
      </c>
      <c r="M151" s="97">
        <f t="shared" si="107"/>
        <v>904.76</v>
      </c>
    </row>
    <row r="152" spans="1:13" ht="30" x14ac:dyDescent="0.2">
      <c r="A152" s="96" t="s">
        <v>538</v>
      </c>
      <c r="B152" s="35" t="str" cm="1">
        <f t="array" ref="B152">INDEX('III-PA'!$B$18:$B$2661,1+MATCH(_xlfn.CONCAT(" ",'II-PO'!A152," "),'III-PA'!$A$18:$A$2661,0))</f>
        <v xml:space="preserve"> 082233 </v>
      </c>
      <c r="C152" s="35" t="str" cm="1">
        <f t="array" ref="C152">INDEX('III-PA'!$C$18:$C$2661,1+MATCH(_xlfn.CONCAT(" ",A152," "),'III-PA'!$A$18:$A$2661,0))</f>
        <v>AGETOP CIVIL</v>
      </c>
      <c r="D152" s="35" t="str" cm="1">
        <f t="array" ref="D152">INDEX('III-PA'!$A$18:$A$2661,1+MATCH(_xlfn.CONCAT(" ",A152," "),'III-PA'!$A$18:$A$2661,0))</f>
        <v>Composição</v>
      </c>
      <c r="E152" s="35" t="str" cm="1">
        <f t="array" ref="E152">INDEX('III-PA'!$D$18:$D$2661,1+MATCH(_xlfn.CONCAT(" ",A152," "),'III-PA'!$A$18:$A$2661,0))</f>
        <v>TE SANITARIO DIAMETRO 100 X 50 MM (ESGOTO)</v>
      </c>
      <c r="F152" s="35" t="str" cm="1">
        <f t="array" ref="F152">INDEX('III-PA'!$G$18:$G$2661,1+MATCH(_xlfn.CONCAT(" ",A152," "),'III-PA'!$A$18:$A$2661,0))</f>
        <v>Un</v>
      </c>
      <c r="G152" s="50">
        <f>VLOOKUP(A152,'IV-MEMORIAL'!$A$17:$N$2203,14,0)</f>
        <v>1</v>
      </c>
      <c r="H152" s="51">
        <f t="shared" si="103"/>
        <v>0.252</v>
      </c>
      <c r="I152" s="36" cm="1">
        <f t="array" ref="I152">INDEX('III-PA'!$I$18:$I$2661,1+MATCH(_xlfn.CONCAT(" ",A152," "),'III-PA'!$A$18:$A$2661,0))</f>
        <v>34.18</v>
      </c>
      <c r="J152" s="36">
        <f t="shared" si="104"/>
        <v>42.79</v>
      </c>
      <c r="K152" s="36">
        <f t="shared" si="105"/>
        <v>34.18</v>
      </c>
      <c r="L152" s="36">
        <f t="shared" si="106"/>
        <v>8.61</v>
      </c>
      <c r="M152" s="97">
        <f t="shared" si="107"/>
        <v>42.79</v>
      </c>
    </row>
    <row r="153" spans="1:13" ht="15.75" x14ac:dyDescent="0.2">
      <c r="A153" s="163" t="s">
        <v>462</v>
      </c>
      <c r="B153" s="164"/>
      <c r="C153" s="164"/>
      <c r="D153" s="164"/>
      <c r="E153" s="164" t="s">
        <v>503</v>
      </c>
      <c r="F153" s="164"/>
      <c r="G153" s="164"/>
      <c r="H153" s="165"/>
      <c r="I153" s="166"/>
      <c r="J153" s="166"/>
      <c r="K153" s="166">
        <f>SUM(K154:K156)</f>
        <v>131.32999999999998</v>
      </c>
      <c r="L153" s="166">
        <f t="shared" ref="L153:M153" si="108">SUM(L154:L156)</f>
        <v>33.07</v>
      </c>
      <c r="M153" s="166">
        <f t="shared" si="108"/>
        <v>164.39999999999998</v>
      </c>
    </row>
    <row r="154" spans="1:13" ht="75" x14ac:dyDescent="0.2">
      <c r="A154" s="96" t="s">
        <v>539</v>
      </c>
      <c r="B154" s="35" t="str" cm="1">
        <f t="array" ref="B154">INDEX('III-PA'!$B$18:$B$2661,1+MATCH(_xlfn.CONCAT(" ",'II-PO'!A154," "),'III-PA'!$A$18:$A$2661,0))</f>
        <v xml:space="preserve"> 89801 </v>
      </c>
      <c r="C154" s="35" t="str" cm="1">
        <f t="array" ref="C154">INDEX('III-PA'!$C$18:$C$2661,1+MATCH(_xlfn.CONCAT(" ",A154," "),'III-PA'!$A$18:$A$2661,0))</f>
        <v>SINAPI</v>
      </c>
      <c r="D154" s="35" t="str" cm="1">
        <f t="array" ref="D154">INDEX('III-PA'!$A$18:$A$2661,1+MATCH(_xlfn.CONCAT(" ",A154," "),'III-PA'!$A$18:$A$2661,0))</f>
        <v>Composição</v>
      </c>
      <c r="E154" s="35" t="str" cm="1">
        <f t="array" ref="E154">INDEX('III-PA'!$D$18:$D$2661,1+MATCH(_xlfn.CONCAT(" ",A154," "),'III-PA'!$A$18:$A$2661,0))</f>
        <v>JOELHO 90 GRAUS, PVC, SERIE NORMAL, ESGOTO PREDIAL, DN 50 MM, JUNTA ELÁSTICA, FORNECIDO E INSTALADO EM PRUMADA DE ESGOTO SANITÁRIO OU VENTILAÇÃO. AF_08/2022</v>
      </c>
      <c r="F154" s="35" t="str" cm="1">
        <f t="array" ref="F154">INDEX('III-PA'!$G$18:$G$2661,1+MATCH(_xlfn.CONCAT(" ",A154," "),'III-PA'!$A$18:$A$2661,0))</f>
        <v>UN</v>
      </c>
      <c r="G154" s="50">
        <f>VLOOKUP(A154,'IV-MEMORIAL'!$A$17:$N$2203,14,0)</f>
        <v>6</v>
      </c>
      <c r="H154" s="51">
        <f t="shared" ref="H154:H156" si="109">$L$14</f>
        <v>0.252</v>
      </c>
      <c r="I154" s="36" cm="1">
        <f t="array" ref="I154">INDEX('III-PA'!$I$18:$I$2661,1+MATCH(_xlfn.CONCAT(" ",A154," "),'III-PA'!$A$18:$A$2661,0))</f>
        <v>10.36</v>
      </c>
      <c r="J154" s="36">
        <f t="shared" ref="J154:J156" si="110">TRUNC(I154*(1+H154),2)</f>
        <v>12.97</v>
      </c>
      <c r="K154" s="36">
        <f t="shared" ref="K154:K156" si="111">TRUNC(I154*G154,2)</f>
        <v>62.16</v>
      </c>
      <c r="L154" s="36">
        <f t="shared" ref="L154:L156" si="112">M154-K154</f>
        <v>15.659999999999997</v>
      </c>
      <c r="M154" s="97">
        <f t="shared" ref="M154:M156" si="113">TRUNC(G154*J154,2)</f>
        <v>77.819999999999993</v>
      </c>
    </row>
    <row r="155" spans="1:13" ht="60" x14ac:dyDescent="0.2">
      <c r="A155" s="96" t="s">
        <v>540</v>
      </c>
      <c r="B155" s="35" t="str" cm="1">
        <f t="array" ref="B155">INDEX('III-PA'!$B$18:$B$2661,1+MATCH(_xlfn.CONCAT(" ",'II-PO'!A155," "),'III-PA'!$A$18:$A$2661,0))</f>
        <v xml:space="preserve"> 89798 </v>
      </c>
      <c r="C155" s="35" t="str" cm="1">
        <f t="array" ref="C155">INDEX('III-PA'!$C$18:$C$2661,1+MATCH(_xlfn.CONCAT(" ",A155," "),'III-PA'!$A$18:$A$2661,0))</f>
        <v>SINAPI</v>
      </c>
      <c r="D155" s="35" t="str" cm="1">
        <f t="array" ref="D155">INDEX('III-PA'!$A$18:$A$2661,1+MATCH(_xlfn.CONCAT(" ",A155," "),'III-PA'!$A$18:$A$2661,0))</f>
        <v>Composição</v>
      </c>
      <c r="E155" s="35" t="str" cm="1">
        <f t="array" ref="E155">INDEX('III-PA'!$D$18:$D$2661,1+MATCH(_xlfn.CONCAT(" ",A155," "),'III-PA'!$A$18:$A$2661,0))</f>
        <v>TUBO PVC, SERIE NORMAL, ESGOTO PREDIAL, DN 50 MM, FORNECIDO E INSTALADO EM PRUMADA DE ESGOTO SANITÁRIO OU VENTILAÇÃO. AF_08/2022</v>
      </c>
      <c r="F155" s="35" t="str" cm="1">
        <f t="array" ref="F155">INDEX('III-PA'!$G$18:$G$2661,1+MATCH(_xlfn.CONCAT(" ",A155," "),'III-PA'!$A$18:$A$2661,0))</f>
        <v>M</v>
      </c>
      <c r="G155" s="50">
        <f>VLOOKUP(A155,'IV-MEMORIAL'!$A$17:$N$2203,14,0)</f>
        <v>0.93</v>
      </c>
      <c r="H155" s="51">
        <f t="shared" si="109"/>
        <v>0.252</v>
      </c>
      <c r="I155" s="36" cm="1">
        <f t="array" ref="I155">INDEX('III-PA'!$I$18:$I$2661,1+MATCH(_xlfn.CONCAT(" ",A155," "),'III-PA'!$A$18:$A$2661,0))</f>
        <v>14.8</v>
      </c>
      <c r="J155" s="36">
        <f t="shared" si="110"/>
        <v>18.52</v>
      </c>
      <c r="K155" s="36">
        <f t="shared" si="111"/>
        <v>13.76</v>
      </c>
      <c r="L155" s="36">
        <f t="shared" si="112"/>
        <v>3.4599999999999991</v>
      </c>
      <c r="M155" s="97">
        <f t="shared" si="113"/>
        <v>17.22</v>
      </c>
    </row>
    <row r="156" spans="1:13" ht="75" x14ac:dyDescent="0.2">
      <c r="A156" s="96" t="s">
        <v>541</v>
      </c>
      <c r="B156" s="35" t="str" cm="1">
        <f t="array" ref="B156">INDEX('III-PA'!$B$18:$B$2661,1+MATCH(_xlfn.CONCAT(" ",'II-PO'!A156," "),'III-PA'!$A$18:$A$2661,0))</f>
        <v xml:space="preserve"> 89825 </v>
      </c>
      <c r="C156" s="35" t="str" cm="1">
        <f t="array" ref="C156">INDEX('III-PA'!$C$18:$C$2661,1+MATCH(_xlfn.CONCAT(" ",A156," "),'III-PA'!$A$18:$A$2661,0))</f>
        <v>SINAPI</v>
      </c>
      <c r="D156" s="35" t="str" cm="1">
        <f t="array" ref="D156">INDEX('III-PA'!$A$18:$A$2661,1+MATCH(_xlfn.CONCAT(" ",A156," "),'III-PA'!$A$18:$A$2661,0))</f>
        <v>Composição</v>
      </c>
      <c r="E156" s="35" t="str" cm="1">
        <f t="array" ref="E156">INDEX('III-PA'!$D$18:$D$2661,1+MATCH(_xlfn.CONCAT(" ",A156," "),'III-PA'!$A$18:$A$2661,0))</f>
        <v>TE, PVC, SERIE NORMAL, ESGOTO PREDIAL, DN 50 X 50 MM, JUNTA ELÁSTICA, FORNECIDO E INSTALADO EM PRUMADA DE ESGOTO SANITÁRIO OU VENTILAÇÃO. AF_08/2022</v>
      </c>
      <c r="F156" s="35" t="str" cm="1">
        <f t="array" ref="F156">INDEX('III-PA'!$G$18:$G$2661,1+MATCH(_xlfn.CONCAT(" ",A156," "),'III-PA'!$A$18:$A$2661,0))</f>
        <v>UN</v>
      </c>
      <c r="G156" s="50">
        <f>VLOOKUP(A156,'IV-MEMORIAL'!$A$17:$N$2203,14,0)</f>
        <v>3</v>
      </c>
      <c r="H156" s="51">
        <f t="shared" si="109"/>
        <v>0.252</v>
      </c>
      <c r="I156" s="36" cm="1">
        <f t="array" ref="I156">INDEX('III-PA'!$I$18:$I$2661,1+MATCH(_xlfn.CONCAT(" ",A156," "),'III-PA'!$A$18:$A$2661,0))</f>
        <v>18.47</v>
      </c>
      <c r="J156" s="36">
        <f t="shared" si="110"/>
        <v>23.12</v>
      </c>
      <c r="K156" s="36">
        <f t="shared" si="111"/>
        <v>55.41</v>
      </c>
      <c r="L156" s="36">
        <f t="shared" si="112"/>
        <v>13.950000000000003</v>
      </c>
      <c r="M156" s="97">
        <f t="shared" si="113"/>
        <v>69.36</v>
      </c>
    </row>
    <row r="157" spans="1:13" ht="15.75" x14ac:dyDescent="0.2">
      <c r="A157" s="163" t="s">
        <v>506</v>
      </c>
      <c r="B157" s="164"/>
      <c r="C157" s="164"/>
      <c r="D157" s="164"/>
      <c r="E157" s="164" t="s">
        <v>507</v>
      </c>
      <c r="F157" s="164"/>
      <c r="G157" s="164"/>
      <c r="H157" s="165"/>
      <c r="I157" s="166"/>
      <c r="J157" s="166"/>
      <c r="K157" s="166">
        <f>SUM(K158:K169)</f>
        <v>2173.7099999999996</v>
      </c>
      <c r="L157" s="166">
        <f>SUM(L158:L169)</f>
        <v>547.6600000000002</v>
      </c>
      <c r="M157" s="166">
        <f>SUM(M158:M169)</f>
        <v>2721.37</v>
      </c>
    </row>
    <row r="158" spans="1:13" ht="60" x14ac:dyDescent="0.2">
      <c r="A158" s="96" t="s">
        <v>542</v>
      </c>
      <c r="B158" s="35" t="str" cm="1">
        <f t="array" ref="B158">INDEX('III-PA'!$B$18:$B$2661,1+MATCH(_xlfn.CONCAT(" ",'II-PO'!A158," "),'III-PA'!$A$18:$A$2661,0))</f>
        <v xml:space="preserve"> 89364 </v>
      </c>
      <c r="C158" s="35" t="str" cm="1">
        <f t="array" ref="C158">INDEX('III-PA'!$C$18:$C$2661,1+MATCH(_xlfn.CONCAT(" ",A158," "),'III-PA'!$A$18:$A$2661,0))</f>
        <v>SINAPI</v>
      </c>
      <c r="D158" s="35" t="str" cm="1">
        <f t="array" ref="D158">INDEX('III-PA'!$A$18:$A$2661,1+MATCH(_xlfn.CONCAT(" ",A158," "),'III-PA'!$A$18:$A$2661,0))</f>
        <v>Composição</v>
      </c>
      <c r="E158" s="35" t="str" cm="1">
        <f t="array" ref="E158">INDEX('III-PA'!$D$18:$D$2661,1+MATCH(_xlfn.CONCAT(" ",A158," "),'III-PA'!$A$18:$A$2661,0))</f>
        <v>CURVA 90 GRAUS, PVC, SOLDÁVEL, DN 25MM, INSTALADO EM RAMAL OU SUB-RAMAL DE ÁGUA - FORNECIMENTO E INSTALAÇÃO. AF_06/2022</v>
      </c>
      <c r="F158" s="35" t="str" cm="1">
        <f t="array" ref="F158">INDEX('III-PA'!$G$18:$G$2661,1+MATCH(_xlfn.CONCAT(" ",A158," "),'III-PA'!$A$18:$A$2661,0))</f>
        <v>UN</v>
      </c>
      <c r="G158" s="50">
        <f>VLOOKUP(A158,'IV-MEMORIAL'!$A$17:$N$2203,14,0)</f>
        <v>1</v>
      </c>
      <c r="H158" s="51">
        <f t="shared" ref="H158:H169" si="114">$L$14</f>
        <v>0.252</v>
      </c>
      <c r="I158" s="36" cm="1">
        <f t="array" ref="I158">INDEX('III-PA'!$I$18:$I$2661,1+MATCH(_xlfn.CONCAT(" ",A158," "),'III-PA'!$A$18:$A$2661,0))</f>
        <v>12.66</v>
      </c>
      <c r="J158" s="36">
        <f t="shared" ref="J158:J169" si="115">TRUNC(I158*(1+H158),2)</f>
        <v>15.85</v>
      </c>
      <c r="K158" s="36">
        <f t="shared" ref="K158:K169" si="116">TRUNC(I158*G158,2)</f>
        <v>12.66</v>
      </c>
      <c r="L158" s="36">
        <f t="shared" ref="L158:L169" si="117">M158-K158</f>
        <v>3.1899999999999995</v>
      </c>
      <c r="M158" s="97">
        <f t="shared" ref="M158:M169" si="118">TRUNC(G158*J158,2)</f>
        <v>15.85</v>
      </c>
    </row>
    <row r="159" spans="1:13" ht="60" x14ac:dyDescent="0.2">
      <c r="A159" s="96" t="s">
        <v>543</v>
      </c>
      <c r="B159" s="35" t="str" cm="1">
        <f t="array" ref="B159">INDEX('III-PA'!$B$18:$B$2661,1+MATCH(_xlfn.CONCAT(" ",'II-PO'!A159," "),'III-PA'!$A$18:$A$2661,0))</f>
        <v xml:space="preserve"> 89356 </v>
      </c>
      <c r="C159" s="35" t="str" cm="1">
        <f t="array" ref="C159">INDEX('III-PA'!$C$18:$C$2661,1+MATCH(_xlfn.CONCAT(" ",A159," "),'III-PA'!$A$18:$A$2661,0))</f>
        <v>SINAPI</v>
      </c>
      <c r="D159" s="35" t="str" cm="1">
        <f t="array" ref="D159">INDEX('III-PA'!$A$18:$A$2661,1+MATCH(_xlfn.CONCAT(" ",A159," "),'III-PA'!$A$18:$A$2661,0))</f>
        <v>Composição</v>
      </c>
      <c r="E159" s="35" t="str" cm="1">
        <f t="array" ref="E159">INDEX('III-PA'!$D$18:$D$2661,1+MATCH(_xlfn.CONCAT(" ",A159," "),'III-PA'!$A$18:$A$2661,0))</f>
        <v>TUBO, PVC, SOLDÁVEL, DE 25MM, INSTALADO EM RAMAL OU SUB-RAMAL DE ÁGUA - FORNECIMENTO E INSTALAÇÃO. AF_06/2022</v>
      </c>
      <c r="F159" s="35" t="str" cm="1">
        <f t="array" ref="F159">INDEX('III-PA'!$G$18:$G$2661,1+MATCH(_xlfn.CONCAT(" ",A159," "),'III-PA'!$A$18:$A$2661,0))</f>
        <v>M</v>
      </c>
      <c r="G159" s="50">
        <f>VLOOKUP(A159,'IV-MEMORIAL'!$A$17:$N$2203,14,0)</f>
        <v>9.42</v>
      </c>
      <c r="H159" s="51">
        <f t="shared" si="114"/>
        <v>0.252</v>
      </c>
      <c r="I159" s="36" cm="1">
        <f t="array" ref="I159">INDEX('III-PA'!$I$18:$I$2661,1+MATCH(_xlfn.CONCAT(" ",A159," "),'III-PA'!$A$18:$A$2661,0))</f>
        <v>25.56</v>
      </c>
      <c r="J159" s="36">
        <f t="shared" si="115"/>
        <v>32</v>
      </c>
      <c r="K159" s="36">
        <f t="shared" si="116"/>
        <v>240.77</v>
      </c>
      <c r="L159" s="36">
        <f t="shared" si="117"/>
        <v>60.669999999999987</v>
      </c>
      <c r="M159" s="97">
        <f t="shared" si="118"/>
        <v>301.44</v>
      </c>
    </row>
    <row r="160" spans="1:13" ht="60" x14ac:dyDescent="0.2">
      <c r="A160" s="96" t="s">
        <v>544</v>
      </c>
      <c r="B160" s="35" t="str" cm="1">
        <f t="array" ref="B160">INDEX('III-PA'!$B$18:$B$2661,1+MATCH(_xlfn.CONCAT(" ",'II-PO'!A160," "),'III-PA'!$A$18:$A$2661,0))</f>
        <v xml:space="preserve"> 86915 </v>
      </c>
      <c r="C160" s="35" t="str" cm="1">
        <f t="array" ref="C160">INDEX('III-PA'!$C$18:$C$2661,1+MATCH(_xlfn.CONCAT(" ",A160," "),'III-PA'!$A$18:$A$2661,0))</f>
        <v>SINAPI</v>
      </c>
      <c r="D160" s="35" t="str" cm="1">
        <f t="array" ref="D160">INDEX('III-PA'!$A$18:$A$2661,1+MATCH(_xlfn.CONCAT(" ",A160," "),'III-PA'!$A$18:$A$2661,0))</f>
        <v>Composição</v>
      </c>
      <c r="E160" s="35" t="str" cm="1">
        <f t="array" ref="E160">INDEX('III-PA'!$D$18:$D$2661,1+MATCH(_xlfn.CONCAT(" ",A160," "),'III-PA'!$A$18:$A$2661,0))</f>
        <v>TORNEIRA CROMADA DE MESA, 1/2" OU 3/4", PARA LAVATÓRIO, PADRÃO MÉDIO - FORNECIMENTO E INSTALAÇÃO. AF_01/2020</v>
      </c>
      <c r="F160" s="35" t="str" cm="1">
        <f t="array" ref="F160">INDEX('III-PA'!$G$18:$G$2661,1+MATCH(_xlfn.CONCAT(" ",A160," "),'III-PA'!$A$18:$A$2661,0))</f>
        <v>UN</v>
      </c>
      <c r="G160" s="50">
        <f>VLOOKUP(A160,'IV-MEMORIAL'!$A$17:$N$2203,14,0)</f>
        <v>2</v>
      </c>
      <c r="H160" s="51">
        <f t="shared" si="114"/>
        <v>0.252</v>
      </c>
      <c r="I160" s="36" cm="1">
        <f t="array" ref="I160">INDEX('III-PA'!$I$18:$I$2661,1+MATCH(_xlfn.CONCAT(" ",A160," "),'III-PA'!$A$18:$A$2661,0))</f>
        <v>154.25</v>
      </c>
      <c r="J160" s="36">
        <f t="shared" si="115"/>
        <v>193.12</v>
      </c>
      <c r="K160" s="36">
        <f t="shared" si="116"/>
        <v>308.5</v>
      </c>
      <c r="L160" s="36">
        <f t="shared" si="117"/>
        <v>77.740000000000009</v>
      </c>
      <c r="M160" s="97">
        <f t="shared" si="118"/>
        <v>386.24</v>
      </c>
    </row>
    <row r="161" spans="1:13" ht="60" x14ac:dyDescent="0.2">
      <c r="A161" s="96" t="s">
        <v>545</v>
      </c>
      <c r="B161" s="35" t="str" cm="1">
        <f t="array" ref="B161">INDEX('III-PA'!$B$18:$B$2661,1+MATCH(_xlfn.CONCAT(" ",'II-PO'!A161," "),'III-PA'!$A$18:$A$2661,0))</f>
        <v xml:space="preserve"> 86888 </v>
      </c>
      <c r="C161" s="35" t="str" cm="1">
        <f t="array" ref="C161">INDEX('III-PA'!$C$18:$C$2661,1+MATCH(_xlfn.CONCAT(" ",A161," "),'III-PA'!$A$18:$A$2661,0))</f>
        <v>SINAPI</v>
      </c>
      <c r="D161" s="35" t="str" cm="1">
        <f t="array" ref="D161">INDEX('III-PA'!$A$18:$A$2661,1+MATCH(_xlfn.CONCAT(" ",A161," "),'III-PA'!$A$18:$A$2661,0))</f>
        <v>Composição</v>
      </c>
      <c r="E161" s="35" t="str" cm="1">
        <f t="array" ref="E161">INDEX('III-PA'!$D$18:$D$2661,1+MATCH(_xlfn.CONCAT(" ",A161," "),'III-PA'!$A$18:$A$2661,0))</f>
        <v>VASO SANITÁRIO SIFONADO COM CAIXA ACOPLADA LOUÇA BRANCA - FORNECIMENTO E INSTALAÇÃO. AF_01/2020</v>
      </c>
      <c r="F161" s="35" t="str" cm="1">
        <f t="array" ref="F161">INDEX('III-PA'!$G$18:$G$2661,1+MATCH(_xlfn.CONCAT(" ",A161," "),'III-PA'!$A$18:$A$2661,0))</f>
        <v>UN</v>
      </c>
      <c r="G161" s="50">
        <f>VLOOKUP(A161,'IV-MEMORIAL'!$A$17:$N$2203,14,0)</f>
        <v>2</v>
      </c>
      <c r="H161" s="51">
        <f t="shared" si="114"/>
        <v>0.252</v>
      </c>
      <c r="I161" s="36" cm="1">
        <f t="array" ref="I161">INDEX('III-PA'!$I$18:$I$2661,1+MATCH(_xlfn.CONCAT(" ",A161," "),'III-PA'!$A$18:$A$2661,0))</f>
        <v>513.45000000000005</v>
      </c>
      <c r="J161" s="36">
        <f t="shared" si="115"/>
        <v>642.83000000000004</v>
      </c>
      <c r="K161" s="36">
        <f t="shared" si="116"/>
        <v>1026.9000000000001</v>
      </c>
      <c r="L161" s="36">
        <f t="shared" si="117"/>
        <v>258.76</v>
      </c>
      <c r="M161" s="97">
        <f t="shared" si="118"/>
        <v>1285.6600000000001</v>
      </c>
    </row>
    <row r="162" spans="1:13" ht="30" x14ac:dyDescent="0.2">
      <c r="A162" s="96" t="s">
        <v>546</v>
      </c>
      <c r="B162" s="35" t="str" cm="1">
        <f t="array" ref="B162">INDEX('III-PA'!$B$18:$B$2661,1+MATCH(_xlfn.CONCAT(" ",'II-PO'!A162," "),'III-PA'!$A$18:$A$2661,0))</f>
        <v xml:space="preserve"> 080926 </v>
      </c>
      <c r="C162" s="35" t="str" cm="1">
        <f t="array" ref="C162">INDEX('III-PA'!$C$18:$C$2661,1+MATCH(_xlfn.CONCAT(" ",A162," "),'III-PA'!$A$18:$A$2661,0))</f>
        <v>AGETOP CIVIL</v>
      </c>
      <c r="D162" s="35" t="str" cm="1">
        <f t="array" ref="D162">INDEX('III-PA'!$A$18:$A$2661,1+MATCH(_xlfn.CONCAT(" ",A162," "),'III-PA'!$A$18:$A$2661,0))</f>
        <v>Composição</v>
      </c>
      <c r="E162" s="35" t="str" cm="1">
        <f t="array" ref="E162">INDEX('III-PA'!$D$18:$D$2661,1+MATCH(_xlfn.CONCAT(" ",A162," "),'III-PA'!$A$18:$A$2661,0))</f>
        <v>REGISTRO DE GAVETA C/CANOPLA DIAMETRO 3/4"</v>
      </c>
      <c r="F162" s="35" t="str" cm="1">
        <f t="array" ref="F162">INDEX('III-PA'!$G$18:$G$2661,1+MATCH(_xlfn.CONCAT(" ",A162," "),'III-PA'!$A$18:$A$2661,0))</f>
        <v>Un</v>
      </c>
      <c r="G162" s="50">
        <f>VLOOKUP(A162,'IV-MEMORIAL'!$A$17:$N$2203,14,0)</f>
        <v>2</v>
      </c>
      <c r="H162" s="51">
        <f t="shared" si="114"/>
        <v>0.252</v>
      </c>
      <c r="I162" s="36" cm="1">
        <f t="array" ref="I162">INDEX('III-PA'!$I$18:$I$2661,1+MATCH(_xlfn.CONCAT(" ",A162," "),'III-PA'!$A$18:$A$2661,0))</f>
        <v>133.19999999999999</v>
      </c>
      <c r="J162" s="36">
        <f t="shared" si="115"/>
        <v>166.76</v>
      </c>
      <c r="K162" s="36">
        <f t="shared" si="116"/>
        <v>266.39999999999998</v>
      </c>
      <c r="L162" s="36">
        <f t="shared" si="117"/>
        <v>67.12</v>
      </c>
      <c r="M162" s="97">
        <f t="shared" si="118"/>
        <v>333.52</v>
      </c>
    </row>
    <row r="163" spans="1:13" ht="45" x14ac:dyDescent="0.2">
      <c r="A163" s="96" t="s">
        <v>547</v>
      </c>
      <c r="B163" s="35" t="str" cm="1">
        <f t="array" ref="B163">INDEX('III-PA'!$B$18:$B$2661,1+MATCH(_xlfn.CONCAT(" ",'II-PO'!A163," "),'III-PA'!$A$18:$A$2661,0))</f>
        <v xml:space="preserve"> 86886 </v>
      </c>
      <c r="C163" s="35" t="str" cm="1">
        <f t="array" ref="C163">INDEX('III-PA'!$C$18:$C$2661,1+MATCH(_xlfn.CONCAT(" ",A163," "),'III-PA'!$A$18:$A$2661,0))</f>
        <v>SINAPI</v>
      </c>
      <c r="D163" s="35" t="str" cm="1">
        <f t="array" ref="D163">INDEX('III-PA'!$A$18:$A$2661,1+MATCH(_xlfn.CONCAT(" ",A163," "),'III-PA'!$A$18:$A$2661,0))</f>
        <v>Composição</v>
      </c>
      <c r="E163" s="35" t="str" cm="1">
        <f t="array" ref="E163">INDEX('III-PA'!$D$18:$D$2661,1+MATCH(_xlfn.CONCAT(" ",A163," "),'III-PA'!$A$18:$A$2661,0))</f>
        <v>ENGATE FLEXÍVEL EM INOX, 1/2 X 30CM - FORNECIMENTO E INSTALAÇÃO. AF_01/2020</v>
      </c>
      <c r="F163" s="35" t="str" cm="1">
        <f t="array" ref="F163">INDEX('III-PA'!$G$18:$G$2661,1+MATCH(_xlfn.CONCAT(" ",A163," "),'III-PA'!$A$18:$A$2661,0))</f>
        <v>UN</v>
      </c>
      <c r="G163" s="50">
        <f>VLOOKUP(A163,'IV-MEMORIAL'!$A$17:$N$2203,14,0)</f>
        <v>2</v>
      </c>
      <c r="H163" s="51">
        <f t="shared" si="114"/>
        <v>0.252</v>
      </c>
      <c r="I163" s="36" cm="1">
        <f t="array" ref="I163">INDEX('III-PA'!$I$18:$I$2661,1+MATCH(_xlfn.CONCAT(" ",A163," "),'III-PA'!$A$18:$A$2661,0))</f>
        <v>55.78</v>
      </c>
      <c r="J163" s="36">
        <f t="shared" si="115"/>
        <v>69.83</v>
      </c>
      <c r="K163" s="36">
        <f t="shared" si="116"/>
        <v>111.56</v>
      </c>
      <c r="L163" s="36">
        <f t="shared" si="117"/>
        <v>28.099999999999994</v>
      </c>
      <c r="M163" s="97">
        <f t="shared" si="118"/>
        <v>139.66</v>
      </c>
    </row>
    <row r="164" spans="1:13" ht="45" x14ac:dyDescent="0.2">
      <c r="A164" s="96" t="s">
        <v>548</v>
      </c>
      <c r="B164" s="35" t="str" cm="1">
        <f t="array" ref="B164">INDEX('III-PA'!$B$18:$B$2661,1+MATCH(_xlfn.CONCAT(" ",'II-PO'!A164," "),'III-PA'!$A$18:$A$2661,0))</f>
        <v xml:space="preserve"> 86884 </v>
      </c>
      <c r="C164" s="35" t="str" cm="1">
        <f t="array" ref="C164">INDEX('III-PA'!$C$18:$C$2661,1+MATCH(_xlfn.CONCAT(" ",A164," "),'III-PA'!$A$18:$A$2661,0))</f>
        <v>SINAPI</v>
      </c>
      <c r="D164" s="35" t="str" cm="1">
        <f t="array" ref="D164">INDEX('III-PA'!$A$18:$A$2661,1+MATCH(_xlfn.CONCAT(" ",A164," "),'III-PA'!$A$18:$A$2661,0))</f>
        <v>Composição</v>
      </c>
      <c r="E164" s="35" t="str" cm="1">
        <f t="array" ref="E164">INDEX('III-PA'!$D$18:$D$2661,1+MATCH(_xlfn.CONCAT(" ",A164," "),'III-PA'!$A$18:$A$2661,0))</f>
        <v>ENGATE FLEXÍVEL EM PLÁSTICO BRANCO, 1/2" X 30CM - FORNECIMENTO E INSTALAÇÃO. AF_01/2020</v>
      </c>
      <c r="F164" s="35" t="str" cm="1">
        <f t="array" ref="F164">INDEX('III-PA'!$G$18:$G$2661,1+MATCH(_xlfn.CONCAT(" ",A164," "),'III-PA'!$A$18:$A$2661,0))</f>
        <v>UN</v>
      </c>
      <c r="G164" s="50">
        <f>VLOOKUP(A164,'IV-MEMORIAL'!$A$17:$N$2203,14,0)</f>
        <v>2</v>
      </c>
      <c r="H164" s="51">
        <f t="shared" si="114"/>
        <v>0.252</v>
      </c>
      <c r="I164" s="36" cm="1">
        <f t="array" ref="I164">INDEX('III-PA'!$I$18:$I$2661,1+MATCH(_xlfn.CONCAT(" ",A164," "),'III-PA'!$A$18:$A$2661,0))</f>
        <v>10.76</v>
      </c>
      <c r="J164" s="36">
        <f t="shared" si="115"/>
        <v>13.47</v>
      </c>
      <c r="K164" s="36">
        <f t="shared" si="116"/>
        <v>21.52</v>
      </c>
      <c r="L164" s="36">
        <f t="shared" si="117"/>
        <v>5.4200000000000017</v>
      </c>
      <c r="M164" s="97">
        <f t="shared" si="118"/>
        <v>26.94</v>
      </c>
    </row>
    <row r="165" spans="1:13" ht="75" x14ac:dyDescent="0.2">
      <c r="A165" s="96" t="s">
        <v>549</v>
      </c>
      <c r="B165" s="35" t="str" cm="1">
        <f t="array" ref="B165">INDEX('III-PA'!$B$18:$B$2661,1+MATCH(_xlfn.CONCAT(" ",'II-PO'!A165," "),'III-PA'!$A$18:$A$2661,0))</f>
        <v xml:space="preserve"> 89383 </v>
      </c>
      <c r="C165" s="35" t="str" cm="1">
        <f t="array" ref="C165">INDEX('III-PA'!$C$18:$C$2661,1+MATCH(_xlfn.CONCAT(" ",A165," "),'III-PA'!$A$18:$A$2661,0))</f>
        <v>SINAPI</v>
      </c>
      <c r="D165" s="35" t="str" cm="1">
        <f t="array" ref="D165">INDEX('III-PA'!$A$18:$A$2661,1+MATCH(_xlfn.CONCAT(" ",A165," "),'III-PA'!$A$18:$A$2661,0))</f>
        <v>Composição</v>
      </c>
      <c r="E165" s="35" t="str" cm="1">
        <f t="array" ref="E165">INDEX('III-PA'!$D$18:$D$2661,1+MATCH(_xlfn.CONCAT(" ",A165," "),'III-PA'!$A$18:$A$2661,0))</f>
        <v>ADAPTADOR CURTO COM BOLSA E ROSCA PARA REGISTRO, PVC, SOLDÁVEL, DN 25MM X 3/4, INSTALADO EM RAMAL OU SUB-RAMAL DE ÁGUA - FORNECIMENTO E INSTALAÇÃO. AF_06/2022</v>
      </c>
      <c r="F165" s="35" t="str" cm="1">
        <f t="array" ref="F165">INDEX('III-PA'!$G$18:$G$2661,1+MATCH(_xlfn.CONCAT(" ",A165," "),'III-PA'!$A$18:$A$2661,0))</f>
        <v>UN</v>
      </c>
      <c r="G165" s="50">
        <f>VLOOKUP(A165,'IV-MEMORIAL'!$A$17:$N$2203,14,0)</f>
        <v>4</v>
      </c>
      <c r="H165" s="51">
        <f t="shared" si="114"/>
        <v>0.252</v>
      </c>
      <c r="I165" s="36" cm="1">
        <f t="array" ref="I165">INDEX('III-PA'!$I$18:$I$2661,1+MATCH(_xlfn.CONCAT(" ",A165," "),'III-PA'!$A$18:$A$2661,0))</f>
        <v>7.01</v>
      </c>
      <c r="J165" s="36">
        <f t="shared" si="115"/>
        <v>8.77</v>
      </c>
      <c r="K165" s="36">
        <f t="shared" si="116"/>
        <v>28.04</v>
      </c>
      <c r="L165" s="36">
        <f t="shared" si="117"/>
        <v>7.0399999999999991</v>
      </c>
      <c r="M165" s="97">
        <f t="shared" si="118"/>
        <v>35.08</v>
      </c>
    </row>
    <row r="166" spans="1:13" ht="60" x14ac:dyDescent="0.2">
      <c r="A166" s="96" t="s">
        <v>550</v>
      </c>
      <c r="B166" s="35" t="str" cm="1">
        <f t="array" ref="B166">INDEX('III-PA'!$B$18:$B$2661,1+MATCH(_xlfn.CONCAT(" ",'II-PO'!A166," "),'III-PA'!$A$18:$A$2661,0))</f>
        <v xml:space="preserve"> 89362 </v>
      </c>
      <c r="C166" s="35" t="str" cm="1">
        <f t="array" ref="C166">INDEX('III-PA'!$C$18:$C$2661,1+MATCH(_xlfn.CONCAT(" ",A166," "),'III-PA'!$A$18:$A$2661,0))</f>
        <v>SINAPI</v>
      </c>
      <c r="D166" s="35" t="str" cm="1">
        <f t="array" ref="D166">INDEX('III-PA'!$A$18:$A$2661,1+MATCH(_xlfn.CONCAT(" ",A166," "),'III-PA'!$A$18:$A$2661,0))</f>
        <v>Composição</v>
      </c>
      <c r="E166" s="35" t="str" cm="1">
        <f t="array" ref="E166">INDEX('III-PA'!$D$18:$D$2661,1+MATCH(_xlfn.CONCAT(" ",A166," "),'III-PA'!$A$18:$A$2661,0))</f>
        <v>JOELHO 90 GRAUS, PVC, SOLDÁVEL, DN 25MM, INSTALADO EM RAMAL OU SUB-RAMAL DE ÁGUA - FORNECIMENTO E INSTALAÇÃO. AF_06/2022</v>
      </c>
      <c r="F166" s="35" t="str" cm="1">
        <f t="array" ref="F166">INDEX('III-PA'!$G$18:$G$2661,1+MATCH(_xlfn.CONCAT(" ",A166," "),'III-PA'!$A$18:$A$2661,0))</f>
        <v>UN</v>
      </c>
      <c r="G166" s="50">
        <f>VLOOKUP(A166,'IV-MEMORIAL'!$A$17:$N$2203,14,0)</f>
        <v>4</v>
      </c>
      <c r="H166" s="51">
        <f t="shared" si="114"/>
        <v>0.252</v>
      </c>
      <c r="I166" s="36" cm="1">
        <f t="array" ref="I166">INDEX('III-PA'!$I$18:$I$2661,1+MATCH(_xlfn.CONCAT(" ",A166," "),'III-PA'!$A$18:$A$2661,0))</f>
        <v>10.039999999999999</v>
      </c>
      <c r="J166" s="36">
        <f t="shared" si="115"/>
        <v>12.57</v>
      </c>
      <c r="K166" s="36">
        <f t="shared" si="116"/>
        <v>40.159999999999997</v>
      </c>
      <c r="L166" s="36">
        <f t="shared" si="117"/>
        <v>10.120000000000005</v>
      </c>
      <c r="M166" s="97">
        <f t="shared" si="118"/>
        <v>50.28</v>
      </c>
    </row>
    <row r="167" spans="1:13" ht="60" x14ac:dyDescent="0.2">
      <c r="A167" s="96" t="s">
        <v>553</v>
      </c>
      <c r="B167" s="35" t="str" cm="1">
        <f t="array" ref="B167">INDEX('III-PA'!$B$18:$B$2661,1+MATCH(_xlfn.CONCAT(" ",'II-PO'!A167," "),'III-PA'!$A$18:$A$2661,0))</f>
        <v xml:space="preserve"> 89379 </v>
      </c>
      <c r="C167" s="35" t="str" cm="1">
        <f t="array" ref="C167">INDEX('III-PA'!$C$18:$C$2661,1+MATCH(_xlfn.CONCAT(" ",A167," "),'III-PA'!$A$18:$A$2661,0))</f>
        <v>SINAPI</v>
      </c>
      <c r="D167" s="35" t="str" cm="1">
        <f t="array" ref="D167">INDEX('III-PA'!$A$18:$A$2661,1+MATCH(_xlfn.CONCAT(" ",A167," "),'III-PA'!$A$18:$A$2661,0))</f>
        <v>Composição</v>
      </c>
      <c r="E167" s="35" t="str" cm="1">
        <f t="array" ref="E167">INDEX('III-PA'!$D$18:$D$2661,1+MATCH(_xlfn.CONCAT(" ",A167," "),'III-PA'!$A$18:$A$2661,0))</f>
        <v>LUVA DE CORRER, PVC, SOLDÁVEL, DN 25MM, INSTALADO EM RAMAL OU SUB-RAMAL DE ÁGUA - FORNECIMENTO E INSTALAÇÃO. AF_12/2014</v>
      </c>
      <c r="F167" s="35" t="str" cm="1">
        <f t="array" ref="F167">INDEX('III-PA'!$G$18:$G$2661,1+MATCH(_xlfn.CONCAT(" ",A167," "),'III-PA'!$A$18:$A$2661,0))</f>
        <v>UN</v>
      </c>
      <c r="G167" s="50">
        <f>VLOOKUP(A167,'IV-MEMORIAL'!$A$17:$N$2203,14,0)</f>
        <v>2</v>
      </c>
      <c r="H167" s="51">
        <f t="shared" si="114"/>
        <v>0.252</v>
      </c>
      <c r="I167" s="36" cm="1">
        <f t="array" ref="I167">INDEX('III-PA'!$I$18:$I$2661,1+MATCH(_xlfn.CONCAT(" ",A167," "),'III-PA'!$A$18:$A$2661,0))</f>
        <v>20.78</v>
      </c>
      <c r="J167" s="36">
        <f t="shared" si="115"/>
        <v>26.01</v>
      </c>
      <c r="K167" s="36">
        <f t="shared" si="116"/>
        <v>41.56</v>
      </c>
      <c r="L167" s="36">
        <f t="shared" si="117"/>
        <v>10.46</v>
      </c>
      <c r="M167" s="97">
        <f t="shared" si="118"/>
        <v>52.02</v>
      </c>
    </row>
    <row r="168" spans="1:13" ht="60" x14ac:dyDescent="0.2">
      <c r="A168" s="96" t="s">
        <v>551</v>
      </c>
      <c r="B168" s="35" t="str" cm="1">
        <f t="array" ref="B168">INDEX('III-PA'!$B$18:$B$2661,1+MATCH(_xlfn.CONCAT(" ",'II-PO'!A168," "),'III-PA'!$A$18:$A$2661,0))</f>
        <v xml:space="preserve"> 89395 </v>
      </c>
      <c r="C168" s="35" t="str" cm="1">
        <f t="array" ref="C168">INDEX('III-PA'!$C$18:$C$2661,1+MATCH(_xlfn.CONCAT(" ",A168," "),'III-PA'!$A$18:$A$2661,0))</f>
        <v>SINAPI</v>
      </c>
      <c r="D168" s="35" t="str" cm="1">
        <f t="array" ref="D168">INDEX('III-PA'!$A$18:$A$2661,1+MATCH(_xlfn.CONCAT(" ",A168," "),'III-PA'!$A$18:$A$2661,0))</f>
        <v>Composição</v>
      </c>
      <c r="E168" s="35" t="str" cm="1">
        <f t="array" ref="E168">INDEX('III-PA'!$D$18:$D$2661,1+MATCH(_xlfn.CONCAT(" ",A168," "),'III-PA'!$A$18:$A$2661,0))</f>
        <v>TE, PVC, SOLDÁVEL, DN 25MM, INSTALADO EM RAMAL OU SUB-RAMAL DE ÁGUA - FORNECIMENTO E INSTALAÇÃO. AF_06/2022</v>
      </c>
      <c r="F168" s="35" t="str" cm="1">
        <f t="array" ref="F168">INDEX('III-PA'!$G$18:$G$2661,1+MATCH(_xlfn.CONCAT(" ",A168," "),'III-PA'!$A$18:$A$2661,0))</f>
        <v>UN</v>
      </c>
      <c r="G168" s="50">
        <f>VLOOKUP(A168,'IV-MEMORIAL'!$A$17:$N$2203,14,0)</f>
        <v>2</v>
      </c>
      <c r="H168" s="51">
        <f t="shared" si="114"/>
        <v>0.252</v>
      </c>
      <c r="I168" s="36" cm="1">
        <f t="array" ref="I168">INDEX('III-PA'!$I$18:$I$2661,1+MATCH(_xlfn.CONCAT(" ",A168," "),'III-PA'!$A$18:$A$2661,0))</f>
        <v>13.84</v>
      </c>
      <c r="J168" s="36">
        <f t="shared" si="115"/>
        <v>17.32</v>
      </c>
      <c r="K168" s="36">
        <f t="shared" si="116"/>
        <v>27.68</v>
      </c>
      <c r="L168" s="36">
        <f t="shared" si="117"/>
        <v>6.9600000000000009</v>
      </c>
      <c r="M168" s="97">
        <f t="shared" si="118"/>
        <v>34.64</v>
      </c>
    </row>
    <row r="169" spans="1:13" ht="30" x14ac:dyDescent="0.2">
      <c r="A169" s="96" t="s">
        <v>552</v>
      </c>
      <c r="B169" s="35" t="str" cm="1">
        <f t="array" ref="B169">INDEX('III-PA'!$B$18:$B$2661,1+MATCH(_xlfn.CONCAT(" ",'II-PO'!A169," "),'III-PA'!$A$18:$A$2661,0))</f>
        <v xml:space="preserve"> 081360 </v>
      </c>
      <c r="C169" s="35" t="str" cm="1">
        <f t="array" ref="C169">INDEX('III-PA'!$C$18:$C$2661,1+MATCH(_xlfn.CONCAT(" ",A169," "),'III-PA'!$A$18:$A$2661,0))</f>
        <v>AGETOP CIVIL</v>
      </c>
      <c r="D169" s="35" t="str" cm="1">
        <f t="array" ref="D169">INDEX('III-PA'!$A$18:$A$2661,1+MATCH(_xlfn.CONCAT(" ",A169," "),'III-PA'!$A$18:$A$2661,0))</f>
        <v>Composição</v>
      </c>
      <c r="E169" s="35" t="str" cm="1">
        <f t="array" ref="E169">INDEX('III-PA'!$D$18:$D$2661,1+MATCH(_xlfn.CONCAT(" ",A169," "),'III-PA'!$A$18:$A$2661,0))</f>
        <v>JOELHO DE REDUCAO 90 GRAUS SOLDÁVEL COM BUCHA LATAO 25X1/2"</v>
      </c>
      <c r="F169" s="35" t="str" cm="1">
        <f t="array" ref="F169">INDEX('III-PA'!$G$18:$G$2661,1+MATCH(_xlfn.CONCAT(" ",A169," "),'III-PA'!$A$18:$A$2661,0))</f>
        <v>Un</v>
      </c>
      <c r="G169" s="50">
        <f>VLOOKUP(A169,'IV-MEMORIAL'!$A$17:$N$2203,14,0)</f>
        <v>4</v>
      </c>
      <c r="H169" s="51">
        <f t="shared" si="114"/>
        <v>0.252</v>
      </c>
      <c r="I169" s="36" cm="1">
        <f t="array" ref="I169">INDEX('III-PA'!$I$18:$I$2661,1+MATCH(_xlfn.CONCAT(" ",A169," "),'III-PA'!$A$18:$A$2661,0))</f>
        <v>11.99</v>
      </c>
      <c r="J169" s="36">
        <f t="shared" si="115"/>
        <v>15.01</v>
      </c>
      <c r="K169" s="36">
        <f t="shared" si="116"/>
        <v>47.96</v>
      </c>
      <c r="L169" s="36">
        <f t="shared" si="117"/>
        <v>12.079999999999998</v>
      </c>
      <c r="M169" s="97">
        <f t="shared" si="118"/>
        <v>60.04</v>
      </c>
    </row>
    <row r="170" spans="1:13" ht="15.75" x14ac:dyDescent="0.2">
      <c r="A170" s="163" t="s">
        <v>554</v>
      </c>
      <c r="B170" s="164"/>
      <c r="C170" s="164"/>
      <c r="D170" s="164"/>
      <c r="E170" s="164" t="s">
        <v>560</v>
      </c>
      <c r="F170" s="164"/>
      <c r="G170" s="164"/>
      <c r="H170" s="165"/>
      <c r="I170" s="166"/>
      <c r="J170" s="166"/>
      <c r="K170" s="166">
        <f>SUM(K171:K181)</f>
        <v>1063.6500000000001</v>
      </c>
      <c r="L170" s="166">
        <f t="shared" ref="L170:M170" si="119">SUM(L171:L181)</f>
        <v>267.99000000000007</v>
      </c>
      <c r="M170" s="166">
        <f t="shared" si="119"/>
        <v>1331.6399999999999</v>
      </c>
    </row>
    <row r="171" spans="1:13" ht="60" x14ac:dyDescent="0.2">
      <c r="A171" s="96" t="s">
        <v>555</v>
      </c>
      <c r="B171" s="35" t="str" cm="1">
        <f t="array" ref="B171">INDEX('III-PA'!$B$18:$B$2661,1+MATCH(_xlfn.CONCAT(" ",'II-PO'!A171," "),'III-PA'!$A$18:$A$2661,0))</f>
        <v xml:space="preserve"> 86915 </v>
      </c>
      <c r="C171" s="35" t="str" cm="1">
        <f t="array" ref="C171">INDEX('III-PA'!$C$18:$C$2661,1+MATCH(_xlfn.CONCAT(" ",A171," "),'III-PA'!$A$18:$A$2661,0))</f>
        <v>SINAPI</v>
      </c>
      <c r="D171" s="35" t="str" cm="1">
        <f t="array" ref="D171">INDEX('III-PA'!$A$18:$A$2661,1+MATCH(_xlfn.CONCAT(" ",A171," "),'III-PA'!$A$18:$A$2661,0))</f>
        <v>Composição</v>
      </c>
      <c r="E171" s="35" t="str" cm="1">
        <f t="array" ref="E171">INDEX('III-PA'!$D$18:$D$2661,1+MATCH(_xlfn.CONCAT(" ",A171," "),'III-PA'!$A$18:$A$2661,0))</f>
        <v>TORNEIRA CROMADA DE MESA, 1/2" OU 3/4", PARA LAVATÓRIO, PADRÃO MÉDIO - FORNECIMENTO E INSTALAÇÃO. AF_01/2020</v>
      </c>
      <c r="F171" s="35" t="str" cm="1">
        <f t="array" ref="F171">INDEX('III-PA'!$G$18:$G$2661,1+MATCH(_xlfn.CONCAT(" ",A171," "),'III-PA'!$A$18:$A$2661,0))</f>
        <v>UN</v>
      </c>
      <c r="G171" s="50">
        <f>VLOOKUP(A171,'IV-MEMORIAL'!$A$17:$N$2203,14,0)</f>
        <v>1</v>
      </c>
      <c r="H171" s="51">
        <f t="shared" ref="H171:H181" si="120">$L$14</f>
        <v>0.252</v>
      </c>
      <c r="I171" s="36" cm="1">
        <f t="array" ref="I171">INDEX('III-PA'!$I$18:$I$2661,1+MATCH(_xlfn.CONCAT(" ",A171," "),'III-PA'!$A$18:$A$2661,0))</f>
        <v>154.25</v>
      </c>
      <c r="J171" s="36">
        <f t="shared" ref="J171:J181" si="121">TRUNC(I171*(1+H171),2)</f>
        <v>193.12</v>
      </c>
      <c r="K171" s="36">
        <f t="shared" ref="K171:K181" si="122">TRUNC(I171*G171,2)</f>
        <v>154.25</v>
      </c>
      <c r="L171" s="36">
        <f t="shared" ref="L171:L181" si="123">M171-K171</f>
        <v>38.870000000000005</v>
      </c>
      <c r="M171" s="97">
        <f t="shared" ref="M171:M181" si="124">TRUNC(G171*J171,2)</f>
        <v>193.12</v>
      </c>
    </row>
    <row r="172" spans="1:13" ht="60" x14ac:dyDescent="0.2">
      <c r="A172" s="96" t="s">
        <v>556</v>
      </c>
      <c r="B172" s="35" t="str" cm="1">
        <f t="array" ref="B172">INDEX('III-PA'!$B$18:$B$2661,1+MATCH(_xlfn.CONCAT(" ",'II-PO'!A172," "),'III-PA'!$A$18:$A$2661,0))</f>
        <v xml:space="preserve"> 86888 </v>
      </c>
      <c r="C172" s="35" t="str" cm="1">
        <f t="array" ref="C172">INDEX('III-PA'!$C$18:$C$2661,1+MATCH(_xlfn.CONCAT(" ",A172," "),'III-PA'!$A$18:$A$2661,0))</f>
        <v>SINAPI</v>
      </c>
      <c r="D172" s="35" t="str" cm="1">
        <f t="array" ref="D172">INDEX('III-PA'!$A$18:$A$2661,1+MATCH(_xlfn.CONCAT(" ",A172," "),'III-PA'!$A$18:$A$2661,0))</f>
        <v>Composição</v>
      </c>
      <c r="E172" s="35" t="str" cm="1">
        <f t="array" ref="E172">INDEX('III-PA'!$D$18:$D$2661,1+MATCH(_xlfn.CONCAT(" ",A172," "),'III-PA'!$A$18:$A$2661,0))</f>
        <v>VASO SANITÁRIO SIFONADO COM CAIXA ACOPLADA LOUÇA BRANCA - FORNECIMENTO E INSTALAÇÃO. AF_01/2020</v>
      </c>
      <c r="F172" s="35" t="str" cm="1">
        <f t="array" ref="F172">INDEX('III-PA'!$G$18:$G$2661,1+MATCH(_xlfn.CONCAT(" ",A172," "),'III-PA'!$A$18:$A$2661,0))</f>
        <v>UN</v>
      </c>
      <c r="G172" s="50">
        <f>VLOOKUP(A172,'IV-MEMORIAL'!$A$17:$N$2203,14,0)</f>
        <v>1</v>
      </c>
      <c r="H172" s="51">
        <f t="shared" si="120"/>
        <v>0.252</v>
      </c>
      <c r="I172" s="36" cm="1">
        <f t="array" ref="I172">INDEX('III-PA'!$I$18:$I$2661,1+MATCH(_xlfn.CONCAT(" ",A172," "),'III-PA'!$A$18:$A$2661,0))</f>
        <v>513.45000000000005</v>
      </c>
      <c r="J172" s="36">
        <f t="shared" si="121"/>
        <v>642.83000000000004</v>
      </c>
      <c r="K172" s="36">
        <f t="shared" si="122"/>
        <v>513.45000000000005</v>
      </c>
      <c r="L172" s="36">
        <f t="shared" si="123"/>
        <v>129.38</v>
      </c>
      <c r="M172" s="97">
        <f t="shared" si="124"/>
        <v>642.83000000000004</v>
      </c>
    </row>
    <row r="173" spans="1:13" ht="30" x14ac:dyDescent="0.2">
      <c r="A173" s="96" t="s">
        <v>607</v>
      </c>
      <c r="B173" s="35" t="str" cm="1">
        <f t="array" ref="B173">INDEX('III-PA'!$B$18:$B$2661,1+MATCH(_xlfn.CONCAT(" ",'II-PO'!A173," "),'III-PA'!$A$18:$A$2661,0))</f>
        <v xml:space="preserve"> 080926 </v>
      </c>
      <c r="C173" s="35" t="str" cm="1">
        <f t="array" ref="C173">INDEX('III-PA'!$C$18:$C$2661,1+MATCH(_xlfn.CONCAT(" ",A173," "),'III-PA'!$A$18:$A$2661,0))</f>
        <v>AGETOP CIVIL</v>
      </c>
      <c r="D173" s="35" t="str" cm="1">
        <f t="array" ref="D173">INDEX('III-PA'!$A$18:$A$2661,1+MATCH(_xlfn.CONCAT(" ",A173," "),'III-PA'!$A$18:$A$2661,0))</f>
        <v>Composição</v>
      </c>
      <c r="E173" s="35" t="str" cm="1">
        <f t="array" ref="E173">INDEX('III-PA'!$D$18:$D$2661,1+MATCH(_xlfn.CONCAT(" ",A173," "),'III-PA'!$A$18:$A$2661,0))</f>
        <v>REGISTRO DE GAVETA C/CANOPLA DIAMETRO 3/4"</v>
      </c>
      <c r="F173" s="35" t="str" cm="1">
        <f t="array" ref="F173">INDEX('III-PA'!$G$18:$G$2661,1+MATCH(_xlfn.CONCAT(" ",A173," "),'III-PA'!$A$18:$A$2661,0))</f>
        <v>Un</v>
      </c>
      <c r="G173" s="50">
        <f>VLOOKUP(A173,'IV-MEMORIAL'!$A$17:$N$2203,14,0)</f>
        <v>1</v>
      </c>
      <c r="H173" s="51">
        <f t="shared" si="120"/>
        <v>0.252</v>
      </c>
      <c r="I173" s="36" cm="1">
        <f t="array" ref="I173">INDEX('III-PA'!$I$18:$I$2661,1+MATCH(_xlfn.CONCAT(" ",A173," "),'III-PA'!$A$18:$A$2661,0))</f>
        <v>133.19999999999999</v>
      </c>
      <c r="J173" s="36">
        <f t="shared" si="121"/>
        <v>166.76</v>
      </c>
      <c r="K173" s="36">
        <f t="shared" si="122"/>
        <v>133.19999999999999</v>
      </c>
      <c r="L173" s="36">
        <f t="shared" si="123"/>
        <v>33.56</v>
      </c>
      <c r="M173" s="97">
        <f t="shared" si="124"/>
        <v>166.76</v>
      </c>
    </row>
    <row r="174" spans="1:13" ht="45" x14ac:dyDescent="0.2">
      <c r="A174" s="96" t="s">
        <v>608</v>
      </c>
      <c r="B174" s="35" t="str" cm="1">
        <f t="array" ref="B174">INDEX('III-PA'!$B$18:$B$2661,1+MATCH(_xlfn.CONCAT(" ",'II-PO'!A174," "),'III-PA'!$A$18:$A$2661,0))</f>
        <v xml:space="preserve"> 86886 </v>
      </c>
      <c r="C174" s="35" t="str" cm="1">
        <f t="array" ref="C174">INDEX('III-PA'!$C$18:$C$2661,1+MATCH(_xlfn.CONCAT(" ",A174," "),'III-PA'!$A$18:$A$2661,0))</f>
        <v>SINAPI</v>
      </c>
      <c r="D174" s="35" t="str" cm="1">
        <f t="array" ref="D174">INDEX('III-PA'!$A$18:$A$2661,1+MATCH(_xlfn.CONCAT(" ",A174," "),'III-PA'!$A$18:$A$2661,0))</f>
        <v>Composição</v>
      </c>
      <c r="E174" s="35" t="str" cm="1">
        <f t="array" ref="E174">INDEX('III-PA'!$D$18:$D$2661,1+MATCH(_xlfn.CONCAT(" ",A174," "),'III-PA'!$A$18:$A$2661,0))</f>
        <v>ENGATE FLEXÍVEL EM INOX, 1/2 X 30CM - FORNECIMENTO E INSTALAÇÃO. AF_01/2020</v>
      </c>
      <c r="F174" s="35" t="str" cm="1">
        <f t="array" ref="F174">INDEX('III-PA'!$G$18:$G$2661,1+MATCH(_xlfn.CONCAT(" ",A174," "),'III-PA'!$A$18:$A$2661,0))</f>
        <v>UN</v>
      </c>
      <c r="G174" s="50">
        <f>VLOOKUP(A174,'IV-MEMORIAL'!$A$17:$N$2203,14,0)</f>
        <v>1</v>
      </c>
      <c r="H174" s="51">
        <f t="shared" si="120"/>
        <v>0.252</v>
      </c>
      <c r="I174" s="36" cm="1">
        <f t="array" ref="I174">INDEX('III-PA'!$I$18:$I$2661,1+MATCH(_xlfn.CONCAT(" ",A174," "),'III-PA'!$A$18:$A$2661,0))</f>
        <v>55.78</v>
      </c>
      <c r="J174" s="36">
        <f t="shared" si="121"/>
        <v>69.83</v>
      </c>
      <c r="K174" s="36">
        <f t="shared" si="122"/>
        <v>55.78</v>
      </c>
      <c r="L174" s="36">
        <f t="shared" si="123"/>
        <v>14.049999999999997</v>
      </c>
      <c r="M174" s="97">
        <f t="shared" si="124"/>
        <v>69.83</v>
      </c>
    </row>
    <row r="175" spans="1:13" ht="45" x14ac:dyDescent="0.2">
      <c r="A175" s="96" t="s">
        <v>609</v>
      </c>
      <c r="B175" s="35" t="str" cm="1">
        <f t="array" ref="B175">INDEX('III-PA'!$B$18:$B$2661,1+MATCH(_xlfn.CONCAT(" ",'II-PO'!A175," "),'III-PA'!$A$18:$A$2661,0))</f>
        <v xml:space="preserve"> 86884 </v>
      </c>
      <c r="C175" s="35" t="str" cm="1">
        <f t="array" ref="C175">INDEX('III-PA'!$C$18:$C$2661,1+MATCH(_xlfn.CONCAT(" ",A175," "),'III-PA'!$A$18:$A$2661,0))</f>
        <v>SINAPI</v>
      </c>
      <c r="D175" s="35" t="str" cm="1">
        <f t="array" ref="D175">INDEX('III-PA'!$A$18:$A$2661,1+MATCH(_xlfn.CONCAT(" ",A175," "),'III-PA'!$A$18:$A$2661,0))</f>
        <v>Composição</v>
      </c>
      <c r="E175" s="35" t="str" cm="1">
        <f t="array" ref="E175">INDEX('III-PA'!$D$18:$D$2661,1+MATCH(_xlfn.CONCAT(" ",A175," "),'III-PA'!$A$18:$A$2661,0))</f>
        <v>ENGATE FLEXÍVEL EM PLÁSTICO BRANCO, 1/2" X 30CM - FORNECIMENTO E INSTALAÇÃO. AF_01/2020</v>
      </c>
      <c r="F175" s="35" t="str" cm="1">
        <f t="array" ref="F175">INDEX('III-PA'!$G$18:$G$2661,1+MATCH(_xlfn.CONCAT(" ",A175," "),'III-PA'!$A$18:$A$2661,0))</f>
        <v>UN</v>
      </c>
      <c r="G175" s="50">
        <f>VLOOKUP(A175,'IV-MEMORIAL'!$A$17:$N$2203,14,0)</f>
        <v>1</v>
      </c>
      <c r="H175" s="51">
        <f t="shared" si="120"/>
        <v>0.252</v>
      </c>
      <c r="I175" s="36" cm="1">
        <f t="array" ref="I175">INDEX('III-PA'!$I$18:$I$2661,1+MATCH(_xlfn.CONCAT(" ",A175," "),'III-PA'!$A$18:$A$2661,0))</f>
        <v>10.76</v>
      </c>
      <c r="J175" s="36">
        <f t="shared" si="121"/>
        <v>13.47</v>
      </c>
      <c r="K175" s="36">
        <f t="shared" si="122"/>
        <v>10.76</v>
      </c>
      <c r="L175" s="36">
        <f t="shared" si="123"/>
        <v>2.7100000000000009</v>
      </c>
      <c r="M175" s="97">
        <f t="shared" si="124"/>
        <v>13.47</v>
      </c>
    </row>
    <row r="176" spans="1:13" ht="75" x14ac:dyDescent="0.2">
      <c r="A176" s="96" t="s">
        <v>610</v>
      </c>
      <c r="B176" s="35" t="str" cm="1">
        <f t="array" ref="B176">INDEX('III-PA'!$B$18:$B$2661,1+MATCH(_xlfn.CONCAT(" ",'II-PO'!A176," "),'III-PA'!$A$18:$A$2661,0))</f>
        <v xml:space="preserve"> 89383 </v>
      </c>
      <c r="C176" s="35" t="str" cm="1">
        <f t="array" ref="C176">INDEX('III-PA'!$C$18:$C$2661,1+MATCH(_xlfn.CONCAT(" ",A176," "),'III-PA'!$A$18:$A$2661,0))</f>
        <v>SINAPI</v>
      </c>
      <c r="D176" s="35" t="str" cm="1">
        <f t="array" ref="D176">INDEX('III-PA'!$A$18:$A$2661,1+MATCH(_xlfn.CONCAT(" ",A176," "),'III-PA'!$A$18:$A$2661,0))</f>
        <v>Composição</v>
      </c>
      <c r="E176" s="35" t="str" cm="1">
        <f t="array" ref="E176">INDEX('III-PA'!$D$18:$D$2661,1+MATCH(_xlfn.CONCAT(" ",A176," "),'III-PA'!$A$18:$A$2661,0))</f>
        <v>ADAPTADOR CURTO COM BOLSA E ROSCA PARA REGISTRO, PVC, SOLDÁVEL, DN 25MM X 3/4, INSTALADO EM RAMAL OU SUB-RAMAL DE ÁGUA - FORNECIMENTO E INSTALAÇÃO. AF_06/2022</v>
      </c>
      <c r="F176" s="35" t="str" cm="1">
        <f t="array" ref="F176">INDEX('III-PA'!$G$18:$G$2661,1+MATCH(_xlfn.CONCAT(" ",A176," "),'III-PA'!$A$18:$A$2661,0))</f>
        <v>UN</v>
      </c>
      <c r="G176" s="50">
        <f>VLOOKUP(A176,'IV-MEMORIAL'!$A$17:$N$2203,14,0)</f>
        <v>2</v>
      </c>
      <c r="H176" s="51">
        <f t="shared" si="120"/>
        <v>0.252</v>
      </c>
      <c r="I176" s="36" cm="1">
        <f t="array" ref="I176">INDEX('III-PA'!$I$18:$I$2661,1+MATCH(_xlfn.CONCAT(" ",A176," "),'III-PA'!$A$18:$A$2661,0))</f>
        <v>7.01</v>
      </c>
      <c r="J176" s="36">
        <f t="shared" si="121"/>
        <v>8.77</v>
      </c>
      <c r="K176" s="36">
        <f t="shared" si="122"/>
        <v>14.02</v>
      </c>
      <c r="L176" s="36">
        <f t="shared" si="123"/>
        <v>3.5199999999999996</v>
      </c>
      <c r="M176" s="97">
        <f t="shared" si="124"/>
        <v>17.54</v>
      </c>
    </row>
    <row r="177" spans="1:13" ht="60" x14ac:dyDescent="0.2">
      <c r="A177" s="96" t="s">
        <v>611</v>
      </c>
      <c r="B177" s="35" t="str" cm="1">
        <f t="array" ref="B177">INDEX('III-PA'!$B$18:$B$2661,1+MATCH(_xlfn.CONCAT(" ",'II-PO'!A177," "),'III-PA'!$A$18:$A$2661,0))</f>
        <v xml:space="preserve"> 89362 </v>
      </c>
      <c r="C177" s="35" t="str" cm="1">
        <f t="array" ref="C177">INDEX('III-PA'!$C$18:$C$2661,1+MATCH(_xlfn.CONCAT(" ",A177," "),'III-PA'!$A$18:$A$2661,0))</f>
        <v>SINAPI</v>
      </c>
      <c r="D177" s="35" t="str" cm="1">
        <f t="array" ref="D177">INDEX('III-PA'!$A$18:$A$2661,1+MATCH(_xlfn.CONCAT(" ",A177," "),'III-PA'!$A$18:$A$2661,0))</f>
        <v>Composição</v>
      </c>
      <c r="E177" s="35" t="str" cm="1">
        <f t="array" ref="E177">INDEX('III-PA'!$D$18:$D$2661,1+MATCH(_xlfn.CONCAT(" ",A177," "),'III-PA'!$A$18:$A$2661,0))</f>
        <v>JOELHO 90 GRAUS, PVC, SOLDÁVEL, DN 25MM, INSTALADO EM RAMAL OU SUB-RAMAL DE ÁGUA - FORNECIMENTO E INSTALAÇÃO. AF_06/2022</v>
      </c>
      <c r="F177" s="35" t="str" cm="1">
        <f t="array" ref="F177">INDEX('III-PA'!$G$18:$G$2661,1+MATCH(_xlfn.CONCAT(" ",A177," "),'III-PA'!$A$18:$A$2661,0))</f>
        <v>UN</v>
      </c>
      <c r="G177" s="50">
        <f>VLOOKUP(A177,'IV-MEMORIAL'!$A$17:$N$2203,14,0)</f>
        <v>2</v>
      </c>
      <c r="H177" s="51">
        <f t="shared" si="120"/>
        <v>0.252</v>
      </c>
      <c r="I177" s="36" cm="1">
        <f t="array" ref="I177">INDEX('III-PA'!$I$18:$I$2661,1+MATCH(_xlfn.CONCAT(" ",A177," "),'III-PA'!$A$18:$A$2661,0))</f>
        <v>10.039999999999999</v>
      </c>
      <c r="J177" s="36">
        <f t="shared" si="121"/>
        <v>12.57</v>
      </c>
      <c r="K177" s="36">
        <f t="shared" si="122"/>
        <v>20.079999999999998</v>
      </c>
      <c r="L177" s="36">
        <f t="shared" si="123"/>
        <v>5.0600000000000023</v>
      </c>
      <c r="M177" s="97">
        <f t="shared" si="124"/>
        <v>25.14</v>
      </c>
    </row>
    <row r="178" spans="1:13" ht="60" x14ac:dyDescent="0.2">
      <c r="A178" s="96" t="s">
        <v>612</v>
      </c>
      <c r="B178" s="35" t="str" cm="1">
        <f t="array" ref="B178">INDEX('III-PA'!$B$18:$B$2661,1+MATCH(_xlfn.CONCAT(" ",'II-PO'!A178," "),'III-PA'!$A$18:$A$2661,0))</f>
        <v xml:space="preserve"> 89379 </v>
      </c>
      <c r="C178" s="35" t="str" cm="1">
        <f t="array" ref="C178">INDEX('III-PA'!$C$18:$C$2661,1+MATCH(_xlfn.CONCAT(" ",A178," "),'III-PA'!$A$18:$A$2661,0))</f>
        <v>SINAPI</v>
      </c>
      <c r="D178" s="35" t="str" cm="1">
        <f t="array" ref="D178">INDEX('III-PA'!$A$18:$A$2661,1+MATCH(_xlfn.CONCAT(" ",A178," "),'III-PA'!$A$18:$A$2661,0))</f>
        <v>Composição</v>
      </c>
      <c r="E178" s="35" t="str" cm="1">
        <f t="array" ref="E178">INDEX('III-PA'!$D$18:$D$2661,1+MATCH(_xlfn.CONCAT(" ",A178," "),'III-PA'!$A$18:$A$2661,0))</f>
        <v>LUVA DE CORRER, PVC, SOLDÁVEL, DN 25MM, INSTALADO EM RAMAL OU SUB-RAMAL DE ÁGUA - FORNECIMENTO E INSTALAÇÃO. AF_12/2014</v>
      </c>
      <c r="F178" s="35" t="str" cm="1">
        <f t="array" ref="F178">INDEX('III-PA'!$G$18:$G$2661,1+MATCH(_xlfn.CONCAT(" ",A178," "),'III-PA'!$A$18:$A$2661,0))</f>
        <v>UN</v>
      </c>
      <c r="G178" s="50">
        <f>VLOOKUP(A178,'IV-MEMORIAL'!$A$17:$N$2203,14,0)</f>
        <v>1</v>
      </c>
      <c r="H178" s="51">
        <f t="shared" si="120"/>
        <v>0.252</v>
      </c>
      <c r="I178" s="36" cm="1">
        <f t="array" ref="I178">INDEX('III-PA'!$I$18:$I$2661,1+MATCH(_xlfn.CONCAT(" ",A178," "),'III-PA'!$A$18:$A$2661,0))</f>
        <v>20.78</v>
      </c>
      <c r="J178" s="36">
        <f t="shared" si="121"/>
        <v>26.01</v>
      </c>
      <c r="K178" s="36">
        <f t="shared" si="122"/>
        <v>20.78</v>
      </c>
      <c r="L178" s="36">
        <f t="shared" si="123"/>
        <v>5.23</v>
      </c>
      <c r="M178" s="97">
        <f t="shared" si="124"/>
        <v>26.01</v>
      </c>
    </row>
    <row r="179" spans="1:13" ht="60" x14ac:dyDescent="0.2">
      <c r="A179" s="96" t="s">
        <v>613</v>
      </c>
      <c r="B179" s="35" t="str" cm="1">
        <f t="array" ref="B179">INDEX('III-PA'!$B$18:$B$2661,1+MATCH(_xlfn.CONCAT(" ",'II-PO'!A179," "),'III-PA'!$A$18:$A$2661,0))</f>
        <v xml:space="preserve"> 89356 </v>
      </c>
      <c r="C179" s="35" t="str" cm="1">
        <f t="array" ref="C179">INDEX('III-PA'!$C$18:$C$2661,1+MATCH(_xlfn.CONCAT(" ",A179," "),'III-PA'!$A$18:$A$2661,0))</f>
        <v>SINAPI</v>
      </c>
      <c r="D179" s="35" t="str" cm="1">
        <f t="array" ref="D179">INDEX('III-PA'!$A$18:$A$2661,1+MATCH(_xlfn.CONCAT(" ",A179," "),'III-PA'!$A$18:$A$2661,0))</f>
        <v>Composição</v>
      </c>
      <c r="E179" s="35" t="str" cm="1">
        <f t="array" ref="E179">INDEX('III-PA'!$D$18:$D$2661,1+MATCH(_xlfn.CONCAT(" ",A179," "),'III-PA'!$A$18:$A$2661,0))</f>
        <v>TUBO, PVC, SOLDÁVEL, DE 25MM, INSTALADO EM RAMAL OU SUB-RAMAL DE ÁGUA - FORNECIMENTO E INSTALAÇÃO. AF_06/2022</v>
      </c>
      <c r="F179" s="35" t="str" cm="1">
        <f t="array" ref="F179">INDEX('III-PA'!$G$18:$G$2661,1+MATCH(_xlfn.CONCAT(" ",A179," "),'III-PA'!$A$18:$A$2661,0))</f>
        <v>M</v>
      </c>
      <c r="G179" s="50">
        <f>VLOOKUP(A179,'IV-MEMORIAL'!$A$17:$N$2203,14,0)</f>
        <v>4.05</v>
      </c>
      <c r="H179" s="51">
        <f t="shared" si="120"/>
        <v>0.252</v>
      </c>
      <c r="I179" s="36" cm="1">
        <f t="array" ref="I179">INDEX('III-PA'!$I$18:$I$2661,1+MATCH(_xlfn.CONCAT(" ",A179," "),'III-PA'!$A$18:$A$2661,0))</f>
        <v>25.56</v>
      </c>
      <c r="J179" s="36">
        <f t="shared" si="121"/>
        <v>32</v>
      </c>
      <c r="K179" s="36">
        <f t="shared" si="122"/>
        <v>103.51</v>
      </c>
      <c r="L179" s="36">
        <f t="shared" si="123"/>
        <v>26.089999999999989</v>
      </c>
      <c r="M179" s="97">
        <f t="shared" si="124"/>
        <v>129.6</v>
      </c>
    </row>
    <row r="180" spans="1:13" ht="60" x14ac:dyDescent="0.2">
      <c r="A180" s="96" t="s">
        <v>614</v>
      </c>
      <c r="B180" s="35" t="str" cm="1">
        <f t="array" ref="B180">INDEX('III-PA'!$B$18:$B$2661,1+MATCH(_xlfn.CONCAT(" ",'II-PO'!A180," "),'III-PA'!$A$18:$A$2661,0))</f>
        <v xml:space="preserve"> 89395 </v>
      </c>
      <c r="C180" s="35" t="str" cm="1">
        <f t="array" ref="C180">INDEX('III-PA'!$C$18:$C$2661,1+MATCH(_xlfn.CONCAT(" ",A180," "),'III-PA'!$A$18:$A$2661,0))</f>
        <v>SINAPI</v>
      </c>
      <c r="D180" s="35" t="str" cm="1">
        <f t="array" ref="D180">INDEX('III-PA'!$A$18:$A$2661,1+MATCH(_xlfn.CONCAT(" ",A180," "),'III-PA'!$A$18:$A$2661,0))</f>
        <v>Composição</v>
      </c>
      <c r="E180" s="35" t="str" cm="1">
        <f t="array" ref="E180">INDEX('III-PA'!$D$18:$D$2661,1+MATCH(_xlfn.CONCAT(" ",A180," "),'III-PA'!$A$18:$A$2661,0))</f>
        <v>TE, PVC, SOLDÁVEL, DN 25MM, INSTALADO EM RAMAL OU SUB-RAMAL DE ÁGUA - FORNECIMENTO E INSTALAÇÃO. AF_06/2022</v>
      </c>
      <c r="F180" s="35" t="str" cm="1">
        <f t="array" ref="F180">INDEX('III-PA'!$G$18:$G$2661,1+MATCH(_xlfn.CONCAT(" ",A180," "),'III-PA'!$A$18:$A$2661,0))</f>
        <v>UN</v>
      </c>
      <c r="G180" s="50">
        <f>VLOOKUP(A180,'IV-MEMORIAL'!$A$17:$N$2203,14,0)</f>
        <v>1</v>
      </c>
      <c r="H180" s="51">
        <f t="shared" si="120"/>
        <v>0.252</v>
      </c>
      <c r="I180" s="36" cm="1">
        <f t="array" ref="I180">INDEX('III-PA'!$I$18:$I$2661,1+MATCH(_xlfn.CONCAT(" ",A180," "),'III-PA'!$A$18:$A$2661,0))</f>
        <v>13.84</v>
      </c>
      <c r="J180" s="36">
        <f t="shared" si="121"/>
        <v>17.32</v>
      </c>
      <c r="K180" s="36">
        <f t="shared" si="122"/>
        <v>13.84</v>
      </c>
      <c r="L180" s="36">
        <f t="shared" si="123"/>
        <v>3.4800000000000004</v>
      </c>
      <c r="M180" s="97">
        <f t="shared" si="124"/>
        <v>17.32</v>
      </c>
    </row>
    <row r="181" spans="1:13" ht="30" x14ac:dyDescent="0.2">
      <c r="A181" s="96" t="s">
        <v>615</v>
      </c>
      <c r="B181" s="35" t="str" cm="1">
        <f t="array" ref="B181">INDEX('III-PA'!$B$18:$B$2661,1+MATCH(_xlfn.CONCAT(" ",'II-PO'!A181," "),'III-PA'!$A$18:$A$2661,0))</f>
        <v xml:space="preserve"> 081360 </v>
      </c>
      <c r="C181" s="35" t="str" cm="1">
        <f t="array" ref="C181">INDEX('III-PA'!$C$18:$C$2661,1+MATCH(_xlfn.CONCAT(" ",A181," "),'III-PA'!$A$18:$A$2661,0))</f>
        <v>AGETOP CIVIL</v>
      </c>
      <c r="D181" s="35" t="str" cm="1">
        <f t="array" ref="D181">INDEX('III-PA'!$A$18:$A$2661,1+MATCH(_xlfn.CONCAT(" ",A181," "),'III-PA'!$A$18:$A$2661,0))</f>
        <v>Composição</v>
      </c>
      <c r="E181" s="35" t="str" cm="1">
        <f t="array" ref="E181">INDEX('III-PA'!$D$18:$D$2661,1+MATCH(_xlfn.CONCAT(" ",A181," "),'III-PA'!$A$18:$A$2661,0))</f>
        <v>JOELHO DE REDUCAO 90 GRAUS SOLDÁVEL COM BUCHA LATAO 25X1/2"</v>
      </c>
      <c r="F181" s="35" t="str" cm="1">
        <f t="array" ref="F181">INDEX('III-PA'!$G$18:$G$2661,1+MATCH(_xlfn.CONCAT(" ",A181," "),'III-PA'!$A$18:$A$2661,0))</f>
        <v>Un</v>
      </c>
      <c r="G181" s="50">
        <f>VLOOKUP(A181,'IV-MEMORIAL'!$A$17:$N$2203,14,0)</f>
        <v>2</v>
      </c>
      <c r="H181" s="51">
        <f t="shared" si="120"/>
        <v>0.252</v>
      </c>
      <c r="I181" s="36" cm="1">
        <f t="array" ref="I181">INDEX('III-PA'!$I$18:$I$2661,1+MATCH(_xlfn.CONCAT(" ",A181," "),'III-PA'!$A$18:$A$2661,0))</f>
        <v>11.99</v>
      </c>
      <c r="J181" s="36">
        <f t="shared" si="121"/>
        <v>15.01</v>
      </c>
      <c r="K181" s="36">
        <f t="shared" si="122"/>
        <v>23.98</v>
      </c>
      <c r="L181" s="36">
        <f t="shared" si="123"/>
        <v>6.0399999999999991</v>
      </c>
      <c r="M181" s="97">
        <f t="shared" si="124"/>
        <v>30.02</v>
      </c>
    </row>
    <row r="182" spans="1:13" ht="15.75" x14ac:dyDescent="0.2">
      <c r="A182" s="163" t="s">
        <v>557</v>
      </c>
      <c r="B182" s="164"/>
      <c r="C182" s="164"/>
      <c r="D182" s="164"/>
      <c r="E182" s="164" t="s">
        <v>559</v>
      </c>
      <c r="F182" s="164"/>
      <c r="G182" s="164"/>
      <c r="H182" s="165"/>
      <c r="I182" s="166"/>
      <c r="J182" s="166"/>
      <c r="K182" s="166">
        <f>SUM(K183:K190)</f>
        <v>1039.22</v>
      </c>
      <c r="L182" s="166">
        <f t="shared" ref="L182:M182" si="125">SUM(L183:L190)</f>
        <v>261.78999999999996</v>
      </c>
      <c r="M182" s="166">
        <f t="shared" si="125"/>
        <v>1301.01</v>
      </c>
    </row>
    <row r="183" spans="1:13" ht="60" x14ac:dyDescent="0.2">
      <c r="A183" s="96" t="s">
        <v>558</v>
      </c>
      <c r="B183" s="35" t="str" cm="1">
        <f t="array" ref="B183">INDEX('III-PA'!$B$18:$B$2661,1+MATCH(_xlfn.CONCAT(" ",'II-PO'!A183," "),'III-PA'!$A$18:$A$2661,0))</f>
        <v xml:space="preserve"> 86909 </v>
      </c>
      <c r="C183" s="35" t="str" cm="1">
        <f t="array" ref="C183">INDEX('III-PA'!$C$18:$C$2661,1+MATCH(_xlfn.CONCAT(" ",A183," "),'III-PA'!$A$18:$A$2661,0))</f>
        <v>SINAPI</v>
      </c>
      <c r="D183" s="35" t="str" cm="1">
        <f t="array" ref="D183">INDEX('III-PA'!$A$18:$A$2661,1+MATCH(_xlfn.CONCAT(" ",A183," "),'III-PA'!$A$18:$A$2661,0))</f>
        <v>Composição</v>
      </c>
      <c r="E183" s="35" t="str" cm="1">
        <f t="array" ref="E183">INDEX('III-PA'!$D$18:$D$2661,1+MATCH(_xlfn.CONCAT(" ",A183," "),'III-PA'!$A$18:$A$2661,0))</f>
        <v>TORNEIRA CROMADA TUBO MÓVEL, DE MESA, 1/2" OU 3/4", PARA PIA DE COZINHA, PADRÃO ALTO - FORNECIMENTO E INSTALAÇÃO. AF_01/2020</v>
      </c>
      <c r="F183" s="35" t="str" cm="1">
        <f t="array" ref="F183">INDEX('III-PA'!$G$18:$G$2661,1+MATCH(_xlfn.CONCAT(" ",A183," "),'III-PA'!$A$18:$A$2661,0))</f>
        <v>UN</v>
      </c>
      <c r="G183" s="50">
        <f>VLOOKUP(A183,'IV-MEMORIAL'!$A$17:$N$2203,14,0)</f>
        <v>1</v>
      </c>
      <c r="H183" s="51">
        <f t="shared" ref="H183:H190" si="126">$L$14</f>
        <v>0.252</v>
      </c>
      <c r="I183" s="36" cm="1">
        <f t="array" ref="I183">INDEX('III-PA'!$I$18:$I$2661,1+MATCH(_xlfn.CONCAT(" ",A183," "),'III-PA'!$A$18:$A$2661,0))</f>
        <v>140.22999999999999</v>
      </c>
      <c r="J183" s="36">
        <f t="shared" ref="J183:J190" si="127">TRUNC(I183*(1+H183),2)</f>
        <v>175.56</v>
      </c>
      <c r="K183" s="36">
        <f t="shared" ref="K183:K190" si="128">TRUNC(I183*G183,2)</f>
        <v>140.22999999999999</v>
      </c>
      <c r="L183" s="36">
        <f t="shared" ref="L183:L190" si="129">M183-K183</f>
        <v>35.330000000000013</v>
      </c>
      <c r="M183" s="97">
        <f t="shared" ref="M183:M190" si="130">TRUNC(G183*J183,2)</f>
        <v>175.56</v>
      </c>
    </row>
    <row r="184" spans="1:13" ht="60" x14ac:dyDescent="0.2">
      <c r="A184" s="96" t="s">
        <v>616</v>
      </c>
      <c r="B184" s="35" t="str" cm="1">
        <f t="array" ref="B184">INDEX('III-PA'!$B$18:$B$2661,1+MATCH(_xlfn.CONCAT(" ",'II-PO'!A184," "),'III-PA'!$A$18:$A$2661,0))</f>
        <v xml:space="preserve"> 86915 </v>
      </c>
      <c r="C184" s="35" t="str" cm="1">
        <f t="array" ref="C184">INDEX('III-PA'!$C$18:$C$2661,1+MATCH(_xlfn.CONCAT(" ",A184," "),'III-PA'!$A$18:$A$2661,0))</f>
        <v>SINAPI</v>
      </c>
      <c r="D184" s="35" t="str" cm="1">
        <f t="array" ref="D184">INDEX('III-PA'!$A$18:$A$2661,1+MATCH(_xlfn.CONCAT(" ",A184," "),'III-PA'!$A$18:$A$2661,0))</f>
        <v>Composição</v>
      </c>
      <c r="E184" s="35" t="str" cm="1">
        <f t="array" ref="E184">INDEX('III-PA'!$D$18:$D$2661,1+MATCH(_xlfn.CONCAT(" ",A184," "),'III-PA'!$A$18:$A$2661,0))</f>
        <v>TORNEIRA CROMADA DE MESA, 1/2" OU 3/4", PARA LAVATÓRIO, PADRÃO MÉDIO - FORNECIMENTO E INSTALAÇÃO. AF_01/2020</v>
      </c>
      <c r="F184" s="35" t="str" cm="1">
        <f t="array" ref="F184">INDEX('III-PA'!$G$18:$G$2661,1+MATCH(_xlfn.CONCAT(" ",A184," "),'III-PA'!$A$18:$A$2661,0))</f>
        <v>UN</v>
      </c>
      <c r="G184" s="50">
        <f>VLOOKUP(A184,'IV-MEMORIAL'!$A$17:$N$2203,14,0)</f>
        <v>1</v>
      </c>
      <c r="H184" s="51">
        <f t="shared" si="126"/>
        <v>0.252</v>
      </c>
      <c r="I184" s="36" cm="1">
        <f t="array" ref="I184">INDEX('III-PA'!$I$18:$I$2661,1+MATCH(_xlfn.CONCAT(" ",A184," "),'III-PA'!$A$18:$A$2661,0))</f>
        <v>154.25</v>
      </c>
      <c r="J184" s="36">
        <f t="shared" si="127"/>
        <v>193.12</v>
      </c>
      <c r="K184" s="36">
        <f t="shared" si="128"/>
        <v>154.25</v>
      </c>
      <c r="L184" s="36">
        <f t="shared" si="129"/>
        <v>38.870000000000005</v>
      </c>
      <c r="M184" s="97">
        <f t="shared" si="130"/>
        <v>193.12</v>
      </c>
    </row>
    <row r="185" spans="1:13" ht="30" x14ac:dyDescent="0.2">
      <c r="A185" s="96" t="s">
        <v>617</v>
      </c>
      <c r="B185" s="35" t="str" cm="1">
        <f t="array" ref="B185">INDEX('III-PA'!$B$18:$B$2661,1+MATCH(_xlfn.CONCAT(" ",'II-PO'!A185," "),'III-PA'!$A$18:$A$2661,0))</f>
        <v xml:space="preserve"> 080926 </v>
      </c>
      <c r="C185" s="35" t="str" cm="1">
        <f t="array" ref="C185">INDEX('III-PA'!$C$18:$C$2661,1+MATCH(_xlfn.CONCAT(" ",A185," "),'III-PA'!$A$18:$A$2661,0))</f>
        <v>AGETOP CIVIL</v>
      </c>
      <c r="D185" s="35" t="str" cm="1">
        <f t="array" ref="D185">INDEX('III-PA'!$A$18:$A$2661,1+MATCH(_xlfn.CONCAT(" ",A185," "),'III-PA'!$A$18:$A$2661,0))</f>
        <v>Composição</v>
      </c>
      <c r="E185" s="35" t="str" cm="1">
        <f t="array" ref="E185">INDEX('III-PA'!$D$18:$D$2661,1+MATCH(_xlfn.CONCAT(" ",A185," "),'III-PA'!$A$18:$A$2661,0))</f>
        <v>REGISTRO DE GAVETA C/CANOPLA DIAMETRO 3/4"</v>
      </c>
      <c r="F185" s="35" t="str" cm="1">
        <f t="array" ref="F185">INDEX('III-PA'!$G$18:$G$2661,1+MATCH(_xlfn.CONCAT(" ",A185," "),'III-PA'!$A$18:$A$2661,0))</f>
        <v>Un</v>
      </c>
      <c r="G185" s="50">
        <f>VLOOKUP(A185,'IV-MEMORIAL'!$A$17:$N$2203,14,0)</f>
        <v>3</v>
      </c>
      <c r="H185" s="51">
        <f t="shared" si="126"/>
        <v>0.252</v>
      </c>
      <c r="I185" s="36" cm="1">
        <f t="array" ref="I185">INDEX('III-PA'!$I$18:$I$2661,1+MATCH(_xlfn.CONCAT(" ",A185," "),'III-PA'!$A$18:$A$2661,0))</f>
        <v>133.19999999999999</v>
      </c>
      <c r="J185" s="36">
        <f t="shared" si="127"/>
        <v>166.76</v>
      </c>
      <c r="K185" s="36">
        <f t="shared" si="128"/>
        <v>399.6</v>
      </c>
      <c r="L185" s="36">
        <f t="shared" si="129"/>
        <v>100.67999999999995</v>
      </c>
      <c r="M185" s="97">
        <f t="shared" si="130"/>
        <v>500.28</v>
      </c>
    </row>
    <row r="186" spans="1:13" ht="75" x14ac:dyDescent="0.2">
      <c r="A186" s="96" t="s">
        <v>618</v>
      </c>
      <c r="B186" s="35" t="str" cm="1">
        <f t="array" ref="B186">INDEX('III-PA'!$B$18:$B$2661,1+MATCH(_xlfn.CONCAT(" ",'II-PO'!A186," "),'III-PA'!$A$18:$A$2661,0))</f>
        <v xml:space="preserve"> 89383 </v>
      </c>
      <c r="C186" s="35" t="str" cm="1">
        <f t="array" ref="C186">INDEX('III-PA'!$C$18:$C$2661,1+MATCH(_xlfn.CONCAT(" ",A186," "),'III-PA'!$A$18:$A$2661,0))</f>
        <v>SINAPI</v>
      </c>
      <c r="D186" s="35" t="str" cm="1">
        <f t="array" ref="D186">INDEX('III-PA'!$A$18:$A$2661,1+MATCH(_xlfn.CONCAT(" ",A186," "),'III-PA'!$A$18:$A$2661,0))</f>
        <v>Composição</v>
      </c>
      <c r="E186" s="35" t="str" cm="1">
        <f t="array" ref="E186">INDEX('III-PA'!$D$18:$D$2661,1+MATCH(_xlfn.CONCAT(" ",A186," "),'III-PA'!$A$18:$A$2661,0))</f>
        <v>ADAPTADOR CURTO COM BOLSA E ROSCA PARA REGISTRO, PVC, SOLDÁVEL, DN 25MM X 3/4, INSTALADO EM RAMAL OU SUB-RAMAL DE ÁGUA - FORNECIMENTO E INSTALAÇÃO. AF_06/2022</v>
      </c>
      <c r="F186" s="35" t="str" cm="1">
        <f t="array" ref="F186">INDEX('III-PA'!$G$18:$G$2661,1+MATCH(_xlfn.CONCAT(" ",A186," "),'III-PA'!$A$18:$A$2661,0))</f>
        <v>UN</v>
      </c>
      <c r="G186" s="50">
        <f>VLOOKUP(A186,'IV-MEMORIAL'!$A$17:$N$2203,14,0)</f>
        <v>6</v>
      </c>
      <c r="H186" s="51">
        <f t="shared" si="126"/>
        <v>0.252</v>
      </c>
      <c r="I186" s="36" cm="1">
        <f t="array" ref="I186">INDEX('III-PA'!$I$18:$I$2661,1+MATCH(_xlfn.CONCAT(" ",A186," "),'III-PA'!$A$18:$A$2661,0))</f>
        <v>7.01</v>
      </c>
      <c r="J186" s="36">
        <f t="shared" si="127"/>
        <v>8.77</v>
      </c>
      <c r="K186" s="36">
        <f t="shared" si="128"/>
        <v>42.06</v>
      </c>
      <c r="L186" s="36">
        <f t="shared" si="129"/>
        <v>10.559999999999995</v>
      </c>
      <c r="M186" s="97">
        <f t="shared" si="130"/>
        <v>52.62</v>
      </c>
    </row>
    <row r="187" spans="1:13" ht="60" x14ac:dyDescent="0.2">
      <c r="A187" s="96" t="s">
        <v>619</v>
      </c>
      <c r="B187" s="35" t="str" cm="1">
        <f t="array" ref="B187">INDEX('III-PA'!$B$18:$B$2661,1+MATCH(_xlfn.CONCAT(" ",'II-PO'!A187," "),'III-PA'!$A$18:$A$2661,0))</f>
        <v xml:space="preserve"> 89362 </v>
      </c>
      <c r="C187" s="35" t="str" cm="1">
        <f t="array" ref="C187">INDEX('III-PA'!$C$18:$C$2661,1+MATCH(_xlfn.CONCAT(" ",A187," "),'III-PA'!$A$18:$A$2661,0))</f>
        <v>SINAPI</v>
      </c>
      <c r="D187" s="35" t="str" cm="1">
        <f t="array" ref="D187">INDEX('III-PA'!$A$18:$A$2661,1+MATCH(_xlfn.CONCAT(" ",A187," "),'III-PA'!$A$18:$A$2661,0))</f>
        <v>Composição</v>
      </c>
      <c r="E187" s="35" t="str" cm="1">
        <f t="array" ref="E187">INDEX('III-PA'!$D$18:$D$2661,1+MATCH(_xlfn.CONCAT(" ",A187," "),'III-PA'!$A$18:$A$2661,0))</f>
        <v>JOELHO 90 GRAUS, PVC, SOLDÁVEL, DN 25MM, INSTALADO EM RAMAL OU SUB-RAMAL DE ÁGUA - FORNECIMENTO E INSTALAÇÃO. AF_06/2022</v>
      </c>
      <c r="F187" s="35" t="str" cm="1">
        <f t="array" ref="F187">INDEX('III-PA'!$G$18:$G$2661,1+MATCH(_xlfn.CONCAT(" ",A187," "),'III-PA'!$A$18:$A$2661,0))</f>
        <v>UN</v>
      </c>
      <c r="G187" s="50">
        <f>VLOOKUP(A187,'IV-MEMORIAL'!$A$17:$N$2203,14,0)</f>
        <v>4</v>
      </c>
      <c r="H187" s="51">
        <f t="shared" si="126"/>
        <v>0.252</v>
      </c>
      <c r="I187" s="36" cm="1">
        <f t="array" ref="I187">INDEX('III-PA'!$I$18:$I$2661,1+MATCH(_xlfn.CONCAT(" ",A187," "),'III-PA'!$A$18:$A$2661,0))</f>
        <v>10.039999999999999</v>
      </c>
      <c r="J187" s="36">
        <f t="shared" si="127"/>
        <v>12.57</v>
      </c>
      <c r="K187" s="36">
        <f t="shared" si="128"/>
        <v>40.159999999999997</v>
      </c>
      <c r="L187" s="36">
        <f t="shared" si="129"/>
        <v>10.120000000000005</v>
      </c>
      <c r="M187" s="97">
        <f t="shared" si="130"/>
        <v>50.28</v>
      </c>
    </row>
    <row r="188" spans="1:13" ht="60" x14ac:dyDescent="0.2">
      <c r="A188" s="96" t="s">
        <v>620</v>
      </c>
      <c r="B188" s="35" t="str" cm="1">
        <f t="array" ref="B188">INDEX('III-PA'!$B$18:$B$2661,1+MATCH(_xlfn.CONCAT(" ",'II-PO'!A188," "),'III-PA'!$A$18:$A$2661,0))</f>
        <v xml:space="preserve"> 89379 </v>
      </c>
      <c r="C188" s="35" t="str" cm="1">
        <f t="array" ref="C188">INDEX('III-PA'!$C$18:$C$2661,1+MATCH(_xlfn.CONCAT(" ",A188," "),'III-PA'!$A$18:$A$2661,0))</f>
        <v>SINAPI</v>
      </c>
      <c r="D188" s="35" t="str" cm="1">
        <f t="array" ref="D188">INDEX('III-PA'!$A$18:$A$2661,1+MATCH(_xlfn.CONCAT(" ",A188," "),'III-PA'!$A$18:$A$2661,0))</f>
        <v>Composição</v>
      </c>
      <c r="E188" s="35" t="str" cm="1">
        <f t="array" ref="E188">INDEX('III-PA'!$D$18:$D$2661,1+MATCH(_xlfn.CONCAT(" ",A188," "),'III-PA'!$A$18:$A$2661,0))</f>
        <v>LUVA DE CORRER, PVC, SOLDÁVEL, DN 25MM, INSTALADO EM RAMAL OU SUB-RAMAL DE ÁGUA - FORNECIMENTO E INSTALAÇÃO. AF_12/2014</v>
      </c>
      <c r="F188" s="35" t="str" cm="1">
        <f t="array" ref="F188">INDEX('III-PA'!$G$18:$G$2661,1+MATCH(_xlfn.CONCAT(" ",A188," "),'III-PA'!$A$18:$A$2661,0))</f>
        <v>UN</v>
      </c>
      <c r="G188" s="50">
        <f>VLOOKUP(A188,'IV-MEMORIAL'!$A$17:$N$2203,14,0)</f>
        <v>3</v>
      </c>
      <c r="H188" s="51">
        <f t="shared" si="126"/>
        <v>0.252</v>
      </c>
      <c r="I188" s="36" cm="1">
        <f t="array" ref="I188">INDEX('III-PA'!$I$18:$I$2661,1+MATCH(_xlfn.CONCAT(" ",A188," "),'III-PA'!$A$18:$A$2661,0))</f>
        <v>20.78</v>
      </c>
      <c r="J188" s="36">
        <f t="shared" si="127"/>
        <v>26.01</v>
      </c>
      <c r="K188" s="36">
        <f t="shared" si="128"/>
        <v>62.34</v>
      </c>
      <c r="L188" s="36">
        <f t="shared" si="129"/>
        <v>15.689999999999998</v>
      </c>
      <c r="M188" s="97">
        <f t="shared" si="130"/>
        <v>78.03</v>
      </c>
    </row>
    <row r="189" spans="1:13" ht="60" x14ac:dyDescent="0.2">
      <c r="A189" s="96" t="s">
        <v>621</v>
      </c>
      <c r="B189" s="35" t="str" cm="1">
        <f t="array" ref="B189">INDEX('III-PA'!$B$18:$B$2661,1+MATCH(_xlfn.CONCAT(" ",'II-PO'!A189," "),'III-PA'!$A$18:$A$2661,0))</f>
        <v xml:space="preserve"> 89356 </v>
      </c>
      <c r="C189" s="35" t="str" cm="1">
        <f t="array" ref="C189">INDEX('III-PA'!$C$18:$C$2661,1+MATCH(_xlfn.CONCAT(" ",A189," "),'III-PA'!$A$18:$A$2661,0))</f>
        <v>SINAPI</v>
      </c>
      <c r="D189" s="35" t="str" cm="1">
        <f t="array" ref="D189">INDEX('III-PA'!$A$18:$A$2661,1+MATCH(_xlfn.CONCAT(" ",A189," "),'III-PA'!$A$18:$A$2661,0))</f>
        <v>Composição</v>
      </c>
      <c r="E189" s="35" t="str" cm="1">
        <f t="array" ref="E189">INDEX('III-PA'!$D$18:$D$2661,1+MATCH(_xlfn.CONCAT(" ",A189," "),'III-PA'!$A$18:$A$2661,0))</f>
        <v>TUBO, PVC, SOLDÁVEL, DE 25MM, INSTALADO EM RAMAL OU SUB-RAMAL DE ÁGUA - FORNECIMENTO E INSTALAÇÃO. AF_06/2022</v>
      </c>
      <c r="F189" s="35" t="str" cm="1">
        <f t="array" ref="F189">INDEX('III-PA'!$G$18:$G$2661,1+MATCH(_xlfn.CONCAT(" ",A189," "),'III-PA'!$A$18:$A$2661,0))</f>
        <v>M</v>
      </c>
      <c r="G189" s="50">
        <f>VLOOKUP(A189,'IV-MEMORIAL'!$A$17:$N$2203,14,0)</f>
        <v>6.86</v>
      </c>
      <c r="H189" s="51">
        <f t="shared" si="126"/>
        <v>0.252</v>
      </c>
      <c r="I189" s="36" cm="1">
        <f t="array" ref="I189">INDEX('III-PA'!$I$18:$I$2661,1+MATCH(_xlfn.CONCAT(" ",A189," "),'III-PA'!$A$18:$A$2661,0))</f>
        <v>25.56</v>
      </c>
      <c r="J189" s="36">
        <f t="shared" si="127"/>
        <v>32</v>
      </c>
      <c r="K189" s="36">
        <f t="shared" si="128"/>
        <v>175.34</v>
      </c>
      <c r="L189" s="36">
        <f t="shared" si="129"/>
        <v>44.180000000000007</v>
      </c>
      <c r="M189" s="97">
        <f t="shared" si="130"/>
        <v>219.52</v>
      </c>
    </row>
    <row r="190" spans="1:13" ht="30" x14ac:dyDescent="0.2">
      <c r="A190" s="96" t="s">
        <v>622</v>
      </c>
      <c r="B190" s="35" t="str" cm="1">
        <f t="array" ref="B190">INDEX('III-PA'!$B$18:$B$2661,1+MATCH(_xlfn.CONCAT(" ",'II-PO'!A190," "),'III-PA'!$A$18:$A$2661,0))</f>
        <v xml:space="preserve"> 081369 </v>
      </c>
      <c r="C190" s="35" t="str" cm="1">
        <f t="array" ref="C190">INDEX('III-PA'!$C$18:$C$2661,1+MATCH(_xlfn.CONCAT(" ",A190," "),'III-PA'!$A$18:$A$2661,0))</f>
        <v>AGETOP CIVIL</v>
      </c>
      <c r="D190" s="35" t="str" cm="1">
        <f t="array" ref="D190">INDEX('III-PA'!$A$18:$A$2661,1+MATCH(_xlfn.CONCAT(" ",A190," "),'III-PA'!$A$18:$A$2661,0))</f>
        <v>Composição</v>
      </c>
      <c r="E190" s="35" t="str" cm="1">
        <f t="array" ref="E190">INDEX('III-PA'!$D$18:$D$2661,1+MATCH(_xlfn.CONCAT(" ",A190," "),'III-PA'!$A$18:$A$2661,0))</f>
        <v>JOELHO 90 GRAUS SOLDAVEL COM BUCHA DE LATAO 25 X 3/4"</v>
      </c>
      <c r="F190" s="35" t="str" cm="1">
        <f t="array" ref="F190">INDEX('III-PA'!$G$18:$G$2661,1+MATCH(_xlfn.CONCAT(" ",A190," "),'III-PA'!$A$18:$A$2661,0))</f>
        <v>Un</v>
      </c>
      <c r="G190" s="50">
        <f>VLOOKUP(A190,'IV-MEMORIAL'!$A$17:$N$2203,14,0)</f>
        <v>2</v>
      </c>
      <c r="H190" s="51">
        <f t="shared" si="126"/>
        <v>0.252</v>
      </c>
      <c r="I190" s="36" cm="1">
        <f t="array" ref="I190">INDEX('III-PA'!$I$18:$I$2661,1+MATCH(_xlfn.CONCAT(" ",A190," "),'III-PA'!$A$18:$A$2661,0))</f>
        <v>12.62</v>
      </c>
      <c r="J190" s="36">
        <f t="shared" si="127"/>
        <v>15.8</v>
      </c>
      <c r="K190" s="36">
        <f t="shared" si="128"/>
        <v>25.24</v>
      </c>
      <c r="L190" s="36">
        <f t="shared" si="129"/>
        <v>6.360000000000003</v>
      </c>
      <c r="M190" s="97">
        <f t="shared" si="130"/>
        <v>31.6</v>
      </c>
    </row>
    <row r="191" spans="1:13" ht="15.75" x14ac:dyDescent="0.2">
      <c r="A191" s="163" t="s">
        <v>561</v>
      </c>
      <c r="B191" s="164"/>
      <c r="C191" s="164"/>
      <c r="D191" s="164"/>
      <c r="E191" s="164" t="s">
        <v>562</v>
      </c>
      <c r="F191" s="164"/>
      <c r="G191" s="164"/>
      <c r="H191" s="165"/>
      <c r="I191" s="166"/>
      <c r="J191" s="166"/>
      <c r="K191" s="166">
        <f>SUM(K192:K198)</f>
        <v>625.22</v>
      </c>
      <c r="L191" s="166">
        <f t="shared" ref="L191:M191" si="131">SUM(L192:L198)</f>
        <v>157.5</v>
      </c>
      <c r="M191" s="166">
        <f t="shared" si="131"/>
        <v>782.71999999999991</v>
      </c>
    </row>
    <row r="192" spans="1:13" ht="60" x14ac:dyDescent="0.2">
      <c r="A192" s="96" t="s">
        <v>563</v>
      </c>
      <c r="B192" s="35" t="str" cm="1">
        <f t="array" ref="B192">INDEX('III-PA'!$B$18:$B$2661,1+MATCH(_xlfn.CONCAT(" ",'II-PO'!A192," "),'III-PA'!$A$18:$A$2661,0))</f>
        <v xml:space="preserve"> 86909 </v>
      </c>
      <c r="C192" s="35" t="str" cm="1">
        <f t="array" ref="C192">INDEX('III-PA'!$C$18:$C$2661,1+MATCH(_xlfn.CONCAT(" ",A192," "),'III-PA'!$A$18:$A$2661,0))</f>
        <v>SINAPI</v>
      </c>
      <c r="D192" s="35" t="str" cm="1">
        <f t="array" ref="D192">INDEX('III-PA'!$A$18:$A$2661,1+MATCH(_xlfn.CONCAT(" ",A192," "),'III-PA'!$A$18:$A$2661,0))</f>
        <v>Composição</v>
      </c>
      <c r="E192" s="35" t="str" cm="1">
        <f t="array" ref="E192">INDEX('III-PA'!$D$18:$D$2661,1+MATCH(_xlfn.CONCAT(" ",A192," "),'III-PA'!$A$18:$A$2661,0))</f>
        <v>TORNEIRA CROMADA TUBO MÓVEL, DE MESA, 1/2" OU 3/4", PARA PIA DE COZINHA, PADRÃO ALTO - FORNECIMENTO E INSTALAÇÃO. AF_01/2020</v>
      </c>
      <c r="F192" s="35" t="str" cm="1">
        <f t="array" ref="F192">INDEX('III-PA'!$G$18:$G$2661,1+MATCH(_xlfn.CONCAT(" ",A192," "),'III-PA'!$A$18:$A$2661,0))</f>
        <v>UN</v>
      </c>
      <c r="G192" s="50">
        <f>VLOOKUP(A192,'IV-MEMORIAL'!$A$17:$N$2203,14,0)</f>
        <v>1</v>
      </c>
      <c r="H192" s="51">
        <f t="shared" ref="H192:H198" si="132">$L$14</f>
        <v>0.252</v>
      </c>
      <c r="I192" s="36" cm="1">
        <f t="array" ref="I192">INDEX('III-PA'!$I$18:$I$2661,1+MATCH(_xlfn.CONCAT(" ",A192," "),'III-PA'!$A$18:$A$2661,0))</f>
        <v>140.22999999999999</v>
      </c>
      <c r="J192" s="36">
        <f t="shared" ref="J192:J198" si="133">TRUNC(I192*(1+H192),2)</f>
        <v>175.56</v>
      </c>
      <c r="K192" s="36">
        <f t="shared" ref="K192:K198" si="134">TRUNC(I192*G192,2)</f>
        <v>140.22999999999999</v>
      </c>
      <c r="L192" s="36">
        <f t="shared" ref="L192:L198" si="135">M192-K192</f>
        <v>35.330000000000013</v>
      </c>
      <c r="M192" s="97">
        <f t="shared" ref="M192:M198" si="136">TRUNC(G192*J192,2)</f>
        <v>175.56</v>
      </c>
    </row>
    <row r="193" spans="1:13" ht="30" x14ac:dyDescent="0.2">
      <c r="A193" s="96" t="s">
        <v>623</v>
      </c>
      <c r="B193" s="35" t="str" cm="1">
        <f t="array" ref="B193">INDEX('III-PA'!$B$18:$B$2661,1+MATCH(_xlfn.CONCAT(" ",'II-PO'!A193," "),'III-PA'!$A$18:$A$2661,0))</f>
        <v xml:space="preserve"> 080926 </v>
      </c>
      <c r="C193" s="35" t="str" cm="1">
        <f t="array" ref="C193">INDEX('III-PA'!$C$18:$C$2661,1+MATCH(_xlfn.CONCAT(" ",A193," "),'III-PA'!$A$18:$A$2661,0))</f>
        <v>AGETOP CIVIL</v>
      </c>
      <c r="D193" s="35" t="str" cm="1">
        <f t="array" ref="D193">INDEX('III-PA'!$A$18:$A$2661,1+MATCH(_xlfn.CONCAT(" ",A193," "),'III-PA'!$A$18:$A$2661,0))</f>
        <v>Composição</v>
      </c>
      <c r="E193" s="35" t="str" cm="1">
        <f t="array" ref="E193">INDEX('III-PA'!$D$18:$D$2661,1+MATCH(_xlfn.CONCAT(" ",A193," "),'III-PA'!$A$18:$A$2661,0))</f>
        <v>REGISTRO DE GAVETA C/CANOPLA DIAMETRO 3/4"</v>
      </c>
      <c r="F193" s="35" t="str" cm="1">
        <f t="array" ref="F193">INDEX('III-PA'!$G$18:$G$2661,1+MATCH(_xlfn.CONCAT(" ",A193," "),'III-PA'!$A$18:$A$2661,0))</f>
        <v>Un</v>
      </c>
      <c r="G193" s="50">
        <f>VLOOKUP(A193,'IV-MEMORIAL'!$A$17:$N$2203,14,0)</f>
        <v>2</v>
      </c>
      <c r="H193" s="51">
        <f t="shared" si="132"/>
        <v>0.252</v>
      </c>
      <c r="I193" s="36" cm="1">
        <f t="array" ref="I193">INDEX('III-PA'!$I$18:$I$2661,1+MATCH(_xlfn.CONCAT(" ",A193," "),'III-PA'!$A$18:$A$2661,0))</f>
        <v>133.19999999999999</v>
      </c>
      <c r="J193" s="36">
        <f t="shared" si="133"/>
        <v>166.76</v>
      </c>
      <c r="K193" s="36">
        <f t="shared" si="134"/>
        <v>266.39999999999998</v>
      </c>
      <c r="L193" s="36">
        <f t="shared" si="135"/>
        <v>67.12</v>
      </c>
      <c r="M193" s="97">
        <f t="shared" si="136"/>
        <v>333.52</v>
      </c>
    </row>
    <row r="194" spans="1:13" ht="75" x14ac:dyDescent="0.2">
      <c r="A194" s="96" t="s">
        <v>624</v>
      </c>
      <c r="B194" s="35" t="str" cm="1">
        <f t="array" ref="B194">INDEX('III-PA'!$B$18:$B$2661,1+MATCH(_xlfn.CONCAT(" ",'II-PO'!A194," "),'III-PA'!$A$18:$A$2661,0))</f>
        <v xml:space="preserve"> 89383 </v>
      </c>
      <c r="C194" s="35" t="str" cm="1">
        <f t="array" ref="C194">INDEX('III-PA'!$C$18:$C$2661,1+MATCH(_xlfn.CONCAT(" ",A194," "),'III-PA'!$A$18:$A$2661,0))</f>
        <v>SINAPI</v>
      </c>
      <c r="D194" s="35" t="str" cm="1">
        <f t="array" ref="D194">INDEX('III-PA'!$A$18:$A$2661,1+MATCH(_xlfn.CONCAT(" ",A194," "),'III-PA'!$A$18:$A$2661,0))</f>
        <v>Composição</v>
      </c>
      <c r="E194" s="35" t="str" cm="1">
        <f t="array" ref="E194">INDEX('III-PA'!$D$18:$D$2661,1+MATCH(_xlfn.CONCAT(" ",A194," "),'III-PA'!$A$18:$A$2661,0))</f>
        <v>ADAPTADOR CURTO COM BOLSA E ROSCA PARA REGISTRO, PVC, SOLDÁVEL, DN 25MM X 3/4, INSTALADO EM RAMAL OU SUB-RAMAL DE ÁGUA - FORNECIMENTO E INSTALAÇÃO. AF_06/2022</v>
      </c>
      <c r="F194" s="35" t="str" cm="1">
        <f t="array" ref="F194">INDEX('III-PA'!$G$18:$G$2661,1+MATCH(_xlfn.CONCAT(" ",A194," "),'III-PA'!$A$18:$A$2661,0))</f>
        <v>UN</v>
      </c>
      <c r="G194" s="50">
        <f>VLOOKUP(A194,'IV-MEMORIAL'!$A$17:$N$2203,14,0)</f>
        <v>4</v>
      </c>
      <c r="H194" s="51">
        <f t="shared" si="132"/>
        <v>0.252</v>
      </c>
      <c r="I194" s="36" cm="1">
        <f t="array" ref="I194">INDEX('III-PA'!$I$18:$I$2661,1+MATCH(_xlfn.CONCAT(" ",A194," "),'III-PA'!$A$18:$A$2661,0))</f>
        <v>7.01</v>
      </c>
      <c r="J194" s="36">
        <f t="shared" si="133"/>
        <v>8.77</v>
      </c>
      <c r="K194" s="36">
        <f t="shared" si="134"/>
        <v>28.04</v>
      </c>
      <c r="L194" s="36">
        <f t="shared" si="135"/>
        <v>7.0399999999999991</v>
      </c>
      <c r="M194" s="97">
        <f t="shared" si="136"/>
        <v>35.08</v>
      </c>
    </row>
    <row r="195" spans="1:13" ht="60" x14ac:dyDescent="0.2">
      <c r="A195" s="96" t="s">
        <v>625</v>
      </c>
      <c r="B195" s="35" t="str" cm="1">
        <f t="array" ref="B195">INDEX('III-PA'!$B$18:$B$2661,1+MATCH(_xlfn.CONCAT(" ",'II-PO'!A195," "),'III-PA'!$A$18:$A$2661,0))</f>
        <v xml:space="preserve"> 89362 </v>
      </c>
      <c r="C195" s="35" t="str" cm="1">
        <f t="array" ref="C195">INDEX('III-PA'!$C$18:$C$2661,1+MATCH(_xlfn.CONCAT(" ",A195," "),'III-PA'!$A$18:$A$2661,0))</f>
        <v>SINAPI</v>
      </c>
      <c r="D195" s="35" t="str" cm="1">
        <f t="array" ref="D195">INDEX('III-PA'!$A$18:$A$2661,1+MATCH(_xlfn.CONCAT(" ",A195," "),'III-PA'!$A$18:$A$2661,0))</f>
        <v>Composição</v>
      </c>
      <c r="E195" s="35" t="str" cm="1">
        <f t="array" ref="E195">INDEX('III-PA'!$D$18:$D$2661,1+MATCH(_xlfn.CONCAT(" ",A195," "),'III-PA'!$A$18:$A$2661,0))</f>
        <v>JOELHO 90 GRAUS, PVC, SOLDÁVEL, DN 25MM, INSTALADO EM RAMAL OU SUB-RAMAL DE ÁGUA - FORNECIMENTO E INSTALAÇÃO. AF_06/2022</v>
      </c>
      <c r="F195" s="35" t="str" cm="1">
        <f t="array" ref="F195">INDEX('III-PA'!$G$18:$G$2661,1+MATCH(_xlfn.CONCAT(" ",A195," "),'III-PA'!$A$18:$A$2661,0))</f>
        <v>UN</v>
      </c>
      <c r="G195" s="50">
        <f>VLOOKUP(A195,'IV-MEMORIAL'!$A$17:$N$2203,14,0)</f>
        <v>2</v>
      </c>
      <c r="H195" s="51">
        <f t="shared" si="132"/>
        <v>0.252</v>
      </c>
      <c r="I195" s="36" cm="1">
        <f t="array" ref="I195">INDEX('III-PA'!$I$18:$I$2661,1+MATCH(_xlfn.CONCAT(" ",A195," "),'III-PA'!$A$18:$A$2661,0))</f>
        <v>10.039999999999999</v>
      </c>
      <c r="J195" s="36">
        <f t="shared" si="133"/>
        <v>12.57</v>
      </c>
      <c r="K195" s="36">
        <f t="shared" si="134"/>
        <v>20.079999999999998</v>
      </c>
      <c r="L195" s="36">
        <f t="shared" si="135"/>
        <v>5.0600000000000023</v>
      </c>
      <c r="M195" s="97">
        <f t="shared" si="136"/>
        <v>25.14</v>
      </c>
    </row>
    <row r="196" spans="1:13" ht="60" x14ac:dyDescent="0.2">
      <c r="A196" s="96" t="s">
        <v>626</v>
      </c>
      <c r="B196" s="35" t="str" cm="1">
        <f t="array" ref="B196">INDEX('III-PA'!$B$18:$B$2661,1+MATCH(_xlfn.CONCAT(" ",'II-PO'!A196," "),'III-PA'!$A$18:$A$2661,0))</f>
        <v xml:space="preserve"> 89379 </v>
      </c>
      <c r="C196" s="35" t="str" cm="1">
        <f t="array" ref="C196">INDEX('III-PA'!$C$18:$C$2661,1+MATCH(_xlfn.CONCAT(" ",A196," "),'III-PA'!$A$18:$A$2661,0))</f>
        <v>SINAPI</v>
      </c>
      <c r="D196" s="35" t="str" cm="1">
        <f t="array" ref="D196">INDEX('III-PA'!$A$18:$A$2661,1+MATCH(_xlfn.CONCAT(" ",A196," "),'III-PA'!$A$18:$A$2661,0))</f>
        <v>Composição</v>
      </c>
      <c r="E196" s="35" t="str" cm="1">
        <f t="array" ref="E196">INDEX('III-PA'!$D$18:$D$2661,1+MATCH(_xlfn.CONCAT(" ",A196," "),'III-PA'!$A$18:$A$2661,0))</f>
        <v>LUVA DE CORRER, PVC, SOLDÁVEL, DN 25MM, INSTALADO EM RAMAL OU SUB-RAMAL DE ÁGUA - FORNECIMENTO E INSTALAÇÃO. AF_12/2014</v>
      </c>
      <c r="F196" s="35" t="str" cm="1">
        <f t="array" ref="F196">INDEX('III-PA'!$G$18:$G$2661,1+MATCH(_xlfn.CONCAT(" ",A196," "),'III-PA'!$A$18:$A$2661,0))</f>
        <v>UN</v>
      </c>
      <c r="G196" s="50">
        <f>VLOOKUP(A196,'IV-MEMORIAL'!$A$17:$N$2203,14,0)</f>
        <v>2</v>
      </c>
      <c r="H196" s="51">
        <f t="shared" si="132"/>
        <v>0.252</v>
      </c>
      <c r="I196" s="36" cm="1">
        <f t="array" ref="I196">INDEX('III-PA'!$I$18:$I$2661,1+MATCH(_xlfn.CONCAT(" ",A196," "),'III-PA'!$A$18:$A$2661,0))</f>
        <v>20.78</v>
      </c>
      <c r="J196" s="36">
        <f t="shared" si="133"/>
        <v>26.01</v>
      </c>
      <c r="K196" s="36">
        <f t="shared" si="134"/>
        <v>41.56</v>
      </c>
      <c r="L196" s="36">
        <f t="shared" si="135"/>
        <v>10.46</v>
      </c>
      <c r="M196" s="97">
        <f t="shared" si="136"/>
        <v>52.02</v>
      </c>
    </row>
    <row r="197" spans="1:13" ht="60" x14ac:dyDescent="0.2">
      <c r="A197" s="96" t="s">
        <v>627</v>
      </c>
      <c r="B197" s="35" t="str" cm="1">
        <f t="array" ref="B197">INDEX('III-PA'!$B$18:$B$2661,1+MATCH(_xlfn.CONCAT(" ",'II-PO'!A197," "),'III-PA'!$A$18:$A$2661,0))</f>
        <v xml:space="preserve"> 89356 </v>
      </c>
      <c r="C197" s="35" t="str" cm="1">
        <f t="array" ref="C197">INDEX('III-PA'!$C$18:$C$2661,1+MATCH(_xlfn.CONCAT(" ",A197," "),'III-PA'!$A$18:$A$2661,0))</f>
        <v>SINAPI</v>
      </c>
      <c r="D197" s="35" t="str" cm="1">
        <f t="array" ref="D197">INDEX('III-PA'!$A$18:$A$2661,1+MATCH(_xlfn.CONCAT(" ",A197," "),'III-PA'!$A$18:$A$2661,0))</f>
        <v>Composição</v>
      </c>
      <c r="E197" s="35" t="str" cm="1">
        <f t="array" ref="E197">INDEX('III-PA'!$D$18:$D$2661,1+MATCH(_xlfn.CONCAT(" ",A197," "),'III-PA'!$A$18:$A$2661,0))</f>
        <v>TUBO, PVC, SOLDÁVEL, DE 25MM, INSTALADO EM RAMAL OU SUB-RAMAL DE ÁGUA - FORNECIMENTO E INSTALAÇÃO. AF_06/2022</v>
      </c>
      <c r="F197" s="35" t="str" cm="1">
        <f t="array" ref="F197">INDEX('III-PA'!$G$18:$G$2661,1+MATCH(_xlfn.CONCAT(" ",A197," "),'III-PA'!$A$18:$A$2661,0))</f>
        <v>M</v>
      </c>
      <c r="G197" s="50">
        <f>VLOOKUP(A197,'IV-MEMORIAL'!$A$17:$N$2203,14,0)</f>
        <v>4.55</v>
      </c>
      <c r="H197" s="51">
        <f t="shared" si="132"/>
        <v>0.252</v>
      </c>
      <c r="I197" s="36" cm="1">
        <f t="array" ref="I197">INDEX('III-PA'!$I$18:$I$2661,1+MATCH(_xlfn.CONCAT(" ",A197," "),'III-PA'!$A$18:$A$2661,0))</f>
        <v>25.56</v>
      </c>
      <c r="J197" s="36">
        <f t="shared" si="133"/>
        <v>32</v>
      </c>
      <c r="K197" s="36">
        <f t="shared" si="134"/>
        <v>116.29</v>
      </c>
      <c r="L197" s="36">
        <f t="shared" si="135"/>
        <v>29.309999999999988</v>
      </c>
      <c r="M197" s="97">
        <f t="shared" si="136"/>
        <v>145.6</v>
      </c>
    </row>
    <row r="198" spans="1:13" ht="30" x14ac:dyDescent="0.2">
      <c r="A198" s="96" t="s">
        <v>628</v>
      </c>
      <c r="B198" s="35" t="str" cm="1">
        <f t="array" ref="B198">INDEX('III-PA'!$B$18:$B$2661,1+MATCH(_xlfn.CONCAT(" ",'II-PO'!A198," "),'III-PA'!$A$18:$A$2661,0))</f>
        <v xml:space="preserve"> 081369 </v>
      </c>
      <c r="C198" s="35" t="str" cm="1">
        <f t="array" ref="C198">INDEX('III-PA'!$C$18:$C$2661,1+MATCH(_xlfn.CONCAT(" ",A198," "),'III-PA'!$A$18:$A$2661,0))</f>
        <v>AGETOP CIVIL</v>
      </c>
      <c r="D198" s="35" t="str" cm="1">
        <f t="array" ref="D198">INDEX('III-PA'!$A$18:$A$2661,1+MATCH(_xlfn.CONCAT(" ",A198," "),'III-PA'!$A$18:$A$2661,0))</f>
        <v>Composição</v>
      </c>
      <c r="E198" s="35" t="str" cm="1">
        <f t="array" ref="E198">INDEX('III-PA'!$D$18:$D$2661,1+MATCH(_xlfn.CONCAT(" ",A198," "),'III-PA'!$A$18:$A$2661,0))</f>
        <v>JOELHO 90 GRAUS SOLDAVEL COM BUCHA DE LATAO 25 X 3/4"</v>
      </c>
      <c r="F198" s="35" t="str" cm="1">
        <f t="array" ref="F198">INDEX('III-PA'!$G$18:$G$2661,1+MATCH(_xlfn.CONCAT(" ",A198," "),'III-PA'!$A$18:$A$2661,0))</f>
        <v>Un</v>
      </c>
      <c r="G198" s="50">
        <f>VLOOKUP(A198,'IV-MEMORIAL'!$A$17:$N$2203,14,0)</f>
        <v>1</v>
      </c>
      <c r="H198" s="51">
        <f t="shared" si="132"/>
        <v>0.252</v>
      </c>
      <c r="I198" s="36" cm="1">
        <f t="array" ref="I198">INDEX('III-PA'!$I$18:$I$2661,1+MATCH(_xlfn.CONCAT(" ",A198," "),'III-PA'!$A$18:$A$2661,0))</f>
        <v>12.62</v>
      </c>
      <c r="J198" s="36">
        <f t="shared" si="133"/>
        <v>15.8</v>
      </c>
      <c r="K198" s="36">
        <f t="shared" si="134"/>
        <v>12.62</v>
      </c>
      <c r="L198" s="36">
        <f t="shared" si="135"/>
        <v>3.1800000000000015</v>
      </c>
      <c r="M198" s="97">
        <f t="shared" si="136"/>
        <v>15.8</v>
      </c>
    </row>
    <row r="199" spans="1:13" ht="15.75" x14ac:dyDescent="0.2">
      <c r="A199" s="163" t="s">
        <v>564</v>
      </c>
      <c r="B199" s="164"/>
      <c r="C199" s="164"/>
      <c r="D199" s="164"/>
      <c r="E199" s="164" t="s">
        <v>565</v>
      </c>
      <c r="F199" s="164"/>
      <c r="G199" s="164"/>
      <c r="H199" s="165"/>
      <c r="I199" s="166"/>
      <c r="J199" s="166"/>
      <c r="K199" s="166">
        <f>SUM(K200:K222)</f>
        <v>2384.6099999999997</v>
      </c>
      <c r="L199" s="166">
        <f t="shared" ref="L199:M199" si="137">SUM(L200:L222)</f>
        <v>600.58999999999992</v>
      </c>
      <c r="M199" s="166">
        <f t="shared" si="137"/>
        <v>2985.1999999999989</v>
      </c>
    </row>
    <row r="200" spans="1:13" ht="30" x14ac:dyDescent="0.2">
      <c r="A200" s="96" t="s">
        <v>566</v>
      </c>
      <c r="B200" s="35" t="str" cm="1">
        <f t="array" ref="B200">INDEX('III-PA'!$B$18:$B$2661,1+MATCH(_xlfn.CONCAT(" ",'II-PO'!A200," "),'III-PA'!$A$18:$A$2661,0))</f>
        <v xml:space="preserve"> 080927 </v>
      </c>
      <c r="C200" s="35" t="str" cm="1">
        <f t="array" ref="C200">INDEX('III-PA'!$C$18:$C$2661,1+MATCH(_xlfn.CONCAT(" ",A200," "),'III-PA'!$A$18:$A$2661,0))</f>
        <v>AGETOP CIVIL</v>
      </c>
      <c r="D200" s="35" t="str" cm="1">
        <f t="array" ref="D200">INDEX('III-PA'!$A$18:$A$2661,1+MATCH(_xlfn.CONCAT(" ",A200," "),'III-PA'!$A$18:$A$2661,0))</f>
        <v>Composição</v>
      </c>
      <c r="E200" s="35" t="str" cm="1">
        <f t="array" ref="E200">INDEX('III-PA'!$D$18:$D$2661,1+MATCH(_xlfn.CONCAT(" ",A200," "),'III-PA'!$A$18:$A$2661,0))</f>
        <v>REGISTRO DE GAVETA C/CANOPLA DIAMETRO 1"</v>
      </c>
      <c r="F200" s="35" t="str" cm="1">
        <f t="array" ref="F200">INDEX('III-PA'!$G$18:$G$2661,1+MATCH(_xlfn.CONCAT(" ",A200," "),'III-PA'!$A$18:$A$2661,0))</f>
        <v>Un</v>
      </c>
      <c r="G200" s="50">
        <f>VLOOKUP(A200,'IV-MEMORIAL'!$A$17:$N$2203,14,0)</f>
        <v>1</v>
      </c>
      <c r="H200" s="51">
        <f t="shared" ref="H200:H222" si="138">$L$14</f>
        <v>0.252</v>
      </c>
      <c r="I200" s="36" cm="1">
        <f t="array" ref="I200">INDEX('III-PA'!$I$18:$I$2661,1+MATCH(_xlfn.CONCAT(" ",A200," "),'III-PA'!$A$18:$A$2661,0))</f>
        <v>179.86</v>
      </c>
      <c r="J200" s="36">
        <f t="shared" ref="J200:J222" si="139">TRUNC(I200*(1+H200),2)</f>
        <v>225.18</v>
      </c>
      <c r="K200" s="36">
        <f t="shared" ref="K200:K222" si="140">TRUNC(I200*G200,2)</f>
        <v>179.86</v>
      </c>
      <c r="L200" s="36">
        <f t="shared" ref="L200:L222" si="141">M200-K200</f>
        <v>45.319999999999993</v>
      </c>
      <c r="M200" s="97">
        <f t="shared" ref="M200:M222" si="142">TRUNC(G200*J200,2)</f>
        <v>225.18</v>
      </c>
    </row>
    <row r="201" spans="1:13" ht="30" x14ac:dyDescent="0.2">
      <c r="A201" s="96" t="s">
        <v>629</v>
      </c>
      <c r="B201" s="35" t="str" cm="1">
        <f t="array" ref="B201">INDEX('III-PA'!$B$18:$B$2661,1+MATCH(_xlfn.CONCAT(" ",'II-PO'!A201," "),'III-PA'!$A$18:$A$2661,0))</f>
        <v xml:space="preserve"> 080928 </v>
      </c>
      <c r="C201" s="35" t="str" cm="1">
        <f t="array" ref="C201">INDEX('III-PA'!$C$18:$C$2661,1+MATCH(_xlfn.CONCAT(" ",A201," "),'III-PA'!$A$18:$A$2661,0))</f>
        <v>AGETOP CIVIL</v>
      </c>
      <c r="D201" s="35" t="str" cm="1">
        <f t="array" ref="D201">INDEX('III-PA'!$A$18:$A$2661,1+MATCH(_xlfn.CONCAT(" ",A201," "),'III-PA'!$A$18:$A$2661,0))</f>
        <v>Composição</v>
      </c>
      <c r="E201" s="35" t="str" cm="1">
        <f t="array" ref="E201">INDEX('III-PA'!$D$18:$D$2661,1+MATCH(_xlfn.CONCAT(" ",A201," "),'III-PA'!$A$18:$A$2661,0))</f>
        <v>REGISTRO DE GAVETA C/CANOPLA DIAMETRO 1.1/4"</v>
      </c>
      <c r="F201" s="35" t="str" cm="1">
        <f t="array" ref="F201">INDEX('III-PA'!$G$18:$G$2661,1+MATCH(_xlfn.CONCAT(" ",A201," "),'III-PA'!$A$18:$A$2661,0))</f>
        <v>Un</v>
      </c>
      <c r="G201" s="50">
        <f>VLOOKUP(A201,'IV-MEMORIAL'!$A$17:$N$2203,14,0)</f>
        <v>2</v>
      </c>
      <c r="H201" s="51">
        <f t="shared" si="138"/>
        <v>0.252</v>
      </c>
      <c r="I201" s="36" cm="1">
        <f t="array" ref="I201">INDEX('III-PA'!$I$18:$I$2661,1+MATCH(_xlfn.CONCAT(" ",A201," "),'III-PA'!$A$18:$A$2661,0))</f>
        <v>209.44</v>
      </c>
      <c r="J201" s="36">
        <f t="shared" si="139"/>
        <v>262.20999999999998</v>
      </c>
      <c r="K201" s="36">
        <f t="shared" si="140"/>
        <v>418.88</v>
      </c>
      <c r="L201" s="36">
        <f t="shared" si="141"/>
        <v>105.53999999999996</v>
      </c>
      <c r="M201" s="97">
        <f t="shared" si="142"/>
        <v>524.41999999999996</v>
      </c>
    </row>
    <row r="202" spans="1:13" ht="60" x14ac:dyDescent="0.2">
      <c r="A202" s="96" t="s">
        <v>630</v>
      </c>
      <c r="B202" s="35" t="str" cm="1">
        <f t="array" ref="B202">INDEX('III-PA'!$B$18:$B$2661,1+MATCH(_xlfn.CONCAT(" ",'II-PO'!A202," "),'III-PA'!$A$18:$A$2661,0))</f>
        <v xml:space="preserve"> 103991 </v>
      </c>
      <c r="C202" s="35" t="str" cm="1">
        <f t="array" ref="C202">INDEX('III-PA'!$C$18:$C$2661,1+MATCH(_xlfn.CONCAT(" ",A202," "),'III-PA'!$A$18:$A$2661,0))</f>
        <v>SINAPI</v>
      </c>
      <c r="D202" s="35" t="str" cm="1">
        <f t="array" ref="D202">INDEX('III-PA'!$A$18:$A$2661,1+MATCH(_xlfn.CONCAT(" ",A202," "),'III-PA'!$A$18:$A$2661,0))</f>
        <v>Composição</v>
      </c>
      <c r="E202" s="35" t="str" cm="1">
        <f t="array" ref="E202">INDEX('III-PA'!$D$18:$D$2661,1+MATCH(_xlfn.CONCAT(" ",A202," "),'III-PA'!$A$18:$A$2661,0))</f>
        <v>LUVA COM ROSCA, PVC, SOLDÁVEL, DN 40MM X 1.1/4", INSTALADO EM RAMAL DE DISTRIBUIÇÃO DE ÁGUA - FORNECIMENTO E INSTALAÇÃO. AF_06/2022</v>
      </c>
      <c r="F202" s="35" t="str" cm="1">
        <f t="array" ref="F202">INDEX('III-PA'!$G$18:$G$2661,1+MATCH(_xlfn.CONCAT(" ",A202," "),'III-PA'!$A$18:$A$2661,0))</f>
        <v>UN</v>
      </c>
      <c r="G202" s="50">
        <f>VLOOKUP(A202,'IV-MEMORIAL'!$A$17:$N$2203,14,0)</f>
        <v>1</v>
      </c>
      <c r="H202" s="51">
        <f t="shared" si="138"/>
        <v>0.252</v>
      </c>
      <c r="I202" s="36" cm="1">
        <f t="array" ref="I202">INDEX('III-PA'!$I$18:$I$2661,1+MATCH(_xlfn.CONCAT(" ",A202," "),'III-PA'!$A$18:$A$2661,0))</f>
        <v>19.899999999999999</v>
      </c>
      <c r="J202" s="36">
        <f t="shared" si="139"/>
        <v>24.91</v>
      </c>
      <c r="K202" s="36">
        <f t="shared" si="140"/>
        <v>19.899999999999999</v>
      </c>
      <c r="L202" s="36">
        <f t="shared" si="141"/>
        <v>5.0100000000000016</v>
      </c>
      <c r="M202" s="97">
        <f t="shared" si="142"/>
        <v>24.91</v>
      </c>
    </row>
    <row r="203" spans="1:13" ht="30" x14ac:dyDescent="0.2">
      <c r="A203" s="96" t="s">
        <v>631</v>
      </c>
      <c r="B203" s="35" t="str" cm="1">
        <f t="array" ref="B203">INDEX('III-PA'!$B$18:$B$2661,1+MATCH(_xlfn.CONCAT(" ",'II-PO'!A203," "),'III-PA'!$A$18:$A$2661,0))</f>
        <v xml:space="preserve"> 081056 </v>
      </c>
      <c r="C203" s="35" t="str" cm="1">
        <f t="array" ref="C203">INDEX('III-PA'!$C$18:$C$2661,1+MATCH(_xlfn.CONCAT(" ",A203," "),'III-PA'!$A$18:$A$2661,0))</f>
        <v>AGETOP CIVIL</v>
      </c>
      <c r="D203" s="35" t="str" cm="1">
        <f t="array" ref="D203">INDEX('III-PA'!$A$18:$A$2661,1+MATCH(_xlfn.CONCAT(" ",A203," "),'III-PA'!$A$18:$A$2661,0))</f>
        <v>Composição</v>
      </c>
      <c r="E203" s="35" t="str" cm="1">
        <f t="array" ref="E203">INDEX('III-PA'!$D$18:$D$2661,1+MATCH(_xlfn.CONCAT(" ",A203," "),'III-PA'!$A$18:$A$2661,0))</f>
        <v>ADAPTADOR SOLDÁVEL COM FLANGES LIVRES PARA CAIXA D'ÁGUA 32X1"</v>
      </c>
      <c r="F203" s="35" t="str" cm="1">
        <f t="array" ref="F203">INDEX('III-PA'!$G$18:$G$2661,1+MATCH(_xlfn.CONCAT(" ",A203," "),'III-PA'!$A$18:$A$2661,0))</f>
        <v>Un</v>
      </c>
      <c r="G203" s="50">
        <f>VLOOKUP(A203,'IV-MEMORIAL'!$A$17:$N$2203,14,0)</f>
        <v>3</v>
      </c>
      <c r="H203" s="51">
        <f t="shared" si="138"/>
        <v>0.252</v>
      </c>
      <c r="I203" s="36" cm="1">
        <f t="array" ref="I203">INDEX('III-PA'!$I$18:$I$2661,1+MATCH(_xlfn.CONCAT(" ",A203," "),'III-PA'!$A$18:$A$2661,0))</f>
        <v>22.55</v>
      </c>
      <c r="J203" s="36">
        <f t="shared" si="139"/>
        <v>28.23</v>
      </c>
      <c r="K203" s="36">
        <f t="shared" si="140"/>
        <v>67.650000000000006</v>
      </c>
      <c r="L203" s="36">
        <f t="shared" si="141"/>
        <v>17.039999999999992</v>
      </c>
      <c r="M203" s="97">
        <f t="shared" si="142"/>
        <v>84.69</v>
      </c>
    </row>
    <row r="204" spans="1:13" ht="30" x14ac:dyDescent="0.2">
      <c r="A204" s="96" t="s">
        <v>632</v>
      </c>
      <c r="B204" s="35" t="str" cm="1">
        <f t="array" ref="B204">INDEX('III-PA'!$B$18:$B$2661,1+MATCH(_xlfn.CONCAT(" ",'II-PO'!A204," "),'III-PA'!$A$18:$A$2661,0))</f>
        <v xml:space="preserve"> 081067 </v>
      </c>
      <c r="C204" s="35" t="str" cm="1">
        <f t="array" ref="C204">INDEX('III-PA'!$C$18:$C$2661,1+MATCH(_xlfn.CONCAT(" ",A204," "),'III-PA'!$A$18:$A$2661,0))</f>
        <v>AGETOP CIVIL</v>
      </c>
      <c r="D204" s="35" t="str" cm="1">
        <f t="array" ref="D204">INDEX('III-PA'!$A$18:$A$2661,1+MATCH(_xlfn.CONCAT(" ",A204," "),'III-PA'!$A$18:$A$2661,0))</f>
        <v>Composição</v>
      </c>
      <c r="E204" s="35" t="str" cm="1">
        <f t="array" ref="E204">INDEX('III-PA'!$D$18:$D$2661,1+MATCH(_xlfn.CONCAT(" ",A204," "),'III-PA'!$A$18:$A$2661,0))</f>
        <v>ADAPTADOR SOLDÁVEL CURTO C/ BOLSA E ROSCA PARA REGISTRO 32X1"</v>
      </c>
      <c r="F204" s="35" t="str" cm="1">
        <f t="array" ref="F204">INDEX('III-PA'!$G$18:$G$2661,1+MATCH(_xlfn.CONCAT(" ",A204," "),'III-PA'!$A$18:$A$2661,0))</f>
        <v>Un</v>
      </c>
      <c r="G204" s="50">
        <f>VLOOKUP(A204,'IV-MEMORIAL'!$A$17:$N$2203,14,0)</f>
        <v>2</v>
      </c>
      <c r="H204" s="51">
        <f t="shared" si="138"/>
        <v>0.252</v>
      </c>
      <c r="I204" s="36" cm="1">
        <f t="array" ref="I204">INDEX('III-PA'!$I$18:$I$2661,1+MATCH(_xlfn.CONCAT(" ",A204," "),'III-PA'!$A$18:$A$2661,0))</f>
        <v>7.03</v>
      </c>
      <c r="J204" s="36">
        <f t="shared" si="139"/>
        <v>8.8000000000000007</v>
      </c>
      <c r="K204" s="36">
        <f t="shared" si="140"/>
        <v>14.06</v>
      </c>
      <c r="L204" s="36">
        <f t="shared" si="141"/>
        <v>3.5400000000000009</v>
      </c>
      <c r="M204" s="97">
        <f t="shared" si="142"/>
        <v>17.600000000000001</v>
      </c>
    </row>
    <row r="205" spans="1:13" ht="30" x14ac:dyDescent="0.2">
      <c r="A205" s="96" t="s">
        <v>633</v>
      </c>
      <c r="B205" s="35" t="str" cm="1">
        <f t="array" ref="B205">INDEX('III-PA'!$B$18:$B$2661,1+MATCH(_xlfn.CONCAT(" ",'II-PO'!A205," "),'III-PA'!$A$18:$A$2661,0))</f>
        <v xml:space="preserve"> 081068 </v>
      </c>
      <c r="C205" s="35" t="str" cm="1">
        <f t="array" ref="C205">INDEX('III-PA'!$C$18:$C$2661,1+MATCH(_xlfn.CONCAT(" ",A205," "),'III-PA'!$A$18:$A$2661,0))</f>
        <v>AGETOP CIVIL</v>
      </c>
      <c r="D205" s="35" t="str" cm="1">
        <f t="array" ref="D205">INDEX('III-PA'!$A$18:$A$2661,1+MATCH(_xlfn.CONCAT(" ",A205," "),'III-PA'!$A$18:$A$2661,0))</f>
        <v>Composição</v>
      </c>
      <c r="E205" s="35" t="str" cm="1">
        <f t="array" ref="E205">INDEX('III-PA'!$D$18:$D$2661,1+MATCH(_xlfn.CONCAT(" ",A205," "),'III-PA'!$A$18:$A$2661,0))</f>
        <v>ADAPTADOR SOLDÁVEL CURTO C/ BOLSA E ROSCA PARA REGISTRO 40X1 1/4"</v>
      </c>
      <c r="F205" s="35" t="str" cm="1">
        <f t="array" ref="F205">INDEX('III-PA'!$G$18:$G$2661,1+MATCH(_xlfn.CONCAT(" ",A205," "),'III-PA'!$A$18:$A$2661,0))</f>
        <v>Un</v>
      </c>
      <c r="G205" s="50">
        <f>VLOOKUP(A205,'IV-MEMORIAL'!$A$17:$N$2203,14,0)</f>
        <v>4</v>
      </c>
      <c r="H205" s="51">
        <f t="shared" si="138"/>
        <v>0.252</v>
      </c>
      <c r="I205" s="36" cm="1">
        <f t="array" ref="I205">INDEX('III-PA'!$I$18:$I$2661,1+MATCH(_xlfn.CONCAT(" ",A205," "),'III-PA'!$A$18:$A$2661,0))</f>
        <v>11.68</v>
      </c>
      <c r="J205" s="36">
        <f t="shared" si="139"/>
        <v>14.62</v>
      </c>
      <c r="K205" s="36">
        <f t="shared" si="140"/>
        <v>46.72</v>
      </c>
      <c r="L205" s="36">
        <f t="shared" si="141"/>
        <v>11.759999999999998</v>
      </c>
      <c r="M205" s="97">
        <f t="shared" si="142"/>
        <v>58.48</v>
      </c>
    </row>
    <row r="206" spans="1:13" ht="75" x14ac:dyDescent="0.2">
      <c r="A206" s="96" t="s">
        <v>634</v>
      </c>
      <c r="B206" s="35" t="str" cm="1">
        <f t="array" ref="B206">INDEX('III-PA'!$B$18:$B$2661,1+MATCH(_xlfn.CONCAT(" ",'II-PO'!A206," "),'III-PA'!$A$18:$A$2661,0))</f>
        <v xml:space="preserve"> 105233 </v>
      </c>
      <c r="C206" s="35" t="str" cm="1">
        <f t="array" ref="C206">INDEX('III-PA'!$C$18:$C$2661,1+MATCH(_xlfn.CONCAT(" ",A206," "),'III-PA'!$A$18:$A$2661,0))</f>
        <v>SINAPI</v>
      </c>
      <c r="D206" s="35" t="str" cm="1">
        <f t="array" ref="D206">INDEX('III-PA'!$A$18:$A$2661,1+MATCH(_xlfn.CONCAT(" ",A206," "),'III-PA'!$A$18:$A$2661,0))</f>
        <v>Composição</v>
      </c>
      <c r="E206" s="35" t="str" cm="1">
        <f t="array" ref="E206">INDEX('III-PA'!$D$18:$D$2661,1+MATCH(_xlfn.CONCAT(" ",A206," "),'III-PA'!$A$18:$A$2661,0))</f>
        <v>BUCHA DE REDUÇÃO PVC, SOLDÁVEL, LONGA, DN 40 X 25 MM, INSTALADO EM RESERVAÇÃO PREDIAL DE ÁGUA - FORNECIMENTO E INSTALAÇÃO. AF_04/2024</v>
      </c>
      <c r="F206" s="35" t="str" cm="1">
        <f t="array" ref="F206">INDEX('III-PA'!$G$18:$G$2661,1+MATCH(_xlfn.CONCAT(" ",A206," "),'III-PA'!$A$18:$A$2661,0))</f>
        <v>UN</v>
      </c>
      <c r="G206" s="50">
        <f>VLOOKUP(A206,'IV-MEMORIAL'!$A$17:$N$2203,14,0)</f>
        <v>10</v>
      </c>
      <c r="H206" s="51">
        <f t="shared" si="138"/>
        <v>0.252</v>
      </c>
      <c r="I206" s="36" cm="1">
        <f t="array" ref="I206">INDEX('III-PA'!$I$18:$I$2661,1+MATCH(_xlfn.CONCAT(" ",A206," "),'III-PA'!$A$18:$A$2661,0))</f>
        <v>8.41</v>
      </c>
      <c r="J206" s="36">
        <f t="shared" si="139"/>
        <v>10.52</v>
      </c>
      <c r="K206" s="36">
        <f t="shared" si="140"/>
        <v>84.1</v>
      </c>
      <c r="L206" s="36">
        <f t="shared" si="141"/>
        <v>21.100000000000009</v>
      </c>
      <c r="M206" s="97">
        <f t="shared" si="142"/>
        <v>105.2</v>
      </c>
    </row>
    <row r="207" spans="1:13" ht="60" x14ac:dyDescent="0.2">
      <c r="A207" s="96" t="s">
        <v>635</v>
      </c>
      <c r="B207" s="35" t="str" cm="1">
        <f t="array" ref="B207">INDEX('III-PA'!$B$18:$B$2661,1+MATCH(_xlfn.CONCAT(" ",'II-PO'!A207," "),'III-PA'!$A$18:$A$2661,0))</f>
        <v xml:space="preserve"> 94673 </v>
      </c>
      <c r="C207" s="35" t="str" cm="1">
        <f t="array" ref="C207">INDEX('III-PA'!$C$18:$C$2661,1+MATCH(_xlfn.CONCAT(" ",A207," "),'III-PA'!$A$18:$A$2661,0))</f>
        <v>SINAPI</v>
      </c>
      <c r="D207" s="35" t="str" cm="1">
        <f t="array" ref="D207">INDEX('III-PA'!$A$18:$A$2661,1+MATCH(_xlfn.CONCAT(" ",A207," "),'III-PA'!$A$18:$A$2661,0))</f>
        <v>Composição</v>
      </c>
      <c r="E207" s="35" t="str" cm="1">
        <f t="array" ref="E207">INDEX('III-PA'!$D$18:$D$2661,1+MATCH(_xlfn.CONCAT(" ",A207," "),'III-PA'!$A$18:$A$2661,0))</f>
        <v>CURVA 90 GRAUS, PVC, SOLDÁVEL, DN 25 MM, INSTALADO EM RESERVAÇÃO PREDIAL DE ÁGUA - FORNECIMENTO E INSTALAÇÃO. AF_04/2024</v>
      </c>
      <c r="F207" s="35" t="str" cm="1">
        <f t="array" ref="F207">INDEX('III-PA'!$G$18:$G$2661,1+MATCH(_xlfn.CONCAT(" ",A207," "),'III-PA'!$A$18:$A$2661,0))</f>
        <v>UN</v>
      </c>
      <c r="G207" s="50">
        <f>VLOOKUP(A207,'IV-MEMORIAL'!$A$17:$N$2203,14,0)</f>
        <v>10</v>
      </c>
      <c r="H207" s="51">
        <f t="shared" si="138"/>
        <v>0.252</v>
      </c>
      <c r="I207" s="36" cm="1">
        <f t="array" ref="I207">INDEX('III-PA'!$I$18:$I$2661,1+MATCH(_xlfn.CONCAT(" ",A207," "),'III-PA'!$A$18:$A$2661,0))</f>
        <v>7.55</v>
      </c>
      <c r="J207" s="36">
        <f t="shared" si="139"/>
        <v>9.4499999999999993</v>
      </c>
      <c r="K207" s="36">
        <f t="shared" si="140"/>
        <v>75.5</v>
      </c>
      <c r="L207" s="36">
        <f t="shared" si="141"/>
        <v>19</v>
      </c>
      <c r="M207" s="97">
        <f t="shared" si="142"/>
        <v>94.5</v>
      </c>
    </row>
    <row r="208" spans="1:13" ht="60" x14ac:dyDescent="0.2">
      <c r="A208" s="96" t="s">
        <v>636</v>
      </c>
      <c r="B208" s="35" t="str" cm="1">
        <f t="array" ref="B208">INDEX('III-PA'!$B$18:$B$2661,1+MATCH(_xlfn.CONCAT(" ",'II-PO'!A208," "),'III-PA'!$A$18:$A$2661,0))</f>
        <v xml:space="preserve"> 94675 </v>
      </c>
      <c r="C208" s="35" t="str" cm="1">
        <f t="array" ref="C208">INDEX('III-PA'!$C$18:$C$2661,1+MATCH(_xlfn.CONCAT(" ",A208," "),'III-PA'!$A$18:$A$2661,0))</f>
        <v>SINAPI</v>
      </c>
      <c r="D208" s="35" t="str" cm="1">
        <f t="array" ref="D208">INDEX('III-PA'!$A$18:$A$2661,1+MATCH(_xlfn.CONCAT(" ",A208," "),'III-PA'!$A$18:$A$2661,0))</f>
        <v>Composição</v>
      </c>
      <c r="E208" s="35" t="str" cm="1">
        <f t="array" ref="E208">INDEX('III-PA'!$D$18:$D$2661,1+MATCH(_xlfn.CONCAT(" ",A208," "),'III-PA'!$A$18:$A$2661,0))</f>
        <v>CURVA 90 GRAUS, PVC, SOLDÁVEL, DN 32 MM, INSTALADO EM RESERVAÇÃO PREDIAL DE ÁGUA - FORNECIMENTO E INSTALAÇÃO. AF_04/2024</v>
      </c>
      <c r="F208" s="35" t="str" cm="1">
        <f t="array" ref="F208">INDEX('III-PA'!$G$18:$G$2661,1+MATCH(_xlfn.CONCAT(" ",A208," "),'III-PA'!$A$18:$A$2661,0))</f>
        <v>UN</v>
      </c>
      <c r="G208" s="50">
        <f>VLOOKUP(A208,'IV-MEMORIAL'!$A$17:$N$2203,14,0)</f>
        <v>1</v>
      </c>
      <c r="H208" s="51">
        <f t="shared" si="138"/>
        <v>0.252</v>
      </c>
      <c r="I208" s="36" cm="1">
        <f t="array" ref="I208">INDEX('III-PA'!$I$18:$I$2661,1+MATCH(_xlfn.CONCAT(" ",A208," "),'III-PA'!$A$18:$A$2661,0))</f>
        <v>12.87</v>
      </c>
      <c r="J208" s="36">
        <f t="shared" si="139"/>
        <v>16.11</v>
      </c>
      <c r="K208" s="36">
        <f t="shared" si="140"/>
        <v>12.87</v>
      </c>
      <c r="L208" s="36">
        <f t="shared" si="141"/>
        <v>3.24</v>
      </c>
      <c r="M208" s="97">
        <f t="shared" si="142"/>
        <v>16.11</v>
      </c>
    </row>
    <row r="209" spans="1:13" ht="60" x14ac:dyDescent="0.2">
      <c r="A209" s="96" t="s">
        <v>637</v>
      </c>
      <c r="B209" s="35" t="str" cm="1">
        <f t="array" ref="B209">INDEX('III-PA'!$B$18:$B$2661,1+MATCH(_xlfn.CONCAT(" ",'II-PO'!A209," "),'III-PA'!$A$18:$A$2661,0))</f>
        <v xml:space="preserve"> 96748 </v>
      </c>
      <c r="C209" s="35" t="str" cm="1">
        <f t="array" ref="C209">INDEX('III-PA'!$C$18:$C$2661,1+MATCH(_xlfn.CONCAT(" ",A209," "),'III-PA'!$A$18:$A$2661,0))</f>
        <v>SINAPI</v>
      </c>
      <c r="D209" s="35" t="str" cm="1">
        <f t="array" ref="D209">INDEX('III-PA'!$A$18:$A$2661,1+MATCH(_xlfn.CONCAT(" ",A209," "),'III-PA'!$A$18:$A$2661,0))</f>
        <v>Composição</v>
      </c>
      <c r="E209" s="35" t="str" cm="1">
        <f t="array" ref="E209">INDEX('III-PA'!$D$18:$D$2661,1+MATCH(_xlfn.CONCAT(" ",A209," "),'III-PA'!$A$18:$A$2661,0))</f>
        <v>JOELHO 90 GRAUS, PPR, DN 25 MM, INSTALADO EM RESERVAÇÃO PREDIAL DE ÁGUA - FORNECIMENTO E INSTALAÇÃO. AF_04/2024</v>
      </c>
      <c r="F209" s="35" t="str" cm="1">
        <f t="array" ref="F209">INDEX('III-PA'!$G$18:$G$2661,1+MATCH(_xlfn.CONCAT(" ",A209," "),'III-PA'!$A$18:$A$2661,0))</f>
        <v>UN</v>
      </c>
      <c r="G209" s="50">
        <f>VLOOKUP(A209,'IV-MEMORIAL'!$A$17:$N$2203,14,0)</f>
        <v>6</v>
      </c>
      <c r="H209" s="51">
        <f t="shared" si="138"/>
        <v>0.252</v>
      </c>
      <c r="I209" s="36" cm="1">
        <f t="array" ref="I209">INDEX('III-PA'!$I$18:$I$2661,1+MATCH(_xlfn.CONCAT(" ",A209," "),'III-PA'!$A$18:$A$2661,0))</f>
        <v>8.64</v>
      </c>
      <c r="J209" s="36">
        <f t="shared" si="139"/>
        <v>10.81</v>
      </c>
      <c r="K209" s="36">
        <f t="shared" si="140"/>
        <v>51.84</v>
      </c>
      <c r="L209" s="36">
        <f t="shared" si="141"/>
        <v>13.019999999999996</v>
      </c>
      <c r="M209" s="97">
        <f t="shared" si="142"/>
        <v>64.86</v>
      </c>
    </row>
    <row r="210" spans="1:13" ht="60" x14ac:dyDescent="0.2">
      <c r="A210" s="96" t="s">
        <v>638</v>
      </c>
      <c r="B210" s="35" t="str" cm="1">
        <f t="array" ref="B210">INDEX('III-PA'!$B$18:$B$2661,1+MATCH(_xlfn.CONCAT(" ",'II-PO'!A210," "),'III-PA'!$A$18:$A$2661,0))</f>
        <v xml:space="preserve"> 89530 </v>
      </c>
      <c r="C210" s="35" t="str" cm="1">
        <f t="array" ref="C210">INDEX('III-PA'!$C$18:$C$2661,1+MATCH(_xlfn.CONCAT(" ",A210," "),'III-PA'!$A$18:$A$2661,0))</f>
        <v>SINAPI</v>
      </c>
      <c r="D210" s="35" t="str" cm="1">
        <f t="array" ref="D210">INDEX('III-PA'!$A$18:$A$2661,1+MATCH(_xlfn.CONCAT(" ",A210," "),'III-PA'!$A$18:$A$2661,0))</f>
        <v>Composição</v>
      </c>
      <c r="E210" s="35" t="str" cm="1">
        <f t="array" ref="E210">INDEX('III-PA'!$D$18:$D$2661,1+MATCH(_xlfn.CONCAT(" ",A210," "),'III-PA'!$A$18:$A$2661,0))</f>
        <v>LUVA DE CORRER, PVC, SOLDÁVEL, DN 25MM, INSTALADO EM PRUMADA DE ÁGUA - FORNECIMENTO E INSTALAÇÃO. AF_06/2022</v>
      </c>
      <c r="F210" s="35" t="str" cm="1">
        <f t="array" ref="F210">INDEX('III-PA'!$G$18:$G$2661,1+MATCH(_xlfn.CONCAT(" ",A210," "),'III-PA'!$A$18:$A$2661,0))</f>
        <v>UN</v>
      </c>
      <c r="G210" s="50">
        <f>VLOOKUP(A210,'IV-MEMORIAL'!$A$17:$N$2203,14,0)</f>
        <v>1</v>
      </c>
      <c r="H210" s="51">
        <f t="shared" si="138"/>
        <v>0.252</v>
      </c>
      <c r="I210" s="36" cm="1">
        <f t="array" ref="I210">INDEX('III-PA'!$I$18:$I$2661,1+MATCH(_xlfn.CONCAT(" ",A210," "),'III-PA'!$A$18:$A$2661,0))</f>
        <v>17.829999999999998</v>
      </c>
      <c r="J210" s="36">
        <f t="shared" si="139"/>
        <v>22.32</v>
      </c>
      <c r="K210" s="36">
        <f t="shared" si="140"/>
        <v>17.829999999999998</v>
      </c>
      <c r="L210" s="36">
        <f t="shared" si="141"/>
        <v>4.490000000000002</v>
      </c>
      <c r="M210" s="97">
        <f t="shared" si="142"/>
        <v>22.32</v>
      </c>
    </row>
    <row r="211" spans="1:13" ht="60" x14ac:dyDescent="0.2">
      <c r="A211" s="96" t="s">
        <v>639</v>
      </c>
      <c r="B211" s="35" t="str" cm="1">
        <f t="array" ref="B211">INDEX('III-PA'!$B$18:$B$2661,1+MATCH(_xlfn.CONCAT(" ",'II-PO'!A211," "),'III-PA'!$A$18:$A$2661,0))</f>
        <v xml:space="preserve"> 94661 </v>
      </c>
      <c r="C211" s="35" t="str" cm="1">
        <f t="array" ref="C211">INDEX('III-PA'!$C$18:$C$2661,1+MATCH(_xlfn.CONCAT(" ",A211," "),'III-PA'!$A$18:$A$2661,0))</f>
        <v>SINAPI</v>
      </c>
      <c r="D211" s="35" t="str" cm="1">
        <f t="array" ref="D211">INDEX('III-PA'!$A$18:$A$2661,1+MATCH(_xlfn.CONCAT(" ",A211," "),'III-PA'!$A$18:$A$2661,0))</f>
        <v>Composição</v>
      </c>
      <c r="E211" s="35" t="str" cm="1">
        <f t="array" ref="E211">INDEX('III-PA'!$D$18:$D$2661,1+MATCH(_xlfn.CONCAT(" ",A211," "),'III-PA'!$A$18:$A$2661,0))</f>
        <v>LUVA, PVC, SOLDÁVEL, DN 40 MM, INSTALADO EM RESERVAÇÃO PREDIAL DE ÁGUA - FORNECIMENTO E INSTALAÇÃO. AF_04/2024</v>
      </c>
      <c r="F211" s="35" t="str" cm="1">
        <f t="array" ref="F211">INDEX('III-PA'!$G$18:$G$2661,1+MATCH(_xlfn.CONCAT(" ",A211," "),'III-PA'!$A$18:$A$2661,0))</f>
        <v>UN</v>
      </c>
      <c r="G211" s="50">
        <f>VLOOKUP(A211,'IV-MEMORIAL'!$A$17:$N$2203,14,0)</f>
        <v>3</v>
      </c>
      <c r="H211" s="51">
        <f t="shared" si="138"/>
        <v>0.252</v>
      </c>
      <c r="I211" s="36" cm="1">
        <f t="array" ref="I211">INDEX('III-PA'!$I$18:$I$2661,1+MATCH(_xlfn.CONCAT(" ",A211," "),'III-PA'!$A$18:$A$2661,0))</f>
        <v>10.27</v>
      </c>
      <c r="J211" s="36">
        <f t="shared" si="139"/>
        <v>12.85</v>
      </c>
      <c r="K211" s="36">
        <f t="shared" si="140"/>
        <v>30.81</v>
      </c>
      <c r="L211" s="36">
        <f t="shared" si="141"/>
        <v>7.7399999999999984</v>
      </c>
      <c r="M211" s="97">
        <f t="shared" si="142"/>
        <v>38.549999999999997</v>
      </c>
    </row>
    <row r="212" spans="1:13" ht="45" x14ac:dyDescent="0.2">
      <c r="A212" s="96" t="s">
        <v>640</v>
      </c>
      <c r="B212" s="35" t="str" cm="1">
        <f t="array" ref="B212">INDEX('III-PA'!$B$18:$B$2661,1+MATCH(_xlfn.CONCAT(" ",'II-PO'!A212," "),'III-PA'!$A$18:$A$2661,0))</f>
        <v xml:space="preserve"> 94795 </v>
      </c>
      <c r="C212" s="35" t="str" cm="1">
        <f t="array" ref="C212">INDEX('III-PA'!$C$18:$C$2661,1+MATCH(_xlfn.CONCAT(" ",A212," "),'III-PA'!$A$18:$A$2661,0))</f>
        <v>SINAPI</v>
      </c>
      <c r="D212" s="35" t="str" cm="1">
        <f t="array" ref="D212">INDEX('III-PA'!$A$18:$A$2661,1+MATCH(_xlfn.CONCAT(" ",A212," "),'III-PA'!$A$18:$A$2661,0))</f>
        <v>Composição</v>
      </c>
      <c r="E212" s="35" t="str" cm="1">
        <f t="array" ref="E212">INDEX('III-PA'!$D$18:$D$2661,1+MATCH(_xlfn.CONCAT(" ",A212," "),'III-PA'!$A$18:$A$2661,0))</f>
        <v>TORNEIRA DE BOIA PARA CAIXA D'ÁGUA, ROSCÁVEL, 1/2" - FORNECIMENTO E INSTALAÇÃO. AF_08/2021</v>
      </c>
      <c r="F212" s="35" t="str" cm="1">
        <f t="array" ref="F212">INDEX('III-PA'!$G$18:$G$2661,1+MATCH(_xlfn.CONCAT(" ",A212," "),'III-PA'!$A$18:$A$2661,0))</f>
        <v>UN</v>
      </c>
      <c r="G212" s="50">
        <f>VLOOKUP(A212,'IV-MEMORIAL'!$A$17:$N$2203,14,0)</f>
        <v>1</v>
      </c>
      <c r="H212" s="51">
        <f t="shared" si="138"/>
        <v>0.252</v>
      </c>
      <c r="I212" s="36" cm="1">
        <f t="array" ref="I212">INDEX('III-PA'!$I$18:$I$2661,1+MATCH(_xlfn.CONCAT(" ",A212," "),'III-PA'!$A$18:$A$2661,0))</f>
        <v>43.02</v>
      </c>
      <c r="J212" s="36">
        <f t="shared" si="139"/>
        <v>53.86</v>
      </c>
      <c r="K212" s="36">
        <f t="shared" si="140"/>
        <v>43.02</v>
      </c>
      <c r="L212" s="36">
        <f t="shared" si="141"/>
        <v>10.839999999999996</v>
      </c>
      <c r="M212" s="97">
        <f t="shared" si="142"/>
        <v>53.86</v>
      </c>
    </row>
    <row r="213" spans="1:13" ht="60" x14ac:dyDescent="0.2">
      <c r="A213" s="96" t="s">
        <v>641</v>
      </c>
      <c r="B213" s="35" t="str" cm="1">
        <f t="array" ref="B213">INDEX('III-PA'!$B$18:$B$2661,1+MATCH(_xlfn.CONCAT(" ",'II-PO'!A213," "),'III-PA'!$A$18:$A$2661,0))</f>
        <v xml:space="preserve"> 94648 </v>
      </c>
      <c r="C213" s="35" t="str" cm="1">
        <f t="array" ref="C213">INDEX('III-PA'!$C$18:$C$2661,1+MATCH(_xlfn.CONCAT(" ",A213," "),'III-PA'!$A$18:$A$2661,0))</f>
        <v>SINAPI</v>
      </c>
      <c r="D213" s="35" t="str" cm="1">
        <f t="array" ref="D213">INDEX('III-PA'!$A$18:$A$2661,1+MATCH(_xlfn.CONCAT(" ",A213," "),'III-PA'!$A$18:$A$2661,0))</f>
        <v>Composição</v>
      </c>
      <c r="E213" s="35" t="str" cm="1">
        <f t="array" ref="E213">INDEX('III-PA'!$D$18:$D$2661,1+MATCH(_xlfn.CONCAT(" ",A213," "),'III-PA'!$A$18:$A$2661,0))</f>
        <v>TUBO, PVC, SOLDÁVEL, DE 25MM, INSTALADO EM RESERVAÇÃO PREDIAL DE ÁGUA - FORNECIMENTO E INSTALAÇÃO. AF_04/2024</v>
      </c>
      <c r="F213" s="35" t="str" cm="1">
        <f t="array" ref="F213">INDEX('III-PA'!$G$18:$G$2661,1+MATCH(_xlfn.CONCAT(" ",A213," "),'III-PA'!$A$18:$A$2661,0))</f>
        <v>M</v>
      </c>
      <c r="G213" s="50">
        <f>VLOOKUP(A213,'IV-MEMORIAL'!$A$17:$N$2203,14,0)</f>
        <v>8.9600000000000009</v>
      </c>
      <c r="H213" s="51">
        <f t="shared" si="138"/>
        <v>0.252</v>
      </c>
      <c r="I213" s="36" cm="1">
        <f t="array" ref="I213">INDEX('III-PA'!$I$18:$I$2661,1+MATCH(_xlfn.CONCAT(" ",A213," "),'III-PA'!$A$18:$A$2661,0))</f>
        <v>7.52</v>
      </c>
      <c r="J213" s="36">
        <f t="shared" si="139"/>
        <v>9.41</v>
      </c>
      <c r="K213" s="36">
        <f t="shared" si="140"/>
        <v>67.37</v>
      </c>
      <c r="L213" s="36">
        <f t="shared" si="141"/>
        <v>16.939999999999998</v>
      </c>
      <c r="M213" s="97">
        <f t="shared" si="142"/>
        <v>84.31</v>
      </c>
    </row>
    <row r="214" spans="1:13" ht="60" x14ac:dyDescent="0.2">
      <c r="A214" s="96" t="s">
        <v>642</v>
      </c>
      <c r="B214" s="35" t="str" cm="1">
        <f t="array" ref="B214">INDEX('III-PA'!$B$18:$B$2661,1+MATCH(_xlfn.CONCAT(" ",'II-PO'!A214," "),'III-PA'!$A$18:$A$2661,0))</f>
        <v xml:space="preserve"> 94649 </v>
      </c>
      <c r="C214" s="35" t="str" cm="1">
        <f t="array" ref="C214">INDEX('III-PA'!$C$18:$C$2661,1+MATCH(_xlfn.CONCAT(" ",A214," "),'III-PA'!$A$18:$A$2661,0))</f>
        <v>SINAPI</v>
      </c>
      <c r="D214" s="35" t="str" cm="1">
        <f t="array" ref="D214">INDEX('III-PA'!$A$18:$A$2661,1+MATCH(_xlfn.CONCAT(" ",A214," "),'III-PA'!$A$18:$A$2661,0))</f>
        <v>Composição</v>
      </c>
      <c r="E214" s="35" t="str" cm="1">
        <f t="array" ref="E214">INDEX('III-PA'!$D$18:$D$2661,1+MATCH(_xlfn.CONCAT(" ",A214," "),'III-PA'!$A$18:$A$2661,0))</f>
        <v>TUBO, PVC, SOLDÁVEL, DE 32MM, INSTALADO EM RESERVAÇÃO PREDIAL DE ÁGUA - FORNECIMENTO E INSTALAÇÃO. AF_04/2024</v>
      </c>
      <c r="F214" s="35" t="str" cm="1">
        <f t="array" ref="F214">INDEX('III-PA'!$G$18:$G$2661,1+MATCH(_xlfn.CONCAT(" ",A214," "),'III-PA'!$A$18:$A$2661,0))</f>
        <v>M</v>
      </c>
      <c r="G214" s="50">
        <f>VLOOKUP(A214,'IV-MEMORIAL'!$A$17:$N$2203,14,0)</f>
        <v>1</v>
      </c>
      <c r="H214" s="51">
        <f t="shared" si="138"/>
        <v>0.252</v>
      </c>
      <c r="I214" s="36" cm="1">
        <f t="array" ref="I214">INDEX('III-PA'!$I$18:$I$2661,1+MATCH(_xlfn.CONCAT(" ",A214," "),'III-PA'!$A$18:$A$2661,0))</f>
        <v>14.14</v>
      </c>
      <c r="J214" s="36">
        <f t="shared" si="139"/>
        <v>17.7</v>
      </c>
      <c r="K214" s="36">
        <f t="shared" si="140"/>
        <v>14.14</v>
      </c>
      <c r="L214" s="36">
        <f t="shared" si="141"/>
        <v>3.5599999999999987</v>
      </c>
      <c r="M214" s="97">
        <f t="shared" si="142"/>
        <v>17.7</v>
      </c>
    </row>
    <row r="215" spans="1:13" ht="60" x14ac:dyDescent="0.2">
      <c r="A215" s="96" t="s">
        <v>643</v>
      </c>
      <c r="B215" s="35" t="str" cm="1">
        <f t="array" ref="B215">INDEX('III-PA'!$B$18:$B$2661,1+MATCH(_xlfn.CONCAT(" ",'II-PO'!A215," "),'III-PA'!$A$18:$A$2661,0))</f>
        <v xml:space="preserve"> 94650 </v>
      </c>
      <c r="C215" s="35" t="str" cm="1">
        <f t="array" ref="C215">INDEX('III-PA'!$C$18:$C$2661,1+MATCH(_xlfn.CONCAT(" ",A215," "),'III-PA'!$A$18:$A$2661,0))</f>
        <v>SINAPI</v>
      </c>
      <c r="D215" s="35" t="str" cm="1">
        <f t="array" ref="D215">INDEX('III-PA'!$A$18:$A$2661,1+MATCH(_xlfn.CONCAT(" ",A215," "),'III-PA'!$A$18:$A$2661,0))</f>
        <v>Composição</v>
      </c>
      <c r="E215" s="35" t="str" cm="1">
        <f t="array" ref="E215">INDEX('III-PA'!$D$18:$D$2661,1+MATCH(_xlfn.CONCAT(" ",A215," "),'III-PA'!$A$18:$A$2661,0))</f>
        <v>TUBO, PVC, SOLDÁVEL, DE 40MM, INSTALADO EM RESERVAÇÃO PREDIAL DE ÁGUA - FORNECIMENTO E INSTALAÇÃO. AF_04/2024</v>
      </c>
      <c r="F215" s="35" t="str" cm="1">
        <f t="array" ref="F215">INDEX('III-PA'!$G$18:$G$2661,1+MATCH(_xlfn.CONCAT(" ",A215," "),'III-PA'!$A$18:$A$2661,0))</f>
        <v>M</v>
      </c>
      <c r="G215" s="50">
        <f>VLOOKUP(A215,'IV-MEMORIAL'!$A$17:$N$2203,14,0)</f>
        <v>8.19</v>
      </c>
      <c r="H215" s="51">
        <f t="shared" si="138"/>
        <v>0.252</v>
      </c>
      <c r="I215" s="36" cm="1">
        <f t="array" ref="I215">INDEX('III-PA'!$I$18:$I$2661,1+MATCH(_xlfn.CONCAT(" ",A215," "),'III-PA'!$A$18:$A$2661,0))</f>
        <v>21.44</v>
      </c>
      <c r="J215" s="36">
        <f t="shared" si="139"/>
        <v>26.84</v>
      </c>
      <c r="K215" s="36">
        <f t="shared" si="140"/>
        <v>175.59</v>
      </c>
      <c r="L215" s="36">
        <f t="shared" si="141"/>
        <v>44.22</v>
      </c>
      <c r="M215" s="97">
        <f t="shared" si="142"/>
        <v>219.81</v>
      </c>
    </row>
    <row r="216" spans="1:13" ht="60" x14ac:dyDescent="0.2">
      <c r="A216" s="96" t="s">
        <v>644</v>
      </c>
      <c r="B216" s="35" t="str" cm="1">
        <f t="array" ref="B216">INDEX('III-PA'!$B$18:$B$2661,1+MATCH(_xlfn.CONCAT(" ",'II-PO'!A216," "),'III-PA'!$A$18:$A$2661,0))</f>
        <v xml:space="preserve"> 94690 </v>
      </c>
      <c r="C216" s="35" t="str" cm="1">
        <f t="array" ref="C216">INDEX('III-PA'!$C$18:$C$2661,1+MATCH(_xlfn.CONCAT(" ",A216," "),'III-PA'!$A$18:$A$2661,0))</f>
        <v>SINAPI</v>
      </c>
      <c r="D216" s="35" t="str" cm="1">
        <f t="array" ref="D216">INDEX('III-PA'!$A$18:$A$2661,1+MATCH(_xlfn.CONCAT(" ",A216," "),'III-PA'!$A$18:$A$2661,0))</f>
        <v>Composição</v>
      </c>
      <c r="E216" s="35" t="str" cm="1">
        <f t="array" ref="E216">INDEX('III-PA'!$D$18:$D$2661,1+MATCH(_xlfn.CONCAT(" ",A216," "),'III-PA'!$A$18:$A$2661,0))</f>
        <v>TÊ, PVC, SOLDÁVEL, DN 32 MM INSTALADO EM RESERVAÇÃO PREDIAL DE ÁGUA - FORNECIMENTO E INSTALAÇÃO. AF_04/2024</v>
      </c>
      <c r="F216" s="35" t="str" cm="1">
        <f t="array" ref="F216">INDEX('III-PA'!$G$18:$G$2661,1+MATCH(_xlfn.CONCAT(" ",A216," "),'III-PA'!$A$18:$A$2661,0))</f>
        <v>UN</v>
      </c>
      <c r="G216" s="50">
        <f>VLOOKUP(A216,'IV-MEMORIAL'!$A$17:$N$2203,14,0)</f>
        <v>1</v>
      </c>
      <c r="H216" s="51">
        <f t="shared" si="138"/>
        <v>0.252</v>
      </c>
      <c r="I216" s="36" cm="1">
        <f t="array" ref="I216">INDEX('III-PA'!$I$18:$I$2661,1+MATCH(_xlfn.CONCAT(" ",A216," "),'III-PA'!$A$18:$A$2661,0))</f>
        <v>11.8</v>
      </c>
      <c r="J216" s="36">
        <f t="shared" si="139"/>
        <v>14.77</v>
      </c>
      <c r="K216" s="36">
        <f t="shared" si="140"/>
        <v>11.8</v>
      </c>
      <c r="L216" s="36">
        <f t="shared" si="141"/>
        <v>2.9699999999999989</v>
      </c>
      <c r="M216" s="97">
        <f t="shared" si="142"/>
        <v>14.77</v>
      </c>
    </row>
    <row r="217" spans="1:13" ht="60" x14ac:dyDescent="0.2">
      <c r="A217" s="96" t="s">
        <v>645</v>
      </c>
      <c r="B217" s="35" t="str" cm="1">
        <f t="array" ref="B217">INDEX('III-PA'!$B$18:$B$2661,1+MATCH(_xlfn.CONCAT(" ",'II-PO'!A217," "),'III-PA'!$A$18:$A$2661,0))</f>
        <v xml:space="preserve"> 94692 </v>
      </c>
      <c r="C217" s="35" t="str" cm="1">
        <f t="array" ref="C217">INDEX('III-PA'!$C$18:$C$2661,1+MATCH(_xlfn.CONCAT(" ",A217," "),'III-PA'!$A$18:$A$2661,0))</f>
        <v>SINAPI</v>
      </c>
      <c r="D217" s="35" t="str" cm="1">
        <f t="array" ref="D217">INDEX('III-PA'!$A$18:$A$2661,1+MATCH(_xlfn.CONCAT(" ",A217," "),'III-PA'!$A$18:$A$2661,0))</f>
        <v>Composição</v>
      </c>
      <c r="E217" s="35" t="str" cm="1">
        <f t="array" ref="E217">INDEX('III-PA'!$D$18:$D$2661,1+MATCH(_xlfn.CONCAT(" ",A217," "),'III-PA'!$A$18:$A$2661,0))</f>
        <v>TÊ, PVC, SOLDÁVEL, DN 40 MM INSTALADO EM RESERVAÇÃO PREDIAL DE ÁGUA - FORNECIMENTO E INSTALAÇÃO. AF_04/2024</v>
      </c>
      <c r="F217" s="35" t="str" cm="1">
        <f t="array" ref="F217">INDEX('III-PA'!$G$18:$G$2661,1+MATCH(_xlfn.CONCAT(" ",A217," "),'III-PA'!$A$18:$A$2661,0))</f>
        <v>UN</v>
      </c>
      <c r="G217" s="50">
        <f>VLOOKUP(A217,'IV-MEMORIAL'!$A$17:$N$2203,14,0)</f>
        <v>4</v>
      </c>
      <c r="H217" s="51">
        <f t="shared" si="138"/>
        <v>0.252</v>
      </c>
      <c r="I217" s="36" cm="1">
        <f t="array" ref="I217">INDEX('III-PA'!$I$18:$I$2661,1+MATCH(_xlfn.CONCAT(" ",A217," "),'III-PA'!$A$18:$A$2661,0))</f>
        <v>20.48</v>
      </c>
      <c r="J217" s="36">
        <f t="shared" si="139"/>
        <v>25.64</v>
      </c>
      <c r="K217" s="36">
        <f t="shared" si="140"/>
        <v>81.92</v>
      </c>
      <c r="L217" s="36">
        <f t="shared" si="141"/>
        <v>20.64</v>
      </c>
      <c r="M217" s="97">
        <f t="shared" si="142"/>
        <v>102.56</v>
      </c>
    </row>
    <row r="218" spans="1:13" ht="30" x14ac:dyDescent="0.2">
      <c r="A218" s="96" t="s">
        <v>646</v>
      </c>
      <c r="B218" s="35" t="str" cm="1">
        <f t="array" ref="B218">INDEX('III-PA'!$B$18:$B$2661,1+MATCH(_xlfn.CONCAT(" ",'II-PO'!A218," "),'III-PA'!$A$18:$A$2661,0))</f>
        <v xml:space="preserve"> 081861 </v>
      </c>
      <c r="C218" s="35" t="str" cm="1">
        <f t="array" ref="C218">INDEX('III-PA'!$C$18:$C$2661,1+MATCH(_xlfn.CONCAT(" ",A218," "),'III-PA'!$A$18:$A$2661,0))</f>
        <v>AGETOP CIVIL</v>
      </c>
      <c r="D218" s="35" t="str" cm="1">
        <f t="array" ref="D218">INDEX('III-PA'!$A$18:$A$2661,1+MATCH(_xlfn.CONCAT(" ",A218," "),'III-PA'!$A$18:$A$2661,0))</f>
        <v>Composição</v>
      </c>
      <c r="E218" s="35" t="str" cm="1">
        <f t="array" ref="E218">INDEX('III-PA'!$D$18:$D$2661,1+MATCH(_xlfn.CONCAT(" ",A218," "),'III-PA'!$A$18:$A$2661,0))</f>
        <v>CAIXA D'AGUA POLIETILENO 1000 LTS. COM TAMPA</v>
      </c>
      <c r="F218" s="35" t="str" cm="1">
        <f t="array" ref="F218">INDEX('III-PA'!$G$18:$G$2661,1+MATCH(_xlfn.CONCAT(" ",A218," "),'III-PA'!$A$18:$A$2661,0))</f>
        <v>Un</v>
      </c>
      <c r="G218" s="50">
        <f>VLOOKUP(A218,'IV-MEMORIAL'!$A$17:$N$2203,14,0)</f>
        <v>1</v>
      </c>
      <c r="H218" s="51">
        <f t="shared" si="138"/>
        <v>0.252</v>
      </c>
      <c r="I218" s="36" cm="1">
        <f t="array" ref="I218">INDEX('III-PA'!$I$18:$I$2661,1+MATCH(_xlfn.CONCAT(" ",A218," "),'III-PA'!$A$18:$A$2661,0))</f>
        <v>570.32000000000005</v>
      </c>
      <c r="J218" s="36">
        <f t="shared" si="139"/>
        <v>714.04</v>
      </c>
      <c r="K218" s="36">
        <f t="shared" si="140"/>
        <v>570.32000000000005</v>
      </c>
      <c r="L218" s="36">
        <f t="shared" si="141"/>
        <v>143.71999999999991</v>
      </c>
      <c r="M218" s="97">
        <f t="shared" si="142"/>
        <v>714.04</v>
      </c>
    </row>
    <row r="219" spans="1:13" ht="45" x14ac:dyDescent="0.2">
      <c r="A219" s="96" t="s">
        <v>647</v>
      </c>
      <c r="B219" s="35" t="str" cm="1">
        <f t="array" ref="B219">INDEX('III-PA'!$B$18:$B$2661,1+MATCH(_xlfn.CONCAT(" ",'II-PO'!A219," "),'III-PA'!$A$18:$A$2661,0))</f>
        <v xml:space="preserve"> 95674 </v>
      </c>
      <c r="C219" s="35" t="str" cm="1">
        <f t="array" ref="C219">INDEX('III-PA'!$C$18:$C$2661,1+MATCH(_xlfn.CONCAT(" ",A219," "),'III-PA'!$A$18:$A$2661,0))</f>
        <v>SINAPI</v>
      </c>
      <c r="D219" s="35" t="str" cm="1">
        <f t="array" ref="D219">INDEX('III-PA'!$A$18:$A$2661,1+MATCH(_xlfn.CONCAT(" ",A219," "),'III-PA'!$A$18:$A$2661,0))</f>
        <v>Composição</v>
      </c>
      <c r="E219" s="35" t="str" cm="1">
        <f t="array" ref="E219">INDEX('III-PA'!$D$18:$D$2661,1+MATCH(_xlfn.CONCAT(" ",A219," "),'III-PA'!$A$18:$A$2661,0))</f>
        <v>HIDRÔMETRO DN 1/2", 3,0 M3/H - FORNECIMENTO E INSTALAÇÃO. AF_03/2024</v>
      </c>
      <c r="F219" s="35" t="str" cm="1">
        <f t="array" ref="F219">INDEX('III-PA'!$G$18:$G$2661,1+MATCH(_xlfn.CONCAT(" ",A219," "),'III-PA'!$A$18:$A$2661,0))</f>
        <v>UN</v>
      </c>
      <c r="G219" s="50">
        <f>VLOOKUP(A219,'IV-MEMORIAL'!$A$17:$N$2203,14,0)</f>
        <v>1</v>
      </c>
      <c r="H219" s="51">
        <f t="shared" si="138"/>
        <v>0.252</v>
      </c>
      <c r="I219" s="36" cm="1">
        <f t="array" ref="I219">INDEX('III-PA'!$I$18:$I$2661,1+MATCH(_xlfn.CONCAT(" ",A219," "),'III-PA'!$A$18:$A$2661,0))</f>
        <v>141.31</v>
      </c>
      <c r="J219" s="36">
        <f t="shared" si="139"/>
        <v>176.92</v>
      </c>
      <c r="K219" s="36">
        <f t="shared" si="140"/>
        <v>141.31</v>
      </c>
      <c r="L219" s="36">
        <f t="shared" si="141"/>
        <v>35.609999999999985</v>
      </c>
      <c r="M219" s="97">
        <f t="shared" si="142"/>
        <v>176.92</v>
      </c>
    </row>
    <row r="220" spans="1:13" ht="60" x14ac:dyDescent="0.2">
      <c r="A220" s="96" t="s">
        <v>648</v>
      </c>
      <c r="B220" s="35" t="str" cm="1">
        <f t="array" ref="B220">INDEX('III-PA'!$B$18:$B$2661,1+MATCH(_xlfn.CONCAT(" ",'II-PO'!A220," "),'III-PA'!$A$18:$A$2661,0))</f>
        <v xml:space="preserve"> 95634 </v>
      </c>
      <c r="C220" s="35" t="str" cm="1">
        <f t="array" ref="C220">INDEX('III-PA'!$C$18:$C$2661,1+MATCH(_xlfn.CONCAT(" ",A220," "),'III-PA'!$A$18:$A$2661,0))</f>
        <v>SINAPI</v>
      </c>
      <c r="D220" s="35" t="str" cm="1">
        <f t="array" ref="D220">INDEX('III-PA'!$A$18:$A$2661,1+MATCH(_xlfn.CONCAT(" ",A220," "),'III-PA'!$A$18:$A$2661,0))</f>
        <v>Composição</v>
      </c>
      <c r="E220" s="35" t="str" cm="1">
        <f t="array" ref="E220">INDEX('III-PA'!$D$18:$D$2661,1+MATCH(_xlfn.CONCAT(" ",A220," "),'III-PA'!$A$18:$A$2661,0))</f>
        <v>KIT CAVALETE PARA MEDIÇÃO DE ÁGUA - ENTRADA PRINCIPAL, EM PVC 20 MM (1/2") - FORNECIMENTO E INSTALAÇÃO (EXCLUSIVE HIDRÔMETRO). AF_03/2024</v>
      </c>
      <c r="F220" s="35" t="str" cm="1">
        <f t="array" ref="F220">INDEX('III-PA'!$G$18:$G$2661,1+MATCH(_xlfn.CONCAT(" ",A220," "),'III-PA'!$A$18:$A$2661,0))</f>
        <v>UN</v>
      </c>
      <c r="G220" s="50">
        <f>VLOOKUP(A220,'IV-MEMORIAL'!$A$17:$N$2203,14,0)</f>
        <v>1</v>
      </c>
      <c r="H220" s="51">
        <f t="shared" si="138"/>
        <v>0.252</v>
      </c>
      <c r="I220" s="36" cm="1">
        <f t="array" ref="I220">INDEX('III-PA'!$I$18:$I$2661,1+MATCH(_xlfn.CONCAT(" ",A220," "),'III-PA'!$A$18:$A$2661,0))</f>
        <v>230.66</v>
      </c>
      <c r="J220" s="36">
        <f t="shared" si="139"/>
        <v>288.77999999999997</v>
      </c>
      <c r="K220" s="36">
        <f t="shared" si="140"/>
        <v>230.66</v>
      </c>
      <c r="L220" s="36">
        <f t="shared" si="141"/>
        <v>58.119999999999976</v>
      </c>
      <c r="M220" s="97">
        <f t="shared" si="142"/>
        <v>288.77999999999997</v>
      </c>
    </row>
    <row r="221" spans="1:13" ht="60" x14ac:dyDescent="0.2">
      <c r="A221" s="96" t="s">
        <v>649</v>
      </c>
      <c r="B221" s="35" t="str" cm="1">
        <f t="array" ref="B221">INDEX('III-PA'!$B$18:$B$2661,1+MATCH(_xlfn.CONCAT(" ",'II-PO'!A221," "),'III-PA'!$A$18:$A$2661,0))</f>
        <v xml:space="preserve"> 89489 </v>
      </c>
      <c r="C221" s="35" t="str" cm="1">
        <f t="array" ref="C221">INDEX('III-PA'!$C$18:$C$2661,1+MATCH(_xlfn.CONCAT(" ",A221," "),'III-PA'!$A$18:$A$2661,0))</f>
        <v>SINAPI</v>
      </c>
      <c r="D221" s="35" t="str" cm="1">
        <f t="array" ref="D221">INDEX('III-PA'!$A$18:$A$2661,1+MATCH(_xlfn.CONCAT(" ",A221," "),'III-PA'!$A$18:$A$2661,0))</f>
        <v>Composição</v>
      </c>
      <c r="E221" s="35" t="str" cm="1">
        <f t="array" ref="E221">INDEX('III-PA'!$D$18:$D$2661,1+MATCH(_xlfn.CONCAT(" ",A221," "),'III-PA'!$A$18:$A$2661,0))</f>
        <v>CURVA 90 GRAUS, PVC, SOLDÁVEL, DN 25MM, INSTALADO EM PRUMADA DE ÁGUA - FORNECIMENTO E INSTALAÇÃO. AF_06/2022</v>
      </c>
      <c r="F221" s="35" t="str" cm="1">
        <f t="array" ref="F221">INDEX('III-PA'!$G$18:$G$2661,1+MATCH(_xlfn.CONCAT(" ",A221," "),'III-PA'!$A$18:$A$2661,0))</f>
        <v>UN</v>
      </c>
      <c r="G221" s="50">
        <f>VLOOKUP(A221,'IV-MEMORIAL'!$A$17:$N$2203,14,0)</f>
        <v>1</v>
      </c>
      <c r="H221" s="51">
        <f t="shared" si="138"/>
        <v>0.252</v>
      </c>
      <c r="I221" s="36" cm="1">
        <f t="array" ref="I221">INDEX('III-PA'!$I$18:$I$2661,1+MATCH(_xlfn.CONCAT(" ",A221," "),'III-PA'!$A$18:$A$2661,0))</f>
        <v>8.26</v>
      </c>
      <c r="J221" s="36">
        <f t="shared" si="139"/>
        <v>10.34</v>
      </c>
      <c r="K221" s="36">
        <f t="shared" si="140"/>
        <v>8.26</v>
      </c>
      <c r="L221" s="36">
        <f t="shared" si="141"/>
        <v>2.08</v>
      </c>
      <c r="M221" s="97">
        <f t="shared" si="142"/>
        <v>10.34</v>
      </c>
    </row>
    <row r="222" spans="1:13" ht="60" x14ac:dyDescent="0.2">
      <c r="A222" s="96" t="s">
        <v>650</v>
      </c>
      <c r="B222" s="35" t="str" cm="1">
        <f t="array" ref="B222">INDEX('III-PA'!$B$18:$B$2661,1+MATCH(_xlfn.CONCAT(" ",'II-PO'!A222," "),'III-PA'!$A$18:$A$2661,0))</f>
        <v xml:space="preserve"> 89425 </v>
      </c>
      <c r="C222" s="35" t="str" cm="1">
        <f t="array" ref="C222">INDEX('III-PA'!$C$18:$C$2661,1+MATCH(_xlfn.CONCAT(" ",A222," "),'III-PA'!$A$18:$A$2661,0))</f>
        <v>SINAPI</v>
      </c>
      <c r="D222" s="35" t="str" cm="1">
        <f t="array" ref="D222">INDEX('III-PA'!$A$18:$A$2661,1+MATCH(_xlfn.CONCAT(" ",A222," "),'III-PA'!$A$18:$A$2661,0))</f>
        <v>Composição</v>
      </c>
      <c r="E222" s="35" t="str" cm="1">
        <f t="array" ref="E222">INDEX('III-PA'!$D$18:$D$2661,1+MATCH(_xlfn.CONCAT(" ",A222," "),'III-PA'!$A$18:$A$2661,0))</f>
        <v>LUVA DE CORRER, PVC, SOLDÁVEL, DN 25MM, INSTALADO EM RAMAL DE DISTRIBUIÇÃO DE ÁGUA - FORNECIMENTO E INSTALAÇÃO. AF_06/2022</v>
      </c>
      <c r="F222" s="35" t="str" cm="1">
        <f t="array" ref="F222">INDEX('III-PA'!$G$18:$G$2661,1+MATCH(_xlfn.CONCAT(" ",A222," "),'III-PA'!$A$18:$A$2661,0))</f>
        <v>UN</v>
      </c>
      <c r="G222" s="50">
        <f>VLOOKUP(A222,'IV-MEMORIAL'!$A$17:$N$2203,14,0)</f>
        <v>1</v>
      </c>
      <c r="H222" s="51">
        <f t="shared" si="138"/>
        <v>0.252</v>
      </c>
      <c r="I222" s="36" cm="1">
        <f t="array" ref="I222">INDEX('III-PA'!$I$18:$I$2661,1+MATCH(_xlfn.CONCAT(" ",A222," "),'III-PA'!$A$18:$A$2661,0))</f>
        <v>20.2</v>
      </c>
      <c r="J222" s="36">
        <f t="shared" si="139"/>
        <v>25.29</v>
      </c>
      <c r="K222" s="36">
        <f t="shared" si="140"/>
        <v>20.2</v>
      </c>
      <c r="L222" s="36">
        <f t="shared" si="141"/>
        <v>5.09</v>
      </c>
      <c r="M222" s="97">
        <f t="shared" si="142"/>
        <v>25.29</v>
      </c>
    </row>
    <row r="223" spans="1:13" ht="15.75" x14ac:dyDescent="0.2">
      <c r="A223" s="163" t="s">
        <v>567</v>
      </c>
      <c r="B223" s="164"/>
      <c r="C223" s="164"/>
      <c r="D223" s="164"/>
      <c r="E223" s="164" t="s">
        <v>568</v>
      </c>
      <c r="F223" s="164"/>
      <c r="G223" s="164"/>
      <c r="H223" s="165"/>
      <c r="I223" s="166"/>
      <c r="J223" s="166"/>
      <c r="K223" s="166">
        <f>SUM(K224:K245)</f>
        <v>3535.2</v>
      </c>
      <c r="L223" s="166">
        <f t="shared" ref="L223:M223" si="143">SUM(L224:L245)</f>
        <v>890.19999999999959</v>
      </c>
      <c r="M223" s="166">
        <f t="shared" si="143"/>
        <v>4425.3999999999996</v>
      </c>
    </row>
    <row r="224" spans="1:13" ht="60" x14ac:dyDescent="0.2">
      <c r="A224" s="96" t="s">
        <v>569</v>
      </c>
      <c r="B224" s="35" t="str" cm="1">
        <f t="array" ref="B224">INDEX('III-PA'!$B$18:$B$2661,1+MATCH(_xlfn.CONCAT(" ",'II-PO'!A224," "),'III-PA'!$A$18:$A$2661,0))</f>
        <v xml:space="preserve"> 89489 </v>
      </c>
      <c r="C224" s="35" t="str" cm="1">
        <f t="array" ref="C224">INDEX('III-PA'!$C$18:$C$2661,1+MATCH(_xlfn.CONCAT(" ",A224," "),'III-PA'!$A$18:$A$2661,0))</f>
        <v>SINAPI</v>
      </c>
      <c r="D224" s="35" t="str" cm="1">
        <f t="array" ref="D224">INDEX('III-PA'!$A$18:$A$2661,1+MATCH(_xlfn.CONCAT(" ",A224," "),'III-PA'!$A$18:$A$2661,0))</f>
        <v>Composição</v>
      </c>
      <c r="E224" s="35" t="str" cm="1">
        <f t="array" ref="E224">INDEX('III-PA'!$D$18:$D$2661,1+MATCH(_xlfn.CONCAT(" ",A224," "),'III-PA'!$A$18:$A$2661,0))</f>
        <v>CURVA 90 GRAUS, PVC, SOLDÁVEL, DN 25MM, INSTALADO EM PRUMADA DE ÁGUA - FORNECIMENTO E INSTALAÇÃO. AF_06/2022</v>
      </c>
      <c r="F224" s="35" t="str" cm="1">
        <f t="array" ref="F224">INDEX('III-PA'!$G$18:$G$2661,1+MATCH(_xlfn.CONCAT(" ",A224," "),'III-PA'!$A$18:$A$2661,0))</f>
        <v>UN</v>
      </c>
      <c r="G224" s="50">
        <f>VLOOKUP(A224,'IV-MEMORIAL'!$A$17:$N$2203,14,0)</f>
        <v>1</v>
      </c>
      <c r="H224" s="51">
        <f t="shared" ref="H224:H245" si="144">$L$14</f>
        <v>0.252</v>
      </c>
      <c r="I224" s="36" cm="1">
        <f t="array" ref="I224">INDEX('III-PA'!$I$18:$I$2661,1+MATCH(_xlfn.CONCAT(" ",A224," "),'III-PA'!$A$18:$A$2661,0))</f>
        <v>8.26</v>
      </c>
      <c r="J224" s="36">
        <f t="shared" ref="J224:J245" si="145">TRUNC(I224*(1+H224),2)</f>
        <v>10.34</v>
      </c>
      <c r="K224" s="36">
        <f t="shared" ref="K224:K245" si="146">TRUNC(I224*G224,2)</f>
        <v>8.26</v>
      </c>
      <c r="L224" s="36">
        <f t="shared" ref="L224:L245" si="147">M224-K224</f>
        <v>2.08</v>
      </c>
      <c r="M224" s="97">
        <f t="shared" ref="M224:M245" si="148">TRUNC(G224*J224,2)</f>
        <v>10.34</v>
      </c>
    </row>
    <row r="225" spans="1:13" ht="60" x14ac:dyDescent="0.2">
      <c r="A225" s="96" t="s">
        <v>651</v>
      </c>
      <c r="B225" s="35" t="str" cm="1">
        <f t="array" ref="B225">INDEX('III-PA'!$B$18:$B$2661,1+MATCH(_xlfn.CONCAT(" ",'II-PO'!A225," "),'III-PA'!$A$18:$A$2661,0))</f>
        <v xml:space="preserve"> 89425 </v>
      </c>
      <c r="C225" s="35" t="str" cm="1">
        <f t="array" ref="C225">INDEX('III-PA'!$C$18:$C$2661,1+MATCH(_xlfn.CONCAT(" ",A225," "),'III-PA'!$A$18:$A$2661,0))</f>
        <v>SINAPI</v>
      </c>
      <c r="D225" s="35" t="str" cm="1">
        <f t="array" ref="D225">INDEX('III-PA'!$A$18:$A$2661,1+MATCH(_xlfn.CONCAT(" ",A225," "),'III-PA'!$A$18:$A$2661,0))</f>
        <v>Composição</v>
      </c>
      <c r="E225" s="35" t="str" cm="1">
        <f t="array" ref="E225">INDEX('III-PA'!$D$18:$D$2661,1+MATCH(_xlfn.CONCAT(" ",A225," "),'III-PA'!$A$18:$A$2661,0))</f>
        <v>LUVA DE CORRER, PVC, SOLDÁVEL, DN 25MM, INSTALADO EM RAMAL DE DISTRIBUIÇÃO DE ÁGUA - FORNECIMENTO E INSTALAÇÃO. AF_06/2022</v>
      </c>
      <c r="F225" s="35" t="str" cm="1">
        <f t="array" ref="F225">INDEX('III-PA'!$G$18:$G$2661,1+MATCH(_xlfn.CONCAT(" ",A225," "),'III-PA'!$A$18:$A$2661,0))</f>
        <v>UN</v>
      </c>
      <c r="G225" s="50">
        <f>VLOOKUP(A225,'IV-MEMORIAL'!$A$17:$N$2203,14,0)</f>
        <v>1</v>
      </c>
      <c r="H225" s="51">
        <f t="shared" si="144"/>
        <v>0.252</v>
      </c>
      <c r="I225" s="36" cm="1">
        <f t="array" ref="I225">INDEX('III-PA'!$I$18:$I$2661,1+MATCH(_xlfn.CONCAT(" ",A225," "),'III-PA'!$A$18:$A$2661,0))</f>
        <v>20.2</v>
      </c>
      <c r="J225" s="36">
        <f t="shared" si="145"/>
        <v>25.29</v>
      </c>
      <c r="K225" s="36">
        <f t="shared" si="146"/>
        <v>20.2</v>
      </c>
      <c r="L225" s="36">
        <f t="shared" si="147"/>
        <v>5.09</v>
      </c>
      <c r="M225" s="97">
        <f t="shared" si="148"/>
        <v>25.29</v>
      </c>
    </row>
    <row r="226" spans="1:13" ht="60" x14ac:dyDescent="0.2">
      <c r="A226" s="96" t="s">
        <v>652</v>
      </c>
      <c r="B226" s="35" t="str" cm="1">
        <f t="array" ref="B226">INDEX('III-PA'!$B$18:$B$2661,1+MATCH(_xlfn.CONCAT(" ",'II-PO'!A226," "),'III-PA'!$A$18:$A$2661,0))</f>
        <v xml:space="preserve"> 89402 </v>
      </c>
      <c r="C226" s="35" t="str" cm="1">
        <f t="array" ref="C226">INDEX('III-PA'!$C$18:$C$2661,1+MATCH(_xlfn.CONCAT(" ",A226," "),'III-PA'!$A$18:$A$2661,0))</f>
        <v>SINAPI</v>
      </c>
      <c r="D226" s="35" t="str" cm="1">
        <f t="array" ref="D226">INDEX('III-PA'!$A$18:$A$2661,1+MATCH(_xlfn.CONCAT(" ",A226," "),'III-PA'!$A$18:$A$2661,0))</f>
        <v>Composição</v>
      </c>
      <c r="E226" s="35" t="str" cm="1">
        <f t="array" ref="E226">INDEX('III-PA'!$D$18:$D$2661,1+MATCH(_xlfn.CONCAT(" ",A226," "),'III-PA'!$A$18:$A$2661,0))</f>
        <v>TUBO, PVC, SOLDÁVEL, DE 25MM, INSTALADO EM RAMAL DE DISTRIBUIÇÃO DE ÁGUA - FORNECIMENTO E INSTALAÇÃO. AF_06/2022</v>
      </c>
      <c r="F226" s="35" t="str" cm="1">
        <f t="array" ref="F226">INDEX('III-PA'!$G$18:$G$2661,1+MATCH(_xlfn.CONCAT(" ",A226," "),'III-PA'!$A$18:$A$2661,0))</f>
        <v>M</v>
      </c>
      <c r="G226" s="50">
        <f>VLOOKUP(A226,'IV-MEMORIAL'!$A$17:$N$2203,14,0)</f>
        <v>37.61</v>
      </c>
      <c r="H226" s="51">
        <f t="shared" si="144"/>
        <v>0.252</v>
      </c>
      <c r="I226" s="36" cm="1">
        <f t="array" ref="I226">INDEX('III-PA'!$I$18:$I$2661,1+MATCH(_xlfn.CONCAT(" ",A226," "),'III-PA'!$A$18:$A$2661,0))</f>
        <v>13.6</v>
      </c>
      <c r="J226" s="36">
        <f t="shared" si="145"/>
        <v>17.02</v>
      </c>
      <c r="K226" s="36">
        <f t="shared" si="146"/>
        <v>511.49</v>
      </c>
      <c r="L226" s="36">
        <f t="shared" si="147"/>
        <v>128.63</v>
      </c>
      <c r="M226" s="97">
        <f t="shared" si="148"/>
        <v>640.12</v>
      </c>
    </row>
    <row r="227" spans="1:13" ht="60" x14ac:dyDescent="0.2">
      <c r="A227" s="96" t="s">
        <v>653</v>
      </c>
      <c r="B227" s="35" t="str" cm="1">
        <f t="array" ref="B227">INDEX('III-PA'!$B$18:$B$2661,1+MATCH(_xlfn.CONCAT(" ",'II-PO'!A227," "),'III-PA'!$A$18:$A$2661,0))</f>
        <v xml:space="preserve"> 89403 </v>
      </c>
      <c r="C227" s="35" t="str" cm="1">
        <f t="array" ref="C227">INDEX('III-PA'!$C$18:$C$2661,1+MATCH(_xlfn.CONCAT(" ",A227," "),'III-PA'!$A$18:$A$2661,0))</f>
        <v>SINAPI</v>
      </c>
      <c r="D227" s="35" t="str" cm="1">
        <f t="array" ref="D227">INDEX('III-PA'!$A$18:$A$2661,1+MATCH(_xlfn.CONCAT(" ",A227," "),'III-PA'!$A$18:$A$2661,0))</f>
        <v>Composição</v>
      </c>
      <c r="E227" s="35" t="str" cm="1">
        <f t="array" ref="E227">INDEX('III-PA'!$D$18:$D$2661,1+MATCH(_xlfn.CONCAT(" ",A227," "),'III-PA'!$A$18:$A$2661,0))</f>
        <v>TUBO, PVC, SOLDÁVEL, DE 32MM, INSTALADO EM RAMAL DE DISTRIBUIÇÃO DE ÁGUA - FORNECIMENTO E INSTALAÇÃO. AF_06/2022</v>
      </c>
      <c r="F227" s="35" t="str" cm="1">
        <f t="array" ref="F227">INDEX('III-PA'!$G$18:$G$2661,1+MATCH(_xlfn.CONCAT(" ",A227," "),'III-PA'!$A$18:$A$2661,0))</f>
        <v>M</v>
      </c>
      <c r="G227" s="50">
        <f>VLOOKUP(A227,'IV-MEMORIAL'!$A$17:$N$2203,14,0)</f>
        <v>1</v>
      </c>
      <c r="H227" s="51">
        <f t="shared" si="144"/>
        <v>0.252</v>
      </c>
      <c r="I227" s="36" cm="1">
        <f t="array" ref="I227">INDEX('III-PA'!$I$18:$I$2661,1+MATCH(_xlfn.CONCAT(" ",A227," "),'III-PA'!$A$18:$A$2661,0))</f>
        <v>21.1</v>
      </c>
      <c r="J227" s="36">
        <f t="shared" si="145"/>
        <v>26.41</v>
      </c>
      <c r="K227" s="36">
        <f t="shared" si="146"/>
        <v>21.1</v>
      </c>
      <c r="L227" s="36">
        <f t="shared" si="147"/>
        <v>5.3099999999999987</v>
      </c>
      <c r="M227" s="97">
        <f t="shared" si="148"/>
        <v>26.41</v>
      </c>
    </row>
    <row r="228" spans="1:13" ht="60" x14ac:dyDescent="0.2">
      <c r="A228" s="96" t="s">
        <v>654</v>
      </c>
      <c r="B228" s="35" t="str" cm="1">
        <f t="array" ref="B228">INDEX('III-PA'!$B$18:$B$2661,1+MATCH(_xlfn.CONCAT(" ",'II-PO'!A228," "),'III-PA'!$A$18:$A$2661,0))</f>
        <v xml:space="preserve"> 103978 </v>
      </c>
      <c r="C228" s="35" t="str" cm="1">
        <f t="array" ref="C228">INDEX('III-PA'!$C$18:$C$2661,1+MATCH(_xlfn.CONCAT(" ",A228," "),'III-PA'!$A$18:$A$2661,0))</f>
        <v>SINAPI</v>
      </c>
      <c r="D228" s="35" t="str" cm="1">
        <f t="array" ref="D228">INDEX('III-PA'!$A$18:$A$2661,1+MATCH(_xlfn.CONCAT(" ",A228," "),'III-PA'!$A$18:$A$2661,0))</f>
        <v>Composição</v>
      </c>
      <c r="E228" s="35" t="str" cm="1">
        <f t="array" ref="E228">INDEX('III-PA'!$D$18:$D$2661,1+MATCH(_xlfn.CONCAT(" ",A228," "),'III-PA'!$A$18:$A$2661,0))</f>
        <v>TUBO, PVC, SOLDÁVEL, DE 40MM, INSTALADO EM RAMAL DE DISTRIBUIÇÃO DE ÁGUA - FORNECIMENTO E INSTALAÇÃO. AF_06/2022</v>
      </c>
      <c r="F228" s="35" t="str" cm="1">
        <f t="array" ref="F228">INDEX('III-PA'!$G$18:$G$2661,1+MATCH(_xlfn.CONCAT(" ",A228," "),'III-PA'!$A$18:$A$2661,0))</f>
        <v>M</v>
      </c>
      <c r="G228" s="50">
        <f>VLOOKUP(A228,'IV-MEMORIAL'!$A$17:$N$2203,14,0)</f>
        <v>33.78</v>
      </c>
      <c r="H228" s="51">
        <f t="shared" si="144"/>
        <v>0.252</v>
      </c>
      <c r="I228" s="36" cm="1">
        <f t="array" ref="I228">INDEX('III-PA'!$I$18:$I$2661,1+MATCH(_xlfn.CONCAT(" ",A228," "),'III-PA'!$A$18:$A$2661,0))</f>
        <v>29.14</v>
      </c>
      <c r="J228" s="36">
        <f t="shared" si="145"/>
        <v>36.479999999999997</v>
      </c>
      <c r="K228" s="36">
        <f t="shared" si="146"/>
        <v>984.34</v>
      </c>
      <c r="L228" s="36">
        <f t="shared" si="147"/>
        <v>247.94999999999993</v>
      </c>
      <c r="M228" s="97">
        <f t="shared" si="148"/>
        <v>1232.29</v>
      </c>
    </row>
    <row r="229" spans="1:13" ht="30" x14ac:dyDescent="0.2">
      <c r="A229" s="96" t="s">
        <v>655</v>
      </c>
      <c r="B229" s="35" t="str" cm="1">
        <f t="array" ref="B229">INDEX('III-PA'!$B$18:$B$2661,1+MATCH(_xlfn.CONCAT(" ",'II-PO'!A229," "),'III-PA'!$A$18:$A$2661,0))</f>
        <v xml:space="preserve"> 080927 </v>
      </c>
      <c r="C229" s="35" t="str" cm="1">
        <f t="array" ref="C229">INDEX('III-PA'!$C$18:$C$2661,1+MATCH(_xlfn.CONCAT(" ",A229," "),'III-PA'!$A$18:$A$2661,0))</f>
        <v>AGETOP CIVIL</v>
      </c>
      <c r="D229" s="35" t="str" cm="1">
        <f t="array" ref="D229">INDEX('III-PA'!$A$18:$A$2661,1+MATCH(_xlfn.CONCAT(" ",A229," "),'III-PA'!$A$18:$A$2661,0))</f>
        <v>Composição</v>
      </c>
      <c r="E229" s="35" t="str" cm="1">
        <f t="array" ref="E229">INDEX('III-PA'!$D$18:$D$2661,1+MATCH(_xlfn.CONCAT(" ",A229," "),'III-PA'!$A$18:$A$2661,0))</f>
        <v>REGISTRO DE GAVETA C/CANOPLA DIAMETRO 1"</v>
      </c>
      <c r="F229" s="35" t="str" cm="1">
        <f t="array" ref="F229">INDEX('III-PA'!$G$18:$G$2661,1+MATCH(_xlfn.CONCAT(" ",A229," "),'III-PA'!$A$18:$A$2661,0))</f>
        <v>Un</v>
      </c>
      <c r="G229" s="50">
        <f>VLOOKUP(A229,'IV-MEMORIAL'!$A$17:$N$2203,14,0)</f>
        <v>1</v>
      </c>
      <c r="H229" s="51">
        <f t="shared" si="144"/>
        <v>0.252</v>
      </c>
      <c r="I229" s="36" cm="1">
        <f t="array" ref="I229">INDEX('III-PA'!$I$18:$I$2661,1+MATCH(_xlfn.CONCAT(" ",A229," "),'III-PA'!$A$18:$A$2661,0))</f>
        <v>179.86</v>
      </c>
      <c r="J229" s="36">
        <f t="shared" si="145"/>
        <v>225.18</v>
      </c>
      <c r="K229" s="36">
        <f t="shared" si="146"/>
        <v>179.86</v>
      </c>
      <c r="L229" s="36">
        <f t="shared" si="147"/>
        <v>45.319999999999993</v>
      </c>
      <c r="M229" s="97">
        <f t="shared" si="148"/>
        <v>225.18</v>
      </c>
    </row>
    <row r="230" spans="1:13" ht="30" x14ac:dyDescent="0.2">
      <c r="A230" s="96" t="s">
        <v>656</v>
      </c>
      <c r="B230" s="35" t="str" cm="1">
        <f t="array" ref="B230">INDEX('III-PA'!$B$18:$B$2661,1+MATCH(_xlfn.CONCAT(" ",'II-PO'!A230," "),'III-PA'!$A$18:$A$2661,0))</f>
        <v xml:space="preserve"> 080928 </v>
      </c>
      <c r="C230" s="35" t="str" cm="1">
        <f t="array" ref="C230">INDEX('III-PA'!$C$18:$C$2661,1+MATCH(_xlfn.CONCAT(" ",A230," "),'III-PA'!$A$18:$A$2661,0))</f>
        <v>AGETOP CIVIL</v>
      </c>
      <c r="D230" s="35" t="str" cm="1">
        <f t="array" ref="D230">INDEX('III-PA'!$A$18:$A$2661,1+MATCH(_xlfn.CONCAT(" ",A230," "),'III-PA'!$A$18:$A$2661,0))</f>
        <v>Composição</v>
      </c>
      <c r="E230" s="35" t="str" cm="1">
        <f t="array" ref="E230">INDEX('III-PA'!$D$18:$D$2661,1+MATCH(_xlfn.CONCAT(" ",A230," "),'III-PA'!$A$18:$A$2661,0))</f>
        <v>REGISTRO DE GAVETA C/CANOPLA DIAMETRO 1.1/4"</v>
      </c>
      <c r="F230" s="35" t="str" cm="1">
        <f t="array" ref="F230">INDEX('III-PA'!$G$18:$G$2661,1+MATCH(_xlfn.CONCAT(" ",A230," "),'III-PA'!$A$18:$A$2661,0))</f>
        <v>Un</v>
      </c>
      <c r="G230" s="50">
        <f>VLOOKUP(A230,'IV-MEMORIAL'!$A$17:$N$2203,14,0)</f>
        <v>2</v>
      </c>
      <c r="H230" s="51">
        <f t="shared" si="144"/>
        <v>0.252</v>
      </c>
      <c r="I230" s="36" cm="1">
        <f t="array" ref="I230">INDEX('III-PA'!$I$18:$I$2661,1+MATCH(_xlfn.CONCAT(" ",A230," "),'III-PA'!$A$18:$A$2661,0))</f>
        <v>209.44</v>
      </c>
      <c r="J230" s="36">
        <f t="shared" si="145"/>
        <v>262.20999999999998</v>
      </c>
      <c r="K230" s="36">
        <f t="shared" si="146"/>
        <v>418.88</v>
      </c>
      <c r="L230" s="36">
        <f t="shared" si="147"/>
        <v>105.53999999999996</v>
      </c>
      <c r="M230" s="97">
        <f t="shared" si="148"/>
        <v>524.41999999999996</v>
      </c>
    </row>
    <row r="231" spans="1:13" ht="30" x14ac:dyDescent="0.2">
      <c r="A231" s="96" t="s">
        <v>657</v>
      </c>
      <c r="B231" s="35" t="str" cm="1">
        <f t="array" ref="B231">INDEX('III-PA'!$B$18:$B$2661,1+MATCH(_xlfn.CONCAT(" ",'II-PO'!A231," "),'III-PA'!$A$18:$A$2661,0))</f>
        <v xml:space="preserve"> 081056 </v>
      </c>
      <c r="C231" s="35" t="str" cm="1">
        <f t="array" ref="C231">INDEX('III-PA'!$C$18:$C$2661,1+MATCH(_xlfn.CONCAT(" ",A231," "),'III-PA'!$A$18:$A$2661,0))</f>
        <v>AGETOP CIVIL</v>
      </c>
      <c r="D231" s="35" t="str" cm="1">
        <f t="array" ref="D231">INDEX('III-PA'!$A$18:$A$2661,1+MATCH(_xlfn.CONCAT(" ",A231," "),'III-PA'!$A$18:$A$2661,0))</f>
        <v>Composição</v>
      </c>
      <c r="E231" s="35" t="str" cm="1">
        <f t="array" ref="E231">INDEX('III-PA'!$D$18:$D$2661,1+MATCH(_xlfn.CONCAT(" ",A231," "),'III-PA'!$A$18:$A$2661,0))</f>
        <v>ADAPTADOR SOLDÁVEL COM FLANGES LIVRES PARA CAIXA D'ÁGUA 32X1"</v>
      </c>
      <c r="F231" s="35" t="str" cm="1">
        <f t="array" ref="F231">INDEX('III-PA'!$G$18:$G$2661,1+MATCH(_xlfn.CONCAT(" ",A231," "),'III-PA'!$A$18:$A$2661,0))</f>
        <v>Un</v>
      </c>
      <c r="G231" s="50">
        <f>VLOOKUP(A231,'IV-MEMORIAL'!$A$17:$N$2203,14,0)</f>
        <v>3</v>
      </c>
      <c r="H231" s="51">
        <f t="shared" si="144"/>
        <v>0.252</v>
      </c>
      <c r="I231" s="36" cm="1">
        <f t="array" ref="I231">INDEX('III-PA'!$I$18:$I$2661,1+MATCH(_xlfn.CONCAT(" ",A231," "),'III-PA'!$A$18:$A$2661,0))</f>
        <v>22.55</v>
      </c>
      <c r="J231" s="36">
        <f t="shared" si="145"/>
        <v>28.23</v>
      </c>
      <c r="K231" s="36">
        <f t="shared" si="146"/>
        <v>67.650000000000006</v>
      </c>
      <c r="L231" s="36">
        <f t="shared" si="147"/>
        <v>17.039999999999992</v>
      </c>
      <c r="M231" s="97">
        <f t="shared" si="148"/>
        <v>84.69</v>
      </c>
    </row>
    <row r="232" spans="1:13" ht="30" x14ac:dyDescent="0.2">
      <c r="A232" s="96" t="s">
        <v>658</v>
      </c>
      <c r="B232" s="35" t="str" cm="1">
        <f t="array" ref="B232">INDEX('III-PA'!$B$18:$B$2661,1+MATCH(_xlfn.CONCAT(" ",'II-PO'!A232," "),'III-PA'!$A$18:$A$2661,0))</f>
        <v xml:space="preserve"> 081067 </v>
      </c>
      <c r="C232" s="35" t="str" cm="1">
        <f t="array" ref="C232">INDEX('III-PA'!$C$18:$C$2661,1+MATCH(_xlfn.CONCAT(" ",A232," "),'III-PA'!$A$18:$A$2661,0))</f>
        <v>AGETOP CIVIL</v>
      </c>
      <c r="D232" s="35" t="str" cm="1">
        <f t="array" ref="D232">INDEX('III-PA'!$A$18:$A$2661,1+MATCH(_xlfn.CONCAT(" ",A232," "),'III-PA'!$A$18:$A$2661,0))</f>
        <v>Composição</v>
      </c>
      <c r="E232" s="35" t="str" cm="1">
        <f t="array" ref="E232">INDEX('III-PA'!$D$18:$D$2661,1+MATCH(_xlfn.CONCAT(" ",A232," "),'III-PA'!$A$18:$A$2661,0))</f>
        <v>ADAPTADOR SOLDÁVEL CURTO C/ BOLSA E ROSCA PARA REGISTRO 32X1"</v>
      </c>
      <c r="F232" s="35" t="str" cm="1">
        <f t="array" ref="F232">INDEX('III-PA'!$G$18:$G$2661,1+MATCH(_xlfn.CONCAT(" ",A232," "),'III-PA'!$A$18:$A$2661,0))</f>
        <v>Un</v>
      </c>
      <c r="G232" s="50">
        <f>VLOOKUP(A232,'IV-MEMORIAL'!$A$17:$N$2203,14,0)</f>
        <v>2</v>
      </c>
      <c r="H232" s="51">
        <f t="shared" si="144"/>
        <v>0.252</v>
      </c>
      <c r="I232" s="36" cm="1">
        <f t="array" ref="I232">INDEX('III-PA'!$I$18:$I$2661,1+MATCH(_xlfn.CONCAT(" ",A232," "),'III-PA'!$A$18:$A$2661,0))</f>
        <v>7.03</v>
      </c>
      <c r="J232" s="36">
        <f t="shared" si="145"/>
        <v>8.8000000000000007</v>
      </c>
      <c r="K232" s="36">
        <f t="shared" si="146"/>
        <v>14.06</v>
      </c>
      <c r="L232" s="36">
        <f t="shared" si="147"/>
        <v>3.5400000000000009</v>
      </c>
      <c r="M232" s="97">
        <f t="shared" si="148"/>
        <v>17.600000000000001</v>
      </c>
    </row>
    <row r="233" spans="1:13" ht="30" x14ac:dyDescent="0.2">
      <c r="A233" s="96" t="s">
        <v>659</v>
      </c>
      <c r="B233" s="35" t="str" cm="1">
        <f t="array" ref="B233">INDEX('III-PA'!$B$18:$B$2661,1+MATCH(_xlfn.CONCAT(" ",'II-PO'!A233," "),'III-PA'!$A$18:$A$2661,0))</f>
        <v xml:space="preserve"> 081068 </v>
      </c>
      <c r="C233" s="35" t="str" cm="1">
        <f t="array" ref="C233">INDEX('III-PA'!$C$18:$C$2661,1+MATCH(_xlfn.CONCAT(" ",A233," "),'III-PA'!$A$18:$A$2661,0))</f>
        <v>AGETOP CIVIL</v>
      </c>
      <c r="D233" s="35" t="str" cm="1">
        <f t="array" ref="D233">INDEX('III-PA'!$A$18:$A$2661,1+MATCH(_xlfn.CONCAT(" ",A233," "),'III-PA'!$A$18:$A$2661,0))</f>
        <v>Composição</v>
      </c>
      <c r="E233" s="35" t="str" cm="1">
        <f t="array" ref="E233">INDEX('III-PA'!$D$18:$D$2661,1+MATCH(_xlfn.CONCAT(" ",A233," "),'III-PA'!$A$18:$A$2661,0))</f>
        <v>ADAPTADOR SOLDÁVEL CURTO C/ BOLSA E ROSCA PARA REGISTRO 40X1 1/4"</v>
      </c>
      <c r="F233" s="35" t="str" cm="1">
        <f t="array" ref="F233">INDEX('III-PA'!$G$18:$G$2661,1+MATCH(_xlfn.CONCAT(" ",A233," "),'III-PA'!$A$18:$A$2661,0))</f>
        <v>Un</v>
      </c>
      <c r="G233" s="50">
        <f>VLOOKUP(A233,'IV-MEMORIAL'!$A$17:$N$2203,14,0)</f>
        <v>4</v>
      </c>
      <c r="H233" s="51">
        <f t="shared" si="144"/>
        <v>0.252</v>
      </c>
      <c r="I233" s="36" cm="1">
        <f t="array" ref="I233">INDEX('III-PA'!$I$18:$I$2661,1+MATCH(_xlfn.CONCAT(" ",A233," "),'III-PA'!$A$18:$A$2661,0))</f>
        <v>11.68</v>
      </c>
      <c r="J233" s="36">
        <f t="shared" si="145"/>
        <v>14.62</v>
      </c>
      <c r="K233" s="36">
        <f t="shared" si="146"/>
        <v>46.72</v>
      </c>
      <c r="L233" s="36">
        <f t="shared" si="147"/>
        <v>11.759999999999998</v>
      </c>
      <c r="M233" s="97">
        <f t="shared" si="148"/>
        <v>58.48</v>
      </c>
    </row>
    <row r="234" spans="1:13" ht="75" x14ac:dyDescent="0.2">
      <c r="A234" s="96" t="s">
        <v>660</v>
      </c>
      <c r="B234" s="35" t="str" cm="1">
        <f t="array" ref="B234">INDEX('III-PA'!$B$18:$B$2661,1+MATCH(_xlfn.CONCAT(" ",'II-PO'!A234," "),'III-PA'!$A$18:$A$2661,0))</f>
        <v xml:space="preserve"> 104014 </v>
      </c>
      <c r="C234" s="35" t="str" cm="1">
        <f t="array" ref="C234">INDEX('III-PA'!$C$18:$C$2661,1+MATCH(_xlfn.CONCAT(" ",A234," "),'III-PA'!$A$18:$A$2661,0))</f>
        <v>SINAPI</v>
      </c>
      <c r="D234" s="35" t="str" cm="1">
        <f t="array" ref="D234">INDEX('III-PA'!$A$18:$A$2661,1+MATCH(_xlfn.CONCAT(" ",A234," "),'III-PA'!$A$18:$A$2661,0))</f>
        <v>Composição</v>
      </c>
      <c r="E234" s="35" t="str" cm="1">
        <f t="array" ref="E234">INDEX('III-PA'!$D$18:$D$2661,1+MATCH(_xlfn.CONCAT(" ",A234," "),'III-PA'!$A$18:$A$2661,0))</f>
        <v>BUCHA DE REDUÇÃO, LONGA, PVC, SOLDÁVEL, DN 40 X 25 MM, INSTALADO EM RAMAL DE DISTRIBUIÇÃO DE ÁGUA - FORNECIMENTO E INSTALAÇÃO. AF_06/2022</v>
      </c>
      <c r="F234" s="35" t="str" cm="1">
        <f t="array" ref="F234">INDEX('III-PA'!$G$18:$G$2661,1+MATCH(_xlfn.CONCAT(" ",A234," "),'III-PA'!$A$18:$A$2661,0))</f>
        <v>UN</v>
      </c>
      <c r="G234" s="50">
        <f>VLOOKUP(A234,'IV-MEMORIAL'!$A$17:$N$2203,14,0)</f>
        <v>9</v>
      </c>
      <c r="H234" s="51">
        <f t="shared" si="144"/>
        <v>0.252</v>
      </c>
      <c r="I234" s="36" cm="1">
        <f t="array" ref="I234">INDEX('III-PA'!$I$18:$I$2661,1+MATCH(_xlfn.CONCAT(" ",A234," "),'III-PA'!$A$18:$A$2661,0))</f>
        <v>11.51</v>
      </c>
      <c r="J234" s="36">
        <f t="shared" si="145"/>
        <v>14.41</v>
      </c>
      <c r="K234" s="36">
        <f t="shared" si="146"/>
        <v>103.59</v>
      </c>
      <c r="L234" s="36">
        <f t="shared" si="147"/>
        <v>26.099999999999994</v>
      </c>
      <c r="M234" s="97">
        <f t="shared" si="148"/>
        <v>129.69</v>
      </c>
    </row>
    <row r="235" spans="1:13" ht="60" x14ac:dyDescent="0.2">
      <c r="A235" s="96" t="s">
        <v>661</v>
      </c>
      <c r="B235" s="35" t="str" cm="1">
        <f t="array" ref="B235">INDEX('III-PA'!$B$18:$B$2661,1+MATCH(_xlfn.CONCAT(" ",'II-PO'!A235," "),'III-PA'!$A$18:$A$2661,0))</f>
        <v xml:space="preserve"> 89411 </v>
      </c>
      <c r="C235" s="35" t="str" cm="1">
        <f t="array" ref="C235">INDEX('III-PA'!$C$18:$C$2661,1+MATCH(_xlfn.CONCAT(" ",A235," "),'III-PA'!$A$18:$A$2661,0))</f>
        <v>SINAPI</v>
      </c>
      <c r="D235" s="35" t="str" cm="1">
        <f t="array" ref="D235">INDEX('III-PA'!$A$18:$A$2661,1+MATCH(_xlfn.CONCAT(" ",A235," "),'III-PA'!$A$18:$A$2661,0))</f>
        <v>Composição</v>
      </c>
      <c r="E235" s="35" t="str" cm="1">
        <f t="array" ref="E235">INDEX('III-PA'!$D$18:$D$2661,1+MATCH(_xlfn.CONCAT(" ",A235," "),'III-PA'!$A$18:$A$2661,0))</f>
        <v>CURVA 45 GRAUS, PVC, SOLDÁVEL, DN 25MM, INSTALADO EM RAMAL DE DISTRIBUIÇÃO DE ÁGUA - FORNECIMENTO E INSTALAÇÃO. AF_06/2022</v>
      </c>
      <c r="F235" s="35" t="str" cm="1">
        <f t="array" ref="F235">INDEX('III-PA'!$G$18:$G$2661,1+MATCH(_xlfn.CONCAT(" ",A235," "),'III-PA'!$A$18:$A$2661,0))</f>
        <v>UN</v>
      </c>
      <c r="G235" s="50">
        <f>VLOOKUP(A235,'IV-MEMORIAL'!$A$17:$N$2203,14,0)</f>
        <v>4</v>
      </c>
      <c r="H235" s="51">
        <f t="shared" si="144"/>
        <v>0.252</v>
      </c>
      <c r="I235" s="36" cm="1">
        <f t="array" ref="I235">INDEX('III-PA'!$I$18:$I$2661,1+MATCH(_xlfn.CONCAT(" ",A235," "),'III-PA'!$A$18:$A$2661,0))</f>
        <v>11.18</v>
      </c>
      <c r="J235" s="36">
        <f t="shared" si="145"/>
        <v>13.99</v>
      </c>
      <c r="K235" s="36">
        <f t="shared" si="146"/>
        <v>44.72</v>
      </c>
      <c r="L235" s="36">
        <f t="shared" si="147"/>
        <v>11.240000000000002</v>
      </c>
      <c r="M235" s="97">
        <f t="shared" si="148"/>
        <v>55.96</v>
      </c>
    </row>
    <row r="236" spans="1:13" ht="60" x14ac:dyDescent="0.2">
      <c r="A236" s="96" t="s">
        <v>662</v>
      </c>
      <c r="B236" s="35" t="str" cm="1">
        <f t="array" ref="B236">INDEX('III-PA'!$B$18:$B$2661,1+MATCH(_xlfn.CONCAT(" ",'II-PO'!A236," "),'III-PA'!$A$18:$A$2661,0))</f>
        <v xml:space="preserve"> 103983 </v>
      </c>
      <c r="C236" s="35" t="str" cm="1">
        <f t="array" ref="C236">INDEX('III-PA'!$C$18:$C$2661,1+MATCH(_xlfn.CONCAT(" ",A236," "),'III-PA'!$A$18:$A$2661,0))</f>
        <v>SINAPI</v>
      </c>
      <c r="D236" s="35" t="str" cm="1">
        <f t="array" ref="D236">INDEX('III-PA'!$A$18:$A$2661,1+MATCH(_xlfn.CONCAT(" ",A236," "),'III-PA'!$A$18:$A$2661,0))</f>
        <v>Composição</v>
      </c>
      <c r="E236" s="35" t="str" cm="1">
        <f t="array" ref="E236">INDEX('III-PA'!$D$18:$D$2661,1+MATCH(_xlfn.CONCAT(" ",A236," "),'III-PA'!$A$18:$A$2661,0))</f>
        <v>CURVA 45 GRAUS, PVC, SOLDÁVEL, DN 40MM, INSTALADO EM RAMAL DE DISTRIBUIÇÃO DE ÁGUA - FORNECIMENTO E INSTALAÇÃO. AF_06/2022</v>
      </c>
      <c r="F236" s="35" t="str" cm="1">
        <f t="array" ref="F236">INDEX('III-PA'!$G$18:$G$2661,1+MATCH(_xlfn.CONCAT(" ",A236," "),'III-PA'!$A$18:$A$2661,0))</f>
        <v>UN</v>
      </c>
      <c r="G236" s="50">
        <f>VLOOKUP(A236,'IV-MEMORIAL'!$A$17:$N$2203,14,0)</f>
        <v>4</v>
      </c>
      <c r="H236" s="51">
        <f t="shared" si="144"/>
        <v>0.252</v>
      </c>
      <c r="I236" s="36" cm="1">
        <f t="array" ref="I236">INDEX('III-PA'!$I$18:$I$2661,1+MATCH(_xlfn.CONCAT(" ",A236," "),'III-PA'!$A$18:$A$2661,0))</f>
        <v>18.38</v>
      </c>
      <c r="J236" s="36">
        <f t="shared" si="145"/>
        <v>23.01</v>
      </c>
      <c r="K236" s="36">
        <f t="shared" si="146"/>
        <v>73.52</v>
      </c>
      <c r="L236" s="36">
        <f t="shared" si="147"/>
        <v>18.52000000000001</v>
      </c>
      <c r="M236" s="97">
        <f t="shared" si="148"/>
        <v>92.04</v>
      </c>
    </row>
    <row r="237" spans="1:13" ht="60" x14ac:dyDescent="0.2">
      <c r="A237" s="96" t="s">
        <v>663</v>
      </c>
      <c r="B237" s="35" t="str" cm="1">
        <f t="array" ref="B237">INDEX('III-PA'!$B$18:$B$2661,1+MATCH(_xlfn.CONCAT(" ",'II-PO'!A237," "),'III-PA'!$A$18:$A$2661,0))</f>
        <v xml:space="preserve"> 89410 </v>
      </c>
      <c r="C237" s="35" t="str" cm="1">
        <f t="array" ref="C237">INDEX('III-PA'!$C$18:$C$2661,1+MATCH(_xlfn.CONCAT(" ",A237," "),'III-PA'!$A$18:$A$2661,0))</f>
        <v>SINAPI</v>
      </c>
      <c r="D237" s="35" t="str" cm="1">
        <f t="array" ref="D237">INDEX('III-PA'!$A$18:$A$2661,1+MATCH(_xlfn.CONCAT(" ",A237," "),'III-PA'!$A$18:$A$2661,0))</f>
        <v>Composição</v>
      </c>
      <c r="E237" s="35" t="str" cm="1">
        <f t="array" ref="E237">INDEX('III-PA'!$D$18:$D$2661,1+MATCH(_xlfn.CONCAT(" ",A237," "),'III-PA'!$A$18:$A$2661,0))</f>
        <v>CURVA 90 GRAUS, PVC, SOLDÁVEL, DN 25MM, INSTALADO EM RAMAL DE DISTRIBUIÇÃO DE ÁGUA - FORNECIMENTO E INSTALAÇÃO. AF_06/2022</v>
      </c>
      <c r="F237" s="35" t="str" cm="1">
        <f t="array" ref="F237">INDEX('III-PA'!$G$18:$G$2661,1+MATCH(_xlfn.CONCAT(" ",A237," "),'III-PA'!$A$18:$A$2661,0))</f>
        <v>UN</v>
      </c>
      <c r="G237" s="50">
        <f>VLOOKUP(A237,'IV-MEMORIAL'!$A$17:$N$2203,14,0)</f>
        <v>13</v>
      </c>
      <c r="H237" s="51">
        <f t="shared" si="144"/>
        <v>0.252</v>
      </c>
      <c r="I237" s="36" cm="1">
        <f t="array" ref="I237">INDEX('III-PA'!$I$18:$I$2661,1+MATCH(_xlfn.CONCAT(" ",A237," "),'III-PA'!$A$18:$A$2661,0))</f>
        <v>11.8</v>
      </c>
      <c r="J237" s="36">
        <f t="shared" si="145"/>
        <v>14.77</v>
      </c>
      <c r="K237" s="36">
        <f t="shared" si="146"/>
        <v>153.4</v>
      </c>
      <c r="L237" s="36">
        <f t="shared" si="147"/>
        <v>38.609999999999985</v>
      </c>
      <c r="M237" s="97">
        <f t="shared" si="148"/>
        <v>192.01</v>
      </c>
    </row>
    <row r="238" spans="1:13" ht="60" x14ac:dyDescent="0.2">
      <c r="A238" s="96" t="s">
        <v>664</v>
      </c>
      <c r="B238" s="35" t="str" cm="1">
        <f t="array" ref="B238">INDEX('III-PA'!$B$18:$B$2661,1+MATCH(_xlfn.CONCAT(" ",'II-PO'!A238," "),'III-PA'!$A$18:$A$2661,0))</f>
        <v xml:space="preserve"> 89415 </v>
      </c>
      <c r="C238" s="35" t="str" cm="1">
        <f t="array" ref="C238">INDEX('III-PA'!$C$18:$C$2661,1+MATCH(_xlfn.CONCAT(" ",A238," "),'III-PA'!$A$18:$A$2661,0))</f>
        <v>SINAPI</v>
      </c>
      <c r="D238" s="35" t="str" cm="1">
        <f t="array" ref="D238">INDEX('III-PA'!$A$18:$A$2661,1+MATCH(_xlfn.CONCAT(" ",A238," "),'III-PA'!$A$18:$A$2661,0))</f>
        <v>Composição</v>
      </c>
      <c r="E238" s="35" t="str" cm="1">
        <f t="array" ref="E238">INDEX('III-PA'!$D$18:$D$2661,1+MATCH(_xlfn.CONCAT(" ",A238," "),'III-PA'!$A$18:$A$2661,0))</f>
        <v>CURVA 90 GRAUS, PVC, SOLDÁVEL, DN 32MM, INSTALADO EM RAMAL DE DISTRIBUIÇÃO DE ÁGUA - FORNECIMENTO E INSTALAÇÃO. AF_06/2022</v>
      </c>
      <c r="F238" s="35" t="str" cm="1">
        <f t="array" ref="F238">INDEX('III-PA'!$G$18:$G$2661,1+MATCH(_xlfn.CONCAT(" ",A238," "),'III-PA'!$A$18:$A$2661,0))</f>
        <v>UN</v>
      </c>
      <c r="G238" s="50">
        <f>VLOOKUP(A238,'IV-MEMORIAL'!$A$17:$N$2203,14,0)</f>
        <v>1</v>
      </c>
      <c r="H238" s="51">
        <f t="shared" si="144"/>
        <v>0.252</v>
      </c>
      <c r="I238" s="36" cm="1">
        <f t="array" ref="I238">INDEX('III-PA'!$I$18:$I$2661,1+MATCH(_xlfn.CONCAT(" ",A238," "),'III-PA'!$A$18:$A$2661,0))</f>
        <v>17.600000000000001</v>
      </c>
      <c r="J238" s="36">
        <f t="shared" si="145"/>
        <v>22.03</v>
      </c>
      <c r="K238" s="36">
        <f t="shared" si="146"/>
        <v>17.600000000000001</v>
      </c>
      <c r="L238" s="36">
        <f t="shared" si="147"/>
        <v>4.43</v>
      </c>
      <c r="M238" s="97">
        <f t="shared" si="148"/>
        <v>22.03</v>
      </c>
    </row>
    <row r="239" spans="1:13" ht="60" x14ac:dyDescent="0.2">
      <c r="A239" s="96" t="s">
        <v>665</v>
      </c>
      <c r="B239" s="35" t="str" cm="1">
        <f t="array" ref="B239">INDEX('III-PA'!$B$18:$B$2661,1+MATCH(_xlfn.CONCAT(" ",'II-PO'!A239," "),'III-PA'!$A$18:$A$2661,0))</f>
        <v xml:space="preserve"> 89408 </v>
      </c>
      <c r="C239" s="35" t="str" cm="1">
        <f t="array" ref="C239">INDEX('III-PA'!$C$18:$C$2661,1+MATCH(_xlfn.CONCAT(" ",A239," "),'III-PA'!$A$18:$A$2661,0))</f>
        <v>SINAPI</v>
      </c>
      <c r="D239" s="35" t="str" cm="1">
        <f t="array" ref="D239">INDEX('III-PA'!$A$18:$A$2661,1+MATCH(_xlfn.CONCAT(" ",A239," "),'III-PA'!$A$18:$A$2661,0))</f>
        <v>Composição</v>
      </c>
      <c r="E239" s="35" t="str" cm="1">
        <f t="array" ref="E239">INDEX('III-PA'!$D$18:$D$2661,1+MATCH(_xlfn.CONCAT(" ",A239," "),'III-PA'!$A$18:$A$2661,0))</f>
        <v>JOELHO 90 GRAUS, PVC, SOLDÁVEL, DN 25MM, INSTALADO EM RAMAL DE DISTRIBUIÇÃO DE ÁGUA - FORNECIMENTO E INSTALAÇÃO. AF_06/2022</v>
      </c>
      <c r="F239" s="35" t="str" cm="1">
        <f t="array" ref="F239">INDEX('III-PA'!$G$18:$G$2661,1+MATCH(_xlfn.CONCAT(" ",A239," "),'III-PA'!$A$18:$A$2661,0))</f>
        <v>UN</v>
      </c>
      <c r="G239" s="50">
        <f>VLOOKUP(A239,'IV-MEMORIAL'!$A$17:$N$2203,14,0)</f>
        <v>1</v>
      </c>
      <c r="H239" s="51">
        <f t="shared" si="144"/>
        <v>0.252</v>
      </c>
      <c r="I239" s="36" cm="1">
        <f t="array" ref="I239">INDEX('III-PA'!$I$18:$I$2661,1+MATCH(_xlfn.CONCAT(" ",A239," "),'III-PA'!$A$18:$A$2661,0))</f>
        <v>9.18</v>
      </c>
      <c r="J239" s="36">
        <f t="shared" si="145"/>
        <v>11.49</v>
      </c>
      <c r="K239" s="36">
        <f t="shared" si="146"/>
        <v>9.18</v>
      </c>
      <c r="L239" s="36">
        <f t="shared" si="147"/>
        <v>2.3100000000000005</v>
      </c>
      <c r="M239" s="97">
        <f t="shared" si="148"/>
        <v>11.49</v>
      </c>
    </row>
    <row r="240" spans="1:13" ht="60" x14ac:dyDescent="0.2">
      <c r="A240" s="96" t="s">
        <v>666</v>
      </c>
      <c r="B240" s="35" t="str" cm="1">
        <f t="array" ref="B240">INDEX('III-PA'!$B$18:$B$2661,1+MATCH(_xlfn.CONCAT(" ",'II-PO'!A240," "),'III-PA'!$A$18:$A$2661,0))</f>
        <v xml:space="preserve"> 89425 </v>
      </c>
      <c r="C240" s="35" t="str" cm="1">
        <f t="array" ref="C240">INDEX('III-PA'!$C$18:$C$2661,1+MATCH(_xlfn.CONCAT(" ",A240," "),'III-PA'!$A$18:$A$2661,0))</f>
        <v>SINAPI</v>
      </c>
      <c r="D240" s="35" t="str" cm="1">
        <f t="array" ref="D240">INDEX('III-PA'!$A$18:$A$2661,1+MATCH(_xlfn.CONCAT(" ",A240," "),'III-PA'!$A$18:$A$2661,0))</f>
        <v>Composição</v>
      </c>
      <c r="E240" s="35" t="str" cm="1">
        <f t="array" ref="E240">INDEX('III-PA'!$D$18:$D$2661,1+MATCH(_xlfn.CONCAT(" ",A240," "),'III-PA'!$A$18:$A$2661,0))</f>
        <v>LUVA DE CORRER, PVC, SOLDÁVEL, DN 25MM, INSTALADO EM RAMAL DE DISTRIBUIÇÃO DE ÁGUA - FORNECIMENTO E INSTALAÇÃO. AF_06/2022</v>
      </c>
      <c r="F240" s="35" t="str" cm="1">
        <f t="array" ref="F240">INDEX('III-PA'!$G$18:$G$2661,1+MATCH(_xlfn.CONCAT(" ",A240," "),'III-PA'!$A$18:$A$2661,0))</f>
        <v>UN</v>
      </c>
      <c r="G240" s="50">
        <f>VLOOKUP(A240,'IV-MEMORIAL'!$A$17:$N$2203,14,0)</f>
        <v>1</v>
      </c>
      <c r="H240" s="51">
        <f t="shared" si="144"/>
        <v>0.252</v>
      </c>
      <c r="I240" s="36" cm="1">
        <f t="array" ref="I240">INDEX('III-PA'!$I$18:$I$2661,1+MATCH(_xlfn.CONCAT(" ",A240," "),'III-PA'!$A$18:$A$2661,0))</f>
        <v>20.2</v>
      </c>
      <c r="J240" s="36">
        <f t="shared" si="145"/>
        <v>25.29</v>
      </c>
      <c r="K240" s="36">
        <f t="shared" si="146"/>
        <v>20.2</v>
      </c>
      <c r="L240" s="36">
        <f t="shared" si="147"/>
        <v>5.09</v>
      </c>
      <c r="M240" s="97">
        <f t="shared" si="148"/>
        <v>25.29</v>
      </c>
    </row>
    <row r="241" spans="1:13" ht="60" x14ac:dyDescent="0.2">
      <c r="A241" s="96" t="s">
        <v>667</v>
      </c>
      <c r="B241" s="35" t="str" cm="1">
        <f t="array" ref="B241">INDEX('III-PA'!$B$18:$B$2661,1+MATCH(_xlfn.CONCAT(" ",'II-PO'!A241," "),'III-PA'!$A$18:$A$2661,0))</f>
        <v xml:space="preserve"> 103988 </v>
      </c>
      <c r="C241" s="35" t="str" cm="1">
        <f t="array" ref="C241">INDEX('III-PA'!$C$18:$C$2661,1+MATCH(_xlfn.CONCAT(" ",A241," "),'III-PA'!$A$18:$A$2661,0))</f>
        <v>SINAPI</v>
      </c>
      <c r="D241" s="35" t="str" cm="1">
        <f t="array" ref="D241">INDEX('III-PA'!$A$18:$A$2661,1+MATCH(_xlfn.CONCAT(" ",A241," "),'III-PA'!$A$18:$A$2661,0))</f>
        <v>Composição</v>
      </c>
      <c r="E241" s="35" t="str" cm="1">
        <f t="array" ref="E241">INDEX('III-PA'!$D$18:$D$2661,1+MATCH(_xlfn.CONCAT(" ",A241," "),'III-PA'!$A$18:$A$2661,0))</f>
        <v>LUVA, PVC, SOLDÁVEL, DN 40MM, INSTALADO EM RAMAL DE DISTRIBUIÇÃO DE ÁGUA - FORNECIMENTO E INSTALAÇÃO. AF_06/2022</v>
      </c>
      <c r="F241" s="35" t="str" cm="1">
        <f t="array" ref="F241">INDEX('III-PA'!$G$18:$G$2661,1+MATCH(_xlfn.CONCAT(" ",A241," "),'III-PA'!$A$18:$A$2661,0))</f>
        <v>UN</v>
      </c>
      <c r="G241" s="50">
        <f>VLOOKUP(A241,'IV-MEMORIAL'!$A$17:$N$2203,14,0)</f>
        <v>9</v>
      </c>
      <c r="H241" s="51">
        <f t="shared" si="144"/>
        <v>0.252</v>
      </c>
      <c r="I241" s="36" cm="1">
        <f t="array" ref="I241">INDEX('III-PA'!$I$18:$I$2661,1+MATCH(_xlfn.CONCAT(" ",A241," "),'III-PA'!$A$18:$A$2661,0))</f>
        <v>13.6</v>
      </c>
      <c r="J241" s="36">
        <f t="shared" si="145"/>
        <v>17.02</v>
      </c>
      <c r="K241" s="36">
        <f t="shared" si="146"/>
        <v>122.4</v>
      </c>
      <c r="L241" s="36">
        <f t="shared" si="147"/>
        <v>30.78</v>
      </c>
      <c r="M241" s="97">
        <f t="shared" si="148"/>
        <v>153.18</v>
      </c>
    </row>
    <row r="242" spans="1:13" ht="60" x14ac:dyDescent="0.2">
      <c r="A242" s="96" t="s">
        <v>668</v>
      </c>
      <c r="B242" s="35" t="str" cm="1">
        <f t="array" ref="B242">INDEX('III-PA'!$B$18:$B$2661,1+MATCH(_xlfn.CONCAT(" ",'II-PO'!A242," "),'III-PA'!$A$18:$A$2661,0))</f>
        <v xml:space="preserve"> 89440 </v>
      </c>
      <c r="C242" s="35" t="str" cm="1">
        <f t="array" ref="C242">INDEX('III-PA'!$C$18:$C$2661,1+MATCH(_xlfn.CONCAT(" ",A242," "),'III-PA'!$A$18:$A$2661,0))</f>
        <v>SINAPI</v>
      </c>
      <c r="D242" s="35" t="str" cm="1">
        <f t="array" ref="D242">INDEX('III-PA'!$A$18:$A$2661,1+MATCH(_xlfn.CONCAT(" ",A242," "),'III-PA'!$A$18:$A$2661,0))</f>
        <v>Composição</v>
      </c>
      <c r="E242" s="35" t="str" cm="1">
        <f t="array" ref="E242">INDEX('III-PA'!$D$18:$D$2661,1+MATCH(_xlfn.CONCAT(" ",A242," "),'III-PA'!$A$18:$A$2661,0))</f>
        <v>TE, PVC, SOLDÁVEL, DN 25MM, INSTALADO EM RAMAL DE DISTRIBUIÇÃO DE ÁGUA - FORNECIMENTO E INSTALAÇÃO. AF_06/2022</v>
      </c>
      <c r="F242" s="35" t="str" cm="1">
        <f t="array" ref="F242">INDEX('III-PA'!$G$18:$G$2661,1+MATCH(_xlfn.CONCAT(" ",A242," "),'III-PA'!$A$18:$A$2661,0))</f>
        <v>UN</v>
      </c>
      <c r="G242" s="50">
        <f>VLOOKUP(A242,'IV-MEMORIAL'!$A$17:$N$2203,14,0)</f>
        <v>4</v>
      </c>
      <c r="H242" s="51">
        <f t="shared" si="144"/>
        <v>0.252</v>
      </c>
      <c r="I242" s="36" cm="1">
        <f t="array" ref="I242">INDEX('III-PA'!$I$18:$I$2661,1+MATCH(_xlfn.CONCAT(" ",A242," "),'III-PA'!$A$18:$A$2661,0))</f>
        <v>12.69</v>
      </c>
      <c r="J242" s="36">
        <f t="shared" si="145"/>
        <v>15.88</v>
      </c>
      <c r="K242" s="36">
        <f t="shared" si="146"/>
        <v>50.76</v>
      </c>
      <c r="L242" s="36">
        <f t="shared" si="147"/>
        <v>12.760000000000005</v>
      </c>
      <c r="M242" s="97">
        <f t="shared" si="148"/>
        <v>63.52</v>
      </c>
    </row>
    <row r="243" spans="1:13" ht="60" x14ac:dyDescent="0.2">
      <c r="A243" s="96" t="s">
        <v>669</v>
      </c>
      <c r="B243" s="35" t="str" cm="1">
        <f t="array" ref="B243">INDEX('III-PA'!$B$18:$B$2661,1+MATCH(_xlfn.CONCAT(" ",'II-PO'!A243," "),'III-PA'!$A$18:$A$2661,0))</f>
        <v xml:space="preserve"> 89443 </v>
      </c>
      <c r="C243" s="35" t="str" cm="1">
        <f t="array" ref="C243">INDEX('III-PA'!$C$18:$C$2661,1+MATCH(_xlfn.CONCAT(" ",A243," "),'III-PA'!$A$18:$A$2661,0))</f>
        <v>SINAPI</v>
      </c>
      <c r="D243" s="35" t="str" cm="1">
        <f t="array" ref="D243">INDEX('III-PA'!$A$18:$A$2661,1+MATCH(_xlfn.CONCAT(" ",A243," "),'III-PA'!$A$18:$A$2661,0))</f>
        <v>Composição</v>
      </c>
      <c r="E243" s="35" t="str" cm="1">
        <f t="array" ref="E243">INDEX('III-PA'!$D$18:$D$2661,1+MATCH(_xlfn.CONCAT(" ",A243," "),'III-PA'!$A$18:$A$2661,0))</f>
        <v>TE, PVC, SOLDÁVEL, DN 32MM, INSTALADO EM RAMAL DE DISTRIBUIÇÃO DE ÁGUA - FORNECIMENTO E INSTALAÇÃO. AF_06/2022</v>
      </c>
      <c r="F243" s="35" t="str" cm="1">
        <f t="array" ref="F243">INDEX('III-PA'!$G$18:$G$2661,1+MATCH(_xlfn.CONCAT(" ",A243," "),'III-PA'!$A$18:$A$2661,0))</f>
        <v>UN</v>
      </c>
      <c r="G243" s="50">
        <f>VLOOKUP(A243,'IV-MEMORIAL'!$A$17:$N$2203,14,0)</f>
        <v>1</v>
      </c>
      <c r="H243" s="51">
        <f t="shared" si="144"/>
        <v>0.252</v>
      </c>
      <c r="I243" s="36" cm="1">
        <f t="array" ref="I243">INDEX('III-PA'!$I$18:$I$2661,1+MATCH(_xlfn.CONCAT(" ",A243," "),'III-PA'!$A$18:$A$2661,0))</f>
        <v>18.079999999999998</v>
      </c>
      <c r="J243" s="36">
        <f t="shared" si="145"/>
        <v>22.63</v>
      </c>
      <c r="K243" s="36">
        <f t="shared" si="146"/>
        <v>18.079999999999998</v>
      </c>
      <c r="L243" s="36">
        <f t="shared" si="147"/>
        <v>4.5500000000000007</v>
      </c>
      <c r="M243" s="97">
        <f t="shared" si="148"/>
        <v>22.63</v>
      </c>
    </row>
    <row r="244" spans="1:13" ht="60" x14ac:dyDescent="0.2">
      <c r="A244" s="96" t="s">
        <v>670</v>
      </c>
      <c r="B244" s="35" t="str" cm="1">
        <f t="array" ref="B244">INDEX('III-PA'!$B$18:$B$2661,1+MATCH(_xlfn.CONCAT(" ",'II-PO'!A244," "),'III-PA'!$A$18:$A$2661,0))</f>
        <v xml:space="preserve"> 104011 </v>
      </c>
      <c r="C244" s="35" t="str" cm="1">
        <f t="array" ref="C244">INDEX('III-PA'!$C$18:$C$2661,1+MATCH(_xlfn.CONCAT(" ",A244," "),'III-PA'!$A$18:$A$2661,0))</f>
        <v>SINAPI</v>
      </c>
      <c r="D244" s="35" t="str" cm="1">
        <f t="array" ref="D244">INDEX('III-PA'!$A$18:$A$2661,1+MATCH(_xlfn.CONCAT(" ",A244," "),'III-PA'!$A$18:$A$2661,0))</f>
        <v>Composição</v>
      </c>
      <c r="E244" s="35" t="str" cm="1">
        <f t="array" ref="E244">INDEX('III-PA'!$D$18:$D$2661,1+MATCH(_xlfn.CONCAT(" ",A244," "),'III-PA'!$A$18:$A$2661,0))</f>
        <v>TE, PVC, SOLDÁVEL, DN 40MM, INSTALADO EM RAMAL DE DISTRIBUIÇÃO DE ÁGUA - FORNECIMENTO E INSTALAÇÃO. AF_06/2022</v>
      </c>
      <c r="F244" s="35" t="str" cm="1">
        <f t="array" ref="F244">INDEX('III-PA'!$G$18:$G$2661,1+MATCH(_xlfn.CONCAT(" ",A244," "),'III-PA'!$A$18:$A$2661,0))</f>
        <v>UN</v>
      </c>
      <c r="G244" s="50">
        <f>VLOOKUP(A244,'IV-MEMORIAL'!$A$17:$N$2203,14,0)</f>
        <v>9</v>
      </c>
      <c r="H244" s="51">
        <f t="shared" si="144"/>
        <v>0.252</v>
      </c>
      <c r="I244" s="36" cm="1">
        <f t="array" ref="I244">INDEX('III-PA'!$I$18:$I$2661,1+MATCH(_xlfn.CONCAT(" ",A244," "),'III-PA'!$A$18:$A$2661,0))</f>
        <v>27.12</v>
      </c>
      <c r="J244" s="36">
        <f t="shared" si="145"/>
        <v>33.950000000000003</v>
      </c>
      <c r="K244" s="36">
        <f t="shared" si="146"/>
        <v>244.08</v>
      </c>
      <c r="L244" s="36">
        <f t="shared" si="147"/>
        <v>61.47</v>
      </c>
      <c r="M244" s="97">
        <f t="shared" si="148"/>
        <v>305.55</v>
      </c>
    </row>
    <row r="245" spans="1:13" ht="30" x14ac:dyDescent="0.2">
      <c r="A245" s="96" t="s">
        <v>671</v>
      </c>
      <c r="B245" s="35" t="str" cm="1">
        <f t="array" ref="B245">INDEX('III-PA'!$B$18:$B$2661,1+MATCH(_xlfn.CONCAT(" ",'II-PO'!A245," "),'III-PA'!$A$18:$A$2661,0))</f>
        <v xml:space="preserve"> 081860 </v>
      </c>
      <c r="C245" s="35" t="str" cm="1">
        <f t="array" ref="C245">INDEX('III-PA'!$C$18:$C$2661,1+MATCH(_xlfn.CONCAT(" ",A245," "),'III-PA'!$A$18:$A$2661,0))</f>
        <v>AGETOP CIVIL</v>
      </c>
      <c r="D245" s="35" t="str" cm="1">
        <f t="array" ref="D245">INDEX('III-PA'!$A$18:$A$2661,1+MATCH(_xlfn.CONCAT(" ",A245," "),'III-PA'!$A$18:$A$2661,0))</f>
        <v>Composição</v>
      </c>
      <c r="E245" s="35" t="str" cm="1">
        <f t="array" ref="E245">INDEX('III-PA'!$D$18:$D$2661,1+MATCH(_xlfn.CONCAT(" ",A245," "),'III-PA'!$A$18:$A$2661,0))</f>
        <v>CAIXA D'AGUA POLIETILENO 500 LTS. COM TAMPA</v>
      </c>
      <c r="F245" s="35" t="str" cm="1">
        <f t="array" ref="F245">INDEX('III-PA'!$G$18:$G$2661,1+MATCH(_xlfn.CONCAT(" ",A245," "),'III-PA'!$A$18:$A$2661,0))</f>
        <v>Un</v>
      </c>
      <c r="G245" s="50">
        <f>VLOOKUP(A245,'IV-MEMORIAL'!$A$17:$N$2203,14,0)</f>
        <v>1</v>
      </c>
      <c r="H245" s="51">
        <f t="shared" si="144"/>
        <v>0.252</v>
      </c>
      <c r="I245" s="36" cm="1">
        <f t="array" ref="I245">INDEX('III-PA'!$I$18:$I$2661,1+MATCH(_xlfn.CONCAT(" ",A245," "),'III-PA'!$A$18:$A$2661,0))</f>
        <v>405.11</v>
      </c>
      <c r="J245" s="36">
        <f t="shared" si="145"/>
        <v>507.19</v>
      </c>
      <c r="K245" s="36">
        <f t="shared" si="146"/>
        <v>405.11</v>
      </c>
      <c r="L245" s="36">
        <f t="shared" si="147"/>
        <v>102.07999999999998</v>
      </c>
      <c r="M245" s="97">
        <f t="shared" si="148"/>
        <v>507.19</v>
      </c>
    </row>
    <row r="246" spans="1:13" ht="15.75" x14ac:dyDescent="0.2">
      <c r="A246" s="163" t="s">
        <v>570</v>
      </c>
      <c r="B246" s="164"/>
      <c r="C246" s="164"/>
      <c r="D246" s="164"/>
      <c r="E246" s="164" t="s">
        <v>672</v>
      </c>
      <c r="F246" s="164"/>
      <c r="G246" s="164"/>
      <c r="H246" s="165"/>
      <c r="I246" s="166"/>
      <c r="J246" s="166"/>
      <c r="K246" s="166">
        <f>SUM(K247:K249)</f>
        <v>3528.0899999999997</v>
      </c>
      <c r="L246" s="166">
        <f t="shared" ref="L246:M246" si="149">SUM(L247:L249)</f>
        <v>889.06</v>
      </c>
      <c r="M246" s="166">
        <f t="shared" si="149"/>
        <v>4417.1499999999996</v>
      </c>
    </row>
    <row r="247" spans="1:13" ht="30" x14ac:dyDescent="0.2">
      <c r="A247" s="96" t="s">
        <v>571</v>
      </c>
      <c r="B247" s="35" t="str" cm="1">
        <f t="array" ref="B247">INDEX('III-PA'!$B$18:$B$2661,1+MATCH(_xlfn.CONCAT(" ",'II-PO'!A247," "),'III-PA'!$A$18:$A$2661,0))</f>
        <v xml:space="preserve"> 080544 </v>
      </c>
      <c r="C247" s="35" t="str" cm="1">
        <f t="array" ref="C247">INDEX('III-PA'!$C$18:$C$2661,1+MATCH(_xlfn.CONCAT(" ",A247," "),'III-PA'!$A$18:$A$2661,0))</f>
        <v>AGETOP CIVIL</v>
      </c>
      <c r="D247" s="35" t="str" cm="1">
        <f t="array" ref="D247">INDEX('III-PA'!$A$18:$A$2661,1+MATCH(_xlfn.CONCAT(" ",A247," "),'III-PA'!$A$18:$A$2661,0))</f>
        <v>Composição</v>
      </c>
      <c r="E247" s="35" t="str" cm="1">
        <f t="array" ref="E247">INDEX('III-PA'!$D$18:$D$2661,1+MATCH(_xlfn.CONCAT(" ",A247," "),'III-PA'!$A$18:$A$2661,0))</f>
        <v>LAVATÓRIO COM COLUNA SUSPENSA - 45X35 CM (MEDIDAS APROXIMADAS)</v>
      </c>
      <c r="F247" s="35" t="str" cm="1">
        <f t="array" ref="F247">INDEX('III-PA'!$G$18:$G$2661,1+MATCH(_xlfn.CONCAT(" ",A247," "),'III-PA'!$A$18:$A$2661,0))</f>
        <v>un</v>
      </c>
      <c r="G247" s="50">
        <f>VLOOKUP(A247,'IV-MEMORIAL'!$A$17:$N$2203,14,0)</f>
        <v>4</v>
      </c>
      <c r="H247" s="51">
        <f t="shared" ref="H247:H249" si="150">$L$14</f>
        <v>0.252</v>
      </c>
      <c r="I247" s="36" cm="1">
        <f t="array" ref="I247">INDEX('III-PA'!$I$18:$I$2661,1+MATCH(_xlfn.CONCAT(" ",A247," "),'III-PA'!$A$18:$A$2661,0))</f>
        <v>558.54</v>
      </c>
      <c r="J247" s="36">
        <f t="shared" ref="J247:J249" si="151">TRUNC(I247*(1+H247),2)</f>
        <v>699.29</v>
      </c>
      <c r="K247" s="36">
        <f t="shared" ref="K247:K249" si="152">TRUNC(I247*G247,2)</f>
        <v>2234.16</v>
      </c>
      <c r="L247" s="36">
        <f t="shared" ref="L247:L249" si="153">M247-K247</f>
        <v>563</v>
      </c>
      <c r="M247" s="97">
        <f t="shared" ref="M247:M249" si="154">TRUNC(G247*J247,2)</f>
        <v>2797.16</v>
      </c>
    </row>
    <row r="248" spans="1:13" ht="30" x14ac:dyDescent="0.2">
      <c r="A248" s="96" t="s">
        <v>673</v>
      </c>
      <c r="B248" s="35" t="str" cm="1">
        <f t="array" ref="B248">INDEX('III-PA'!$B$18:$B$2661,1+MATCH(_xlfn.CONCAT(" ",'II-PO'!A248," "),'III-PA'!$A$18:$A$2661,0))</f>
        <v xml:space="preserve"> 080652 </v>
      </c>
      <c r="C248" s="35" t="str" cm="1">
        <f t="array" ref="C248">INDEX('III-PA'!$C$18:$C$2661,1+MATCH(_xlfn.CONCAT(" ",A248," "),'III-PA'!$A$18:$A$2661,0))</f>
        <v>AGETOP CIVIL</v>
      </c>
      <c r="D248" s="35" t="str" cm="1">
        <f t="array" ref="D248">INDEX('III-PA'!$A$18:$A$2661,1+MATCH(_xlfn.CONCAT(" ",A248," "),'III-PA'!$A$18:$A$2661,0))</f>
        <v>Composição</v>
      </c>
      <c r="E248" s="35" t="str" cm="1">
        <f t="array" ref="E248">INDEX('III-PA'!$D$18:$D$2661,1+MATCH(_xlfn.CONCAT(" ",A248," "),'III-PA'!$A$18:$A$2661,0))</f>
        <v>PIA MÁRMORE/GRANITO SINTÉTICO 2,00 X 0,54 M</v>
      </c>
      <c r="F248" s="35" t="str" cm="1">
        <f t="array" ref="F248">INDEX('III-PA'!$G$18:$G$2661,1+MATCH(_xlfn.CONCAT(" ",A248," "),'III-PA'!$A$18:$A$2661,0))</f>
        <v>Un</v>
      </c>
      <c r="G248" s="50">
        <f>VLOOKUP(A248,'IV-MEMORIAL'!$A$17:$N$2203,14,0)</f>
        <v>1</v>
      </c>
      <c r="H248" s="51">
        <f t="shared" si="150"/>
        <v>0.252</v>
      </c>
      <c r="I248" s="36" cm="1">
        <f t="array" ref="I248">INDEX('III-PA'!$I$18:$I$2661,1+MATCH(_xlfn.CONCAT(" ",A248," "),'III-PA'!$A$18:$A$2661,0))</f>
        <v>670.18</v>
      </c>
      <c r="J248" s="36">
        <f t="shared" si="151"/>
        <v>839.06</v>
      </c>
      <c r="K248" s="36">
        <f t="shared" si="152"/>
        <v>670.18</v>
      </c>
      <c r="L248" s="36">
        <f t="shared" si="153"/>
        <v>168.88</v>
      </c>
      <c r="M248" s="97">
        <f t="shared" si="154"/>
        <v>839.06</v>
      </c>
    </row>
    <row r="249" spans="1:13" ht="45" x14ac:dyDescent="0.2">
      <c r="A249" s="96" t="s">
        <v>674</v>
      </c>
      <c r="B249" s="35" t="str" cm="1">
        <f t="array" ref="B249">INDEX('III-PA'!$B$18:$B$2661,1+MATCH(_xlfn.CONCAT(" ",'II-PO'!A249," "),'III-PA'!$A$18:$A$2661,0))</f>
        <v xml:space="preserve"> 080805 </v>
      </c>
      <c r="C249" s="35" t="str" cm="1">
        <f t="array" ref="C249">INDEX('III-PA'!$C$18:$C$2661,1+MATCH(_xlfn.CONCAT(" ",A249," "),'III-PA'!$A$18:$A$2661,0))</f>
        <v>AGETOP CIVIL</v>
      </c>
      <c r="D249" s="35" t="str" cm="1">
        <f t="array" ref="D249">INDEX('III-PA'!$A$18:$A$2661,1+MATCH(_xlfn.CONCAT(" ",A249," "),'III-PA'!$A$18:$A$2661,0))</f>
        <v>Composição</v>
      </c>
      <c r="E249" s="35" t="str" cm="1">
        <f t="array" ref="E249">INDEX('III-PA'!$D$18:$D$2661,1+MATCH(_xlfn.CONCAT(" ",A249," "),'III-PA'!$A$18:$A$2661,0))</f>
        <v>TANQUE DE AÇO INOX - CHAPA 0,7MM - MEDIDAS APROXIMADAS 50 X 40 X 22 CM (C X L X A)</v>
      </c>
      <c r="F249" s="35" t="str" cm="1">
        <f t="array" ref="F249">INDEX('III-PA'!$G$18:$G$2661,1+MATCH(_xlfn.CONCAT(" ",A249," "),'III-PA'!$A$18:$A$2661,0))</f>
        <v>Un</v>
      </c>
      <c r="G249" s="50">
        <f>VLOOKUP(A249,'IV-MEMORIAL'!$A$17:$N$2203,14,0)</f>
        <v>1</v>
      </c>
      <c r="H249" s="51">
        <f t="shared" si="150"/>
        <v>0.252</v>
      </c>
      <c r="I249" s="36" cm="1">
        <f t="array" ref="I249">INDEX('III-PA'!$I$18:$I$2661,1+MATCH(_xlfn.CONCAT(" ",A249," "),'III-PA'!$A$18:$A$2661,0))</f>
        <v>623.75</v>
      </c>
      <c r="J249" s="36">
        <f t="shared" si="151"/>
        <v>780.93</v>
      </c>
      <c r="K249" s="36">
        <f t="shared" si="152"/>
        <v>623.75</v>
      </c>
      <c r="L249" s="36">
        <f t="shared" si="153"/>
        <v>157.17999999999995</v>
      </c>
      <c r="M249" s="97">
        <f t="shared" si="154"/>
        <v>780.93</v>
      </c>
    </row>
    <row r="250" spans="1:13" ht="15.75" x14ac:dyDescent="0.2">
      <c r="A250" s="94">
        <v>14</v>
      </c>
      <c r="B250" s="40"/>
      <c r="C250" s="40"/>
      <c r="D250" s="40"/>
      <c r="E250" s="40" t="s">
        <v>222</v>
      </c>
      <c r="F250" s="40"/>
      <c r="G250" s="40"/>
      <c r="H250" s="41"/>
      <c r="I250" s="42"/>
      <c r="J250" s="42"/>
      <c r="K250" s="42">
        <f>K251+K254+K259+K266+K270+K277+K283</f>
        <v>37661.949999999997</v>
      </c>
      <c r="L250" s="42">
        <f t="shared" ref="L250:M250" si="155">L251+L254+L259+L266+L270+L277+L283</f>
        <v>9470.2599999999984</v>
      </c>
      <c r="M250" s="42">
        <f t="shared" si="155"/>
        <v>47132.21</v>
      </c>
    </row>
    <row r="251" spans="1:13" ht="15.75" x14ac:dyDescent="0.2">
      <c r="A251" s="163" t="s">
        <v>464</v>
      </c>
      <c r="B251" s="164"/>
      <c r="C251" s="164"/>
      <c r="D251" s="164"/>
      <c r="E251" s="164" t="s">
        <v>448</v>
      </c>
      <c r="F251" s="164"/>
      <c r="G251" s="164"/>
      <c r="H251" s="165"/>
      <c r="I251" s="166"/>
      <c r="J251" s="166"/>
      <c r="K251" s="166">
        <f>SUM(K252:K253)</f>
        <v>2836.52</v>
      </c>
      <c r="L251" s="166">
        <f t="shared" ref="L251:M251" si="156">SUM(L252:L253)</f>
        <v>713.72000000000014</v>
      </c>
      <c r="M251" s="166">
        <f t="shared" si="156"/>
        <v>3550.24</v>
      </c>
    </row>
    <row r="252" spans="1:13" ht="60" x14ac:dyDescent="0.2">
      <c r="A252" s="96" t="s">
        <v>465</v>
      </c>
      <c r="B252" s="35" t="str" cm="1">
        <f t="array" ref="B252">INDEX('III-PA'!$B$18:$B$2661,1+MATCH(_xlfn.CONCAT(" ",'II-PO'!A252," "),'III-PA'!$A$18:$A$2661,0))</f>
        <v xml:space="preserve"> 91940 </v>
      </c>
      <c r="C252" s="35" t="str" cm="1">
        <f t="array" ref="C252">INDEX('III-PA'!$C$18:$C$2661,1+MATCH(_xlfn.CONCAT(" ",A252," "),'III-PA'!$A$18:$A$2661,0))</f>
        <v>SINAPI</v>
      </c>
      <c r="D252" s="35" t="str" cm="1">
        <f t="array" ref="D252">INDEX('III-PA'!$A$18:$A$2661,1+MATCH(_xlfn.CONCAT(" ",A252," "),'III-PA'!$A$18:$A$2661,0))</f>
        <v>Composição</v>
      </c>
      <c r="E252" s="35" t="str" cm="1">
        <f t="array" ref="E252">INDEX('III-PA'!$D$18:$D$2661,1+MATCH(_xlfn.CONCAT(" ",A252," "),'III-PA'!$A$18:$A$2661,0))</f>
        <v>CAIXA RETANGULAR 4" X 2" MÉDIA (1,30 M DO PISO), PVC, INSTALADA EM PAREDE - FORNECIMENTO E INSTALAÇÃO. AF_03/2023</v>
      </c>
      <c r="F252" s="35" t="str" cm="1">
        <f t="array" ref="F252">INDEX('III-PA'!$G$18:$G$2661,1+MATCH(_xlfn.CONCAT(" ",A252," "),'III-PA'!$A$18:$A$2661,0))</f>
        <v>UN</v>
      </c>
      <c r="G252" s="50">
        <f>VLOOKUP(A252,'IV-MEMORIAL'!$A$17:$N$2203,14,0)</f>
        <v>129</v>
      </c>
      <c r="H252" s="51">
        <f t="shared" ref="H252:H253" si="157">$L$14</f>
        <v>0.252</v>
      </c>
      <c r="I252" s="36" cm="1">
        <f t="array" ref="I252">INDEX('III-PA'!$I$18:$I$2661,1+MATCH(_xlfn.CONCAT(" ",A252," "),'III-PA'!$A$18:$A$2661,0))</f>
        <v>18.28</v>
      </c>
      <c r="J252" s="36">
        <f t="shared" ref="J252:J253" si="158">TRUNC(I252*(1+H252),2)</f>
        <v>22.88</v>
      </c>
      <c r="K252" s="36">
        <f t="shared" ref="K252:K253" si="159">TRUNC(I252*G252,2)</f>
        <v>2358.12</v>
      </c>
      <c r="L252" s="36">
        <f t="shared" ref="L252:L253" si="160">M252-K252</f>
        <v>593.40000000000009</v>
      </c>
      <c r="M252" s="97">
        <f t="shared" ref="M252:M253" si="161">TRUNC(G252*J252,2)</f>
        <v>2951.52</v>
      </c>
    </row>
    <row r="253" spans="1:13" ht="45" x14ac:dyDescent="0.2">
      <c r="A253" s="96" t="s">
        <v>466</v>
      </c>
      <c r="B253" s="35" t="str" cm="1">
        <f t="array" ref="B253">INDEX('III-PA'!$B$18:$B$2661,1+MATCH(_xlfn.CONCAT(" ",'II-PO'!A253," "),'III-PA'!$A$18:$A$2661,0))</f>
        <v xml:space="preserve"> 91937 </v>
      </c>
      <c r="C253" s="35" t="str" cm="1">
        <f t="array" ref="C253">INDEX('III-PA'!$C$18:$C$2661,1+MATCH(_xlfn.CONCAT(" ",A253," "),'III-PA'!$A$18:$A$2661,0))</f>
        <v>SINAPI</v>
      </c>
      <c r="D253" s="35" t="str" cm="1">
        <f t="array" ref="D253">INDEX('III-PA'!$A$18:$A$2661,1+MATCH(_xlfn.CONCAT(" ",A253," "),'III-PA'!$A$18:$A$2661,0))</f>
        <v>Composição</v>
      </c>
      <c r="E253" s="35" t="str" cm="1">
        <f t="array" ref="E253">INDEX('III-PA'!$D$18:$D$2661,1+MATCH(_xlfn.CONCAT(" ",A253," "),'III-PA'!$A$18:$A$2661,0))</f>
        <v>CAIXA OCTOGONAL 3" X 3", PVC, INSTALADA EM LAJE - FORNECIMENTO E INSTALAÇÃO. AF_03/2023</v>
      </c>
      <c r="F253" s="35" t="str" cm="1">
        <f t="array" ref="F253">INDEX('III-PA'!$G$18:$G$2661,1+MATCH(_xlfn.CONCAT(" ",A253," "),'III-PA'!$A$18:$A$2661,0))</f>
        <v>UN</v>
      </c>
      <c r="G253" s="50">
        <f>VLOOKUP(A253,'IV-MEMORIAL'!$A$17:$N$2203,14,0)</f>
        <v>32</v>
      </c>
      <c r="H253" s="51">
        <f t="shared" si="157"/>
        <v>0.252</v>
      </c>
      <c r="I253" s="36" cm="1">
        <f t="array" ref="I253">INDEX('III-PA'!$I$18:$I$2661,1+MATCH(_xlfn.CONCAT(" ",A253," "),'III-PA'!$A$18:$A$2661,0))</f>
        <v>14.95</v>
      </c>
      <c r="J253" s="36">
        <f t="shared" si="158"/>
        <v>18.71</v>
      </c>
      <c r="K253" s="36">
        <f t="shared" si="159"/>
        <v>478.4</v>
      </c>
      <c r="L253" s="36">
        <f t="shared" si="160"/>
        <v>120.32000000000005</v>
      </c>
      <c r="M253" s="97">
        <f t="shared" si="161"/>
        <v>598.72</v>
      </c>
    </row>
    <row r="254" spans="1:13" ht="15.75" x14ac:dyDescent="0.2">
      <c r="A254" s="163" t="s">
        <v>467</v>
      </c>
      <c r="B254" s="164"/>
      <c r="C254" s="164"/>
      <c r="D254" s="164"/>
      <c r="E254" s="164" t="s">
        <v>448</v>
      </c>
      <c r="F254" s="164"/>
      <c r="G254" s="164"/>
      <c r="H254" s="165"/>
      <c r="I254" s="166"/>
      <c r="J254" s="166"/>
      <c r="K254" s="166">
        <f>SUM(K255:K258)</f>
        <v>10971.24</v>
      </c>
      <c r="L254" s="166">
        <f t="shared" ref="L254:M254" si="162">SUM(L255:L258)</f>
        <v>2752.7199999999989</v>
      </c>
      <c r="M254" s="166">
        <f t="shared" si="162"/>
        <v>13723.96</v>
      </c>
    </row>
    <row r="255" spans="1:13" ht="60" x14ac:dyDescent="0.2">
      <c r="A255" s="96" t="s">
        <v>468</v>
      </c>
      <c r="B255" s="35" t="str" cm="1">
        <f t="array" ref="B255">INDEX('III-PA'!$B$18:$B$2661,1+MATCH(_xlfn.CONCAT(" ",'II-PO'!A255," "),'III-PA'!$A$18:$A$2661,0))</f>
        <v xml:space="preserve"> 91924 </v>
      </c>
      <c r="C255" s="35" t="str" cm="1">
        <f t="array" ref="C255">INDEX('III-PA'!$C$18:$C$2661,1+MATCH(_xlfn.CONCAT(" ",A255," "),'III-PA'!$A$18:$A$2661,0))</f>
        <v>SINAPI</v>
      </c>
      <c r="D255" s="35" t="str" cm="1">
        <f t="array" ref="D255">INDEX('III-PA'!$A$18:$A$2661,1+MATCH(_xlfn.CONCAT(" ",A255," "),'III-PA'!$A$18:$A$2661,0))</f>
        <v>Composição</v>
      </c>
      <c r="E255" s="35" t="str" cm="1">
        <f t="array" ref="E255">INDEX('III-PA'!$D$18:$D$2661,1+MATCH(_xlfn.CONCAT(" ",A255," "),'III-PA'!$A$18:$A$2661,0))</f>
        <v>CABO DE COBRE FLEXÍVEL ISOLADO, 1,5 MM², ANTI-CHAMA 450/750 V, PARA CIRCUITOS TERMINAIS - FORNECIMENTO E INSTALAÇÃO. AF_03/2023</v>
      </c>
      <c r="F255" s="35" t="str" cm="1">
        <f t="array" ref="F255">INDEX('III-PA'!$G$18:$G$2661,1+MATCH(_xlfn.CONCAT(" ",A255," "),'III-PA'!$A$18:$A$2661,0))</f>
        <v>M</v>
      </c>
      <c r="G255" s="50">
        <f>VLOOKUP(A255,'IV-MEMORIAL'!$A$17:$N$2203,14,0)</f>
        <v>863.15000000000009</v>
      </c>
      <c r="H255" s="51">
        <f t="shared" ref="H255:H258" si="163">$L$14</f>
        <v>0.252</v>
      </c>
      <c r="I255" s="36" cm="1">
        <f t="array" ref="I255">INDEX('III-PA'!$I$18:$I$2661,1+MATCH(_xlfn.CONCAT(" ",A255," "),'III-PA'!$A$18:$A$2661,0))</f>
        <v>3.16</v>
      </c>
      <c r="J255" s="36">
        <f t="shared" ref="J255:J258" si="164">TRUNC(I255*(1+H255),2)</f>
        <v>3.95</v>
      </c>
      <c r="K255" s="36">
        <f t="shared" ref="K255:K258" si="165">TRUNC(I255*G255,2)</f>
        <v>2727.55</v>
      </c>
      <c r="L255" s="36">
        <f t="shared" ref="L255:L258" si="166">M255-K255</f>
        <v>681.88999999999987</v>
      </c>
      <c r="M255" s="97">
        <f t="shared" ref="M255:M258" si="167">TRUNC(G255*J255,2)</f>
        <v>3409.44</v>
      </c>
    </row>
    <row r="256" spans="1:13" ht="60" x14ac:dyDescent="0.2">
      <c r="A256" s="96" t="s">
        <v>469</v>
      </c>
      <c r="B256" s="35" t="str" cm="1">
        <f t="array" ref="B256">INDEX('III-PA'!$B$18:$B$2661,1+MATCH(_xlfn.CONCAT(" ",'II-PO'!A256," "),'III-PA'!$A$18:$A$2661,0))</f>
        <v xml:space="preserve"> 91926 </v>
      </c>
      <c r="C256" s="35" t="str" cm="1">
        <f t="array" ref="C256">INDEX('III-PA'!$C$18:$C$2661,1+MATCH(_xlfn.CONCAT(" ",A256," "),'III-PA'!$A$18:$A$2661,0))</f>
        <v>SINAPI</v>
      </c>
      <c r="D256" s="35" t="str" cm="1">
        <f t="array" ref="D256">INDEX('III-PA'!$A$18:$A$2661,1+MATCH(_xlfn.CONCAT(" ",A256," "),'III-PA'!$A$18:$A$2661,0))</f>
        <v>Composição</v>
      </c>
      <c r="E256" s="35" t="str" cm="1">
        <f t="array" ref="E256">INDEX('III-PA'!$D$18:$D$2661,1+MATCH(_xlfn.CONCAT(" ",A256," "),'III-PA'!$A$18:$A$2661,0))</f>
        <v>CABO DE COBRE FLEXÍVEL ISOLADO, 2,5 MM², ANTI-CHAMA 450/750 V, PARA CIRCUITOS TERMINAIS - FORNECIMENTO E INSTALAÇÃO. AF_03/2023</v>
      </c>
      <c r="F256" s="35" t="str" cm="1">
        <f t="array" ref="F256">INDEX('III-PA'!$G$18:$G$2661,1+MATCH(_xlfn.CONCAT(" ",A256," "),'III-PA'!$A$18:$A$2661,0))</f>
        <v>M</v>
      </c>
      <c r="G256" s="50">
        <f>VLOOKUP(A256,'IV-MEMORIAL'!$A$17:$N$2203,14,0)</f>
        <v>1555.36</v>
      </c>
      <c r="H256" s="51">
        <f t="shared" si="163"/>
        <v>0.252</v>
      </c>
      <c r="I256" s="36" cm="1">
        <f t="array" ref="I256">INDEX('III-PA'!$I$18:$I$2661,1+MATCH(_xlfn.CONCAT(" ",A256," "),'III-PA'!$A$18:$A$2661,0))</f>
        <v>4.58</v>
      </c>
      <c r="J256" s="36">
        <f t="shared" si="164"/>
        <v>5.73</v>
      </c>
      <c r="K256" s="36">
        <f t="shared" si="165"/>
        <v>7123.54</v>
      </c>
      <c r="L256" s="36">
        <f t="shared" si="166"/>
        <v>1788.6699999999992</v>
      </c>
      <c r="M256" s="97">
        <f t="shared" si="167"/>
        <v>8912.2099999999991</v>
      </c>
    </row>
    <row r="257" spans="1:13" ht="60" x14ac:dyDescent="0.2">
      <c r="A257" s="96" t="s">
        <v>470</v>
      </c>
      <c r="B257" s="35" t="str" cm="1">
        <f t="array" ref="B257">INDEX('III-PA'!$B$18:$B$2661,1+MATCH(_xlfn.CONCAT(" ",'II-PO'!A257," "),'III-PA'!$A$18:$A$2661,0))</f>
        <v xml:space="preserve"> 91932 </v>
      </c>
      <c r="C257" s="35" t="str" cm="1">
        <f t="array" ref="C257">INDEX('III-PA'!$C$18:$C$2661,1+MATCH(_xlfn.CONCAT(" ",A257," "),'III-PA'!$A$18:$A$2661,0))</f>
        <v>SINAPI</v>
      </c>
      <c r="D257" s="35" t="str" cm="1">
        <f t="array" ref="D257">INDEX('III-PA'!$A$18:$A$2661,1+MATCH(_xlfn.CONCAT(" ",A257," "),'III-PA'!$A$18:$A$2661,0))</f>
        <v>Composição</v>
      </c>
      <c r="E257" s="35" t="str" cm="1">
        <f t="array" ref="E257">INDEX('III-PA'!$D$18:$D$2661,1+MATCH(_xlfn.CONCAT(" ",A257," "),'III-PA'!$A$18:$A$2661,0))</f>
        <v>CABO DE COBRE FLEXÍVEL ISOLADO, 10 MM², ANTI-CHAMA 450/750 V, PARA CIRCUITOS TERMINAIS - FORNECIMENTO E INSTALAÇÃO. AF_03/2023</v>
      </c>
      <c r="F257" s="35" t="str" cm="1">
        <f t="array" ref="F257">INDEX('III-PA'!$G$18:$G$2661,1+MATCH(_xlfn.CONCAT(" ",A257," "),'III-PA'!$A$18:$A$2661,0))</f>
        <v>M</v>
      </c>
      <c r="G257" s="50">
        <f>VLOOKUP(A257,'IV-MEMORIAL'!$A$17:$N$2203,14,0)</f>
        <v>40.25</v>
      </c>
      <c r="H257" s="51">
        <f t="shared" si="163"/>
        <v>0.252</v>
      </c>
      <c r="I257" s="36" cm="1">
        <f t="array" ref="I257">INDEX('III-PA'!$I$18:$I$2661,1+MATCH(_xlfn.CONCAT(" ",A257," "),'III-PA'!$A$18:$A$2661,0))</f>
        <v>17.670000000000002</v>
      </c>
      <c r="J257" s="36">
        <f t="shared" si="164"/>
        <v>22.12</v>
      </c>
      <c r="K257" s="36">
        <f t="shared" si="165"/>
        <v>711.21</v>
      </c>
      <c r="L257" s="36">
        <f t="shared" si="166"/>
        <v>179.12</v>
      </c>
      <c r="M257" s="97">
        <f t="shared" si="167"/>
        <v>890.33</v>
      </c>
    </row>
    <row r="258" spans="1:13" ht="75" x14ac:dyDescent="0.2">
      <c r="A258" s="96" t="s">
        <v>471</v>
      </c>
      <c r="B258" s="35" t="str" cm="1">
        <f t="array" ref="B258">INDEX('III-PA'!$B$18:$B$2661,1+MATCH(_xlfn.CONCAT(" ",'II-PO'!A258," "),'III-PA'!$A$18:$A$2661,0))</f>
        <v xml:space="preserve"> 92984 </v>
      </c>
      <c r="C258" s="35" t="str" cm="1">
        <f t="array" ref="C258">INDEX('III-PA'!$C$18:$C$2661,1+MATCH(_xlfn.CONCAT(" ",A258," "),'III-PA'!$A$18:$A$2661,0))</f>
        <v>SINAPI</v>
      </c>
      <c r="D258" s="35" t="str" cm="1">
        <f t="array" ref="D258">INDEX('III-PA'!$A$18:$A$2661,1+MATCH(_xlfn.CONCAT(" ",A258," "),'III-PA'!$A$18:$A$2661,0))</f>
        <v>Composição</v>
      </c>
      <c r="E258" s="35" t="str" cm="1">
        <f t="array" ref="E258">INDEX('III-PA'!$D$18:$D$2661,1+MATCH(_xlfn.CONCAT(" ",A258," "),'III-PA'!$A$18:$A$2661,0))</f>
        <v>CABO DE COBRE FLEXÍVEL ISOLADO, 25 MM², ANTI-CHAMA 0,6/1,0 KV, PARA REDE ENTERRADA DE DISTRIBUIÇÃO DE ENERGIA ELÉTRICA - FORNECIMENTO E INSTALAÇÃO. AF_12/2021</v>
      </c>
      <c r="F258" s="35" t="str" cm="1">
        <f t="array" ref="F258">INDEX('III-PA'!$G$18:$G$2661,1+MATCH(_xlfn.CONCAT(" ",A258," "),'III-PA'!$A$18:$A$2661,0))</f>
        <v>M</v>
      </c>
      <c r="G258" s="50">
        <f>VLOOKUP(A258,'IV-MEMORIAL'!$A$17:$N$2203,14,0)</f>
        <v>14</v>
      </c>
      <c r="H258" s="51">
        <f t="shared" si="163"/>
        <v>0.252</v>
      </c>
      <c r="I258" s="36" cm="1">
        <f t="array" ref="I258">INDEX('III-PA'!$I$18:$I$2661,1+MATCH(_xlfn.CONCAT(" ",A258," "),'III-PA'!$A$18:$A$2661,0))</f>
        <v>29.21</v>
      </c>
      <c r="J258" s="36">
        <f t="shared" si="164"/>
        <v>36.57</v>
      </c>
      <c r="K258" s="36">
        <f t="shared" si="165"/>
        <v>408.94</v>
      </c>
      <c r="L258" s="36">
        <f t="shared" si="166"/>
        <v>103.04000000000002</v>
      </c>
      <c r="M258" s="97">
        <f t="shared" si="167"/>
        <v>511.98</v>
      </c>
    </row>
    <row r="259" spans="1:13" ht="15.75" x14ac:dyDescent="0.2">
      <c r="A259" s="163" t="s">
        <v>472</v>
      </c>
      <c r="B259" s="164"/>
      <c r="C259" s="164"/>
      <c r="D259" s="164"/>
      <c r="E259" s="164" t="s">
        <v>463</v>
      </c>
      <c r="F259" s="164"/>
      <c r="G259" s="164"/>
      <c r="H259" s="165"/>
      <c r="I259" s="166"/>
      <c r="J259" s="166"/>
      <c r="K259" s="166">
        <f>SUM(K260:K265)</f>
        <v>1834.67</v>
      </c>
      <c r="L259" s="166">
        <f>SUM(L260:L265)</f>
        <v>462.11000000000007</v>
      </c>
      <c r="M259" s="166">
        <f>SUM(M260:M265)</f>
        <v>2296.7800000000002</v>
      </c>
    </row>
    <row r="260" spans="1:13" ht="60" x14ac:dyDescent="0.2">
      <c r="A260" s="96" t="s">
        <v>572</v>
      </c>
      <c r="B260" s="35" t="str" cm="1">
        <f t="array" ref="B260">INDEX('III-PA'!$B$18:$B$2661,1+MATCH(_xlfn.CONCAT(" ",'II-PO'!A260," "),'III-PA'!$A$18:$A$2661,0))</f>
        <v xml:space="preserve"> 93654 </v>
      </c>
      <c r="C260" s="35" t="str" cm="1">
        <f t="array" ref="C260">INDEX('III-PA'!$C$18:$C$2661,1+MATCH(_xlfn.CONCAT(" ",A260," "),'III-PA'!$A$18:$A$2661,0))</f>
        <v>SINAPI</v>
      </c>
      <c r="D260" s="35" t="str" cm="1">
        <f t="array" ref="D260">INDEX('III-PA'!$A$18:$A$2661,1+MATCH(_xlfn.CONCAT(" ",A260," "),'III-PA'!$A$18:$A$2661,0))</f>
        <v>Composição</v>
      </c>
      <c r="E260" s="35" t="str" cm="1">
        <f t="array" ref="E260">INDEX('III-PA'!$D$18:$D$2661,1+MATCH(_xlfn.CONCAT(" ",A260," "),'III-PA'!$A$18:$A$2661,0))</f>
        <v>DISJUNTOR MONOPOLAR TIPO DIN, CORRENTE NOMINAL DE 16A - FORNECIMENTO E INSTALAÇÃO. AF_07/2025</v>
      </c>
      <c r="F260" s="35" t="str" cm="1">
        <f t="array" ref="F260">INDEX('III-PA'!$G$18:$G$2661,1+MATCH(_xlfn.CONCAT(" ",A260," "),'III-PA'!$A$18:$A$2661,0))</f>
        <v>UN</v>
      </c>
      <c r="G260" s="50">
        <f>VLOOKUP(A260,'IV-MEMORIAL'!$A$17:$N$2203,14,0)</f>
        <v>32</v>
      </c>
      <c r="H260" s="51">
        <f t="shared" ref="H260:H265" si="168">$L$14</f>
        <v>0.252</v>
      </c>
      <c r="I260" s="36" cm="1">
        <f t="array" ref="I260">INDEX('III-PA'!$I$18:$I$2661,1+MATCH(_xlfn.CONCAT(" ",A260," "),'III-PA'!$A$18:$A$2661,0))</f>
        <v>11.45</v>
      </c>
      <c r="J260" s="36">
        <f t="shared" ref="J260:J265" si="169">TRUNC(I260*(1+H260),2)</f>
        <v>14.33</v>
      </c>
      <c r="K260" s="36">
        <f t="shared" ref="K260:K265" si="170">TRUNC(I260*G260,2)</f>
        <v>366.4</v>
      </c>
      <c r="L260" s="36">
        <f t="shared" ref="L260:L265" si="171">M260-K260</f>
        <v>92.160000000000025</v>
      </c>
      <c r="M260" s="97">
        <f t="shared" ref="M260:M265" si="172">TRUNC(G260*J260,2)</f>
        <v>458.56</v>
      </c>
    </row>
    <row r="261" spans="1:13" ht="60" x14ac:dyDescent="0.2">
      <c r="A261" s="96" t="s">
        <v>675</v>
      </c>
      <c r="B261" s="35" t="str" cm="1">
        <f t="array" ref="B261">INDEX('III-PA'!$B$18:$B$2661,1+MATCH(_xlfn.CONCAT(" ",'II-PO'!A261," "),'III-PA'!$A$18:$A$2661,0))</f>
        <v xml:space="preserve"> 93673 </v>
      </c>
      <c r="C261" s="35" t="str" cm="1">
        <f t="array" ref="C261">INDEX('III-PA'!$C$18:$C$2661,1+MATCH(_xlfn.CONCAT(" ",A261," "),'III-PA'!$A$18:$A$2661,0))</f>
        <v>SINAPI</v>
      </c>
      <c r="D261" s="35" t="str" cm="1">
        <f t="array" ref="D261">INDEX('III-PA'!$A$18:$A$2661,1+MATCH(_xlfn.CONCAT(" ",A261," "),'III-PA'!$A$18:$A$2661,0))</f>
        <v>Composição</v>
      </c>
      <c r="E261" s="35" t="str" cm="1">
        <f t="array" ref="E261">INDEX('III-PA'!$D$18:$D$2661,1+MATCH(_xlfn.CONCAT(" ",A261," "),'III-PA'!$A$18:$A$2661,0))</f>
        <v>DISJUNTOR TRIPOLAR TIPO DIN, CORRENTE NOMINAL DE 50A - FORNECIMENTO E INSTALAÇÃO. AF_07/2025</v>
      </c>
      <c r="F261" s="35" t="str" cm="1">
        <f t="array" ref="F261">INDEX('III-PA'!$G$18:$G$2661,1+MATCH(_xlfn.CONCAT(" ",A261," "),'III-PA'!$A$18:$A$2661,0))</f>
        <v>UN</v>
      </c>
      <c r="G261" s="50">
        <f>VLOOKUP(A261,'IV-MEMORIAL'!$A$17:$N$2203,14,0)</f>
        <v>1</v>
      </c>
      <c r="H261" s="51">
        <f t="shared" si="168"/>
        <v>0.252</v>
      </c>
      <c r="I261" s="36" cm="1">
        <f t="array" ref="I261">INDEX('III-PA'!$I$18:$I$2661,1+MATCH(_xlfn.CONCAT(" ",A261," "),'III-PA'!$A$18:$A$2661,0))</f>
        <v>94.99</v>
      </c>
      <c r="J261" s="36">
        <f t="shared" si="169"/>
        <v>118.92</v>
      </c>
      <c r="K261" s="36">
        <f t="shared" si="170"/>
        <v>94.99</v>
      </c>
      <c r="L261" s="36">
        <f t="shared" si="171"/>
        <v>23.930000000000007</v>
      </c>
      <c r="M261" s="97">
        <f t="shared" si="172"/>
        <v>118.92</v>
      </c>
    </row>
    <row r="262" spans="1:13" ht="45" x14ac:dyDescent="0.2">
      <c r="A262" s="96" t="s">
        <v>676</v>
      </c>
      <c r="B262" s="35" t="str" cm="1">
        <f t="array" ref="B262">INDEX('III-PA'!$B$18:$B$2661,1+MATCH(_xlfn.CONCAT(" ",'II-PO'!A262," "),'III-PA'!$A$18:$A$2661,0))</f>
        <v xml:space="preserve"> 106027 </v>
      </c>
      <c r="C262" s="35" t="str" cm="1">
        <f t="array" ref="C262">INDEX('III-PA'!$C$18:$C$2661,1+MATCH(_xlfn.CONCAT(" ",A262," "),'III-PA'!$A$18:$A$2661,0))</f>
        <v>SINAPI</v>
      </c>
      <c r="D262" s="35" t="str" cm="1">
        <f t="array" ref="D262">INDEX('III-PA'!$A$18:$A$2661,1+MATCH(_xlfn.CONCAT(" ",A262," "),'III-PA'!$A$18:$A$2661,0))</f>
        <v>Composição</v>
      </c>
      <c r="E262" s="35" t="str" cm="1">
        <f t="array" ref="E262">INDEX('III-PA'!$D$18:$D$2661,1+MATCH(_xlfn.CONCAT(" ",A262," "),'III-PA'!$A$18:$A$2661,0))</f>
        <v>DISPOSITIVO DPS 20KA-175V OU 275V - FORNECIMENTO E INSTALAÇÃO. AF_07/2025</v>
      </c>
      <c r="F262" s="35" t="str" cm="1">
        <f t="array" ref="F262">INDEX('III-PA'!$G$18:$G$2661,1+MATCH(_xlfn.CONCAT(" ",A262," "),'III-PA'!$A$18:$A$2661,0))</f>
        <v>UN</v>
      </c>
      <c r="G262" s="50">
        <f>VLOOKUP(A262,'IV-MEMORIAL'!$A$17:$N$2203,14,0)</f>
        <v>4</v>
      </c>
      <c r="H262" s="51">
        <f t="shared" si="168"/>
        <v>0.252</v>
      </c>
      <c r="I262" s="36" cm="1">
        <f t="array" ref="I262">INDEX('III-PA'!$I$18:$I$2661,1+MATCH(_xlfn.CONCAT(" ",A262," "),'III-PA'!$A$18:$A$2661,0))</f>
        <v>71.78</v>
      </c>
      <c r="J262" s="36">
        <f t="shared" si="169"/>
        <v>89.86</v>
      </c>
      <c r="K262" s="36">
        <f t="shared" si="170"/>
        <v>287.12</v>
      </c>
      <c r="L262" s="36">
        <f t="shared" si="171"/>
        <v>72.319999999999993</v>
      </c>
      <c r="M262" s="97">
        <f t="shared" si="172"/>
        <v>359.44</v>
      </c>
    </row>
    <row r="263" spans="1:13" ht="45" x14ac:dyDescent="0.2">
      <c r="A263" s="96" t="s">
        <v>677</v>
      </c>
      <c r="B263" s="35" t="str" cm="1">
        <f t="array" ref="B263">INDEX('III-PA'!$B$18:$B$2661,1+MATCH(_xlfn.CONCAT(" ",'II-PO'!A263," "),'III-PA'!$A$18:$A$2661,0))</f>
        <v xml:space="preserve"> 106020 </v>
      </c>
      <c r="C263" s="35" t="str" cm="1">
        <f t="array" ref="C263">INDEX('III-PA'!$C$18:$C$2661,1+MATCH(_xlfn.CONCAT(" ",A263," "),'III-PA'!$A$18:$A$2661,0))</f>
        <v>SINAPI</v>
      </c>
      <c r="D263" s="35" t="str" cm="1">
        <f t="array" ref="D263">INDEX('III-PA'!$A$18:$A$2661,1+MATCH(_xlfn.CONCAT(" ",A263," "),'III-PA'!$A$18:$A$2661,0))</f>
        <v>Composição</v>
      </c>
      <c r="E263" s="35" t="str" cm="1">
        <f t="array" ref="E263">INDEX('III-PA'!$D$18:$D$2661,1+MATCH(_xlfn.CONCAT(" ",A263," "),'III-PA'!$A$18:$A$2661,0))</f>
        <v>DISJUNTOR TRIPOLAR DIN 63A - FORNECIMENTO E INSTALAÇÃO. AF_07/2025</v>
      </c>
      <c r="F263" s="35" t="str" cm="1">
        <f t="array" ref="F263">INDEX('III-PA'!$G$18:$G$2661,1+MATCH(_xlfn.CONCAT(" ",A263," "),'III-PA'!$A$18:$A$2661,0))</f>
        <v>UN</v>
      </c>
      <c r="G263" s="50">
        <f>VLOOKUP(A263,'IV-MEMORIAL'!$A$17:$N$2203,14,0)</f>
        <v>2</v>
      </c>
      <c r="H263" s="51">
        <f t="shared" si="168"/>
        <v>0.252</v>
      </c>
      <c r="I263" s="36" cm="1">
        <f t="array" ref="I263">INDEX('III-PA'!$I$18:$I$2661,1+MATCH(_xlfn.CONCAT(" ",A263," "),'III-PA'!$A$18:$A$2661,0))</f>
        <v>106.43</v>
      </c>
      <c r="J263" s="36">
        <f t="shared" si="169"/>
        <v>133.25</v>
      </c>
      <c r="K263" s="36">
        <f t="shared" si="170"/>
        <v>212.86</v>
      </c>
      <c r="L263" s="36">
        <f t="shared" si="171"/>
        <v>53.639999999999986</v>
      </c>
      <c r="M263" s="97">
        <f t="shared" si="172"/>
        <v>266.5</v>
      </c>
    </row>
    <row r="264" spans="1:13" ht="60" x14ac:dyDescent="0.2">
      <c r="A264" s="96" t="s">
        <v>678</v>
      </c>
      <c r="B264" s="35" t="str" cm="1">
        <f t="array" ref="B264">INDEX('III-PA'!$B$18:$B$2661,1+MATCH(_xlfn.CONCAT(" ",'II-PO'!A264," "),'III-PA'!$A$18:$A$2661,0))</f>
        <v xml:space="preserve"> 100556 </v>
      </c>
      <c r="C264" s="35" t="str" cm="1">
        <f t="array" ref="C264">INDEX('III-PA'!$C$18:$C$2661,1+MATCH(_xlfn.CONCAT(" ",A264," "),'III-PA'!$A$18:$A$2661,0))</f>
        <v>SINAPI</v>
      </c>
      <c r="D264" s="35" t="str" cm="1">
        <f t="array" ref="D264">INDEX('III-PA'!$A$18:$A$2661,1+MATCH(_xlfn.CONCAT(" ",A264," "),'III-PA'!$A$18:$A$2661,0))</f>
        <v>Composição</v>
      </c>
      <c r="E264" s="35" t="str" cm="1">
        <f t="array" ref="E264">INDEX('III-PA'!$D$18:$D$2661,1+MATCH(_xlfn.CONCAT(" ",A264," "),'III-PA'!$A$18:$A$2661,0))</f>
        <v>CAIXA DE PASSAGEM PARA TELEFONE 15X15X10CM (SOBREPOR) - FORNECIMENTO E INSTALAÇÃO. AF_08/2025</v>
      </c>
      <c r="F264" s="35" t="str" cm="1">
        <f t="array" ref="F264">INDEX('III-PA'!$G$18:$G$2661,1+MATCH(_xlfn.CONCAT(" ",A264," "),'III-PA'!$A$18:$A$2661,0))</f>
        <v>UN</v>
      </c>
      <c r="G264" s="50">
        <f>VLOOKUP(A264,'IV-MEMORIAL'!$A$17:$N$2203,14,0)</f>
        <v>2</v>
      </c>
      <c r="H264" s="51">
        <f t="shared" si="168"/>
        <v>0.252</v>
      </c>
      <c r="I264" s="36" cm="1">
        <f t="array" ref="I264">INDEX('III-PA'!$I$18:$I$2661,1+MATCH(_xlfn.CONCAT(" ",A264," "),'III-PA'!$A$18:$A$2661,0))</f>
        <v>30.02</v>
      </c>
      <c r="J264" s="36">
        <f t="shared" si="169"/>
        <v>37.58</v>
      </c>
      <c r="K264" s="36">
        <f t="shared" si="170"/>
        <v>60.04</v>
      </c>
      <c r="L264" s="36">
        <f t="shared" si="171"/>
        <v>15.119999999999997</v>
      </c>
      <c r="M264" s="97">
        <f t="shared" si="172"/>
        <v>75.16</v>
      </c>
    </row>
    <row r="265" spans="1:13" ht="60" x14ac:dyDescent="0.2">
      <c r="A265" s="96" t="s">
        <v>679</v>
      </c>
      <c r="B265" s="35" t="str" cm="1">
        <f t="array" ref="B265">INDEX('III-PA'!$B$18:$B$2661,1+MATCH(_xlfn.CONCAT(" ",'II-PO'!A265," "),'III-PA'!$A$18:$A$2661,0))</f>
        <v xml:space="preserve"> 100557 </v>
      </c>
      <c r="C265" s="35" t="str" cm="1">
        <f t="array" ref="C265">INDEX('III-PA'!$C$18:$C$2661,1+MATCH(_xlfn.CONCAT(" ",A265," "),'III-PA'!$A$18:$A$2661,0))</f>
        <v>SINAPI</v>
      </c>
      <c r="D265" s="35" t="str" cm="1">
        <f t="array" ref="D265">INDEX('III-PA'!$A$18:$A$2661,1+MATCH(_xlfn.CONCAT(" ",A265," "),'III-PA'!$A$18:$A$2661,0))</f>
        <v>Composição</v>
      </c>
      <c r="E265" s="35" t="str" cm="1">
        <f t="array" ref="E265">INDEX('III-PA'!$D$18:$D$2661,1+MATCH(_xlfn.CONCAT(" ",A265," "),'III-PA'!$A$18:$A$2661,0))</f>
        <v>CAIXA DE PASSAGEM PARA TELEFONE 80X80X15CM (SOBREPOR) - FORNECIMENTO E INSTALAÇÃO. AF_08/2025</v>
      </c>
      <c r="F265" s="35" t="str" cm="1">
        <f t="array" ref="F265">INDEX('III-PA'!$G$18:$G$2661,1+MATCH(_xlfn.CONCAT(" ",A265," "),'III-PA'!$A$18:$A$2661,0))</f>
        <v>UN</v>
      </c>
      <c r="G265" s="50">
        <f>VLOOKUP(A265,'IV-MEMORIAL'!$A$17:$N$2203,14,0)</f>
        <v>2</v>
      </c>
      <c r="H265" s="51">
        <f t="shared" si="168"/>
        <v>0.252</v>
      </c>
      <c r="I265" s="36" cm="1">
        <f t="array" ref="I265">INDEX('III-PA'!$I$18:$I$2661,1+MATCH(_xlfn.CONCAT(" ",A265," "),'III-PA'!$A$18:$A$2661,0))</f>
        <v>406.63</v>
      </c>
      <c r="J265" s="36">
        <f t="shared" si="169"/>
        <v>509.1</v>
      </c>
      <c r="K265" s="36">
        <f t="shared" si="170"/>
        <v>813.26</v>
      </c>
      <c r="L265" s="36">
        <f t="shared" si="171"/>
        <v>204.94000000000005</v>
      </c>
      <c r="M265" s="97">
        <f t="shared" si="172"/>
        <v>1018.2</v>
      </c>
    </row>
    <row r="266" spans="1:13" ht="15.75" x14ac:dyDescent="0.2">
      <c r="A266" s="163" t="s">
        <v>575</v>
      </c>
      <c r="B266" s="164"/>
      <c r="C266" s="164"/>
      <c r="D266" s="164"/>
      <c r="E266" s="164" t="s">
        <v>573</v>
      </c>
      <c r="F266" s="164"/>
      <c r="G266" s="164"/>
      <c r="H266" s="165"/>
      <c r="I266" s="166"/>
      <c r="J266" s="166"/>
      <c r="K266" s="166">
        <f>SUM(K267:K269)</f>
        <v>8953.27</v>
      </c>
      <c r="L266" s="166">
        <f t="shared" ref="L266:M266" si="173">SUM(L267:L269)</f>
        <v>2250.1099999999997</v>
      </c>
      <c r="M266" s="166">
        <f t="shared" si="173"/>
        <v>11203.380000000001</v>
      </c>
    </row>
    <row r="267" spans="1:13" ht="75" x14ac:dyDescent="0.2">
      <c r="A267" s="96" t="s">
        <v>574</v>
      </c>
      <c r="B267" s="35" t="str" cm="1">
        <f t="array" ref="B267">INDEX('III-PA'!$B$18:$B$2661,1+MATCH(_xlfn.CONCAT(" ",'II-PO'!A267," "),'III-PA'!$A$18:$A$2661,0))</f>
        <v xml:space="preserve"> 91837 </v>
      </c>
      <c r="C267" s="35" t="str" cm="1">
        <f t="array" ref="C267">INDEX('III-PA'!$C$18:$C$2661,1+MATCH(_xlfn.CONCAT(" ",A267," "),'III-PA'!$A$18:$A$2661,0))</f>
        <v>SINAPI</v>
      </c>
      <c r="D267" s="35" t="str" cm="1">
        <f t="array" ref="D267">INDEX('III-PA'!$A$18:$A$2661,1+MATCH(_xlfn.CONCAT(" ",A267," "),'III-PA'!$A$18:$A$2661,0))</f>
        <v>Composição</v>
      </c>
      <c r="E267" s="35" t="str" cm="1">
        <f t="array" ref="E267">INDEX('III-PA'!$D$18:$D$2661,1+MATCH(_xlfn.CONCAT(" ",A267," "),'III-PA'!$A$18:$A$2661,0))</f>
        <v>ELETRODUTO FLEXÍVEL CORRUGADO REFORÇADO, PVC, DN 32 MM (1"), PARA CIRCUITOS TERMINAIS, INSTALADO EM FORRO - FORNECIMENTO E INSTALAÇÃO. AF_03/2023</v>
      </c>
      <c r="F267" s="35" t="str" cm="1">
        <f t="array" ref="F267">INDEX('III-PA'!$G$18:$G$2661,1+MATCH(_xlfn.CONCAT(" ",A267," "),'III-PA'!$A$18:$A$2661,0))</f>
        <v>M</v>
      </c>
      <c r="G267" s="50">
        <f>VLOOKUP(A267,'IV-MEMORIAL'!$A$17:$N$2203,14,0)</f>
        <v>63.61</v>
      </c>
      <c r="H267" s="51">
        <f t="shared" ref="H267:H269" si="174">$L$14</f>
        <v>0.252</v>
      </c>
      <c r="I267" s="36" cm="1">
        <f t="array" ref="I267">INDEX('III-PA'!$I$18:$I$2661,1+MATCH(_xlfn.CONCAT(" ",A267," "),'III-PA'!$A$18:$A$2661,0))</f>
        <v>21.73</v>
      </c>
      <c r="J267" s="36">
        <f t="shared" ref="J267:J269" si="175">TRUNC(I267*(1+H267),2)</f>
        <v>27.2</v>
      </c>
      <c r="K267" s="36">
        <f t="shared" ref="K267:K269" si="176">TRUNC(I267*G267,2)</f>
        <v>1382.24</v>
      </c>
      <c r="L267" s="36">
        <f t="shared" ref="L267:L269" si="177">M267-K267</f>
        <v>347.95000000000005</v>
      </c>
      <c r="M267" s="97">
        <f t="shared" ref="M267:M269" si="178">TRUNC(G267*J267,2)</f>
        <v>1730.19</v>
      </c>
    </row>
    <row r="268" spans="1:13" ht="75" x14ac:dyDescent="0.2">
      <c r="A268" s="96" t="s">
        <v>680</v>
      </c>
      <c r="B268" s="35" t="str" cm="1">
        <f t="array" ref="B268">INDEX('III-PA'!$B$18:$B$2661,1+MATCH(_xlfn.CONCAT(" ",'II-PO'!A268," "),'III-PA'!$A$18:$A$2661,0))</f>
        <v xml:space="preserve"> 91855 </v>
      </c>
      <c r="C268" s="35" t="str" cm="1">
        <f t="array" ref="C268">INDEX('III-PA'!$C$18:$C$2661,1+MATCH(_xlfn.CONCAT(" ",A268," "),'III-PA'!$A$18:$A$2661,0))</f>
        <v>SINAPI</v>
      </c>
      <c r="D268" s="35" t="str" cm="1">
        <f t="array" ref="D268">INDEX('III-PA'!$A$18:$A$2661,1+MATCH(_xlfn.CONCAT(" ",A268," "),'III-PA'!$A$18:$A$2661,0))</f>
        <v>Composição</v>
      </c>
      <c r="E268" s="35" t="str" cm="1">
        <f t="array" ref="E268">INDEX('III-PA'!$D$18:$D$2661,1+MATCH(_xlfn.CONCAT(" ",A268," "),'III-PA'!$A$18:$A$2661,0))</f>
        <v>ELETRODUTO FLEXÍVEL CORRUGADO REFORÇADO, PVC, DN 25 MM (3/4"), PARA CIRCUITOS TERMINAIS, INSTALADO EM PAREDE - FORNECIMENTO E INSTALAÇÃO. AF_03/2023</v>
      </c>
      <c r="F268" s="35" t="str" cm="1">
        <f t="array" ref="F268">INDEX('III-PA'!$G$18:$G$2661,1+MATCH(_xlfn.CONCAT(" ",A268," "),'III-PA'!$A$18:$A$2661,0))</f>
        <v>M</v>
      </c>
      <c r="G268" s="50">
        <f>VLOOKUP(A268,'IV-MEMORIAL'!$A$17:$N$2203,14,0)</f>
        <v>705.54</v>
      </c>
      <c r="H268" s="51">
        <f t="shared" si="174"/>
        <v>0.252</v>
      </c>
      <c r="I268" s="36" cm="1">
        <f t="array" ref="I268">INDEX('III-PA'!$I$18:$I$2661,1+MATCH(_xlfn.CONCAT(" ",A268," "),'III-PA'!$A$18:$A$2661,0))</f>
        <v>10.27</v>
      </c>
      <c r="J268" s="36">
        <f t="shared" si="175"/>
        <v>12.85</v>
      </c>
      <c r="K268" s="36">
        <f t="shared" si="176"/>
        <v>7245.89</v>
      </c>
      <c r="L268" s="36">
        <f t="shared" si="177"/>
        <v>1820.29</v>
      </c>
      <c r="M268" s="97">
        <f t="shared" si="178"/>
        <v>9066.18</v>
      </c>
    </row>
    <row r="269" spans="1:13" ht="75" x14ac:dyDescent="0.2">
      <c r="A269" s="96" t="s">
        <v>681</v>
      </c>
      <c r="B269" s="35" t="str" cm="1">
        <f t="array" ref="B269">INDEX('III-PA'!$B$18:$B$2661,1+MATCH(_xlfn.CONCAT(" ",'II-PO'!A269," "),'III-PA'!$A$18:$A$2661,0))</f>
        <v xml:space="preserve"> 91873 </v>
      </c>
      <c r="C269" s="35" t="str" cm="1">
        <f t="array" ref="C269">INDEX('III-PA'!$C$18:$C$2661,1+MATCH(_xlfn.CONCAT(" ",A269," "),'III-PA'!$A$18:$A$2661,0))</f>
        <v>SINAPI</v>
      </c>
      <c r="D269" s="35" t="str" cm="1">
        <f t="array" ref="D269">INDEX('III-PA'!$A$18:$A$2661,1+MATCH(_xlfn.CONCAT(" ",A269," "),'III-PA'!$A$18:$A$2661,0))</f>
        <v>Composição</v>
      </c>
      <c r="E269" s="35" t="str" cm="1">
        <f t="array" ref="E269">INDEX('III-PA'!$D$18:$D$2661,1+MATCH(_xlfn.CONCAT(" ",A269," "),'III-PA'!$A$18:$A$2661,0))</f>
        <v>ELETRODUTO RÍGIDO ROSCÁVEL, PVC, DN 40 MM (1 1/4"), PARA CIRCUITOS TERMINAIS, INSTALADO EM PAREDE - FORNECIMENTO E INSTALAÇÃO. AF_03/2023</v>
      </c>
      <c r="F269" s="35" t="str" cm="1">
        <f t="array" ref="F269">INDEX('III-PA'!$G$18:$G$2661,1+MATCH(_xlfn.CONCAT(" ",A269," "),'III-PA'!$A$18:$A$2661,0))</f>
        <v>M</v>
      </c>
      <c r="G269" s="50">
        <f>VLOOKUP(A269,'IV-MEMORIAL'!$A$17:$N$2203,14,0)</f>
        <v>16.64</v>
      </c>
      <c r="H269" s="51">
        <f t="shared" si="174"/>
        <v>0.252</v>
      </c>
      <c r="I269" s="36" cm="1">
        <f t="array" ref="I269">INDEX('III-PA'!$I$18:$I$2661,1+MATCH(_xlfn.CONCAT(" ",A269," "),'III-PA'!$A$18:$A$2661,0))</f>
        <v>19.54</v>
      </c>
      <c r="J269" s="36">
        <f t="shared" si="175"/>
        <v>24.46</v>
      </c>
      <c r="K269" s="36">
        <f t="shared" si="176"/>
        <v>325.14</v>
      </c>
      <c r="L269" s="36">
        <f t="shared" si="177"/>
        <v>81.87</v>
      </c>
      <c r="M269" s="97">
        <f t="shared" si="178"/>
        <v>407.01</v>
      </c>
    </row>
    <row r="270" spans="1:13" ht="15.75" x14ac:dyDescent="0.2">
      <c r="A270" s="163" t="s">
        <v>576</v>
      </c>
      <c r="B270" s="164"/>
      <c r="C270" s="164"/>
      <c r="D270" s="164"/>
      <c r="E270" s="164" t="s">
        <v>577</v>
      </c>
      <c r="F270" s="164"/>
      <c r="G270" s="164"/>
      <c r="H270" s="165"/>
      <c r="I270" s="166"/>
      <c r="J270" s="166"/>
      <c r="K270" s="166">
        <f>SUM(K271:K276)</f>
        <v>6712.08</v>
      </c>
      <c r="L270" s="166">
        <f t="shared" ref="L270:M270" si="179">SUM(L271:L276)</f>
        <v>1690.9099999999994</v>
      </c>
      <c r="M270" s="166">
        <f t="shared" si="179"/>
        <v>8402.99</v>
      </c>
    </row>
    <row r="271" spans="1:13" ht="60" x14ac:dyDescent="0.2">
      <c r="A271" s="96" t="s">
        <v>578</v>
      </c>
      <c r="B271" s="35" t="str" cm="1">
        <f t="array" ref="B271">INDEX('III-PA'!$B$18:$B$2661,1+MATCH(_xlfn.CONCAT(" ",'II-PO'!A271," "),'III-PA'!$A$18:$A$2661,0))</f>
        <v xml:space="preserve"> 91979 </v>
      </c>
      <c r="C271" s="35" t="str" cm="1">
        <f t="array" ref="C271">INDEX('III-PA'!$C$18:$C$2661,1+MATCH(_xlfn.CONCAT(" ",A271," "),'III-PA'!$A$18:$A$2661,0))</f>
        <v>SINAPI</v>
      </c>
      <c r="D271" s="35" t="str" cm="1">
        <f t="array" ref="D271">INDEX('III-PA'!$A$18:$A$2661,1+MATCH(_xlfn.CONCAT(" ",A271," "),'III-PA'!$A$18:$A$2661,0))</f>
        <v>Composição</v>
      </c>
      <c r="E271" s="35" t="str" cm="1">
        <f t="array" ref="E271">INDEX('III-PA'!$D$18:$D$2661,1+MATCH(_xlfn.CONCAT(" ",A271," "),'III-PA'!$A$18:$A$2661,0))</f>
        <v>INTERRUPTOR INTERMEDIÁRIO (1 MÓDULO), 10A/250V, INCLUINDO SUPORTE E PLACA - FORNECIMENTO E INSTALAÇÃO. AF_03/2023</v>
      </c>
      <c r="F271" s="35" t="str" cm="1">
        <f t="array" ref="F271">INDEX('III-PA'!$G$18:$G$2661,1+MATCH(_xlfn.CONCAT(" ",A271," "),'III-PA'!$A$18:$A$2661,0))</f>
        <v>UN</v>
      </c>
      <c r="G271" s="50">
        <f>VLOOKUP(A271,'IV-MEMORIAL'!$A$17:$N$2203,14,0)</f>
        <v>1</v>
      </c>
      <c r="H271" s="51">
        <f t="shared" ref="H271:H276" si="180">$L$14</f>
        <v>0.252</v>
      </c>
      <c r="I271" s="36" cm="1">
        <f t="array" ref="I271">INDEX('III-PA'!$I$18:$I$2661,1+MATCH(_xlfn.CONCAT(" ",A271," "),'III-PA'!$A$18:$A$2661,0))</f>
        <v>51.02</v>
      </c>
      <c r="J271" s="36">
        <f t="shared" ref="J271:J276" si="181">TRUNC(I271*(1+H271),2)</f>
        <v>63.87</v>
      </c>
      <c r="K271" s="36">
        <f t="shared" ref="K271:K276" si="182">TRUNC(I271*G271,2)</f>
        <v>51.02</v>
      </c>
      <c r="L271" s="36">
        <f t="shared" ref="L271:L276" si="183">M271-K271</f>
        <v>12.849999999999994</v>
      </c>
      <c r="M271" s="97">
        <f t="shared" ref="M271:M276" si="184">TRUNC(G271*J271,2)</f>
        <v>63.87</v>
      </c>
    </row>
    <row r="272" spans="1:13" ht="60" x14ac:dyDescent="0.2">
      <c r="A272" s="96" t="s">
        <v>682</v>
      </c>
      <c r="B272" s="35" t="str" cm="1">
        <f t="array" ref="B272">INDEX('III-PA'!$B$18:$B$2661,1+MATCH(_xlfn.CONCAT(" ",'II-PO'!A272," "),'III-PA'!$A$18:$A$2661,0))</f>
        <v xml:space="preserve"> 91955 </v>
      </c>
      <c r="C272" s="35" t="str" cm="1">
        <f t="array" ref="C272">INDEX('III-PA'!$C$18:$C$2661,1+MATCH(_xlfn.CONCAT(" ",A272," "),'III-PA'!$A$18:$A$2661,0))</f>
        <v>SINAPI</v>
      </c>
      <c r="D272" s="35" t="str" cm="1">
        <f t="array" ref="D272">INDEX('III-PA'!$A$18:$A$2661,1+MATCH(_xlfn.CONCAT(" ",A272," "),'III-PA'!$A$18:$A$2661,0))</f>
        <v>Composição</v>
      </c>
      <c r="E272" s="35" t="str" cm="1">
        <f t="array" ref="E272">INDEX('III-PA'!$D$18:$D$2661,1+MATCH(_xlfn.CONCAT(" ",A272," "),'III-PA'!$A$18:$A$2661,0))</f>
        <v>INTERRUPTOR PARALELO (1 MÓDULO), 10A/250V, INCLUINDO SUPORTE E PLACA - FORNECIMENTO E INSTALAÇÃO. AF_03/2023</v>
      </c>
      <c r="F272" s="35" t="str" cm="1">
        <f t="array" ref="F272">INDEX('III-PA'!$G$18:$G$2661,1+MATCH(_xlfn.CONCAT(" ",A272," "),'III-PA'!$A$18:$A$2661,0))</f>
        <v>UN</v>
      </c>
      <c r="G272" s="50">
        <f>VLOOKUP(A272,'IV-MEMORIAL'!$A$17:$N$2203,14,0)</f>
        <v>4</v>
      </c>
      <c r="H272" s="51">
        <f t="shared" si="180"/>
        <v>0.252</v>
      </c>
      <c r="I272" s="36" cm="1">
        <f t="array" ref="I272">INDEX('III-PA'!$I$18:$I$2661,1+MATCH(_xlfn.CONCAT(" ",A272," "),'III-PA'!$A$18:$A$2661,0))</f>
        <v>37.049999999999997</v>
      </c>
      <c r="J272" s="36">
        <f t="shared" si="181"/>
        <v>46.38</v>
      </c>
      <c r="K272" s="36">
        <f t="shared" si="182"/>
        <v>148.19999999999999</v>
      </c>
      <c r="L272" s="36">
        <f t="shared" si="183"/>
        <v>37.320000000000022</v>
      </c>
      <c r="M272" s="97">
        <f t="shared" si="184"/>
        <v>185.52</v>
      </c>
    </row>
    <row r="273" spans="1:13" ht="60" x14ac:dyDescent="0.2">
      <c r="A273" s="96" t="s">
        <v>683</v>
      </c>
      <c r="B273" s="35" t="str" cm="1">
        <f t="array" ref="B273">INDEX('III-PA'!$B$18:$B$2661,1+MATCH(_xlfn.CONCAT(" ",'II-PO'!A273," "),'III-PA'!$A$18:$A$2661,0))</f>
        <v xml:space="preserve"> 91953 </v>
      </c>
      <c r="C273" s="35" t="str" cm="1">
        <f t="array" ref="C273">INDEX('III-PA'!$C$18:$C$2661,1+MATCH(_xlfn.CONCAT(" ",A273," "),'III-PA'!$A$18:$A$2661,0))</f>
        <v>SINAPI</v>
      </c>
      <c r="D273" s="35" t="str" cm="1">
        <f t="array" ref="D273">INDEX('III-PA'!$A$18:$A$2661,1+MATCH(_xlfn.CONCAT(" ",A273," "),'III-PA'!$A$18:$A$2661,0))</f>
        <v>Composição</v>
      </c>
      <c r="E273" s="35" t="str" cm="1">
        <f t="array" ref="E273">INDEX('III-PA'!$D$18:$D$2661,1+MATCH(_xlfn.CONCAT(" ",A273," "),'III-PA'!$A$18:$A$2661,0))</f>
        <v>INTERRUPTOR SIMPLES (1 MÓDULO), 10A/250V, INCLUINDO SUPORTE E PLACA - FORNECIMENTO E INSTALAÇÃO. AF_03/2023</v>
      </c>
      <c r="F273" s="35" t="str" cm="1">
        <f t="array" ref="F273">INDEX('III-PA'!$G$18:$G$2661,1+MATCH(_xlfn.CONCAT(" ",A273," "),'III-PA'!$A$18:$A$2661,0))</f>
        <v>UN</v>
      </c>
      <c r="G273" s="50">
        <f>VLOOKUP(A273,'IV-MEMORIAL'!$A$17:$N$2203,14,0)</f>
        <v>30</v>
      </c>
      <c r="H273" s="51">
        <f t="shared" si="180"/>
        <v>0.252</v>
      </c>
      <c r="I273" s="36" cm="1">
        <f t="array" ref="I273">INDEX('III-PA'!$I$18:$I$2661,1+MATCH(_xlfn.CONCAT(" ",A273," "),'III-PA'!$A$18:$A$2661,0))</f>
        <v>30.4</v>
      </c>
      <c r="J273" s="36">
        <f t="shared" si="181"/>
        <v>38.06</v>
      </c>
      <c r="K273" s="36">
        <f t="shared" si="182"/>
        <v>912</v>
      </c>
      <c r="L273" s="36">
        <f t="shared" si="183"/>
        <v>229.79999999999995</v>
      </c>
      <c r="M273" s="97">
        <f t="shared" si="184"/>
        <v>1141.8</v>
      </c>
    </row>
    <row r="274" spans="1:13" ht="60" x14ac:dyDescent="0.2">
      <c r="A274" s="96" t="s">
        <v>684</v>
      </c>
      <c r="B274" s="35" t="str" cm="1">
        <f t="array" ref="B274">INDEX('III-PA'!$B$18:$B$2661,1+MATCH(_xlfn.CONCAT(" ",'II-PO'!A274," "),'III-PA'!$A$18:$A$2661,0))</f>
        <v xml:space="preserve"> 91996 </v>
      </c>
      <c r="C274" s="35" t="str" cm="1">
        <f t="array" ref="C274">INDEX('III-PA'!$C$18:$C$2661,1+MATCH(_xlfn.CONCAT(" ",A274," "),'III-PA'!$A$18:$A$2661,0))</f>
        <v>SINAPI</v>
      </c>
      <c r="D274" s="35" t="str" cm="1">
        <f t="array" ref="D274">INDEX('III-PA'!$A$18:$A$2661,1+MATCH(_xlfn.CONCAT(" ",A274," "),'III-PA'!$A$18:$A$2661,0))</f>
        <v>Composição</v>
      </c>
      <c r="E274" s="35" t="str" cm="1">
        <f t="array" ref="E274">INDEX('III-PA'!$D$18:$D$2661,1+MATCH(_xlfn.CONCAT(" ",A274," "),'III-PA'!$A$18:$A$2661,0))</f>
        <v>TOMADA MÉDIA DE EMBUTIR (1 MÓDULO), 2P+T 10 A, INCLUINDO SUPORTE E PLACA - FORNECIMENTO E INSTALAÇÃO. AF_03/2023</v>
      </c>
      <c r="F274" s="35" t="str" cm="1">
        <f t="array" ref="F274">INDEX('III-PA'!$G$18:$G$2661,1+MATCH(_xlfn.CONCAT(" ",A274," "),'III-PA'!$A$18:$A$2661,0))</f>
        <v>UN</v>
      </c>
      <c r="G274" s="50">
        <f>VLOOKUP(A274,'IV-MEMORIAL'!$A$17:$N$2203,14,0)</f>
        <v>20</v>
      </c>
      <c r="H274" s="51">
        <f t="shared" si="180"/>
        <v>0.252</v>
      </c>
      <c r="I274" s="36" cm="1">
        <f t="array" ref="I274">INDEX('III-PA'!$I$18:$I$2661,1+MATCH(_xlfn.CONCAT(" ",A274," "),'III-PA'!$A$18:$A$2661,0))</f>
        <v>36.01</v>
      </c>
      <c r="J274" s="36">
        <f t="shared" si="181"/>
        <v>45.08</v>
      </c>
      <c r="K274" s="36">
        <f t="shared" si="182"/>
        <v>720.2</v>
      </c>
      <c r="L274" s="36">
        <f t="shared" si="183"/>
        <v>181.39999999999998</v>
      </c>
      <c r="M274" s="97">
        <f t="shared" si="184"/>
        <v>901.6</v>
      </c>
    </row>
    <row r="275" spans="1:13" ht="60" x14ac:dyDescent="0.2">
      <c r="A275" s="96" t="s">
        <v>685</v>
      </c>
      <c r="B275" s="35" t="str" cm="1">
        <f t="array" ref="B275">INDEX('III-PA'!$B$18:$B$2661,1+MATCH(_xlfn.CONCAT(" ",'II-PO'!A275," "),'III-PA'!$A$18:$A$2661,0))</f>
        <v xml:space="preserve"> 92013 </v>
      </c>
      <c r="C275" s="35" t="str" cm="1">
        <f t="array" ref="C275">INDEX('III-PA'!$C$18:$C$2661,1+MATCH(_xlfn.CONCAT(" ",A275," "),'III-PA'!$A$18:$A$2661,0))</f>
        <v>SINAPI</v>
      </c>
      <c r="D275" s="35" t="str" cm="1">
        <f t="array" ref="D275">INDEX('III-PA'!$A$18:$A$2661,1+MATCH(_xlfn.CONCAT(" ",A275," "),'III-PA'!$A$18:$A$2661,0))</f>
        <v>Composição</v>
      </c>
      <c r="E275" s="35" t="str" cm="1">
        <f t="array" ref="E275">INDEX('III-PA'!$D$18:$D$2661,1+MATCH(_xlfn.CONCAT(" ",A275," "),'III-PA'!$A$18:$A$2661,0))</f>
        <v>TOMADA MÉDIA DE EMBUTIR (3 MÓDULOS), 2P+T 20 A, INCLUINDO SUPORTE E PLACA - FORNECIMENTO E INSTALAÇÃO. AF_03/2023</v>
      </c>
      <c r="F275" s="35" t="str" cm="1">
        <f t="array" ref="F275">INDEX('III-PA'!$G$18:$G$2661,1+MATCH(_xlfn.CONCAT(" ",A275," "),'III-PA'!$A$18:$A$2661,0))</f>
        <v>UN</v>
      </c>
      <c r="G275" s="50">
        <f>VLOOKUP(A275,'IV-MEMORIAL'!$A$17:$N$2203,14,0)</f>
        <v>54</v>
      </c>
      <c r="H275" s="51">
        <f t="shared" si="180"/>
        <v>0.252</v>
      </c>
      <c r="I275" s="36" cm="1">
        <f t="array" ref="I275">INDEX('III-PA'!$I$18:$I$2661,1+MATCH(_xlfn.CONCAT(" ",A275," "),'III-PA'!$A$18:$A$2661,0))</f>
        <v>84.75</v>
      </c>
      <c r="J275" s="36">
        <f t="shared" si="181"/>
        <v>106.1</v>
      </c>
      <c r="K275" s="36">
        <f t="shared" si="182"/>
        <v>4576.5</v>
      </c>
      <c r="L275" s="36">
        <f t="shared" si="183"/>
        <v>1152.8999999999996</v>
      </c>
      <c r="M275" s="97">
        <f t="shared" si="184"/>
        <v>5729.4</v>
      </c>
    </row>
    <row r="276" spans="1:13" ht="60" x14ac:dyDescent="0.2">
      <c r="A276" s="96" t="s">
        <v>686</v>
      </c>
      <c r="B276" s="35" t="str" cm="1">
        <f t="array" ref="B276">INDEX('III-PA'!$B$18:$B$2661,1+MATCH(_xlfn.CONCAT(" ",'II-PO'!A276," "),'III-PA'!$A$18:$A$2661,0))</f>
        <v xml:space="preserve"> 91997 </v>
      </c>
      <c r="C276" s="35" t="str" cm="1">
        <f t="array" ref="C276">INDEX('III-PA'!$C$18:$C$2661,1+MATCH(_xlfn.CONCAT(" ",A276," "),'III-PA'!$A$18:$A$2661,0))</f>
        <v>SINAPI</v>
      </c>
      <c r="D276" s="35" t="str" cm="1">
        <f t="array" ref="D276">INDEX('III-PA'!$A$18:$A$2661,1+MATCH(_xlfn.CONCAT(" ",A276," "),'III-PA'!$A$18:$A$2661,0))</f>
        <v>Composição</v>
      </c>
      <c r="E276" s="35" t="str" cm="1">
        <f t="array" ref="E276">INDEX('III-PA'!$D$18:$D$2661,1+MATCH(_xlfn.CONCAT(" ",A276," "),'III-PA'!$A$18:$A$2661,0))</f>
        <v>TOMADA MÉDIA DE EMBUTIR (1 MÓDULO), 2P+T 20 A, INCLUINDO SUPORTE E PLACA - FORNECIMENTO E INSTALAÇÃO. AF_03/2023</v>
      </c>
      <c r="F276" s="35" t="str" cm="1">
        <f t="array" ref="F276">INDEX('III-PA'!$G$18:$G$2661,1+MATCH(_xlfn.CONCAT(" ",A276," "),'III-PA'!$A$18:$A$2661,0))</f>
        <v>UN</v>
      </c>
      <c r="G276" s="50">
        <f>VLOOKUP(A276,'IV-MEMORIAL'!$A$17:$N$2203,14,0)</f>
        <v>8</v>
      </c>
      <c r="H276" s="51">
        <f t="shared" si="180"/>
        <v>0.252</v>
      </c>
      <c r="I276" s="36" cm="1">
        <f t="array" ref="I276">INDEX('III-PA'!$I$18:$I$2661,1+MATCH(_xlfn.CONCAT(" ",A276," "),'III-PA'!$A$18:$A$2661,0))</f>
        <v>38.020000000000003</v>
      </c>
      <c r="J276" s="36">
        <f t="shared" si="181"/>
        <v>47.6</v>
      </c>
      <c r="K276" s="36">
        <f t="shared" si="182"/>
        <v>304.16000000000003</v>
      </c>
      <c r="L276" s="36">
        <f t="shared" si="183"/>
        <v>76.639999999999986</v>
      </c>
      <c r="M276" s="97">
        <f t="shared" si="184"/>
        <v>380.8</v>
      </c>
    </row>
    <row r="277" spans="1:13" ht="15.75" x14ac:dyDescent="0.2">
      <c r="A277" s="163" t="s">
        <v>579</v>
      </c>
      <c r="B277" s="164"/>
      <c r="C277" s="164"/>
      <c r="D277" s="164"/>
      <c r="E277" s="164" t="s">
        <v>581</v>
      </c>
      <c r="F277" s="164"/>
      <c r="G277" s="164"/>
      <c r="H277" s="165"/>
      <c r="I277" s="166"/>
      <c r="J277" s="166"/>
      <c r="K277" s="166">
        <f>SUM(K278:K282)</f>
        <v>2209.34</v>
      </c>
      <c r="L277" s="166">
        <f t="shared" ref="L277:M277" si="185">SUM(L278:L282)</f>
        <v>556.20000000000027</v>
      </c>
      <c r="M277" s="166">
        <f t="shared" si="185"/>
        <v>2765.5400000000004</v>
      </c>
    </row>
    <row r="278" spans="1:13" ht="45" x14ac:dyDescent="0.2">
      <c r="A278" s="96" t="s">
        <v>580</v>
      </c>
      <c r="B278" s="35" t="str" cm="1">
        <f t="array" ref="B278">INDEX('III-PA'!$B$18:$B$2661,1+MATCH(_xlfn.CONCAT(" ",'II-PO'!A278," "),'III-PA'!$A$18:$A$2661,0))</f>
        <v xml:space="preserve"> 97610 </v>
      </c>
      <c r="C278" s="35" t="str" cm="1">
        <f t="array" ref="C278">INDEX('III-PA'!$C$18:$C$2661,1+MATCH(_xlfn.CONCAT(" ",A278," "),'III-PA'!$A$18:$A$2661,0))</f>
        <v>SINAPI</v>
      </c>
      <c r="D278" s="35" t="str" cm="1">
        <f t="array" ref="D278">INDEX('III-PA'!$A$18:$A$2661,1+MATCH(_xlfn.CONCAT(" ",A278," "),'III-PA'!$A$18:$A$2661,0))</f>
        <v>Composição</v>
      </c>
      <c r="E278" s="35" t="str" cm="1">
        <f t="array" ref="E278">INDEX('III-PA'!$D$18:$D$2661,1+MATCH(_xlfn.CONCAT(" ",A278," "),'III-PA'!$A$18:$A$2661,0))</f>
        <v>LÂMPADA COMPACTA DE LED 10 W, BASE E27 - FORNECIMENTO E INSTALAÇÃO. AF_09/2024</v>
      </c>
      <c r="F278" s="35" t="str" cm="1">
        <f t="array" ref="F278">INDEX('III-PA'!$G$18:$G$2661,1+MATCH(_xlfn.CONCAT(" ",A278," "),'III-PA'!$A$18:$A$2661,0))</f>
        <v>UN</v>
      </c>
      <c r="G278" s="50">
        <f>VLOOKUP(A278,'IV-MEMORIAL'!$A$17:$N$2203,14,0)</f>
        <v>2</v>
      </c>
      <c r="H278" s="51">
        <f t="shared" ref="H278:H282" si="186">$L$14</f>
        <v>0.252</v>
      </c>
      <c r="I278" s="36" cm="1">
        <f t="array" ref="I278">INDEX('III-PA'!$I$18:$I$2661,1+MATCH(_xlfn.CONCAT(" ",A278," "),'III-PA'!$A$18:$A$2661,0))</f>
        <v>13.23</v>
      </c>
      <c r="J278" s="36">
        <f t="shared" ref="J278:J282" si="187">TRUNC(I278*(1+H278),2)</f>
        <v>16.559999999999999</v>
      </c>
      <c r="K278" s="36">
        <f t="shared" ref="K278:K282" si="188">TRUNC(I278*G278,2)</f>
        <v>26.46</v>
      </c>
      <c r="L278" s="36">
        <f t="shared" ref="L278:L282" si="189">M278-K278</f>
        <v>6.6599999999999966</v>
      </c>
      <c r="M278" s="97">
        <f t="shared" ref="M278:M282" si="190">TRUNC(G278*J278,2)</f>
        <v>33.119999999999997</v>
      </c>
    </row>
    <row r="279" spans="1:13" ht="60" x14ac:dyDescent="0.2">
      <c r="A279" s="96" t="s">
        <v>687</v>
      </c>
      <c r="B279" s="35" t="str" cm="1">
        <f t="array" ref="B279">INDEX('III-PA'!$B$18:$B$2661,1+MATCH(_xlfn.CONCAT(" ",'II-PO'!A279," "),'III-PA'!$A$18:$A$2661,0))</f>
        <v xml:space="preserve"> 103782 </v>
      </c>
      <c r="C279" s="35" t="str" cm="1">
        <f t="array" ref="C279">INDEX('III-PA'!$C$18:$C$2661,1+MATCH(_xlfn.CONCAT(" ",A279," "),'III-PA'!$A$18:$A$2661,0))</f>
        <v>SINAPI</v>
      </c>
      <c r="D279" s="35" t="str" cm="1">
        <f t="array" ref="D279">INDEX('III-PA'!$A$18:$A$2661,1+MATCH(_xlfn.CONCAT(" ",A279," "),'III-PA'!$A$18:$A$2661,0))</f>
        <v>Composição</v>
      </c>
      <c r="E279" s="35" t="str" cm="1">
        <f t="array" ref="E279">INDEX('III-PA'!$D$18:$D$2661,1+MATCH(_xlfn.CONCAT(" ",A279," "),'III-PA'!$A$18:$A$2661,0))</f>
        <v>LUMINÁRIA TIPO PLAFON CIRCULAR, DE SOBREPOR, COM LED DE 12/13 W - FORNECIMENTO E INSTALAÇÃO. AF_09/2024</v>
      </c>
      <c r="F279" s="35" t="str" cm="1">
        <f t="array" ref="F279">INDEX('III-PA'!$G$18:$G$2661,1+MATCH(_xlfn.CONCAT(" ",A279," "),'III-PA'!$A$18:$A$2661,0))</f>
        <v>UN</v>
      </c>
      <c r="G279" s="50">
        <f>VLOOKUP(A279,'IV-MEMORIAL'!$A$17:$N$2203,14,0)</f>
        <v>3</v>
      </c>
      <c r="H279" s="51">
        <f t="shared" si="186"/>
        <v>0.252</v>
      </c>
      <c r="I279" s="36" cm="1">
        <f t="array" ref="I279">INDEX('III-PA'!$I$18:$I$2661,1+MATCH(_xlfn.CONCAT(" ",A279," "),'III-PA'!$A$18:$A$2661,0))</f>
        <v>29.56</v>
      </c>
      <c r="J279" s="36">
        <f t="shared" si="187"/>
        <v>37</v>
      </c>
      <c r="K279" s="36">
        <f t="shared" si="188"/>
        <v>88.68</v>
      </c>
      <c r="L279" s="36">
        <f t="shared" si="189"/>
        <v>22.319999999999993</v>
      </c>
      <c r="M279" s="97">
        <f t="shared" si="190"/>
        <v>111</v>
      </c>
    </row>
    <row r="280" spans="1:13" ht="45" x14ac:dyDescent="0.2">
      <c r="A280" s="96" t="s">
        <v>688</v>
      </c>
      <c r="B280" s="35" t="str" cm="1">
        <f t="array" ref="B280">INDEX('III-PA'!$B$18:$B$2661,1+MATCH(_xlfn.CONCAT(" ",'II-PO'!A280," "),'III-PA'!$A$18:$A$2661,0))</f>
        <v xml:space="preserve"> 97609 </v>
      </c>
      <c r="C280" s="35" t="str" cm="1">
        <f t="array" ref="C280">INDEX('III-PA'!$C$18:$C$2661,1+MATCH(_xlfn.CONCAT(" ",A280," "),'III-PA'!$A$18:$A$2661,0))</f>
        <v>SINAPI</v>
      </c>
      <c r="D280" s="35" t="str" cm="1">
        <f t="array" ref="D280">INDEX('III-PA'!$A$18:$A$2661,1+MATCH(_xlfn.CONCAT(" ",A280," "),'III-PA'!$A$18:$A$2661,0))</f>
        <v>Composição</v>
      </c>
      <c r="E280" s="35" t="str" cm="1">
        <f t="array" ref="E280">INDEX('III-PA'!$D$18:$D$2661,1+MATCH(_xlfn.CONCAT(" ",A280," "),'III-PA'!$A$18:$A$2661,0))</f>
        <v>LÂMPADA COMPACTA DE LED 6 W, BASE E27 - FORNECIMENTO E INSTALAÇÃO. AF_09/2024</v>
      </c>
      <c r="F280" s="35" t="str" cm="1">
        <f t="array" ref="F280">INDEX('III-PA'!$G$18:$G$2661,1+MATCH(_xlfn.CONCAT(" ",A280," "),'III-PA'!$A$18:$A$2661,0))</f>
        <v>UN</v>
      </c>
      <c r="G280" s="50">
        <f>VLOOKUP(A280,'IV-MEMORIAL'!$A$17:$N$2203,14,0)</f>
        <v>67</v>
      </c>
      <c r="H280" s="51">
        <f t="shared" si="186"/>
        <v>0.252</v>
      </c>
      <c r="I280" s="36" cm="1">
        <f t="array" ref="I280">INDEX('III-PA'!$I$18:$I$2661,1+MATCH(_xlfn.CONCAT(" ",A280," "),'III-PA'!$A$18:$A$2661,0))</f>
        <v>12.64</v>
      </c>
      <c r="J280" s="36">
        <f t="shared" si="187"/>
        <v>15.82</v>
      </c>
      <c r="K280" s="36">
        <f t="shared" si="188"/>
        <v>846.88</v>
      </c>
      <c r="L280" s="36">
        <f t="shared" si="189"/>
        <v>213.06000000000006</v>
      </c>
      <c r="M280" s="97">
        <f t="shared" si="190"/>
        <v>1059.94</v>
      </c>
    </row>
    <row r="281" spans="1:13" ht="45" x14ac:dyDescent="0.2">
      <c r="A281" s="96" t="s">
        <v>689</v>
      </c>
      <c r="B281" s="35" t="str" cm="1">
        <f t="array" ref="B281">INDEX('III-PA'!$B$18:$B$2661,1+MATCH(_xlfn.CONCAT(" ",'II-PO'!A281," "),'III-PA'!$A$18:$A$2661,0))</f>
        <v xml:space="preserve"> 100903 </v>
      </c>
      <c r="C281" s="35" t="str" cm="1">
        <f t="array" ref="C281">INDEX('III-PA'!$C$18:$C$2661,1+MATCH(_xlfn.CONCAT(" ",A281," "),'III-PA'!$A$18:$A$2661,0))</f>
        <v>SINAPI</v>
      </c>
      <c r="D281" s="35" t="str" cm="1">
        <f t="array" ref="D281">INDEX('III-PA'!$A$18:$A$2661,1+MATCH(_xlfn.CONCAT(" ",A281," "),'III-PA'!$A$18:$A$2661,0))</f>
        <v>Composição</v>
      </c>
      <c r="E281" s="35" t="str" cm="1">
        <f t="array" ref="E281">INDEX('III-PA'!$D$18:$D$2661,1+MATCH(_xlfn.CONCAT(" ",A281," "),'III-PA'!$A$18:$A$2661,0))</f>
        <v>LÂMPADA TUBULAR LED DE 18/20 W, COM SOQUETE, BASE G13 - FORNECIMENTO E INSTALAÇÃO. AF_09/2024_PS</v>
      </c>
      <c r="F281" s="35" t="str" cm="1">
        <f t="array" ref="F281">INDEX('III-PA'!$G$18:$G$2661,1+MATCH(_xlfn.CONCAT(" ",A281," "),'III-PA'!$A$18:$A$2661,0))</f>
        <v>UN</v>
      </c>
      <c r="G281" s="50">
        <f>VLOOKUP(A281,'IV-MEMORIAL'!$A$17:$N$2203,14,0)</f>
        <v>32</v>
      </c>
      <c r="H281" s="51">
        <f t="shared" si="186"/>
        <v>0.252</v>
      </c>
      <c r="I281" s="36" cm="1">
        <f t="array" ref="I281">INDEX('III-PA'!$I$18:$I$2661,1+MATCH(_xlfn.CONCAT(" ",A281," "),'III-PA'!$A$18:$A$2661,0))</f>
        <v>29.06</v>
      </c>
      <c r="J281" s="36">
        <f t="shared" si="187"/>
        <v>36.380000000000003</v>
      </c>
      <c r="K281" s="36">
        <f t="shared" si="188"/>
        <v>929.92</v>
      </c>
      <c r="L281" s="36">
        <f t="shared" si="189"/>
        <v>234.24000000000012</v>
      </c>
      <c r="M281" s="97">
        <f t="shared" si="190"/>
        <v>1164.1600000000001</v>
      </c>
    </row>
    <row r="282" spans="1:13" ht="45" x14ac:dyDescent="0.2">
      <c r="A282" s="96" t="s">
        <v>690</v>
      </c>
      <c r="B282" s="35" t="str" cm="1">
        <f t="array" ref="B282">INDEX('III-PA'!$B$18:$B$2661,1+MATCH(_xlfn.CONCAT(" ",'II-PO'!A282," "),'III-PA'!$A$18:$A$2661,0))</f>
        <v xml:space="preserve"> 100902 </v>
      </c>
      <c r="C282" s="35" t="str" cm="1">
        <f t="array" ref="C282">INDEX('III-PA'!$C$18:$C$2661,1+MATCH(_xlfn.CONCAT(" ",A282," "),'III-PA'!$A$18:$A$2661,0))</f>
        <v>SINAPI</v>
      </c>
      <c r="D282" s="35" t="str" cm="1">
        <f t="array" ref="D282">INDEX('III-PA'!$A$18:$A$2661,1+MATCH(_xlfn.CONCAT(" ",A282," "),'III-PA'!$A$18:$A$2661,0))</f>
        <v>Composição</v>
      </c>
      <c r="E282" s="35" t="str" cm="1">
        <f t="array" ref="E282">INDEX('III-PA'!$D$18:$D$2661,1+MATCH(_xlfn.CONCAT(" ",A282," "),'III-PA'!$A$18:$A$2661,0))</f>
        <v>LÂMPADA TUBULAR LED DE 9/10 W, COM SOQUETE, BASE G13 - FORNECIMENTO E INSTALAÇÃO. AF_09/2024_PS</v>
      </c>
      <c r="F282" s="35" t="str" cm="1">
        <f t="array" ref="F282">INDEX('III-PA'!$G$18:$G$2661,1+MATCH(_xlfn.CONCAT(" ",A282," "),'III-PA'!$A$18:$A$2661,0))</f>
        <v>UN</v>
      </c>
      <c r="G282" s="50">
        <f>VLOOKUP(A282,'IV-MEMORIAL'!$A$17:$N$2203,14,0)</f>
        <v>12</v>
      </c>
      <c r="H282" s="51">
        <f t="shared" si="186"/>
        <v>0.252</v>
      </c>
      <c r="I282" s="36" cm="1">
        <f t="array" ref="I282">INDEX('III-PA'!$I$18:$I$2661,1+MATCH(_xlfn.CONCAT(" ",A282," "),'III-PA'!$A$18:$A$2661,0))</f>
        <v>26.45</v>
      </c>
      <c r="J282" s="36">
        <f t="shared" si="187"/>
        <v>33.11</v>
      </c>
      <c r="K282" s="36">
        <f t="shared" si="188"/>
        <v>317.39999999999998</v>
      </c>
      <c r="L282" s="36">
        <f t="shared" si="189"/>
        <v>79.920000000000016</v>
      </c>
      <c r="M282" s="97">
        <f t="shared" si="190"/>
        <v>397.32</v>
      </c>
    </row>
    <row r="283" spans="1:13" ht="15.75" x14ac:dyDescent="0.2">
      <c r="A283" s="163" t="s">
        <v>582</v>
      </c>
      <c r="B283" s="164"/>
      <c r="C283" s="164"/>
      <c r="D283" s="164"/>
      <c r="E283" s="164" t="s">
        <v>584</v>
      </c>
      <c r="F283" s="164"/>
      <c r="G283" s="164"/>
      <c r="H283" s="165"/>
      <c r="I283" s="166"/>
      <c r="J283" s="166"/>
      <c r="K283" s="166">
        <f>SUM(K284:K285)</f>
        <v>4144.83</v>
      </c>
      <c r="L283" s="166">
        <f t="shared" ref="L283" si="191">SUM(L284:L285)</f>
        <v>1044.4899999999998</v>
      </c>
      <c r="M283" s="167">
        <f t="shared" ref="M283" si="192">SUM(M284:M285)</f>
        <v>5189.32</v>
      </c>
    </row>
    <row r="284" spans="1:13" ht="60" x14ac:dyDescent="0.2">
      <c r="A284" s="96" t="s">
        <v>583</v>
      </c>
      <c r="B284" s="35" t="str" cm="1">
        <f t="array" ref="B284">INDEX('III-PA'!$B$18:$B$2661,1+MATCH(_xlfn.CONCAT(" ",'II-PO'!A284," "),'III-PA'!$A$18:$A$2661,0))</f>
        <v xml:space="preserve"> 101507 </v>
      </c>
      <c r="C284" s="35" t="str" cm="1">
        <f t="array" ref="C284">INDEX('III-PA'!$C$18:$C$2661,1+MATCH(_xlfn.CONCAT(" ",A284," "),'III-PA'!$A$18:$A$2661,0))</f>
        <v>SINAPI</v>
      </c>
      <c r="D284" s="35" t="str" cm="1">
        <f t="array" ref="D284">INDEX('III-PA'!$A$18:$A$2661,1+MATCH(_xlfn.CONCAT(" ",A284," "),'III-PA'!$A$18:$A$2661,0))</f>
        <v>Composição</v>
      </c>
      <c r="E284" s="35" t="str" cm="1">
        <f t="array" ref="E284">INDEX('III-PA'!$D$18:$D$2661,1+MATCH(_xlfn.CONCAT(" ",A284," "),'III-PA'!$A$18:$A$2661,0))</f>
        <v>ENTRADA DE ENERGIA ELÉTRICA, AÉREA, TRIFÁSICA, COM CAIXA DE SOBREPOR, CABO DE 25 MM2 E DISJUNTOR DIN 63A. AF_07/2020_PS (REF. SINAPI 101507)</v>
      </c>
      <c r="F284" s="35" t="str" cm="1">
        <f t="array" ref="F284">INDEX('III-PA'!$G$18:$G$2661,1+MATCH(_xlfn.CONCAT(" ",A284," "),'III-PA'!$A$18:$A$2661,0))</f>
        <v>UN</v>
      </c>
      <c r="G284" s="50">
        <f>VLOOKUP(A284,'IV-MEMORIAL'!$A$17:$N$2203,14,0)</f>
        <v>1</v>
      </c>
      <c r="H284" s="51">
        <f t="shared" ref="H284:H285" si="193">$L$14</f>
        <v>0.252</v>
      </c>
      <c r="I284" s="36" cm="1">
        <f t="array" ref="I284">INDEX('III-PA'!$I$18:$I$2661,1+MATCH(_xlfn.CONCAT(" ",A284," "),'III-PA'!$A$18:$A$2661,0))</f>
        <v>3823.38</v>
      </c>
      <c r="J284" s="36">
        <f t="shared" ref="J284:J285" si="194">TRUNC(I284*(1+H284),2)</f>
        <v>4786.87</v>
      </c>
      <c r="K284" s="36">
        <f t="shared" ref="K284:K285" si="195">TRUNC(I284*G284,2)</f>
        <v>3823.38</v>
      </c>
      <c r="L284" s="36">
        <f t="shared" ref="L284:L285" si="196">M284-K284</f>
        <v>963.48999999999978</v>
      </c>
      <c r="M284" s="97">
        <f t="shared" ref="M284:M285" si="197">TRUNC(G284*J284,2)</f>
        <v>4786.87</v>
      </c>
    </row>
    <row r="285" spans="1:13" ht="45" x14ac:dyDescent="0.2">
      <c r="A285" s="96" t="s">
        <v>691</v>
      </c>
      <c r="B285" s="35" t="str" cm="1">
        <f t="array" ref="B285">INDEX('III-PA'!$B$18:$B$2661,1+MATCH(_xlfn.CONCAT(" ",'II-PO'!A285," "),'III-PA'!$A$18:$A$2661,0))</f>
        <v xml:space="preserve"> 96986 </v>
      </c>
      <c r="C285" s="35" t="str" cm="1">
        <f t="array" ref="C285">INDEX('III-PA'!$C$18:$C$2661,1+MATCH(_xlfn.CONCAT(" ",A285," "),'III-PA'!$A$18:$A$2661,0))</f>
        <v>SINAPI</v>
      </c>
      <c r="D285" s="35" t="str" cm="1">
        <f t="array" ref="D285">INDEX('III-PA'!$A$18:$A$2661,1+MATCH(_xlfn.CONCAT(" ",A285," "),'III-PA'!$A$18:$A$2661,0))</f>
        <v>Composição</v>
      </c>
      <c r="E285" s="35" t="str" cm="1">
        <f t="array" ref="E285">INDEX('III-PA'!$D$18:$D$2661,1+MATCH(_xlfn.CONCAT(" ",A285," "),'III-PA'!$A$18:$A$2661,0))</f>
        <v>HASTE DE ATERRAMENTO, DIÂMETRO 3/4", COM 3 METROS - FORNECIMENTO E INSTALAÇÃO. AF_08/2023</v>
      </c>
      <c r="F285" s="35" t="str" cm="1">
        <f t="array" ref="F285">INDEX('III-PA'!$G$18:$G$2661,1+MATCH(_xlfn.CONCAT(" ",A285," "),'III-PA'!$A$18:$A$2661,0))</f>
        <v>UN</v>
      </c>
      <c r="G285" s="50">
        <f>VLOOKUP(A285,'IV-MEMORIAL'!$A$17:$N$2203,14,0)</f>
        <v>3</v>
      </c>
      <c r="H285" s="51">
        <f t="shared" si="193"/>
        <v>0.252</v>
      </c>
      <c r="I285" s="36" cm="1">
        <f t="array" ref="I285">INDEX('III-PA'!$I$18:$I$2661,1+MATCH(_xlfn.CONCAT(" ",A285," "),'III-PA'!$A$18:$A$2661,0))</f>
        <v>107.15</v>
      </c>
      <c r="J285" s="36">
        <f t="shared" si="194"/>
        <v>134.15</v>
      </c>
      <c r="K285" s="36">
        <f t="shared" si="195"/>
        <v>321.45</v>
      </c>
      <c r="L285" s="36">
        <f t="shared" si="196"/>
        <v>81</v>
      </c>
      <c r="M285" s="97">
        <f t="shared" si="197"/>
        <v>402.45</v>
      </c>
    </row>
    <row r="286" spans="1:13" ht="15.75" x14ac:dyDescent="0.2">
      <c r="A286" s="94">
        <v>15</v>
      </c>
      <c r="B286" s="40"/>
      <c r="C286" s="40"/>
      <c r="D286" s="40"/>
      <c r="E286" s="40" t="s">
        <v>694</v>
      </c>
      <c r="F286" s="40"/>
      <c r="G286" s="40"/>
      <c r="H286" s="41"/>
      <c r="I286" s="42"/>
      <c r="J286" s="42"/>
      <c r="K286" s="42">
        <f>SUM(K287:K288)</f>
        <v>51918.2</v>
      </c>
      <c r="L286" s="42">
        <f t="shared" ref="L286" si="198">SUM(L287:L288)</f>
        <v>13082.770000000004</v>
      </c>
      <c r="M286" s="42">
        <f t="shared" ref="M286" si="199">SUM(M287:M288)</f>
        <v>65000.97</v>
      </c>
    </row>
    <row r="287" spans="1:13" ht="30" x14ac:dyDescent="0.2">
      <c r="A287" s="96" t="s">
        <v>508</v>
      </c>
      <c r="B287" s="35" t="str" cm="1">
        <f t="array" ref="B287">INDEX('III-PA'!$B$18:$B$2661,1+MATCH(_xlfn.CONCAT(" ",'II-PO'!A287," "),'III-PA'!$A$18:$A$2661,0))</f>
        <v xml:space="preserve"> 100904 </v>
      </c>
      <c r="C287" s="35" t="str" cm="1">
        <f t="array" ref="C287">INDEX('III-PA'!$C$18:$C$2661,1+MATCH(_xlfn.CONCAT(" ",A287," "),'III-PA'!$A$18:$A$2661,0))</f>
        <v>Próprio</v>
      </c>
      <c r="D287" s="35" t="str" cm="1">
        <f t="array" ref="D287">INDEX('III-PA'!$A$18:$A$2661,1+MATCH(_xlfn.CONCAT(" ",A287," "),'III-PA'!$A$18:$A$2661,0))</f>
        <v>Composição</v>
      </c>
      <c r="E287" s="35" t="str" cm="1">
        <f t="array" ref="E287">INDEX('III-PA'!$D$18:$D$2661,1+MATCH(_xlfn.CONCAT(" ",A287," "),'III-PA'!$A$18:$A$2661,0))</f>
        <v>PAINEL EM ACM - ESTRUTURADO (FACHADAS) (REF.: SEDOP 061458)</v>
      </c>
      <c r="F287" s="35" t="str" cm="1">
        <f t="array" ref="F287">INDEX('III-PA'!$G$18:$G$2661,1+MATCH(_xlfn.CONCAT(" ",A287," "),'III-PA'!$A$18:$A$2661,0))</f>
        <v>m²</v>
      </c>
      <c r="G287" s="50">
        <f>VLOOKUP(A287,'IV-MEMORIAL'!$A$17:$N$2203,14,0)</f>
        <v>119.31</v>
      </c>
      <c r="H287" s="51">
        <f t="shared" ref="H287:H288" si="200">$L$14</f>
        <v>0.252</v>
      </c>
      <c r="I287" s="36" cm="1">
        <f t="array" ref="I287">INDEX('III-PA'!$I$18:$I$2661,1+MATCH(_xlfn.CONCAT(" ",A287," "),'III-PA'!$A$18:$A$2661,0))</f>
        <v>413.79</v>
      </c>
      <c r="J287" s="36">
        <f t="shared" ref="J287:J288" si="201">TRUNC(I287*(1+H287),2)</f>
        <v>518.05999999999995</v>
      </c>
      <c r="K287" s="36">
        <f t="shared" ref="K287:K288" si="202">TRUNC(I287*G287,2)</f>
        <v>49369.279999999999</v>
      </c>
      <c r="L287" s="36">
        <f t="shared" ref="L287:L288" si="203">M287-K287</f>
        <v>12440.450000000004</v>
      </c>
      <c r="M287" s="97">
        <f t="shared" ref="M287:M288" si="204">TRUNC(G287*J287,2)</f>
        <v>61809.73</v>
      </c>
    </row>
    <row r="288" spans="1:13" ht="30" x14ac:dyDescent="0.2">
      <c r="A288" s="96" t="s">
        <v>509</v>
      </c>
      <c r="B288" s="35" t="str" cm="1">
        <f t="array" ref="B288">INDEX('III-PA'!$B$18:$B$2661,1+MATCH(_xlfn.CONCAT(" ",'II-PO'!A288," "),'III-PA'!$A$18:$A$2661,0))</f>
        <v xml:space="preserve"> 100905 </v>
      </c>
      <c r="C288" s="35" t="str" cm="1">
        <f t="array" ref="C288">INDEX('III-PA'!$C$18:$C$2661,1+MATCH(_xlfn.CONCAT(" ",A288," "),'III-PA'!$A$18:$A$2661,0))</f>
        <v>Próprio</v>
      </c>
      <c r="D288" s="35" t="str" cm="1">
        <f t="array" ref="D288">INDEX('III-PA'!$A$18:$A$2661,1+MATCH(_xlfn.CONCAT(" ",A288," "),'III-PA'!$A$18:$A$2661,0))</f>
        <v>Composição</v>
      </c>
      <c r="E288" s="35" t="str" cm="1">
        <f t="array" ref="E288">INDEX('III-PA'!$D$18:$D$2661,1+MATCH(_xlfn.CONCAT(" ",A288," "),'III-PA'!$A$18:$A$2661,0))</f>
        <v>LETRAS EM ACM (REF.: SEDOP 061458)</v>
      </c>
      <c r="F288" s="35" t="str" cm="1">
        <f t="array" ref="F288">INDEX('III-PA'!$G$18:$G$2661,1+MATCH(_xlfn.CONCAT(" ",A288," "),'III-PA'!$A$18:$A$2661,0))</f>
        <v>m²</v>
      </c>
      <c r="G288" s="50">
        <f>VLOOKUP(A288,'IV-MEMORIAL'!$A$17:$N$2203,14,0)</f>
        <v>7.71</v>
      </c>
      <c r="H288" s="51">
        <f t="shared" si="200"/>
        <v>0.252</v>
      </c>
      <c r="I288" s="36" cm="1">
        <f t="array" ref="I288">INDEX('III-PA'!$I$18:$I$2661,1+MATCH(_xlfn.CONCAT(" ",A288," "),'III-PA'!$A$18:$A$2661,0))</f>
        <v>330.6</v>
      </c>
      <c r="J288" s="36">
        <f t="shared" si="201"/>
        <v>413.91</v>
      </c>
      <c r="K288" s="36">
        <f t="shared" si="202"/>
        <v>2548.92</v>
      </c>
      <c r="L288" s="36">
        <f t="shared" si="203"/>
        <v>642.31999999999971</v>
      </c>
      <c r="M288" s="97">
        <f t="shared" si="204"/>
        <v>3191.24</v>
      </c>
    </row>
    <row r="289" spans="1:14" ht="15.75" x14ac:dyDescent="0.2">
      <c r="A289" s="94">
        <v>16</v>
      </c>
      <c r="B289" s="40"/>
      <c r="C289" s="40"/>
      <c r="D289" s="40"/>
      <c r="E289" s="40" t="s">
        <v>515</v>
      </c>
      <c r="F289" s="40"/>
      <c r="G289" s="40"/>
      <c r="H289" s="41"/>
      <c r="I289" s="42"/>
      <c r="J289" s="42"/>
      <c r="K289" s="42">
        <f>SUM(K290:K291)</f>
        <v>6487.92</v>
      </c>
      <c r="L289" s="42">
        <f t="shared" ref="L289:M289" si="205">SUM(L290:L291)</f>
        <v>1634.8499999999997</v>
      </c>
      <c r="M289" s="42">
        <f t="shared" si="205"/>
        <v>8122.7699999999995</v>
      </c>
    </row>
    <row r="290" spans="1:14" ht="60" x14ac:dyDescent="0.2">
      <c r="A290" s="96" t="s">
        <v>692</v>
      </c>
      <c r="B290" s="35" t="str" cm="1">
        <f t="array" ref="B290">INDEX('III-PA'!$B$18:$B$2661,1+MATCH(_xlfn.CONCAT(" ",'II-PO'!A290," "),'III-PA'!$A$18:$A$2661,0))</f>
        <v xml:space="preserve"> 00010826 </v>
      </c>
      <c r="C290" s="35" t="str" cm="1">
        <f t="array" ref="C290">INDEX('III-PA'!$C$18:$C$2661,1+MATCH(_xlfn.CONCAT(" ",A290," "),'III-PA'!$A$18:$A$2661,0))</f>
        <v>SINAPI</v>
      </c>
      <c r="D290" s="35" t="str" cm="1">
        <f t="array" ref="D290">INDEX('III-PA'!$A$18:$A$2661,1+MATCH(_xlfn.CONCAT(" ",A290," "),'III-PA'!$A$18:$A$2661,0))</f>
        <v>Insumo</v>
      </c>
      <c r="E290" s="35" t="str" cm="1">
        <f t="array" ref="E290">INDEX('III-PA'!$D$18:$D$2661,1+MATCH(_xlfn.CONCAT(" ",A290," "),'III-PA'!$A$18:$A$2661,0))</f>
        <v>MUDA DE ARBUSTO FLORIFERO, CLUSIA/GARDENIA/MOREIA BRANCA/ AZALEIA OU EQUIVALENTE DA REGIAO, H= *50 A 70* CM</v>
      </c>
      <c r="F290" s="35" t="str" cm="1">
        <f t="array" ref="F290">INDEX('III-PA'!$G$18:$G$2661,1+MATCH(_xlfn.CONCAT(" ",A290," "),'III-PA'!$A$18:$A$2661,0))</f>
        <v>UN</v>
      </c>
      <c r="G290" s="50">
        <f>VLOOKUP(A290,'IV-MEMORIAL'!$A$17:$N$2203,14,0)</f>
        <v>74</v>
      </c>
      <c r="H290" s="51">
        <f t="shared" ref="H290:H291" si="206">$L$14</f>
        <v>0.252</v>
      </c>
      <c r="I290" s="36" cm="1">
        <f t="array" ref="I290">INDEX('III-PA'!$I$18:$I$2661,1+MATCH(_xlfn.CONCAT(" ",A290," "),'III-PA'!$A$18:$A$2661,0))</f>
        <v>71.83</v>
      </c>
      <c r="J290" s="36">
        <f t="shared" ref="J290:J291" si="207">TRUNC(I290*(1+H290),2)</f>
        <v>89.93</v>
      </c>
      <c r="K290" s="36">
        <f t="shared" ref="K290:K291" si="208">TRUNC(I290*G290,2)</f>
        <v>5315.42</v>
      </c>
      <c r="L290" s="36">
        <f t="shared" ref="L290:L291" si="209">M290-K290</f>
        <v>1339.3999999999996</v>
      </c>
      <c r="M290" s="97">
        <f t="shared" ref="M290:M291" si="210">TRUNC(G290*J290,2)</f>
        <v>6654.82</v>
      </c>
    </row>
    <row r="291" spans="1:14" ht="30" x14ac:dyDescent="0.2">
      <c r="A291" s="96" t="s">
        <v>693</v>
      </c>
      <c r="B291" s="35" t="str" cm="1">
        <f t="array" ref="B291">INDEX('III-PA'!$B$18:$B$2661,1+MATCH(_xlfn.CONCAT(" ",'II-PO'!A291," "),'III-PA'!$A$18:$A$2661,0))</f>
        <v xml:space="preserve"> 220104 </v>
      </c>
      <c r="C291" s="35" t="str" cm="1">
        <f t="array" ref="C291">INDEX('III-PA'!$C$18:$C$2661,1+MATCH(_xlfn.CONCAT(" ",A291," "),'III-PA'!$A$18:$A$2661,0))</f>
        <v>AGETOP CIVIL</v>
      </c>
      <c r="D291" s="35" t="str" cm="1">
        <f t="array" ref="D291">INDEX('III-PA'!$A$18:$A$2661,1+MATCH(_xlfn.CONCAT(" ",A291," "),'III-PA'!$A$18:$A$2661,0))</f>
        <v>Composição</v>
      </c>
      <c r="E291" s="35" t="str" cm="1">
        <f t="array" ref="E291">INDEX('III-PA'!$D$18:$D$2661,1+MATCH(_xlfn.CONCAT(" ",A291," "),'III-PA'!$A$18:$A$2661,0))</f>
        <v>PISO EM CONCRETO DESEMPENADO ESPESSURA = 7 CM  1</v>
      </c>
      <c r="F291" s="35" t="str" cm="1">
        <f t="array" ref="F291">INDEX('III-PA'!$G$18:$G$2661,1+MATCH(_xlfn.CONCAT(" ",A291," "),'III-PA'!$A$18:$A$2661,0))</f>
        <v>m²</v>
      </c>
      <c r="G291" s="50">
        <f>VLOOKUP(A291,'IV-MEMORIAL'!$A$17:$N$2203,14,0)</f>
        <v>20.69</v>
      </c>
      <c r="H291" s="51">
        <f t="shared" si="206"/>
        <v>0.252</v>
      </c>
      <c r="I291" s="36" cm="1">
        <f t="array" ref="I291">INDEX('III-PA'!$I$18:$I$2661,1+MATCH(_xlfn.CONCAT(" ",A291," "),'III-PA'!$A$18:$A$2661,0))</f>
        <v>56.67</v>
      </c>
      <c r="J291" s="36">
        <f t="shared" si="207"/>
        <v>70.95</v>
      </c>
      <c r="K291" s="36">
        <f t="shared" si="208"/>
        <v>1172.5</v>
      </c>
      <c r="L291" s="36">
        <f t="shared" si="209"/>
        <v>295.45000000000005</v>
      </c>
      <c r="M291" s="97">
        <f t="shared" si="210"/>
        <v>1467.95</v>
      </c>
    </row>
    <row r="292" spans="1:14" ht="15.75" x14ac:dyDescent="0.2">
      <c r="A292" s="94">
        <v>17</v>
      </c>
      <c r="B292" s="40"/>
      <c r="C292" s="40"/>
      <c r="D292" s="40"/>
      <c r="E292" s="40" t="s">
        <v>223</v>
      </c>
      <c r="F292" s="40"/>
      <c r="G292" s="40"/>
      <c r="H292" s="41"/>
      <c r="I292" s="42"/>
      <c r="J292" s="42"/>
      <c r="K292" s="42">
        <f>SUM(K293:K295)</f>
        <v>6567.19</v>
      </c>
      <c r="L292" s="42">
        <f t="shared" ref="L292:M292" si="211">SUM(L293:L295)</f>
        <v>1632.1100000000004</v>
      </c>
      <c r="M292" s="42">
        <f t="shared" si="211"/>
        <v>8199.3000000000011</v>
      </c>
      <c r="N292" s="37"/>
    </row>
    <row r="293" spans="1:14" ht="30" x14ac:dyDescent="0.2">
      <c r="A293" s="96" t="s">
        <v>516</v>
      </c>
      <c r="B293" s="35" t="str" cm="1">
        <f t="array" ref="B293">INDEX('III-PA'!$B$18:$B$2661,1+MATCH(_xlfn.CONCAT(" ",'II-PO'!A293," "),'III-PA'!$A$18:$A$2661,0))</f>
        <v xml:space="preserve"> 99814 </v>
      </c>
      <c r="C293" s="35" t="str" cm="1">
        <f t="array" ref="C293">INDEX('III-PA'!$C$18:$C$2661,1+MATCH(_xlfn.CONCAT(" ",A293," "),'III-PA'!$A$18:$A$2661,0))</f>
        <v>SINAPI</v>
      </c>
      <c r="D293" s="35" t="str" cm="1">
        <f t="array" ref="D293">INDEX('III-PA'!$A$18:$A$2661,1+MATCH(_xlfn.CONCAT(" ",A293," "),'III-PA'!$A$18:$A$2661,0))</f>
        <v>Composição</v>
      </c>
      <c r="E293" s="35" t="str" cm="1">
        <f t="array" ref="E293">INDEX('III-PA'!$D$18:$D$2661,1+MATCH(_xlfn.CONCAT(" ",A293," "),'III-PA'!$A$18:$A$2661,0))</f>
        <v>LIMPEZA DE SUPERFÍCIE COM JATO DE ALTA PRESSÃO. AF_04/2019</v>
      </c>
      <c r="F293" s="35" t="str" cm="1">
        <f t="array" ref="F293">INDEX('III-PA'!$G$18:$G$2661,1+MATCH(_xlfn.CONCAT(" ",A293," "),'III-PA'!$A$18:$A$2661,0))</f>
        <v>m²</v>
      </c>
      <c r="G293" s="50">
        <f>VLOOKUP(A293,'IV-MEMORIAL'!$A$17:$N$2203,14,0)</f>
        <v>2501.4100000000003</v>
      </c>
      <c r="H293" s="51">
        <f t="shared" ref="H293:H295" si="212">$L$14</f>
        <v>0.252</v>
      </c>
      <c r="I293" s="36" cm="1">
        <f t="array" ref="I293">INDEX('III-PA'!$I$18:$I$2661,1+MATCH(_xlfn.CONCAT(" ",A293," "),'III-PA'!$A$18:$A$2661,0))</f>
        <v>2.06</v>
      </c>
      <c r="J293" s="36">
        <f t="shared" ref="J293:J295" si="213">TRUNC(I293*(1+H293),2)</f>
        <v>2.57</v>
      </c>
      <c r="K293" s="36">
        <f t="shared" ref="K293:K295" si="214">TRUNC(I293*G293,2)</f>
        <v>5152.8999999999996</v>
      </c>
      <c r="L293" s="36">
        <f t="shared" ref="L293:L295" si="215">M293-K293</f>
        <v>1275.7200000000003</v>
      </c>
      <c r="M293" s="97">
        <f t="shared" ref="M293:M295" si="216">TRUNC(G293*J293,2)</f>
        <v>6428.62</v>
      </c>
      <c r="N293" s="37"/>
    </row>
    <row r="294" spans="1:14" ht="30" x14ac:dyDescent="0.2">
      <c r="A294" s="96" t="s">
        <v>517</v>
      </c>
      <c r="B294" s="35" t="str" cm="1">
        <f t="array" ref="B294">INDEX('III-PA'!$B$18:$B$2661,1+MATCH(_xlfn.CONCAT(" ",'II-PO'!A294," "),'III-PA'!$A$18:$A$2661,0))</f>
        <v xml:space="preserve"> 270811 </v>
      </c>
      <c r="C294" s="35" t="str" cm="1">
        <f t="array" ref="C294">INDEX('III-PA'!$C$18:$C$2661,1+MATCH(_xlfn.CONCAT(" ",A294," "),'III-PA'!$A$18:$A$2661,0))</f>
        <v>AGETOP CIVIL</v>
      </c>
      <c r="D294" s="35" t="str" cm="1">
        <f t="array" ref="D294">INDEX('III-PA'!$A$18:$A$2661,1+MATCH(_xlfn.CONCAT(" ",A294," "),'III-PA'!$A$18:$A$2661,0))</f>
        <v>Composição</v>
      </c>
      <c r="E294" s="35" t="str" cm="1">
        <f t="array" ref="E294">INDEX('III-PA'!$D$18:$D$2661,1+MATCH(_xlfn.CONCAT(" ",A294," "),'III-PA'!$A$18:$A$2661,0))</f>
        <v>OBELISCO PARA PLACA DE INAUGURAÇÃO - PADRÃO GOINFRA</v>
      </c>
      <c r="F294" s="35" t="str" cm="1">
        <f t="array" ref="F294">INDEX('III-PA'!$G$18:$G$2661,1+MATCH(_xlfn.CONCAT(" ",A294," "),'III-PA'!$A$18:$A$2661,0))</f>
        <v>Un</v>
      </c>
      <c r="G294" s="50">
        <f>VLOOKUP(A294,'IV-MEMORIAL'!$A$17:$N$2203,14,0)</f>
        <v>1</v>
      </c>
      <c r="H294" s="51">
        <f t="shared" si="212"/>
        <v>0.252</v>
      </c>
      <c r="I294" s="36" cm="1">
        <f t="array" ref="I294">INDEX('III-PA'!$I$18:$I$2661,1+MATCH(_xlfn.CONCAT(" ",A294," "),'III-PA'!$A$18:$A$2661,0))</f>
        <v>882.51</v>
      </c>
      <c r="J294" s="36">
        <f t="shared" si="213"/>
        <v>1104.9000000000001</v>
      </c>
      <c r="K294" s="36">
        <f t="shared" si="214"/>
        <v>882.51</v>
      </c>
      <c r="L294" s="36">
        <f t="shared" si="215"/>
        <v>222.3900000000001</v>
      </c>
      <c r="M294" s="97">
        <f t="shared" si="216"/>
        <v>1104.9000000000001</v>
      </c>
      <c r="N294" s="37"/>
    </row>
    <row r="295" spans="1:14" ht="30" x14ac:dyDescent="0.2">
      <c r="A295" s="96" t="s">
        <v>518</v>
      </c>
      <c r="B295" s="35" t="str" cm="1">
        <f t="array" ref="B295">INDEX('III-PA'!$B$18:$B$2661,1+MATCH(_xlfn.CONCAT(" ",'II-PO'!A295," "),'III-PA'!$A$18:$A$2661,0))</f>
        <v xml:space="preserve"> 270809 </v>
      </c>
      <c r="C295" s="35" t="str" cm="1">
        <f t="array" ref="C295">INDEX('III-PA'!$C$18:$C$2661,1+MATCH(_xlfn.CONCAT(" ",A295," "),'III-PA'!$A$18:$A$2661,0))</f>
        <v>AGETOP CIVIL</v>
      </c>
      <c r="D295" s="35" t="str" cm="1">
        <f t="array" ref="D295">INDEX('III-PA'!$A$18:$A$2661,1+MATCH(_xlfn.CONCAT(" ",A295," "),'III-PA'!$A$18:$A$2661,0))</f>
        <v>Composição</v>
      </c>
      <c r="E295" s="35" t="str" cm="1">
        <f t="array" ref="E295">INDEX('III-PA'!$D$18:$D$2661,1+MATCH(_xlfn.CONCAT(" ",A295," "),'III-PA'!$A$18:$A$2661,0))</f>
        <v>PLACA DE INAUGURACAO ACO ESCOVADO 42X60 CM</v>
      </c>
      <c r="F295" s="35" t="str" cm="1">
        <f t="array" ref="F295">INDEX('III-PA'!$G$18:$G$2661,1+MATCH(_xlfn.CONCAT(" ",A295," "),'III-PA'!$A$18:$A$2661,0))</f>
        <v>Un</v>
      </c>
      <c r="G295" s="50">
        <f>VLOOKUP(A295,'IV-MEMORIAL'!$A$17:$N$2203,14,0)</f>
        <v>1</v>
      </c>
      <c r="H295" s="51">
        <f t="shared" si="212"/>
        <v>0.252</v>
      </c>
      <c r="I295" s="36" cm="1">
        <f t="array" ref="I295">INDEX('III-PA'!$I$18:$I$2661,1+MATCH(_xlfn.CONCAT(" ",A295," "),'III-PA'!$A$18:$A$2661,0))</f>
        <v>531.78</v>
      </c>
      <c r="J295" s="36">
        <f t="shared" si="213"/>
        <v>665.78</v>
      </c>
      <c r="K295" s="36">
        <f t="shared" si="214"/>
        <v>531.78</v>
      </c>
      <c r="L295" s="36">
        <f t="shared" si="215"/>
        <v>134</v>
      </c>
      <c r="M295" s="97">
        <f t="shared" si="216"/>
        <v>665.78</v>
      </c>
      <c r="N295" s="37"/>
    </row>
    <row r="296" spans="1:14" ht="15.75" thickBot="1" x14ac:dyDescent="0.25">
      <c r="A296" s="98"/>
      <c r="M296" s="91"/>
    </row>
    <row r="297" spans="1:14" ht="16.5" thickBot="1" x14ac:dyDescent="0.25">
      <c r="A297" s="299" t="s">
        <v>83</v>
      </c>
      <c r="B297" s="300"/>
      <c r="C297" s="300"/>
      <c r="D297" s="300"/>
      <c r="E297" s="300"/>
      <c r="F297" s="300"/>
      <c r="G297" s="300"/>
      <c r="H297" s="300"/>
      <c r="I297" s="300"/>
      <c r="J297" s="300"/>
      <c r="K297" s="300"/>
      <c r="L297" s="301"/>
      <c r="M297" s="82">
        <f>SUM(K293:K295,K290:K291,K287:K288,K284:K285,K278:K282,K271:K276,K267:K269,K260:K265,K255:K258,K252:K253,K247:K249,K224:K245,K200:K222,K192:K198,K183:K190,K171:K181,K158:K169,K154:K156,K133:K152,K127:K131,K121:K124,K116:K119,K111:K114,K100:K102,K97,K88:K95,K76:K86,K71:K74,K63:K69,K56:K61,K46:K53,K38:K44,K34:K36,K29:K31,K21:K27,K19,K104:K109)</f>
        <v>961827.89999999956</v>
      </c>
    </row>
    <row r="298" spans="1:14" ht="16.5" thickBot="1" x14ac:dyDescent="0.25">
      <c r="A298" s="299" t="s">
        <v>84</v>
      </c>
      <c r="B298" s="300"/>
      <c r="C298" s="300"/>
      <c r="D298" s="300"/>
      <c r="E298" s="300"/>
      <c r="F298" s="300"/>
      <c r="G298" s="300"/>
      <c r="H298" s="300"/>
      <c r="I298" s="300"/>
      <c r="J298" s="300"/>
      <c r="K298" s="300"/>
      <c r="L298" s="301"/>
      <c r="M298" s="82">
        <f>SUM(L293:L295,L290:L291,L287:L288,L284:L285,L278:L282,L271:L276,L267:L269,L260:L265,L255:L258,L252:L253,L247:L249,L224:L245,L200:L222,L192:L198,L183:L190,L171:L181,L158:L169,L154:L156,L133:L152,L127:L131,L121:L124,L116:L119,L111:L114,L100:L102,L97,L88:L95,L76:L86,L71:L74,L63:L69,L56:L61,L46:L53,L38:L44,L34:L36,L29:L31,L21:L27,L19,L104:L109)</f>
        <v>242231.75999999998</v>
      </c>
    </row>
    <row r="299" spans="1:14" ht="16.5" thickBot="1" x14ac:dyDescent="0.25">
      <c r="A299" s="299" t="s">
        <v>85</v>
      </c>
      <c r="B299" s="300"/>
      <c r="C299" s="300"/>
      <c r="D299" s="300"/>
      <c r="E299" s="300"/>
      <c r="F299" s="300"/>
      <c r="G299" s="300"/>
      <c r="H299" s="300"/>
      <c r="I299" s="300"/>
      <c r="J299" s="300"/>
      <c r="K299" s="300"/>
      <c r="L299" s="301"/>
      <c r="M299" s="82">
        <f>SUM(M293:M295,M290:M291,M287:M288,M284:M285,M278:M282,M271:M276,M267:M269,M260:M265,M255:M258,M252:M253,M247:M249,M224:M245,M200:M222,M192:M198,M183:M190,M171:M181,M158:M169,M154:M156,M133:M152,M127:M131,M121:M124,M116:M119,M111:M114,M100:M102,M97,M88:M95,M76:M86,M71:M74,M63:M69,M56:M61,M46:M53,M38:M44,M34:M36,M29:M31,M21:M27,M19,M104:M109)</f>
        <v>1204059.6599999999</v>
      </c>
    </row>
    <row r="300" spans="1:14" ht="15.75" thickBot="1" x14ac:dyDescent="0.25">
      <c r="A300" s="99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0"/>
      <c r="M300" s="101"/>
    </row>
    <row r="307" spans="12:13" ht="15.75" x14ac:dyDescent="0.2">
      <c r="L307" s="297" t="s">
        <v>2256</v>
      </c>
      <c r="M307" s="298"/>
    </row>
  </sheetData>
  <mergeCells count="12">
    <mergeCell ref="A1:M9"/>
    <mergeCell ref="A298:L298"/>
    <mergeCell ref="A299:L299"/>
    <mergeCell ref="L14:M14"/>
    <mergeCell ref="L13:M13"/>
    <mergeCell ref="A16:M16"/>
    <mergeCell ref="A297:L297"/>
    <mergeCell ref="L307:M307"/>
    <mergeCell ref="L10:M10"/>
    <mergeCell ref="L11:M11"/>
    <mergeCell ref="K10:K12"/>
    <mergeCell ref="L12:M12"/>
  </mergeCells>
  <phoneticPr fontId="13" type="noConversion"/>
  <pageMargins left="0.51181102362204722" right="0.51181102362204722" top="0.78740157480314965" bottom="0.78740157480314965" header="0.31496062992125984" footer="0.31496062992125984"/>
  <pageSetup paperSize="9" scale="55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7E3B-7B1E-432C-9E90-2858E8403AA5}">
  <sheetPr>
    <pageSetUpPr fitToPage="1"/>
  </sheetPr>
  <dimension ref="A1:J2669"/>
  <sheetViews>
    <sheetView showGridLines="0" topLeftCell="A16" zoomScale="85" zoomScaleNormal="85" zoomScaleSheetLayoutView="85" workbookViewId="0">
      <selection activeCell="A10" sqref="A10"/>
    </sheetView>
  </sheetViews>
  <sheetFormatPr defaultColWidth="8.85546875" defaultRowHeight="15" x14ac:dyDescent="0.25"/>
  <cols>
    <col min="1" max="1" width="20.42578125" style="1" bestFit="1" customWidth="1"/>
    <col min="2" max="2" width="27.5703125" style="1" customWidth="1"/>
    <col min="3" max="3" width="15.28515625" style="1" bestFit="1" customWidth="1"/>
    <col min="4" max="4" width="36" style="28" customWidth="1"/>
    <col min="5" max="5" width="38.85546875" style="28" customWidth="1"/>
    <col min="6" max="6" width="10.42578125" style="1" bestFit="1" customWidth="1"/>
    <col min="7" max="7" width="10.85546875" style="1" bestFit="1" customWidth="1"/>
    <col min="8" max="8" width="23.7109375" style="49" bestFit="1" customWidth="1"/>
    <col min="9" max="10" width="20.5703125" style="5" customWidth="1"/>
    <col min="11" max="16384" width="8.85546875" style="1"/>
  </cols>
  <sheetData>
    <row r="1" spans="1:10" ht="16.5" customHeight="1" x14ac:dyDescent="0.25">
      <c r="A1" s="291" t="str">
        <f>'IV-MEMORIAL'!A1</f>
        <v>GABINETES DOS VEREADORES DE ARAGARÇAS - GO</v>
      </c>
      <c r="B1" s="292"/>
      <c r="C1" s="292"/>
      <c r="D1" s="292"/>
      <c r="E1" s="292"/>
      <c r="F1" s="292"/>
      <c r="G1" s="292"/>
      <c r="H1" s="292"/>
      <c r="I1" s="292"/>
      <c r="J1" s="293"/>
    </row>
    <row r="2" spans="1:10" ht="15" customHeight="1" x14ac:dyDescent="0.25">
      <c r="A2" s="294"/>
      <c r="B2" s="295"/>
      <c r="C2" s="295"/>
      <c r="D2" s="295"/>
      <c r="E2" s="295"/>
      <c r="F2" s="295"/>
      <c r="G2" s="295"/>
      <c r="H2" s="295"/>
      <c r="I2" s="295"/>
      <c r="J2" s="296"/>
    </row>
    <row r="3" spans="1:10" ht="15" customHeight="1" x14ac:dyDescent="0.25">
      <c r="A3" s="294"/>
      <c r="B3" s="295"/>
      <c r="C3" s="295"/>
      <c r="D3" s="295"/>
      <c r="E3" s="295"/>
      <c r="F3" s="295"/>
      <c r="G3" s="295"/>
      <c r="H3" s="295"/>
      <c r="I3" s="295"/>
      <c r="J3" s="296"/>
    </row>
    <row r="4" spans="1:10" ht="15" customHeight="1" x14ac:dyDescent="0.25">
      <c r="A4" s="294"/>
      <c r="B4" s="295"/>
      <c r="C4" s="295"/>
      <c r="D4" s="295"/>
      <c r="E4" s="295"/>
      <c r="F4" s="295"/>
      <c r="G4" s="295"/>
      <c r="H4" s="295"/>
      <c r="I4" s="295"/>
      <c r="J4" s="296"/>
    </row>
    <row r="5" spans="1:10" ht="15" customHeight="1" x14ac:dyDescent="0.25">
      <c r="A5" s="294"/>
      <c r="B5" s="295"/>
      <c r="C5" s="295"/>
      <c r="D5" s="295"/>
      <c r="E5" s="295"/>
      <c r="F5" s="295"/>
      <c r="G5" s="295"/>
      <c r="H5" s="295"/>
      <c r="I5" s="295"/>
      <c r="J5" s="296"/>
    </row>
    <row r="6" spans="1:10" ht="15" customHeight="1" x14ac:dyDescent="0.25">
      <c r="A6" s="294"/>
      <c r="B6" s="295"/>
      <c r="C6" s="295"/>
      <c r="D6" s="295"/>
      <c r="E6" s="295"/>
      <c r="F6" s="295"/>
      <c r="G6" s="295"/>
      <c r="H6" s="295"/>
      <c r="I6" s="295"/>
      <c r="J6" s="296"/>
    </row>
    <row r="7" spans="1:10" ht="15" customHeight="1" x14ac:dyDescent="0.25">
      <c r="A7" s="294"/>
      <c r="B7" s="295"/>
      <c r="C7" s="295"/>
      <c r="D7" s="295"/>
      <c r="E7" s="295"/>
      <c r="F7" s="295"/>
      <c r="G7" s="295"/>
      <c r="H7" s="295"/>
      <c r="I7" s="295"/>
      <c r="J7" s="296"/>
    </row>
    <row r="8" spans="1:10" ht="15" customHeight="1" x14ac:dyDescent="0.25">
      <c r="A8" s="294"/>
      <c r="B8" s="295"/>
      <c r="C8" s="295"/>
      <c r="D8" s="295"/>
      <c r="E8" s="295"/>
      <c r="F8" s="295"/>
      <c r="G8" s="295"/>
      <c r="H8" s="295"/>
      <c r="I8" s="295"/>
      <c r="J8" s="296"/>
    </row>
    <row r="9" spans="1:10" ht="29.25" customHeight="1" thickBot="1" x14ac:dyDescent="0.3">
      <c r="A9" s="312"/>
      <c r="B9" s="313"/>
      <c r="C9" s="313"/>
      <c r="D9" s="313"/>
      <c r="E9" s="313"/>
      <c r="F9" s="313"/>
      <c r="G9" s="313"/>
      <c r="H9" s="313"/>
      <c r="I9" s="313"/>
      <c r="J9" s="314"/>
    </row>
    <row r="10" spans="1:10" ht="15.75" x14ac:dyDescent="0.25">
      <c r="A10" s="88" t="s">
        <v>7</v>
      </c>
      <c r="B10" s="30" t="str">
        <f>'I-RESUMO'!$B$6</f>
        <v>GABINETES DOS VEREADORES DE ARAGARÇAS - GO</v>
      </c>
      <c r="C10" s="30"/>
      <c r="D10" s="238"/>
      <c r="E10" s="238"/>
      <c r="F10" s="28"/>
      <c r="H10" s="331" t="s">
        <v>8</v>
      </c>
      <c r="I10" s="322" t="str">
        <f>'II-PO'!L10</f>
        <v>SINAPI GO 9/2025</v>
      </c>
      <c r="J10" s="323"/>
    </row>
    <row r="11" spans="1:10" ht="15.75" x14ac:dyDescent="0.25">
      <c r="A11" s="88" t="s">
        <v>11</v>
      </c>
      <c r="B11" s="30" t="str">
        <f>'I-RESUMO'!$B$7</f>
        <v>Rua José de Barros Souza, 09. Setor Centro Administrativo, Aragarças-GO.</v>
      </c>
      <c r="C11" s="30"/>
      <c r="D11" s="238"/>
      <c r="E11" s="238"/>
      <c r="F11" s="28"/>
      <c r="H11" s="331"/>
      <c r="I11" s="322" t="str">
        <f>'II-PO'!L11</f>
        <v>GOINFRA CIVIL (AGETOP) 8/2025</v>
      </c>
      <c r="J11" s="323"/>
    </row>
    <row r="12" spans="1:10" ht="15.75" x14ac:dyDescent="0.25">
      <c r="A12" s="88" t="s">
        <v>16</v>
      </c>
      <c r="B12" s="126">
        <f ca="1">TODAY()</f>
        <v>46071</v>
      </c>
      <c r="C12" s="30"/>
      <c r="D12" s="238"/>
      <c r="E12" s="238"/>
      <c r="F12" s="28"/>
      <c r="H12" s="331"/>
      <c r="I12" s="322" t="str">
        <f>'II-PO'!L12</f>
        <v>SICRO3 GO 7/2025</v>
      </c>
      <c r="J12" s="323"/>
    </row>
    <row r="13" spans="1:10" ht="15.75" x14ac:dyDescent="0.25">
      <c r="A13" s="86"/>
      <c r="C13" s="104"/>
      <c r="F13" s="28"/>
      <c r="H13" s="127" t="s">
        <v>18</v>
      </c>
      <c r="I13" s="329" t="str">
        <f>'I-RESUMO'!$F$9</f>
        <v>NÃO DESONERADO</v>
      </c>
      <c r="J13" s="330"/>
    </row>
    <row r="14" spans="1:10" ht="31.5" x14ac:dyDescent="0.25">
      <c r="A14" s="88"/>
      <c r="B14" s="126"/>
      <c r="C14" s="104"/>
      <c r="H14" s="127" t="s">
        <v>55</v>
      </c>
      <c r="I14" s="327">
        <f>'I-RESUMO'!$F$10</f>
        <v>0.252</v>
      </c>
      <c r="J14" s="328"/>
    </row>
    <row r="15" spans="1:10" ht="15.75" thickBot="1" x14ac:dyDescent="0.3">
      <c r="A15" s="86"/>
      <c r="I15" s="102"/>
      <c r="J15" s="103"/>
    </row>
    <row r="16" spans="1:10" ht="16.5" thickBot="1" x14ac:dyDescent="0.3">
      <c r="A16" s="324" t="str">
        <f>CAPA!A14</f>
        <v>ANEXO III - PRANILHA ANALÍTICA</v>
      </c>
      <c r="B16" s="325"/>
      <c r="C16" s="325"/>
      <c r="D16" s="325"/>
      <c r="E16" s="325"/>
      <c r="F16" s="325"/>
      <c r="G16" s="325"/>
      <c r="H16" s="325"/>
      <c r="I16" s="325"/>
      <c r="J16" s="326"/>
    </row>
    <row r="17" spans="1:10" x14ac:dyDescent="0.25">
      <c r="A17" s="86"/>
      <c r="I17" s="102"/>
      <c r="J17" s="103"/>
    </row>
    <row r="18" spans="1:10" x14ac:dyDescent="0.25">
      <c r="A18" s="182" t="s">
        <v>743</v>
      </c>
      <c r="B18" s="182" t="s">
        <v>66</v>
      </c>
      <c r="C18" s="182" t="s">
        <v>64</v>
      </c>
      <c r="D18" s="182" t="s">
        <v>67</v>
      </c>
      <c r="E18" s="182" t="s">
        <v>65</v>
      </c>
      <c r="F18" s="182"/>
      <c r="G18" s="182" t="s">
        <v>744</v>
      </c>
      <c r="H18" s="182" t="s">
        <v>69</v>
      </c>
      <c r="I18" s="239" t="s">
        <v>745</v>
      </c>
      <c r="J18" s="239" t="s">
        <v>0</v>
      </c>
    </row>
    <row r="19" spans="1:10" ht="28.5" x14ac:dyDescent="0.25">
      <c r="A19" s="183" t="s">
        <v>58</v>
      </c>
      <c r="B19" s="183" t="s">
        <v>746</v>
      </c>
      <c r="C19" s="183" t="s">
        <v>165</v>
      </c>
      <c r="D19" s="183" t="s">
        <v>747</v>
      </c>
      <c r="E19" s="183" t="s">
        <v>748</v>
      </c>
      <c r="F19" s="183"/>
      <c r="G19" s="183" t="s">
        <v>57</v>
      </c>
      <c r="H19" s="184">
        <v>1</v>
      </c>
      <c r="I19" s="240">
        <v>66474.149999999994</v>
      </c>
      <c r="J19" s="240">
        <v>66474.149999999994</v>
      </c>
    </row>
    <row r="20" spans="1:10" ht="28.5" x14ac:dyDescent="0.25">
      <c r="A20" s="185" t="s">
        <v>119</v>
      </c>
      <c r="B20" s="185" t="s">
        <v>749</v>
      </c>
      <c r="C20" s="185" t="s">
        <v>59</v>
      </c>
      <c r="D20" s="185" t="s">
        <v>750</v>
      </c>
      <c r="E20" s="185" t="s">
        <v>751</v>
      </c>
      <c r="F20" s="185"/>
      <c r="G20" s="185" t="s">
        <v>60</v>
      </c>
      <c r="H20" s="186">
        <v>165</v>
      </c>
      <c r="I20" s="241">
        <v>133.19999999999999</v>
      </c>
      <c r="J20" s="241">
        <v>21978</v>
      </c>
    </row>
    <row r="21" spans="1:10" ht="28.5" x14ac:dyDescent="0.25">
      <c r="A21" s="185" t="s">
        <v>119</v>
      </c>
      <c r="B21" s="185" t="s">
        <v>752</v>
      </c>
      <c r="C21" s="185" t="s">
        <v>59</v>
      </c>
      <c r="D21" s="185" t="s">
        <v>753</v>
      </c>
      <c r="E21" s="185" t="s">
        <v>754</v>
      </c>
      <c r="F21" s="185"/>
      <c r="G21" s="185" t="s">
        <v>755</v>
      </c>
      <c r="H21" s="186">
        <v>5</v>
      </c>
      <c r="I21" s="241">
        <v>8899.23</v>
      </c>
      <c r="J21" s="241">
        <v>44496.15</v>
      </c>
    </row>
    <row r="22" spans="1:10" x14ac:dyDescent="0.25">
      <c r="A22" s="187"/>
      <c r="B22" s="187"/>
      <c r="C22" s="187"/>
      <c r="D22" s="187"/>
      <c r="E22" s="187" t="s">
        <v>756</v>
      </c>
      <c r="F22" s="188">
        <v>63379.199999999997</v>
      </c>
      <c r="G22" s="187" t="s">
        <v>757</v>
      </c>
      <c r="H22" s="188">
        <v>0</v>
      </c>
      <c r="I22" s="242" t="s">
        <v>758</v>
      </c>
      <c r="J22" s="242">
        <v>63379.199999999997</v>
      </c>
    </row>
    <row r="23" spans="1:10" x14ac:dyDescent="0.25">
      <c r="A23" s="187"/>
      <c r="B23" s="187"/>
      <c r="C23" s="187"/>
      <c r="D23" s="187"/>
      <c r="E23" s="187" t="s">
        <v>759</v>
      </c>
      <c r="F23" s="188">
        <v>0</v>
      </c>
      <c r="G23" s="187"/>
      <c r="H23" s="187" t="s">
        <v>760</v>
      </c>
      <c r="I23" s="242"/>
      <c r="J23" s="242">
        <v>66474.149999999994</v>
      </c>
    </row>
    <row r="24" spans="1:10" x14ac:dyDescent="0.25">
      <c r="A24" s="182"/>
      <c r="B24" s="182"/>
      <c r="C24" s="182"/>
      <c r="D24" s="182"/>
      <c r="E24" s="182"/>
      <c r="F24" s="182"/>
      <c r="G24" s="182" t="s">
        <v>761</v>
      </c>
      <c r="H24" s="189" t="s">
        <v>762</v>
      </c>
      <c r="I24" s="239" t="s">
        <v>763</v>
      </c>
      <c r="J24" s="239">
        <v>66474.149999999994</v>
      </c>
    </row>
    <row r="25" spans="1:10" x14ac:dyDescent="0.25">
      <c r="A25" s="183"/>
      <c r="B25" s="183"/>
      <c r="C25" s="183"/>
      <c r="D25" s="183"/>
      <c r="E25" s="183"/>
      <c r="F25" s="183"/>
      <c r="G25" s="183"/>
      <c r="H25" s="183"/>
      <c r="I25" s="240"/>
      <c r="J25" s="240"/>
    </row>
    <row r="26" spans="1:10" ht="30" x14ac:dyDescent="0.25">
      <c r="A26" s="190" t="s">
        <v>764</v>
      </c>
      <c r="B26" s="190"/>
      <c r="C26" s="190"/>
      <c r="D26" s="190" t="s">
        <v>218</v>
      </c>
      <c r="E26" s="190"/>
      <c r="F26" s="190"/>
      <c r="G26" s="190"/>
      <c r="H26" s="190"/>
      <c r="I26" s="243"/>
      <c r="J26" s="243">
        <v>32405.040000000001</v>
      </c>
    </row>
    <row r="27" spans="1:10" x14ac:dyDescent="0.25">
      <c r="A27" s="182" t="s">
        <v>765</v>
      </c>
      <c r="B27" s="182" t="s">
        <v>66</v>
      </c>
      <c r="C27" s="182" t="s">
        <v>64</v>
      </c>
      <c r="D27" s="182" t="s">
        <v>67</v>
      </c>
      <c r="E27" s="182" t="s">
        <v>65</v>
      </c>
      <c r="F27" s="182"/>
      <c r="G27" s="182" t="s">
        <v>744</v>
      </c>
      <c r="H27" s="182" t="s">
        <v>69</v>
      </c>
      <c r="I27" s="239" t="s">
        <v>745</v>
      </c>
      <c r="J27" s="239" t="s">
        <v>0</v>
      </c>
    </row>
    <row r="28" spans="1:10" ht="57" x14ac:dyDescent="0.25">
      <c r="A28" s="183" t="s">
        <v>58</v>
      </c>
      <c r="B28" s="183" t="s">
        <v>766</v>
      </c>
      <c r="C28" s="183" t="s">
        <v>59</v>
      </c>
      <c r="D28" s="183" t="s">
        <v>767</v>
      </c>
      <c r="E28" s="183" t="s">
        <v>768</v>
      </c>
      <c r="F28" s="183"/>
      <c r="G28" s="183" t="s">
        <v>217</v>
      </c>
      <c r="H28" s="184">
        <v>1</v>
      </c>
      <c r="I28" s="240">
        <v>465.73</v>
      </c>
      <c r="J28" s="240">
        <v>465.73</v>
      </c>
    </row>
    <row r="29" spans="1:10" ht="28.5" x14ac:dyDescent="0.25">
      <c r="A29" s="185" t="s">
        <v>119</v>
      </c>
      <c r="B29" s="185" t="s">
        <v>769</v>
      </c>
      <c r="C29" s="185" t="s">
        <v>59</v>
      </c>
      <c r="D29" s="185" t="s">
        <v>115</v>
      </c>
      <c r="E29" s="185" t="s">
        <v>754</v>
      </c>
      <c r="F29" s="185"/>
      <c r="G29" s="185" t="s">
        <v>60</v>
      </c>
      <c r="H29" s="186">
        <v>1.1186</v>
      </c>
      <c r="I29" s="241">
        <v>22.42</v>
      </c>
      <c r="J29" s="241">
        <v>25.07</v>
      </c>
    </row>
    <row r="30" spans="1:10" ht="28.5" x14ac:dyDescent="0.25">
      <c r="A30" s="185" t="s">
        <v>119</v>
      </c>
      <c r="B30" s="185" t="s">
        <v>770</v>
      </c>
      <c r="C30" s="185" t="s">
        <v>59</v>
      </c>
      <c r="D30" s="185" t="s">
        <v>771</v>
      </c>
      <c r="E30" s="185" t="s">
        <v>772</v>
      </c>
      <c r="F30" s="185"/>
      <c r="G30" s="185" t="s">
        <v>217</v>
      </c>
      <c r="H30" s="186">
        <v>0.5</v>
      </c>
      <c r="I30" s="241">
        <v>22.95</v>
      </c>
      <c r="J30" s="241">
        <v>11.47</v>
      </c>
    </row>
    <row r="31" spans="1:10" ht="28.5" x14ac:dyDescent="0.25">
      <c r="A31" s="185" t="s">
        <v>119</v>
      </c>
      <c r="B31" s="185" t="s">
        <v>773</v>
      </c>
      <c r="C31" s="185" t="s">
        <v>59</v>
      </c>
      <c r="D31" s="185" t="s">
        <v>122</v>
      </c>
      <c r="E31" s="185" t="s">
        <v>754</v>
      </c>
      <c r="F31" s="185"/>
      <c r="G31" s="185" t="s">
        <v>60</v>
      </c>
      <c r="H31" s="186">
        <v>0.37290000000000001</v>
      </c>
      <c r="I31" s="241">
        <v>31.69</v>
      </c>
      <c r="J31" s="241">
        <v>11.81</v>
      </c>
    </row>
    <row r="32" spans="1:10" ht="28.5" x14ac:dyDescent="0.25">
      <c r="A32" s="191" t="s">
        <v>62</v>
      </c>
      <c r="B32" s="191" t="s">
        <v>774</v>
      </c>
      <c r="C32" s="191" t="s">
        <v>59</v>
      </c>
      <c r="D32" s="191" t="s">
        <v>775</v>
      </c>
      <c r="E32" s="191" t="s">
        <v>120</v>
      </c>
      <c r="F32" s="191"/>
      <c r="G32" s="191" t="s">
        <v>121</v>
      </c>
      <c r="H32" s="192">
        <v>1.32E-2</v>
      </c>
      <c r="I32" s="244">
        <v>20.68</v>
      </c>
      <c r="J32" s="244">
        <v>0.27</v>
      </c>
    </row>
    <row r="33" spans="1:10" ht="28.5" x14ac:dyDescent="0.25">
      <c r="A33" s="191" t="s">
        <v>62</v>
      </c>
      <c r="B33" s="191" t="s">
        <v>776</v>
      </c>
      <c r="C33" s="191" t="s">
        <v>59</v>
      </c>
      <c r="D33" s="191" t="s">
        <v>777</v>
      </c>
      <c r="E33" s="191" t="s">
        <v>120</v>
      </c>
      <c r="F33" s="191"/>
      <c r="G33" s="191" t="s">
        <v>121</v>
      </c>
      <c r="H33" s="192">
        <v>1.1299999999999999E-2</v>
      </c>
      <c r="I33" s="244">
        <v>38.6</v>
      </c>
      <c r="J33" s="244">
        <v>0.43</v>
      </c>
    </row>
    <row r="34" spans="1:10" ht="42.75" x14ac:dyDescent="0.25">
      <c r="A34" s="191" t="s">
        <v>62</v>
      </c>
      <c r="B34" s="191" t="s">
        <v>778</v>
      </c>
      <c r="C34" s="191" t="s">
        <v>59</v>
      </c>
      <c r="D34" s="191" t="s">
        <v>779</v>
      </c>
      <c r="E34" s="191" t="s">
        <v>120</v>
      </c>
      <c r="F34" s="191"/>
      <c r="G34" s="191" t="s">
        <v>116</v>
      </c>
      <c r="H34" s="192">
        <v>3.2082999999999999</v>
      </c>
      <c r="I34" s="244">
        <v>5.2</v>
      </c>
      <c r="J34" s="244">
        <v>16.68</v>
      </c>
    </row>
    <row r="35" spans="1:10" ht="71.25" x14ac:dyDescent="0.25">
      <c r="A35" s="191" t="s">
        <v>62</v>
      </c>
      <c r="B35" s="191" t="s">
        <v>780</v>
      </c>
      <c r="C35" s="191" t="s">
        <v>59</v>
      </c>
      <c r="D35" s="191" t="s">
        <v>781</v>
      </c>
      <c r="E35" s="191" t="s">
        <v>120</v>
      </c>
      <c r="F35" s="191"/>
      <c r="G35" s="191" t="s">
        <v>217</v>
      </c>
      <c r="H35" s="192">
        <v>1</v>
      </c>
      <c r="I35" s="244">
        <v>400</v>
      </c>
      <c r="J35" s="244">
        <v>400</v>
      </c>
    </row>
    <row r="36" spans="1:10" x14ac:dyDescent="0.25">
      <c r="A36" s="187"/>
      <c r="B36" s="187"/>
      <c r="C36" s="187"/>
      <c r="D36" s="187"/>
      <c r="E36" s="187" t="s">
        <v>756</v>
      </c>
      <c r="F36" s="188">
        <v>31.4</v>
      </c>
      <c r="G36" s="187" t="s">
        <v>757</v>
      </c>
      <c r="H36" s="188">
        <v>0</v>
      </c>
      <c r="I36" s="242" t="s">
        <v>758</v>
      </c>
      <c r="J36" s="242">
        <v>31.4</v>
      </c>
    </row>
    <row r="37" spans="1:10" x14ac:dyDescent="0.25">
      <c r="A37" s="187"/>
      <c r="B37" s="187"/>
      <c r="C37" s="187"/>
      <c r="D37" s="187"/>
      <c r="E37" s="187" t="s">
        <v>759</v>
      </c>
      <c r="F37" s="188">
        <v>0</v>
      </c>
      <c r="G37" s="187"/>
      <c r="H37" s="187" t="s">
        <v>760</v>
      </c>
      <c r="I37" s="242"/>
      <c r="J37" s="242">
        <v>465.73</v>
      </c>
    </row>
    <row r="38" spans="1:10" x14ac:dyDescent="0.25">
      <c r="A38" s="182"/>
      <c r="B38" s="182"/>
      <c r="C38" s="182"/>
      <c r="D38" s="182"/>
      <c r="E38" s="182"/>
      <c r="F38" s="182"/>
      <c r="G38" s="182" t="s">
        <v>761</v>
      </c>
      <c r="H38" s="189" t="s">
        <v>782</v>
      </c>
      <c r="I38" s="239" t="s">
        <v>763</v>
      </c>
      <c r="J38" s="239">
        <v>2095.7800000000002</v>
      </c>
    </row>
    <row r="39" spans="1:10" x14ac:dyDescent="0.25">
      <c r="A39" s="183"/>
      <c r="B39" s="183"/>
      <c r="C39" s="183"/>
      <c r="D39" s="183"/>
      <c r="E39" s="183"/>
      <c r="F39" s="183"/>
      <c r="G39" s="183"/>
      <c r="H39" s="183"/>
      <c r="I39" s="240"/>
      <c r="J39" s="240"/>
    </row>
    <row r="40" spans="1:10" x14ac:dyDescent="0.25">
      <c r="A40" s="182" t="s">
        <v>783</v>
      </c>
      <c r="B40" s="182" t="s">
        <v>66</v>
      </c>
      <c r="C40" s="182" t="s">
        <v>64</v>
      </c>
      <c r="D40" s="182" t="s">
        <v>67</v>
      </c>
      <c r="E40" s="182" t="s">
        <v>65</v>
      </c>
      <c r="F40" s="182"/>
      <c r="G40" s="182" t="s">
        <v>744</v>
      </c>
      <c r="H40" s="182" t="s">
        <v>69</v>
      </c>
      <c r="I40" s="239" t="s">
        <v>745</v>
      </c>
      <c r="J40" s="239" t="s">
        <v>0</v>
      </c>
    </row>
    <row r="41" spans="1:10" ht="114" x14ac:dyDescent="0.25">
      <c r="A41" s="183" t="s">
        <v>58</v>
      </c>
      <c r="B41" s="183" t="s">
        <v>784</v>
      </c>
      <c r="C41" s="183" t="s">
        <v>785</v>
      </c>
      <c r="D41" s="183" t="s">
        <v>786</v>
      </c>
      <c r="E41" s="183">
        <v>202</v>
      </c>
      <c r="F41" s="183"/>
      <c r="G41" s="183" t="s">
        <v>186</v>
      </c>
      <c r="H41" s="184">
        <v>1</v>
      </c>
      <c r="I41" s="240">
        <v>2364.59</v>
      </c>
      <c r="J41" s="240">
        <v>2364.59</v>
      </c>
    </row>
    <row r="42" spans="1:10" ht="114" x14ac:dyDescent="0.25">
      <c r="A42" s="191" t="s">
        <v>62</v>
      </c>
      <c r="B42" s="191" t="s">
        <v>787</v>
      </c>
      <c r="C42" s="191" t="s">
        <v>785</v>
      </c>
      <c r="D42" s="191" t="s">
        <v>786</v>
      </c>
      <c r="E42" s="191" t="s">
        <v>120</v>
      </c>
      <c r="F42" s="191"/>
      <c r="G42" s="191" t="s">
        <v>75</v>
      </c>
      <c r="H42" s="192">
        <v>1</v>
      </c>
      <c r="I42" s="244">
        <v>2364.59</v>
      </c>
      <c r="J42" s="244">
        <v>2364.59</v>
      </c>
    </row>
    <row r="43" spans="1:10" x14ac:dyDescent="0.25">
      <c r="A43" s="187"/>
      <c r="B43" s="187"/>
      <c r="C43" s="187"/>
      <c r="D43" s="187"/>
      <c r="E43" s="187" t="s">
        <v>756</v>
      </c>
      <c r="F43" s="188">
        <v>0</v>
      </c>
      <c r="G43" s="187" t="s">
        <v>757</v>
      </c>
      <c r="H43" s="188">
        <v>0</v>
      </c>
      <c r="I43" s="242" t="s">
        <v>758</v>
      </c>
      <c r="J43" s="242">
        <v>0</v>
      </c>
    </row>
    <row r="44" spans="1:10" x14ac:dyDescent="0.25">
      <c r="A44" s="187"/>
      <c r="B44" s="187"/>
      <c r="C44" s="187"/>
      <c r="D44" s="187"/>
      <c r="E44" s="187" t="s">
        <v>759</v>
      </c>
      <c r="F44" s="188">
        <v>0</v>
      </c>
      <c r="G44" s="187"/>
      <c r="H44" s="187" t="s">
        <v>760</v>
      </c>
      <c r="I44" s="242"/>
      <c r="J44" s="242">
        <v>2364.59</v>
      </c>
    </row>
    <row r="45" spans="1:10" x14ac:dyDescent="0.25">
      <c r="A45" s="182"/>
      <c r="B45" s="182"/>
      <c r="C45" s="182"/>
      <c r="D45" s="182"/>
      <c r="E45" s="182"/>
      <c r="F45" s="182"/>
      <c r="G45" s="182" t="s">
        <v>761</v>
      </c>
      <c r="H45" s="189" t="s">
        <v>788</v>
      </c>
      <c r="I45" s="239" t="s">
        <v>763</v>
      </c>
      <c r="J45" s="239">
        <v>11822.95</v>
      </c>
    </row>
    <row r="46" spans="1:10" x14ac:dyDescent="0.25">
      <c r="A46" s="183"/>
      <c r="B46" s="183"/>
      <c r="C46" s="183"/>
      <c r="D46" s="183"/>
      <c r="E46" s="183"/>
      <c r="F46" s="183"/>
      <c r="G46" s="183"/>
      <c r="H46" s="183"/>
      <c r="I46" s="240"/>
      <c r="J46" s="240"/>
    </row>
    <row r="47" spans="1:10" x14ac:dyDescent="0.25">
      <c r="A47" s="182" t="s">
        <v>789</v>
      </c>
      <c r="B47" s="182" t="s">
        <v>66</v>
      </c>
      <c r="C47" s="182" t="s">
        <v>64</v>
      </c>
      <c r="D47" s="182" t="s">
        <v>67</v>
      </c>
      <c r="E47" s="182" t="s">
        <v>65</v>
      </c>
      <c r="F47" s="182"/>
      <c r="G47" s="182" t="s">
        <v>744</v>
      </c>
      <c r="H47" s="182" t="s">
        <v>69</v>
      </c>
      <c r="I47" s="239" t="s">
        <v>745</v>
      </c>
      <c r="J47" s="239" t="s">
        <v>0</v>
      </c>
    </row>
    <row r="48" spans="1:10" ht="85.5" x14ac:dyDescent="0.25">
      <c r="A48" s="183" t="s">
        <v>58</v>
      </c>
      <c r="B48" s="183" t="s">
        <v>790</v>
      </c>
      <c r="C48" s="183" t="s">
        <v>785</v>
      </c>
      <c r="D48" s="183" t="s">
        <v>791</v>
      </c>
      <c r="E48" s="183">
        <v>202</v>
      </c>
      <c r="F48" s="183"/>
      <c r="G48" s="183" t="s">
        <v>186</v>
      </c>
      <c r="H48" s="184">
        <v>1</v>
      </c>
      <c r="I48" s="240">
        <v>1325.95</v>
      </c>
      <c r="J48" s="240">
        <v>1325.95</v>
      </c>
    </row>
    <row r="49" spans="1:10" ht="85.5" x14ac:dyDescent="0.25">
      <c r="A49" s="191" t="s">
        <v>62</v>
      </c>
      <c r="B49" s="191" t="s">
        <v>792</v>
      </c>
      <c r="C49" s="191" t="s">
        <v>785</v>
      </c>
      <c r="D49" s="191" t="s">
        <v>791</v>
      </c>
      <c r="E49" s="191" t="s">
        <v>120</v>
      </c>
      <c r="F49" s="191"/>
      <c r="G49" s="191" t="s">
        <v>75</v>
      </c>
      <c r="H49" s="192">
        <v>1</v>
      </c>
      <c r="I49" s="244">
        <v>1325.95</v>
      </c>
      <c r="J49" s="244">
        <v>1325.95</v>
      </c>
    </row>
    <row r="50" spans="1:10" x14ac:dyDescent="0.25">
      <c r="A50" s="187"/>
      <c r="B50" s="187"/>
      <c r="C50" s="187"/>
      <c r="D50" s="187"/>
      <c r="E50" s="187" t="s">
        <v>756</v>
      </c>
      <c r="F50" s="188">
        <v>0</v>
      </c>
      <c r="G50" s="187" t="s">
        <v>757</v>
      </c>
      <c r="H50" s="188">
        <v>0</v>
      </c>
      <c r="I50" s="242" t="s">
        <v>758</v>
      </c>
      <c r="J50" s="242">
        <v>0</v>
      </c>
    </row>
    <row r="51" spans="1:10" x14ac:dyDescent="0.25">
      <c r="A51" s="187"/>
      <c r="B51" s="187"/>
      <c r="C51" s="187"/>
      <c r="D51" s="187"/>
      <c r="E51" s="187" t="s">
        <v>759</v>
      </c>
      <c r="F51" s="188">
        <v>0</v>
      </c>
      <c r="G51" s="187"/>
      <c r="H51" s="187" t="s">
        <v>760</v>
      </c>
      <c r="I51" s="242"/>
      <c r="J51" s="242">
        <v>1325.95</v>
      </c>
    </row>
    <row r="52" spans="1:10" x14ac:dyDescent="0.25">
      <c r="A52" s="182"/>
      <c r="B52" s="182"/>
      <c r="C52" s="182"/>
      <c r="D52" s="182"/>
      <c r="E52" s="182"/>
      <c r="F52" s="182"/>
      <c r="G52" s="182" t="s">
        <v>761</v>
      </c>
      <c r="H52" s="189" t="s">
        <v>788</v>
      </c>
      <c r="I52" s="239" t="s">
        <v>763</v>
      </c>
      <c r="J52" s="239">
        <v>6629.75</v>
      </c>
    </row>
    <row r="53" spans="1:10" x14ac:dyDescent="0.25">
      <c r="A53" s="183"/>
      <c r="B53" s="183"/>
      <c r="C53" s="183"/>
      <c r="D53" s="183"/>
      <c r="E53" s="183"/>
      <c r="F53" s="183"/>
      <c r="G53" s="183"/>
      <c r="H53" s="183"/>
      <c r="I53" s="240"/>
      <c r="J53" s="240"/>
    </row>
    <row r="54" spans="1:10" x14ac:dyDescent="0.25">
      <c r="A54" s="182" t="s">
        <v>793</v>
      </c>
      <c r="B54" s="182" t="s">
        <v>66</v>
      </c>
      <c r="C54" s="182" t="s">
        <v>64</v>
      </c>
      <c r="D54" s="182" t="s">
        <v>67</v>
      </c>
      <c r="E54" s="182" t="s">
        <v>65</v>
      </c>
      <c r="F54" s="182"/>
      <c r="G54" s="182" t="s">
        <v>744</v>
      </c>
      <c r="H54" s="182" t="s">
        <v>69</v>
      </c>
      <c r="I54" s="239" t="s">
        <v>745</v>
      </c>
      <c r="J54" s="239" t="s">
        <v>0</v>
      </c>
    </row>
    <row r="55" spans="1:10" ht="85.5" x14ac:dyDescent="0.25">
      <c r="A55" s="183" t="s">
        <v>58</v>
      </c>
      <c r="B55" s="183" t="s">
        <v>794</v>
      </c>
      <c r="C55" s="183" t="s">
        <v>785</v>
      </c>
      <c r="D55" s="183" t="s">
        <v>185</v>
      </c>
      <c r="E55" s="183">
        <v>202</v>
      </c>
      <c r="F55" s="183"/>
      <c r="G55" s="183" t="s">
        <v>75</v>
      </c>
      <c r="H55" s="184">
        <v>1</v>
      </c>
      <c r="I55" s="240">
        <v>1135.26</v>
      </c>
      <c r="J55" s="240">
        <v>1135.26</v>
      </c>
    </row>
    <row r="56" spans="1:10" ht="85.5" x14ac:dyDescent="0.25">
      <c r="A56" s="191" t="s">
        <v>62</v>
      </c>
      <c r="B56" s="191" t="s">
        <v>795</v>
      </c>
      <c r="C56" s="191" t="s">
        <v>785</v>
      </c>
      <c r="D56" s="191" t="s">
        <v>185</v>
      </c>
      <c r="E56" s="191" t="s">
        <v>120</v>
      </c>
      <c r="F56" s="191"/>
      <c r="G56" s="191" t="s">
        <v>186</v>
      </c>
      <c r="H56" s="192">
        <v>1</v>
      </c>
      <c r="I56" s="244">
        <v>1135.26</v>
      </c>
      <c r="J56" s="244">
        <v>1135.26</v>
      </c>
    </row>
    <row r="57" spans="1:10" x14ac:dyDescent="0.25">
      <c r="A57" s="187"/>
      <c r="B57" s="187"/>
      <c r="C57" s="187"/>
      <c r="D57" s="187"/>
      <c r="E57" s="187" t="s">
        <v>756</v>
      </c>
      <c r="F57" s="188">
        <v>0</v>
      </c>
      <c r="G57" s="187" t="s">
        <v>757</v>
      </c>
      <c r="H57" s="188">
        <v>0</v>
      </c>
      <c r="I57" s="242" t="s">
        <v>758</v>
      </c>
      <c r="J57" s="242">
        <v>0</v>
      </c>
    </row>
    <row r="58" spans="1:10" x14ac:dyDescent="0.25">
      <c r="A58" s="187"/>
      <c r="B58" s="187"/>
      <c r="C58" s="187"/>
      <c r="D58" s="187"/>
      <c r="E58" s="187" t="s">
        <v>759</v>
      </c>
      <c r="F58" s="188">
        <v>0</v>
      </c>
      <c r="G58" s="187"/>
      <c r="H58" s="187" t="s">
        <v>760</v>
      </c>
      <c r="I58" s="242"/>
      <c r="J58" s="242">
        <v>1135.26</v>
      </c>
    </row>
    <row r="59" spans="1:10" x14ac:dyDescent="0.25">
      <c r="A59" s="182"/>
      <c r="B59" s="182"/>
      <c r="C59" s="182"/>
      <c r="D59" s="182"/>
      <c r="E59" s="182"/>
      <c r="F59" s="182"/>
      <c r="G59" s="182" t="s">
        <v>761</v>
      </c>
      <c r="H59" s="189" t="s">
        <v>788</v>
      </c>
      <c r="I59" s="239" t="s">
        <v>763</v>
      </c>
      <c r="J59" s="239">
        <v>5676.3</v>
      </c>
    </row>
    <row r="60" spans="1:10" x14ac:dyDescent="0.25">
      <c r="A60" s="183"/>
      <c r="B60" s="183"/>
      <c r="C60" s="183"/>
      <c r="D60" s="183"/>
      <c r="E60" s="183"/>
      <c r="F60" s="183"/>
      <c r="G60" s="183"/>
      <c r="H60" s="183"/>
      <c r="I60" s="240"/>
      <c r="J60" s="240"/>
    </row>
    <row r="61" spans="1:10" x14ac:dyDescent="0.25">
      <c r="A61" s="182" t="s">
        <v>796</v>
      </c>
      <c r="B61" s="182" t="s">
        <v>66</v>
      </c>
      <c r="C61" s="182" t="s">
        <v>64</v>
      </c>
      <c r="D61" s="182" t="s">
        <v>67</v>
      </c>
      <c r="E61" s="182" t="s">
        <v>65</v>
      </c>
      <c r="F61" s="182"/>
      <c r="G61" s="182" t="s">
        <v>744</v>
      </c>
      <c r="H61" s="182" t="s">
        <v>69</v>
      </c>
      <c r="I61" s="239" t="s">
        <v>745</v>
      </c>
      <c r="J61" s="239" t="s">
        <v>0</v>
      </c>
    </row>
    <row r="62" spans="1:10" ht="28.5" x14ac:dyDescent="0.25">
      <c r="A62" s="183" t="s">
        <v>58</v>
      </c>
      <c r="B62" s="183" t="s">
        <v>797</v>
      </c>
      <c r="C62" s="183" t="s">
        <v>785</v>
      </c>
      <c r="D62" s="183" t="s">
        <v>187</v>
      </c>
      <c r="E62" s="183">
        <v>301</v>
      </c>
      <c r="F62" s="183"/>
      <c r="G62" s="183" t="s">
        <v>129</v>
      </c>
      <c r="H62" s="184">
        <v>1</v>
      </c>
      <c r="I62" s="240">
        <v>45.58</v>
      </c>
      <c r="J62" s="240">
        <v>45.58</v>
      </c>
    </row>
    <row r="63" spans="1:10" ht="28.5" x14ac:dyDescent="0.25">
      <c r="A63" s="191" t="s">
        <v>62</v>
      </c>
      <c r="B63" s="191" t="s">
        <v>798</v>
      </c>
      <c r="C63" s="191" t="s">
        <v>785</v>
      </c>
      <c r="D63" s="191" t="s">
        <v>189</v>
      </c>
      <c r="E63" s="191" t="s">
        <v>120</v>
      </c>
      <c r="F63" s="191"/>
      <c r="G63" s="191" t="s">
        <v>190</v>
      </c>
      <c r="H63" s="192">
        <v>0.12770000000000001</v>
      </c>
      <c r="I63" s="244">
        <v>316.55</v>
      </c>
      <c r="J63" s="244">
        <v>40.42</v>
      </c>
    </row>
    <row r="64" spans="1:10" ht="28.5" x14ac:dyDescent="0.25">
      <c r="A64" s="191" t="s">
        <v>62</v>
      </c>
      <c r="B64" s="191" t="s">
        <v>799</v>
      </c>
      <c r="C64" s="191" t="s">
        <v>785</v>
      </c>
      <c r="D64" s="191" t="s">
        <v>188</v>
      </c>
      <c r="E64" s="191" t="s">
        <v>124</v>
      </c>
      <c r="F64" s="191"/>
      <c r="G64" s="191" t="s">
        <v>60</v>
      </c>
      <c r="H64" s="192">
        <v>0.25540000000000002</v>
      </c>
      <c r="I64" s="244">
        <v>20.21</v>
      </c>
      <c r="J64" s="244">
        <v>5.16</v>
      </c>
    </row>
    <row r="65" spans="1:10" x14ac:dyDescent="0.25">
      <c r="A65" s="187"/>
      <c r="B65" s="187"/>
      <c r="C65" s="187"/>
      <c r="D65" s="187"/>
      <c r="E65" s="187" t="s">
        <v>756</v>
      </c>
      <c r="F65" s="188">
        <v>5.16</v>
      </c>
      <c r="G65" s="187" t="s">
        <v>757</v>
      </c>
      <c r="H65" s="188">
        <v>0</v>
      </c>
      <c r="I65" s="242" t="s">
        <v>758</v>
      </c>
      <c r="J65" s="242">
        <v>5.16</v>
      </c>
    </row>
    <row r="66" spans="1:10" x14ac:dyDescent="0.25">
      <c r="A66" s="187"/>
      <c r="B66" s="187"/>
      <c r="C66" s="187"/>
      <c r="D66" s="187"/>
      <c r="E66" s="187" t="s">
        <v>759</v>
      </c>
      <c r="F66" s="188">
        <v>0</v>
      </c>
      <c r="G66" s="187"/>
      <c r="H66" s="187" t="s">
        <v>760</v>
      </c>
      <c r="I66" s="242"/>
      <c r="J66" s="242">
        <v>45.58</v>
      </c>
    </row>
    <row r="67" spans="1:10" x14ac:dyDescent="0.25">
      <c r="A67" s="182"/>
      <c r="B67" s="182"/>
      <c r="C67" s="182"/>
      <c r="D67" s="182"/>
      <c r="E67" s="182"/>
      <c r="F67" s="182"/>
      <c r="G67" s="182" t="s">
        <v>761</v>
      </c>
      <c r="H67" s="189" t="s">
        <v>800</v>
      </c>
      <c r="I67" s="239" t="s">
        <v>763</v>
      </c>
      <c r="J67" s="239">
        <v>273.48</v>
      </c>
    </row>
    <row r="68" spans="1:10" x14ac:dyDescent="0.25">
      <c r="A68" s="183"/>
      <c r="B68" s="183"/>
      <c r="C68" s="183"/>
      <c r="D68" s="183"/>
      <c r="E68" s="183"/>
      <c r="F68" s="183"/>
      <c r="G68" s="183"/>
      <c r="H68" s="183"/>
      <c r="I68" s="240"/>
      <c r="J68" s="240"/>
    </row>
    <row r="69" spans="1:10" x14ac:dyDescent="0.25">
      <c r="A69" s="182" t="s">
        <v>801</v>
      </c>
      <c r="B69" s="182" t="s">
        <v>66</v>
      </c>
      <c r="C69" s="182" t="s">
        <v>64</v>
      </c>
      <c r="D69" s="182" t="s">
        <v>67</v>
      </c>
      <c r="E69" s="182" t="s">
        <v>65</v>
      </c>
      <c r="F69" s="182"/>
      <c r="G69" s="182" t="s">
        <v>744</v>
      </c>
      <c r="H69" s="182" t="s">
        <v>69</v>
      </c>
      <c r="I69" s="239" t="s">
        <v>745</v>
      </c>
      <c r="J69" s="239" t="s">
        <v>0</v>
      </c>
    </row>
    <row r="70" spans="1:10" ht="85.5" x14ac:dyDescent="0.25">
      <c r="A70" s="183" t="s">
        <v>58</v>
      </c>
      <c r="B70" s="183" t="s">
        <v>802</v>
      </c>
      <c r="C70" s="183" t="s">
        <v>59</v>
      </c>
      <c r="D70" s="183" t="s">
        <v>803</v>
      </c>
      <c r="E70" s="183" t="s">
        <v>804</v>
      </c>
      <c r="F70" s="183"/>
      <c r="G70" s="183" t="s">
        <v>217</v>
      </c>
      <c r="H70" s="184">
        <v>1</v>
      </c>
      <c r="I70" s="240">
        <v>0.66</v>
      </c>
      <c r="J70" s="240">
        <v>0.66</v>
      </c>
    </row>
    <row r="71" spans="1:10" ht="57" x14ac:dyDescent="0.25">
      <c r="A71" s="185" t="s">
        <v>119</v>
      </c>
      <c r="B71" s="185" t="s">
        <v>805</v>
      </c>
      <c r="C71" s="185" t="s">
        <v>59</v>
      </c>
      <c r="D71" s="185" t="s">
        <v>806</v>
      </c>
      <c r="E71" s="185" t="s">
        <v>807</v>
      </c>
      <c r="F71" s="185"/>
      <c r="G71" s="185" t="s">
        <v>125</v>
      </c>
      <c r="H71" s="186">
        <v>2.8999999999999998E-3</v>
      </c>
      <c r="I71" s="241">
        <v>72.23</v>
      </c>
      <c r="J71" s="241">
        <v>0.2</v>
      </c>
    </row>
    <row r="72" spans="1:10" ht="28.5" x14ac:dyDescent="0.25">
      <c r="A72" s="185" t="s">
        <v>119</v>
      </c>
      <c r="B72" s="185" t="s">
        <v>808</v>
      </c>
      <c r="C72" s="185" t="s">
        <v>59</v>
      </c>
      <c r="D72" s="185" t="s">
        <v>809</v>
      </c>
      <c r="E72" s="185" t="s">
        <v>754</v>
      </c>
      <c r="F72" s="185"/>
      <c r="G72" s="185" t="s">
        <v>60</v>
      </c>
      <c r="H72" s="186">
        <v>4.5999999999999999E-3</v>
      </c>
      <c r="I72" s="241">
        <v>28.73</v>
      </c>
      <c r="J72" s="241">
        <v>0.13</v>
      </c>
    </row>
    <row r="73" spans="1:10" ht="71.25" x14ac:dyDescent="0.25">
      <c r="A73" s="185" t="s">
        <v>119</v>
      </c>
      <c r="B73" s="185" t="s">
        <v>810</v>
      </c>
      <c r="C73" s="185" t="s">
        <v>59</v>
      </c>
      <c r="D73" s="185" t="s">
        <v>811</v>
      </c>
      <c r="E73" s="185" t="s">
        <v>807</v>
      </c>
      <c r="F73" s="185"/>
      <c r="G73" s="185" t="s">
        <v>117</v>
      </c>
      <c r="H73" s="186">
        <v>1.6999999999999999E-3</v>
      </c>
      <c r="I73" s="241">
        <v>194.38</v>
      </c>
      <c r="J73" s="241">
        <v>0.33</v>
      </c>
    </row>
    <row r="74" spans="1:10" x14ac:dyDescent="0.25">
      <c r="A74" s="187"/>
      <c r="B74" s="187"/>
      <c r="C74" s="187"/>
      <c r="D74" s="187"/>
      <c r="E74" s="187" t="s">
        <v>756</v>
      </c>
      <c r="F74" s="188">
        <v>0.16</v>
      </c>
      <c r="G74" s="187" t="s">
        <v>757</v>
      </c>
      <c r="H74" s="188">
        <v>0</v>
      </c>
      <c r="I74" s="242" t="s">
        <v>758</v>
      </c>
      <c r="J74" s="242">
        <v>0.16</v>
      </c>
    </row>
    <row r="75" spans="1:10" x14ac:dyDescent="0.25">
      <c r="A75" s="187"/>
      <c r="B75" s="187"/>
      <c r="C75" s="187"/>
      <c r="D75" s="187"/>
      <c r="E75" s="187" t="s">
        <v>759</v>
      </c>
      <c r="F75" s="188">
        <v>0</v>
      </c>
      <c r="G75" s="187"/>
      <c r="H75" s="187" t="s">
        <v>760</v>
      </c>
      <c r="I75" s="242"/>
      <c r="J75" s="242">
        <v>0.66</v>
      </c>
    </row>
    <row r="76" spans="1:10" x14ac:dyDescent="0.25">
      <c r="A76" s="182"/>
      <c r="B76" s="182"/>
      <c r="C76" s="182"/>
      <c r="D76" s="182"/>
      <c r="E76" s="182"/>
      <c r="F76" s="182"/>
      <c r="G76" s="182" t="s">
        <v>761</v>
      </c>
      <c r="H76" s="189" t="s">
        <v>812</v>
      </c>
      <c r="I76" s="239" t="s">
        <v>763</v>
      </c>
      <c r="J76" s="239">
        <v>302.94</v>
      </c>
    </row>
    <row r="77" spans="1:10" x14ac:dyDescent="0.25">
      <c r="A77" s="183"/>
      <c r="B77" s="183"/>
      <c r="C77" s="183"/>
      <c r="D77" s="183"/>
      <c r="E77" s="183"/>
      <c r="F77" s="183"/>
      <c r="G77" s="183"/>
      <c r="H77" s="183"/>
      <c r="I77" s="240"/>
      <c r="J77" s="240"/>
    </row>
    <row r="78" spans="1:10" x14ac:dyDescent="0.25">
      <c r="A78" s="182" t="s">
        <v>813</v>
      </c>
      <c r="B78" s="182" t="s">
        <v>66</v>
      </c>
      <c r="C78" s="182" t="s">
        <v>64</v>
      </c>
      <c r="D78" s="182" t="s">
        <v>67</v>
      </c>
      <c r="E78" s="182" t="s">
        <v>65</v>
      </c>
      <c r="F78" s="182"/>
      <c r="G78" s="182" t="s">
        <v>744</v>
      </c>
      <c r="H78" s="182" t="s">
        <v>69</v>
      </c>
      <c r="I78" s="239" t="s">
        <v>745</v>
      </c>
      <c r="J78" s="239" t="s">
        <v>0</v>
      </c>
    </row>
    <row r="79" spans="1:10" ht="71.25" x14ac:dyDescent="0.25">
      <c r="A79" s="183" t="s">
        <v>58</v>
      </c>
      <c r="B79" s="183" t="s">
        <v>814</v>
      </c>
      <c r="C79" s="183" t="s">
        <v>59</v>
      </c>
      <c r="D79" s="183" t="s">
        <v>815</v>
      </c>
      <c r="E79" s="183" t="s">
        <v>816</v>
      </c>
      <c r="F79" s="183"/>
      <c r="G79" s="183" t="s">
        <v>116</v>
      </c>
      <c r="H79" s="184">
        <v>1</v>
      </c>
      <c r="I79" s="240">
        <v>63.68</v>
      </c>
      <c r="J79" s="240">
        <v>63.68</v>
      </c>
    </row>
    <row r="80" spans="1:10" ht="71.25" x14ac:dyDescent="0.25">
      <c r="A80" s="185" t="s">
        <v>119</v>
      </c>
      <c r="B80" s="185" t="s">
        <v>817</v>
      </c>
      <c r="C80" s="185" t="s">
        <v>59</v>
      </c>
      <c r="D80" s="185" t="s">
        <v>208</v>
      </c>
      <c r="E80" s="185" t="s">
        <v>807</v>
      </c>
      <c r="F80" s="185"/>
      <c r="G80" s="185" t="s">
        <v>117</v>
      </c>
      <c r="H80" s="186">
        <v>7.0000000000000001E-3</v>
      </c>
      <c r="I80" s="241">
        <v>25.46</v>
      </c>
      <c r="J80" s="241">
        <v>0.17</v>
      </c>
    </row>
    <row r="81" spans="1:10" ht="71.25" x14ac:dyDescent="0.25">
      <c r="A81" s="185" t="s">
        <v>119</v>
      </c>
      <c r="B81" s="185" t="s">
        <v>818</v>
      </c>
      <c r="C81" s="185" t="s">
        <v>59</v>
      </c>
      <c r="D81" s="185" t="s">
        <v>207</v>
      </c>
      <c r="E81" s="185" t="s">
        <v>807</v>
      </c>
      <c r="F81" s="185"/>
      <c r="G81" s="185" t="s">
        <v>125</v>
      </c>
      <c r="H81" s="186">
        <v>2.8000000000000001E-2</v>
      </c>
      <c r="I81" s="241">
        <v>23.96</v>
      </c>
      <c r="J81" s="241">
        <v>0.67</v>
      </c>
    </row>
    <row r="82" spans="1:10" ht="71.25" x14ac:dyDescent="0.25">
      <c r="A82" s="185" t="s">
        <v>119</v>
      </c>
      <c r="B82" s="185" t="s">
        <v>819</v>
      </c>
      <c r="C82" s="185" t="s">
        <v>59</v>
      </c>
      <c r="D82" s="185" t="s">
        <v>820</v>
      </c>
      <c r="E82" s="185" t="s">
        <v>821</v>
      </c>
      <c r="F82" s="185"/>
      <c r="G82" s="185" t="s">
        <v>191</v>
      </c>
      <c r="H82" s="186">
        <v>4.0000000000000001E-3</v>
      </c>
      <c r="I82" s="241">
        <v>503.99</v>
      </c>
      <c r="J82" s="241">
        <v>2.0099999999999998</v>
      </c>
    </row>
    <row r="83" spans="1:10" ht="28.5" x14ac:dyDescent="0.25">
      <c r="A83" s="185" t="s">
        <v>119</v>
      </c>
      <c r="B83" s="185" t="s">
        <v>773</v>
      </c>
      <c r="C83" s="185" t="s">
        <v>59</v>
      </c>
      <c r="D83" s="185" t="s">
        <v>122</v>
      </c>
      <c r="E83" s="185" t="s">
        <v>754</v>
      </c>
      <c r="F83" s="185"/>
      <c r="G83" s="185" t="s">
        <v>60</v>
      </c>
      <c r="H83" s="186">
        <v>0.72470000000000001</v>
      </c>
      <c r="I83" s="241">
        <v>31.69</v>
      </c>
      <c r="J83" s="241">
        <v>22.96</v>
      </c>
    </row>
    <row r="84" spans="1:10" ht="42.75" x14ac:dyDescent="0.25">
      <c r="A84" s="185" t="s">
        <v>119</v>
      </c>
      <c r="B84" s="185" t="s">
        <v>822</v>
      </c>
      <c r="C84" s="185" t="s">
        <v>59</v>
      </c>
      <c r="D84" s="185" t="s">
        <v>206</v>
      </c>
      <c r="E84" s="185" t="s">
        <v>754</v>
      </c>
      <c r="F84" s="185"/>
      <c r="G84" s="185" t="s">
        <v>60</v>
      </c>
      <c r="H84" s="186">
        <v>0.72470000000000001</v>
      </c>
      <c r="I84" s="241">
        <v>22.54</v>
      </c>
      <c r="J84" s="241">
        <v>16.329999999999998</v>
      </c>
    </row>
    <row r="85" spans="1:10" ht="42.75" x14ac:dyDescent="0.25">
      <c r="A85" s="191" t="s">
        <v>62</v>
      </c>
      <c r="B85" s="191" t="s">
        <v>823</v>
      </c>
      <c r="C85" s="191" t="s">
        <v>59</v>
      </c>
      <c r="D85" s="191" t="s">
        <v>824</v>
      </c>
      <c r="E85" s="191" t="s">
        <v>120</v>
      </c>
      <c r="F85" s="191"/>
      <c r="G85" s="191" t="s">
        <v>116</v>
      </c>
      <c r="H85" s="192">
        <v>0.55000000000000004</v>
      </c>
      <c r="I85" s="244">
        <v>11.58</v>
      </c>
      <c r="J85" s="244">
        <v>6.36</v>
      </c>
    </row>
    <row r="86" spans="1:10" ht="28.5" x14ac:dyDescent="0.25">
      <c r="A86" s="191" t="s">
        <v>62</v>
      </c>
      <c r="B86" s="191" t="s">
        <v>825</v>
      </c>
      <c r="C86" s="191" t="s">
        <v>59</v>
      </c>
      <c r="D86" s="191" t="s">
        <v>826</v>
      </c>
      <c r="E86" s="191" t="s">
        <v>120</v>
      </c>
      <c r="F86" s="191"/>
      <c r="G86" s="191" t="s">
        <v>121</v>
      </c>
      <c r="H86" s="192">
        <v>0.111</v>
      </c>
      <c r="I86" s="244">
        <v>20.29</v>
      </c>
      <c r="J86" s="244">
        <v>2.25</v>
      </c>
    </row>
    <row r="87" spans="1:10" ht="85.5" x14ac:dyDescent="0.25">
      <c r="A87" s="191" t="s">
        <v>62</v>
      </c>
      <c r="B87" s="191" t="s">
        <v>827</v>
      </c>
      <c r="C87" s="191" t="s">
        <v>59</v>
      </c>
      <c r="D87" s="191" t="s">
        <v>828</v>
      </c>
      <c r="E87" s="191" t="s">
        <v>120</v>
      </c>
      <c r="F87" s="191"/>
      <c r="G87" s="191" t="s">
        <v>116</v>
      </c>
      <c r="H87" s="192">
        <v>0.74450000000000005</v>
      </c>
      <c r="I87" s="244">
        <v>5.44</v>
      </c>
      <c r="J87" s="244">
        <v>4.05</v>
      </c>
    </row>
    <row r="88" spans="1:10" ht="28.5" x14ac:dyDescent="0.25">
      <c r="A88" s="191" t="s">
        <v>62</v>
      </c>
      <c r="B88" s="191" t="s">
        <v>829</v>
      </c>
      <c r="C88" s="191" t="s">
        <v>59</v>
      </c>
      <c r="D88" s="191" t="s">
        <v>830</v>
      </c>
      <c r="E88" s="191" t="s">
        <v>120</v>
      </c>
      <c r="F88" s="191"/>
      <c r="G88" s="191" t="s">
        <v>127</v>
      </c>
      <c r="H88" s="192">
        <v>2.5600000000000001E-2</v>
      </c>
      <c r="I88" s="244">
        <v>32.15</v>
      </c>
      <c r="J88" s="244">
        <v>0.82</v>
      </c>
    </row>
    <row r="89" spans="1:10" ht="71.25" x14ac:dyDescent="0.25">
      <c r="A89" s="191" t="s">
        <v>62</v>
      </c>
      <c r="B89" s="191" t="s">
        <v>831</v>
      </c>
      <c r="C89" s="191" t="s">
        <v>59</v>
      </c>
      <c r="D89" s="191" t="s">
        <v>832</v>
      </c>
      <c r="E89" s="191" t="s">
        <v>120</v>
      </c>
      <c r="F89" s="191"/>
      <c r="G89" s="191" t="s">
        <v>116</v>
      </c>
      <c r="H89" s="192">
        <v>0.41249999999999998</v>
      </c>
      <c r="I89" s="244">
        <v>19.55</v>
      </c>
      <c r="J89" s="244">
        <v>8.06</v>
      </c>
    </row>
    <row r="90" spans="1:10" x14ac:dyDescent="0.25">
      <c r="A90" s="187"/>
      <c r="B90" s="187"/>
      <c r="C90" s="187"/>
      <c r="D90" s="187"/>
      <c r="E90" s="187" t="s">
        <v>756</v>
      </c>
      <c r="F90" s="188">
        <v>29.71</v>
      </c>
      <c r="G90" s="187" t="s">
        <v>757</v>
      </c>
      <c r="H90" s="188">
        <v>0</v>
      </c>
      <c r="I90" s="242" t="s">
        <v>758</v>
      </c>
      <c r="J90" s="242">
        <v>29.71</v>
      </c>
    </row>
    <row r="91" spans="1:10" x14ac:dyDescent="0.25">
      <c r="A91" s="187"/>
      <c r="B91" s="187"/>
      <c r="C91" s="187"/>
      <c r="D91" s="187"/>
      <c r="E91" s="187" t="s">
        <v>759</v>
      </c>
      <c r="F91" s="188">
        <v>0</v>
      </c>
      <c r="G91" s="187"/>
      <c r="H91" s="187" t="s">
        <v>760</v>
      </c>
      <c r="I91" s="242"/>
      <c r="J91" s="242">
        <v>63.68</v>
      </c>
    </row>
    <row r="92" spans="1:10" x14ac:dyDescent="0.25">
      <c r="A92" s="182"/>
      <c r="B92" s="182"/>
      <c r="C92" s="182"/>
      <c r="D92" s="182"/>
      <c r="E92" s="182"/>
      <c r="F92" s="182"/>
      <c r="G92" s="182" t="s">
        <v>761</v>
      </c>
      <c r="H92" s="189" t="s">
        <v>833</v>
      </c>
      <c r="I92" s="239" t="s">
        <v>763</v>
      </c>
      <c r="J92" s="239">
        <v>5603.84</v>
      </c>
    </row>
    <row r="93" spans="1:10" x14ac:dyDescent="0.25">
      <c r="A93" s="183"/>
      <c r="B93" s="183"/>
      <c r="C93" s="183"/>
      <c r="D93" s="183"/>
      <c r="E93" s="183"/>
      <c r="F93" s="183"/>
      <c r="G93" s="183"/>
      <c r="H93" s="183"/>
      <c r="I93" s="240"/>
      <c r="J93" s="240"/>
    </row>
    <row r="94" spans="1:10" x14ac:dyDescent="0.25">
      <c r="A94" s="190" t="s">
        <v>834</v>
      </c>
      <c r="B94" s="190"/>
      <c r="C94" s="190"/>
      <c r="D94" s="190" t="s">
        <v>276</v>
      </c>
      <c r="E94" s="190"/>
      <c r="F94" s="190"/>
      <c r="G94" s="190"/>
      <c r="H94" s="190"/>
      <c r="I94" s="243"/>
      <c r="J94" s="243">
        <v>3979.98</v>
      </c>
    </row>
    <row r="95" spans="1:10" x14ac:dyDescent="0.25">
      <c r="A95" s="182" t="s">
        <v>835</v>
      </c>
      <c r="B95" s="182" t="s">
        <v>66</v>
      </c>
      <c r="C95" s="182" t="s">
        <v>64</v>
      </c>
      <c r="D95" s="182" t="s">
        <v>67</v>
      </c>
      <c r="E95" s="182" t="s">
        <v>65</v>
      </c>
      <c r="F95" s="182"/>
      <c r="G95" s="182" t="s">
        <v>744</v>
      </c>
      <c r="H95" s="182" t="s">
        <v>69</v>
      </c>
      <c r="I95" s="239" t="s">
        <v>745</v>
      </c>
      <c r="J95" s="239" t="s">
        <v>0</v>
      </c>
    </row>
    <row r="96" spans="1:10" ht="42.75" x14ac:dyDescent="0.25">
      <c r="A96" s="183" t="s">
        <v>58</v>
      </c>
      <c r="B96" s="183" t="s">
        <v>836</v>
      </c>
      <c r="C96" s="183" t="s">
        <v>59</v>
      </c>
      <c r="D96" s="183" t="s">
        <v>837</v>
      </c>
      <c r="E96" s="183" t="s">
        <v>838</v>
      </c>
      <c r="F96" s="183"/>
      <c r="G96" s="183" t="s">
        <v>217</v>
      </c>
      <c r="H96" s="184">
        <v>1</v>
      </c>
      <c r="I96" s="240">
        <v>0.55000000000000004</v>
      </c>
      <c r="J96" s="240">
        <v>0.55000000000000004</v>
      </c>
    </row>
    <row r="97" spans="1:10" ht="85.5" x14ac:dyDescent="0.25">
      <c r="A97" s="185" t="s">
        <v>119</v>
      </c>
      <c r="B97" s="185" t="s">
        <v>839</v>
      </c>
      <c r="C97" s="185" t="s">
        <v>59</v>
      </c>
      <c r="D97" s="185" t="s">
        <v>840</v>
      </c>
      <c r="E97" s="185" t="s">
        <v>807</v>
      </c>
      <c r="F97" s="185"/>
      <c r="G97" s="185" t="s">
        <v>117</v>
      </c>
      <c r="H97" s="186">
        <v>3.0249999999999998E-4</v>
      </c>
      <c r="I97" s="241">
        <v>257.14</v>
      </c>
      <c r="J97" s="241">
        <v>7.0000000000000007E-2</v>
      </c>
    </row>
    <row r="98" spans="1:10" ht="28.5" x14ac:dyDescent="0.25">
      <c r="A98" s="185" t="s">
        <v>119</v>
      </c>
      <c r="B98" s="185" t="s">
        <v>769</v>
      </c>
      <c r="C98" s="185" t="s">
        <v>59</v>
      </c>
      <c r="D98" s="185" t="s">
        <v>115</v>
      </c>
      <c r="E98" s="185" t="s">
        <v>754</v>
      </c>
      <c r="F98" s="185"/>
      <c r="G98" s="185" t="s">
        <v>60</v>
      </c>
      <c r="H98" s="186">
        <v>1.0342999999999999E-3</v>
      </c>
      <c r="I98" s="241">
        <v>22.42</v>
      </c>
      <c r="J98" s="241">
        <v>0.02</v>
      </c>
    </row>
    <row r="99" spans="1:10" ht="99.75" x14ac:dyDescent="0.25">
      <c r="A99" s="185" t="s">
        <v>119</v>
      </c>
      <c r="B99" s="185" t="s">
        <v>841</v>
      </c>
      <c r="C99" s="185" t="s">
        <v>59</v>
      </c>
      <c r="D99" s="185" t="s">
        <v>842</v>
      </c>
      <c r="E99" s="185" t="s">
        <v>807</v>
      </c>
      <c r="F99" s="185"/>
      <c r="G99" s="185" t="s">
        <v>125</v>
      </c>
      <c r="H99" s="186">
        <v>6.0956999999999999E-3</v>
      </c>
      <c r="I99" s="241">
        <v>65.39</v>
      </c>
      <c r="J99" s="241">
        <v>0.39</v>
      </c>
    </row>
    <row r="100" spans="1:10" ht="85.5" x14ac:dyDescent="0.25">
      <c r="A100" s="185" t="s">
        <v>119</v>
      </c>
      <c r="B100" s="185" t="s">
        <v>843</v>
      </c>
      <c r="C100" s="185" t="s">
        <v>59</v>
      </c>
      <c r="D100" s="185" t="s">
        <v>844</v>
      </c>
      <c r="E100" s="185" t="s">
        <v>807</v>
      </c>
      <c r="F100" s="185"/>
      <c r="G100" s="185" t="s">
        <v>125</v>
      </c>
      <c r="H100" s="186">
        <v>7.3180000000000001E-4</v>
      </c>
      <c r="I100" s="241">
        <v>98.67</v>
      </c>
      <c r="J100" s="241">
        <v>7.0000000000000007E-2</v>
      </c>
    </row>
    <row r="101" spans="1:10" x14ac:dyDescent="0.25">
      <c r="A101" s="187"/>
      <c r="B101" s="187"/>
      <c r="C101" s="187"/>
      <c r="D101" s="187"/>
      <c r="E101" s="187" t="s">
        <v>756</v>
      </c>
      <c r="F101" s="188">
        <v>0.13</v>
      </c>
      <c r="G101" s="187" t="s">
        <v>757</v>
      </c>
      <c r="H101" s="188">
        <v>0</v>
      </c>
      <c r="I101" s="242" t="s">
        <v>758</v>
      </c>
      <c r="J101" s="242">
        <v>0.13</v>
      </c>
    </row>
    <row r="102" spans="1:10" x14ac:dyDescent="0.25">
      <c r="A102" s="187"/>
      <c r="B102" s="187"/>
      <c r="C102" s="187"/>
      <c r="D102" s="187"/>
      <c r="E102" s="187" t="s">
        <v>759</v>
      </c>
      <c r="F102" s="188">
        <v>0</v>
      </c>
      <c r="G102" s="187"/>
      <c r="H102" s="187" t="s">
        <v>760</v>
      </c>
      <c r="I102" s="242"/>
      <c r="J102" s="242">
        <v>0.55000000000000004</v>
      </c>
    </row>
    <row r="103" spans="1:10" x14ac:dyDescent="0.25">
      <c r="A103" s="182"/>
      <c r="B103" s="182"/>
      <c r="C103" s="182"/>
      <c r="D103" s="182"/>
      <c r="E103" s="182"/>
      <c r="F103" s="182"/>
      <c r="G103" s="182" t="s">
        <v>761</v>
      </c>
      <c r="H103" s="189" t="s">
        <v>812</v>
      </c>
      <c r="I103" s="239" t="s">
        <v>763</v>
      </c>
      <c r="J103" s="239">
        <v>252.45</v>
      </c>
    </row>
    <row r="104" spans="1:10" x14ac:dyDescent="0.25">
      <c r="A104" s="183"/>
      <c r="B104" s="183"/>
      <c r="C104" s="183"/>
      <c r="D104" s="183"/>
      <c r="E104" s="183"/>
      <c r="F104" s="183"/>
      <c r="G104" s="183"/>
      <c r="H104" s="183"/>
      <c r="I104" s="240"/>
      <c r="J104" s="240"/>
    </row>
    <row r="105" spans="1:10" x14ac:dyDescent="0.25">
      <c r="A105" s="182" t="s">
        <v>845</v>
      </c>
      <c r="B105" s="182" t="s">
        <v>66</v>
      </c>
      <c r="C105" s="182" t="s">
        <v>64</v>
      </c>
      <c r="D105" s="182" t="s">
        <v>67</v>
      </c>
      <c r="E105" s="182" t="s">
        <v>65</v>
      </c>
      <c r="F105" s="182"/>
      <c r="G105" s="182" t="s">
        <v>744</v>
      </c>
      <c r="H105" s="182" t="s">
        <v>69</v>
      </c>
      <c r="I105" s="239" t="s">
        <v>745</v>
      </c>
      <c r="J105" s="239" t="s">
        <v>0</v>
      </c>
    </row>
    <row r="106" spans="1:10" ht="114" x14ac:dyDescent="0.25">
      <c r="A106" s="183" t="s">
        <v>58</v>
      </c>
      <c r="B106" s="183" t="s">
        <v>846</v>
      </c>
      <c r="C106" s="183" t="s">
        <v>59</v>
      </c>
      <c r="D106" s="183" t="s">
        <v>847</v>
      </c>
      <c r="E106" s="183" t="s">
        <v>848</v>
      </c>
      <c r="F106" s="183"/>
      <c r="G106" s="183" t="s">
        <v>191</v>
      </c>
      <c r="H106" s="184">
        <v>1</v>
      </c>
      <c r="I106" s="240">
        <v>13.61</v>
      </c>
      <c r="J106" s="240">
        <v>13.61</v>
      </c>
    </row>
    <row r="107" spans="1:10" ht="71.25" x14ac:dyDescent="0.25">
      <c r="A107" s="185" t="s">
        <v>119</v>
      </c>
      <c r="B107" s="185" t="s">
        <v>849</v>
      </c>
      <c r="C107" s="185" t="s">
        <v>59</v>
      </c>
      <c r="D107" s="185" t="s">
        <v>850</v>
      </c>
      <c r="E107" s="185" t="s">
        <v>851</v>
      </c>
      <c r="F107" s="185"/>
      <c r="G107" s="185" t="s">
        <v>852</v>
      </c>
      <c r="H107" s="186">
        <v>0.25</v>
      </c>
      <c r="I107" s="241">
        <v>2.75</v>
      </c>
      <c r="J107" s="241">
        <v>0.68</v>
      </c>
    </row>
    <row r="108" spans="1:10" ht="57" x14ac:dyDescent="0.25">
      <c r="A108" s="185" t="s">
        <v>119</v>
      </c>
      <c r="B108" s="185" t="s">
        <v>853</v>
      </c>
      <c r="C108" s="185" t="s">
        <v>59</v>
      </c>
      <c r="D108" s="185" t="s">
        <v>854</v>
      </c>
      <c r="E108" s="185" t="s">
        <v>807</v>
      </c>
      <c r="F108" s="185"/>
      <c r="G108" s="185" t="s">
        <v>117</v>
      </c>
      <c r="H108" s="186">
        <v>4.7999999999999996E-3</v>
      </c>
      <c r="I108" s="241">
        <v>269.22000000000003</v>
      </c>
      <c r="J108" s="241">
        <v>1.29</v>
      </c>
    </row>
    <row r="109" spans="1:10" ht="114" x14ac:dyDescent="0.25">
      <c r="A109" s="185" t="s">
        <v>119</v>
      </c>
      <c r="B109" s="185" t="s">
        <v>855</v>
      </c>
      <c r="C109" s="185" t="s">
        <v>59</v>
      </c>
      <c r="D109" s="185" t="s">
        <v>856</v>
      </c>
      <c r="E109" s="185" t="s">
        <v>851</v>
      </c>
      <c r="F109" s="185"/>
      <c r="G109" s="185" t="s">
        <v>191</v>
      </c>
      <c r="H109" s="186">
        <v>1.25</v>
      </c>
      <c r="I109" s="241">
        <v>8.52</v>
      </c>
      <c r="J109" s="241">
        <v>10.65</v>
      </c>
    </row>
    <row r="110" spans="1:10" ht="57" x14ac:dyDescent="0.25">
      <c r="A110" s="185" t="s">
        <v>119</v>
      </c>
      <c r="B110" s="185" t="s">
        <v>857</v>
      </c>
      <c r="C110" s="185" t="s">
        <v>59</v>
      </c>
      <c r="D110" s="185" t="s">
        <v>858</v>
      </c>
      <c r="E110" s="185" t="s">
        <v>807</v>
      </c>
      <c r="F110" s="185"/>
      <c r="G110" s="185" t="s">
        <v>125</v>
      </c>
      <c r="H110" s="186">
        <v>8.2000000000000007E-3</v>
      </c>
      <c r="I110" s="241">
        <v>86.19</v>
      </c>
      <c r="J110" s="241">
        <v>0.7</v>
      </c>
    </row>
    <row r="111" spans="1:10" ht="28.5" x14ac:dyDescent="0.25">
      <c r="A111" s="185" t="s">
        <v>119</v>
      </c>
      <c r="B111" s="185" t="s">
        <v>769</v>
      </c>
      <c r="C111" s="185" t="s">
        <v>59</v>
      </c>
      <c r="D111" s="185" t="s">
        <v>115</v>
      </c>
      <c r="E111" s="185" t="s">
        <v>754</v>
      </c>
      <c r="F111" s="185"/>
      <c r="G111" s="185" t="s">
        <v>60</v>
      </c>
      <c r="H111" s="186">
        <v>1.3100000000000001E-2</v>
      </c>
      <c r="I111" s="241">
        <v>22.42</v>
      </c>
      <c r="J111" s="241">
        <v>0.28999999999999998</v>
      </c>
    </row>
    <row r="112" spans="1:10" x14ac:dyDescent="0.25">
      <c r="A112" s="187"/>
      <c r="B112" s="187"/>
      <c r="C112" s="187"/>
      <c r="D112" s="187"/>
      <c r="E112" s="187" t="s">
        <v>756</v>
      </c>
      <c r="F112" s="188">
        <v>1.94</v>
      </c>
      <c r="G112" s="187" t="s">
        <v>757</v>
      </c>
      <c r="H112" s="188">
        <v>0</v>
      </c>
      <c r="I112" s="242" t="s">
        <v>758</v>
      </c>
      <c r="J112" s="242">
        <v>1.94</v>
      </c>
    </row>
    <row r="113" spans="1:10" x14ac:dyDescent="0.25">
      <c r="A113" s="187"/>
      <c r="B113" s="187"/>
      <c r="C113" s="187"/>
      <c r="D113" s="187"/>
      <c r="E113" s="187" t="s">
        <v>759</v>
      </c>
      <c r="F113" s="188">
        <v>0</v>
      </c>
      <c r="G113" s="187"/>
      <c r="H113" s="187" t="s">
        <v>760</v>
      </c>
      <c r="I113" s="242"/>
      <c r="J113" s="242">
        <v>13.61</v>
      </c>
    </row>
    <row r="114" spans="1:10" x14ac:dyDescent="0.25">
      <c r="A114" s="182"/>
      <c r="B114" s="182"/>
      <c r="C114" s="182"/>
      <c r="D114" s="182"/>
      <c r="E114" s="182"/>
      <c r="F114" s="182"/>
      <c r="G114" s="182" t="s">
        <v>761</v>
      </c>
      <c r="H114" s="189" t="s">
        <v>859</v>
      </c>
      <c r="I114" s="239" t="s">
        <v>763</v>
      </c>
      <c r="J114" s="239">
        <v>1874.09</v>
      </c>
    </row>
    <row r="115" spans="1:10" x14ac:dyDescent="0.25">
      <c r="A115" s="183"/>
      <c r="B115" s="183"/>
      <c r="C115" s="183"/>
      <c r="D115" s="183"/>
      <c r="E115" s="183"/>
      <c r="F115" s="183"/>
      <c r="G115" s="183"/>
      <c r="H115" s="183"/>
      <c r="I115" s="240"/>
      <c r="J115" s="240"/>
    </row>
    <row r="116" spans="1:10" x14ac:dyDescent="0.25">
      <c r="A116" s="182" t="s">
        <v>860</v>
      </c>
      <c r="B116" s="182" t="s">
        <v>66</v>
      </c>
      <c r="C116" s="182" t="s">
        <v>64</v>
      </c>
      <c r="D116" s="182" t="s">
        <v>67</v>
      </c>
      <c r="E116" s="182" t="s">
        <v>65</v>
      </c>
      <c r="F116" s="182"/>
      <c r="G116" s="182" t="s">
        <v>744</v>
      </c>
      <c r="H116" s="182" t="s">
        <v>69</v>
      </c>
      <c r="I116" s="239" t="s">
        <v>745</v>
      </c>
      <c r="J116" s="239" t="s">
        <v>0</v>
      </c>
    </row>
    <row r="117" spans="1:10" ht="142.5" x14ac:dyDescent="0.25">
      <c r="A117" s="183" t="s">
        <v>58</v>
      </c>
      <c r="B117" s="183" t="s">
        <v>861</v>
      </c>
      <c r="C117" s="183" t="s">
        <v>59</v>
      </c>
      <c r="D117" s="183" t="s">
        <v>862</v>
      </c>
      <c r="E117" s="183" t="s">
        <v>838</v>
      </c>
      <c r="F117" s="183"/>
      <c r="G117" s="183" t="s">
        <v>191</v>
      </c>
      <c r="H117" s="184">
        <v>1</v>
      </c>
      <c r="I117" s="240">
        <v>13.46</v>
      </c>
      <c r="J117" s="240">
        <v>13.46</v>
      </c>
    </row>
    <row r="118" spans="1:10" ht="114" x14ac:dyDescent="0.25">
      <c r="A118" s="185" t="s">
        <v>119</v>
      </c>
      <c r="B118" s="185" t="s">
        <v>863</v>
      </c>
      <c r="C118" s="185" t="s">
        <v>59</v>
      </c>
      <c r="D118" s="185" t="s">
        <v>864</v>
      </c>
      <c r="E118" s="185" t="s">
        <v>807</v>
      </c>
      <c r="F118" s="185"/>
      <c r="G118" s="185" t="s">
        <v>117</v>
      </c>
      <c r="H118" s="186">
        <v>4.2570000000000004E-3</v>
      </c>
      <c r="I118" s="241">
        <v>321.02</v>
      </c>
      <c r="J118" s="241">
        <v>1.36</v>
      </c>
    </row>
    <row r="119" spans="1:10" ht="114" x14ac:dyDescent="0.25">
      <c r="A119" s="185" t="s">
        <v>119</v>
      </c>
      <c r="B119" s="185" t="s">
        <v>865</v>
      </c>
      <c r="C119" s="185" t="s">
        <v>59</v>
      </c>
      <c r="D119" s="185" t="s">
        <v>866</v>
      </c>
      <c r="E119" s="185" t="s">
        <v>807</v>
      </c>
      <c r="F119" s="185"/>
      <c r="G119" s="185" t="s">
        <v>125</v>
      </c>
      <c r="H119" s="186">
        <v>3.58705E-2</v>
      </c>
      <c r="I119" s="241">
        <v>77.44</v>
      </c>
      <c r="J119" s="241">
        <v>2.77</v>
      </c>
    </row>
    <row r="120" spans="1:10" ht="85.5" x14ac:dyDescent="0.25">
      <c r="A120" s="185" t="s">
        <v>119</v>
      </c>
      <c r="B120" s="185" t="s">
        <v>839</v>
      </c>
      <c r="C120" s="185" t="s">
        <v>59</v>
      </c>
      <c r="D120" s="185" t="s">
        <v>840</v>
      </c>
      <c r="E120" s="185" t="s">
        <v>807</v>
      </c>
      <c r="F120" s="185"/>
      <c r="G120" s="185" t="s">
        <v>117</v>
      </c>
      <c r="H120" s="186">
        <v>4.5111999999999999E-3</v>
      </c>
      <c r="I120" s="241">
        <v>257.14</v>
      </c>
      <c r="J120" s="241">
        <v>1.1599999999999999</v>
      </c>
    </row>
    <row r="121" spans="1:10" ht="99.75" x14ac:dyDescent="0.25">
      <c r="A121" s="185" t="s">
        <v>119</v>
      </c>
      <c r="B121" s="185" t="s">
        <v>867</v>
      </c>
      <c r="C121" s="185" t="s">
        <v>59</v>
      </c>
      <c r="D121" s="185" t="s">
        <v>868</v>
      </c>
      <c r="E121" s="185" t="s">
        <v>807</v>
      </c>
      <c r="F121" s="185"/>
      <c r="G121" s="185" t="s">
        <v>117</v>
      </c>
      <c r="H121" s="186">
        <v>1.17351E-2</v>
      </c>
      <c r="I121" s="241">
        <v>163.92</v>
      </c>
      <c r="J121" s="241">
        <v>1.92</v>
      </c>
    </row>
    <row r="122" spans="1:10" ht="85.5" x14ac:dyDescent="0.25">
      <c r="A122" s="185" t="s">
        <v>119</v>
      </c>
      <c r="B122" s="185" t="s">
        <v>843</v>
      </c>
      <c r="C122" s="185" t="s">
        <v>59</v>
      </c>
      <c r="D122" s="185" t="s">
        <v>844</v>
      </c>
      <c r="E122" s="185" t="s">
        <v>807</v>
      </c>
      <c r="F122" s="185"/>
      <c r="G122" s="185" t="s">
        <v>125</v>
      </c>
      <c r="H122" s="186">
        <v>3.5616399999999999E-2</v>
      </c>
      <c r="I122" s="241">
        <v>98.67</v>
      </c>
      <c r="J122" s="241">
        <v>3.51</v>
      </c>
    </row>
    <row r="123" spans="1:10" ht="28.5" x14ac:dyDescent="0.25">
      <c r="A123" s="185" t="s">
        <v>119</v>
      </c>
      <c r="B123" s="185" t="s">
        <v>769</v>
      </c>
      <c r="C123" s="185" t="s">
        <v>59</v>
      </c>
      <c r="D123" s="185" t="s">
        <v>115</v>
      </c>
      <c r="E123" s="185" t="s">
        <v>754</v>
      </c>
      <c r="F123" s="185"/>
      <c r="G123" s="185" t="s">
        <v>60</v>
      </c>
      <c r="H123" s="186">
        <v>4.0127599999999999E-2</v>
      </c>
      <c r="I123" s="241">
        <v>22.42</v>
      </c>
      <c r="J123" s="241">
        <v>0.89</v>
      </c>
    </row>
    <row r="124" spans="1:10" ht="99.75" x14ac:dyDescent="0.25">
      <c r="A124" s="185" t="s">
        <v>119</v>
      </c>
      <c r="B124" s="185" t="s">
        <v>841</v>
      </c>
      <c r="C124" s="185" t="s">
        <v>59</v>
      </c>
      <c r="D124" s="185" t="s">
        <v>842</v>
      </c>
      <c r="E124" s="185" t="s">
        <v>807</v>
      </c>
      <c r="F124" s="185"/>
      <c r="G124" s="185" t="s">
        <v>125</v>
      </c>
      <c r="H124" s="186">
        <v>2.8392500000000001E-2</v>
      </c>
      <c r="I124" s="241">
        <v>65.39</v>
      </c>
      <c r="J124" s="241">
        <v>1.85</v>
      </c>
    </row>
    <row r="125" spans="1:10" x14ac:dyDescent="0.25">
      <c r="A125" s="187"/>
      <c r="B125" s="187"/>
      <c r="C125" s="187"/>
      <c r="D125" s="187"/>
      <c r="E125" s="187" t="s">
        <v>756</v>
      </c>
      <c r="F125" s="188">
        <v>3.44</v>
      </c>
      <c r="G125" s="187" t="s">
        <v>757</v>
      </c>
      <c r="H125" s="188">
        <v>0</v>
      </c>
      <c r="I125" s="242" t="s">
        <v>758</v>
      </c>
      <c r="J125" s="242">
        <v>3.44</v>
      </c>
    </row>
    <row r="126" spans="1:10" x14ac:dyDescent="0.25">
      <c r="A126" s="187"/>
      <c r="B126" s="187"/>
      <c r="C126" s="187"/>
      <c r="D126" s="187"/>
      <c r="E126" s="187" t="s">
        <v>759</v>
      </c>
      <c r="F126" s="188">
        <v>0</v>
      </c>
      <c r="G126" s="187"/>
      <c r="H126" s="187" t="s">
        <v>760</v>
      </c>
      <c r="I126" s="242"/>
      <c r="J126" s="242">
        <v>13.46</v>
      </c>
    </row>
    <row r="127" spans="1:10" x14ac:dyDescent="0.25">
      <c r="A127" s="182"/>
      <c r="B127" s="182"/>
      <c r="C127" s="182"/>
      <c r="D127" s="182"/>
      <c r="E127" s="182"/>
      <c r="F127" s="182"/>
      <c r="G127" s="182" t="s">
        <v>761</v>
      </c>
      <c r="H127" s="189" t="s">
        <v>859</v>
      </c>
      <c r="I127" s="239" t="s">
        <v>763</v>
      </c>
      <c r="J127" s="239">
        <v>1853.44</v>
      </c>
    </row>
    <row r="128" spans="1:10" x14ac:dyDescent="0.25">
      <c r="A128" s="183"/>
      <c r="B128" s="183"/>
      <c r="C128" s="183"/>
      <c r="D128" s="183"/>
      <c r="E128" s="183"/>
      <c r="F128" s="183"/>
      <c r="G128" s="183"/>
      <c r="H128" s="183"/>
      <c r="I128" s="240"/>
      <c r="J128" s="240"/>
    </row>
    <row r="129" spans="1:10" x14ac:dyDescent="0.25">
      <c r="A129" s="190" t="s">
        <v>869</v>
      </c>
      <c r="B129" s="190"/>
      <c r="C129" s="190"/>
      <c r="D129" s="190" t="s">
        <v>287</v>
      </c>
      <c r="E129" s="190"/>
      <c r="F129" s="190"/>
      <c r="G129" s="190"/>
      <c r="H129" s="190"/>
      <c r="I129" s="243"/>
      <c r="J129" s="243">
        <v>75577.509999999995</v>
      </c>
    </row>
    <row r="130" spans="1:10" x14ac:dyDescent="0.25">
      <c r="A130" s="190" t="s">
        <v>870</v>
      </c>
      <c r="B130" s="190"/>
      <c r="C130" s="190"/>
      <c r="D130" s="190" t="s">
        <v>249</v>
      </c>
      <c r="E130" s="190"/>
      <c r="F130" s="190"/>
      <c r="G130" s="190"/>
      <c r="H130" s="190"/>
      <c r="I130" s="243"/>
      <c r="J130" s="243">
        <v>32032.86</v>
      </c>
    </row>
    <row r="131" spans="1:10" x14ac:dyDescent="0.25">
      <c r="A131" s="182" t="s">
        <v>871</v>
      </c>
      <c r="B131" s="182" t="s">
        <v>66</v>
      </c>
      <c r="C131" s="182" t="s">
        <v>64</v>
      </c>
      <c r="D131" s="182" t="s">
        <v>67</v>
      </c>
      <c r="E131" s="182" t="s">
        <v>65</v>
      </c>
      <c r="F131" s="182"/>
      <c r="G131" s="182" t="s">
        <v>744</v>
      </c>
      <c r="H131" s="182" t="s">
        <v>69</v>
      </c>
      <c r="I131" s="239" t="s">
        <v>745</v>
      </c>
      <c r="J131" s="239" t="s">
        <v>0</v>
      </c>
    </row>
    <row r="132" spans="1:10" ht="57" x14ac:dyDescent="0.25">
      <c r="A132" s="183" t="s">
        <v>58</v>
      </c>
      <c r="B132" s="183" t="s">
        <v>872</v>
      </c>
      <c r="C132" s="183" t="s">
        <v>59</v>
      </c>
      <c r="D132" s="183" t="s">
        <v>873</v>
      </c>
      <c r="E132" s="183" t="s">
        <v>874</v>
      </c>
      <c r="F132" s="183"/>
      <c r="G132" s="183" t="s">
        <v>121</v>
      </c>
      <c r="H132" s="184">
        <v>1</v>
      </c>
      <c r="I132" s="240">
        <v>13.2</v>
      </c>
      <c r="J132" s="240">
        <v>13.2</v>
      </c>
    </row>
    <row r="133" spans="1:10" ht="28.5" x14ac:dyDescent="0.25">
      <c r="A133" s="185" t="s">
        <v>119</v>
      </c>
      <c r="B133" s="185" t="s">
        <v>875</v>
      </c>
      <c r="C133" s="185" t="s">
        <v>59</v>
      </c>
      <c r="D133" s="185" t="s">
        <v>203</v>
      </c>
      <c r="E133" s="185" t="s">
        <v>754</v>
      </c>
      <c r="F133" s="185"/>
      <c r="G133" s="185" t="s">
        <v>60</v>
      </c>
      <c r="H133" s="186">
        <v>0.104</v>
      </c>
      <c r="I133" s="241">
        <v>31.91</v>
      </c>
      <c r="J133" s="241">
        <v>3.31</v>
      </c>
    </row>
    <row r="134" spans="1:10" ht="28.5" x14ac:dyDescent="0.25">
      <c r="A134" s="185" t="s">
        <v>119</v>
      </c>
      <c r="B134" s="185" t="s">
        <v>876</v>
      </c>
      <c r="C134" s="185" t="s">
        <v>59</v>
      </c>
      <c r="D134" s="185" t="s">
        <v>199</v>
      </c>
      <c r="E134" s="185" t="s">
        <v>754</v>
      </c>
      <c r="F134" s="185"/>
      <c r="G134" s="185" t="s">
        <v>60</v>
      </c>
      <c r="H134" s="186">
        <v>2.0799999999999999E-2</v>
      </c>
      <c r="I134" s="241">
        <v>22.71</v>
      </c>
      <c r="J134" s="241">
        <v>0.47</v>
      </c>
    </row>
    <row r="135" spans="1:10" ht="28.5" x14ac:dyDescent="0.25">
      <c r="A135" s="185" t="s">
        <v>119</v>
      </c>
      <c r="B135" s="185" t="s">
        <v>877</v>
      </c>
      <c r="C135" s="185" t="s">
        <v>59</v>
      </c>
      <c r="D135" s="185" t="s">
        <v>878</v>
      </c>
      <c r="E135" s="185" t="s">
        <v>879</v>
      </c>
      <c r="F135" s="185"/>
      <c r="G135" s="185" t="s">
        <v>121</v>
      </c>
      <c r="H135" s="186">
        <v>1</v>
      </c>
      <c r="I135" s="241">
        <v>8.64</v>
      </c>
      <c r="J135" s="241">
        <v>8.64</v>
      </c>
    </row>
    <row r="136" spans="1:10" ht="42.75" x14ac:dyDescent="0.25">
      <c r="A136" s="191" t="s">
        <v>62</v>
      </c>
      <c r="B136" s="191" t="s">
        <v>880</v>
      </c>
      <c r="C136" s="191" t="s">
        <v>59</v>
      </c>
      <c r="D136" s="191" t="s">
        <v>200</v>
      </c>
      <c r="E136" s="191" t="s">
        <v>120</v>
      </c>
      <c r="F136" s="191"/>
      <c r="G136" s="191" t="s">
        <v>121</v>
      </c>
      <c r="H136" s="192">
        <v>0.02</v>
      </c>
      <c r="I136" s="244">
        <v>28.52</v>
      </c>
      <c r="J136" s="244">
        <v>0.56999999999999995</v>
      </c>
    </row>
    <row r="137" spans="1:10" ht="71.25" x14ac:dyDescent="0.25">
      <c r="A137" s="191" t="s">
        <v>62</v>
      </c>
      <c r="B137" s="191" t="s">
        <v>881</v>
      </c>
      <c r="C137" s="191" t="s">
        <v>59</v>
      </c>
      <c r="D137" s="191" t="s">
        <v>201</v>
      </c>
      <c r="E137" s="191" t="s">
        <v>120</v>
      </c>
      <c r="F137" s="191"/>
      <c r="G137" s="191" t="s">
        <v>61</v>
      </c>
      <c r="H137" s="192">
        <v>0.97</v>
      </c>
      <c r="I137" s="244">
        <v>0.22</v>
      </c>
      <c r="J137" s="244">
        <v>0.21</v>
      </c>
    </row>
    <row r="138" spans="1:10" x14ac:dyDescent="0.25">
      <c r="A138" s="187"/>
      <c r="B138" s="187"/>
      <c r="C138" s="187"/>
      <c r="D138" s="187"/>
      <c r="E138" s="187" t="s">
        <v>756</v>
      </c>
      <c r="F138" s="188">
        <v>3.66</v>
      </c>
      <c r="G138" s="187" t="s">
        <v>757</v>
      </c>
      <c r="H138" s="188">
        <v>0</v>
      </c>
      <c r="I138" s="242" t="s">
        <v>758</v>
      </c>
      <c r="J138" s="242">
        <v>3.66</v>
      </c>
    </row>
    <row r="139" spans="1:10" x14ac:dyDescent="0.25">
      <c r="A139" s="187"/>
      <c r="B139" s="187"/>
      <c r="C139" s="187"/>
      <c r="D139" s="187"/>
      <c r="E139" s="187" t="s">
        <v>759</v>
      </c>
      <c r="F139" s="188">
        <v>0</v>
      </c>
      <c r="G139" s="187"/>
      <c r="H139" s="187" t="s">
        <v>760</v>
      </c>
      <c r="I139" s="242"/>
      <c r="J139" s="242">
        <v>13.2</v>
      </c>
    </row>
    <row r="140" spans="1:10" x14ac:dyDescent="0.25">
      <c r="A140" s="182"/>
      <c r="B140" s="182"/>
      <c r="C140" s="182"/>
      <c r="D140" s="182"/>
      <c r="E140" s="182"/>
      <c r="F140" s="182"/>
      <c r="G140" s="182" t="s">
        <v>761</v>
      </c>
      <c r="H140" s="189" t="s">
        <v>882</v>
      </c>
      <c r="I140" s="239" t="s">
        <v>763</v>
      </c>
      <c r="J140" s="239">
        <v>477.97</v>
      </c>
    </row>
    <row r="141" spans="1:10" x14ac:dyDescent="0.25">
      <c r="A141" s="183"/>
      <c r="B141" s="183"/>
      <c r="C141" s="183"/>
      <c r="D141" s="183"/>
      <c r="E141" s="183"/>
      <c r="F141" s="183"/>
      <c r="G141" s="183"/>
      <c r="H141" s="183"/>
      <c r="I141" s="240"/>
      <c r="J141" s="240"/>
    </row>
    <row r="142" spans="1:10" x14ac:dyDescent="0.25">
      <c r="A142" s="182" t="s">
        <v>883</v>
      </c>
      <c r="B142" s="182" t="s">
        <v>66</v>
      </c>
      <c r="C142" s="182" t="s">
        <v>64</v>
      </c>
      <c r="D142" s="182" t="s">
        <v>67</v>
      </c>
      <c r="E142" s="182" t="s">
        <v>65</v>
      </c>
      <c r="F142" s="182"/>
      <c r="G142" s="182" t="s">
        <v>744</v>
      </c>
      <c r="H142" s="182" t="s">
        <v>69</v>
      </c>
      <c r="I142" s="239" t="s">
        <v>745</v>
      </c>
      <c r="J142" s="239" t="s">
        <v>0</v>
      </c>
    </row>
    <row r="143" spans="1:10" ht="42.75" x14ac:dyDescent="0.25">
      <c r="A143" s="183" t="s">
        <v>58</v>
      </c>
      <c r="B143" s="183" t="s">
        <v>884</v>
      </c>
      <c r="C143" s="183" t="s">
        <v>59</v>
      </c>
      <c r="D143" s="183" t="s">
        <v>885</v>
      </c>
      <c r="E143" s="183" t="s">
        <v>874</v>
      </c>
      <c r="F143" s="183"/>
      <c r="G143" s="183" t="s">
        <v>121</v>
      </c>
      <c r="H143" s="184">
        <v>1</v>
      </c>
      <c r="I143" s="240">
        <v>9.51</v>
      </c>
      <c r="J143" s="240">
        <v>9.51</v>
      </c>
    </row>
    <row r="144" spans="1:10" ht="28.5" x14ac:dyDescent="0.25">
      <c r="A144" s="185" t="s">
        <v>119</v>
      </c>
      <c r="B144" s="185" t="s">
        <v>876</v>
      </c>
      <c r="C144" s="185" t="s">
        <v>59</v>
      </c>
      <c r="D144" s="185" t="s">
        <v>199</v>
      </c>
      <c r="E144" s="185" t="s">
        <v>754</v>
      </c>
      <c r="F144" s="185"/>
      <c r="G144" s="185" t="s">
        <v>60</v>
      </c>
      <c r="H144" s="186">
        <v>6.1000000000000004E-3</v>
      </c>
      <c r="I144" s="241">
        <v>22.71</v>
      </c>
      <c r="J144" s="241">
        <v>0.13</v>
      </c>
    </row>
    <row r="145" spans="1:10" ht="42.75" x14ac:dyDescent="0.25">
      <c r="A145" s="185" t="s">
        <v>119</v>
      </c>
      <c r="B145" s="185" t="s">
        <v>886</v>
      </c>
      <c r="C145" s="185" t="s">
        <v>59</v>
      </c>
      <c r="D145" s="185" t="s">
        <v>887</v>
      </c>
      <c r="E145" s="185" t="s">
        <v>879</v>
      </c>
      <c r="F145" s="185"/>
      <c r="G145" s="185" t="s">
        <v>121</v>
      </c>
      <c r="H145" s="186">
        <v>1</v>
      </c>
      <c r="I145" s="241">
        <v>7.73</v>
      </c>
      <c r="J145" s="241">
        <v>7.73</v>
      </c>
    </row>
    <row r="146" spans="1:10" ht="28.5" x14ac:dyDescent="0.25">
      <c r="A146" s="185" t="s">
        <v>119</v>
      </c>
      <c r="B146" s="185" t="s">
        <v>875</v>
      </c>
      <c r="C146" s="185" t="s">
        <v>59</v>
      </c>
      <c r="D146" s="185" t="s">
        <v>203</v>
      </c>
      <c r="E146" s="185" t="s">
        <v>754</v>
      </c>
      <c r="F146" s="185"/>
      <c r="G146" s="185" t="s">
        <v>60</v>
      </c>
      <c r="H146" s="186">
        <v>3.0599999999999999E-2</v>
      </c>
      <c r="I146" s="241">
        <v>31.91</v>
      </c>
      <c r="J146" s="241">
        <v>0.97</v>
      </c>
    </row>
    <row r="147" spans="1:10" ht="71.25" x14ac:dyDescent="0.25">
      <c r="A147" s="191" t="s">
        <v>62</v>
      </c>
      <c r="B147" s="191" t="s">
        <v>881</v>
      </c>
      <c r="C147" s="191" t="s">
        <v>59</v>
      </c>
      <c r="D147" s="191" t="s">
        <v>201</v>
      </c>
      <c r="E147" s="191" t="s">
        <v>120</v>
      </c>
      <c r="F147" s="191"/>
      <c r="G147" s="191" t="s">
        <v>61</v>
      </c>
      <c r="H147" s="192">
        <v>0.54300000000000004</v>
      </c>
      <c r="I147" s="244">
        <v>0.22</v>
      </c>
      <c r="J147" s="244">
        <v>0.11</v>
      </c>
    </row>
    <row r="148" spans="1:10" ht="42.75" x14ac:dyDescent="0.25">
      <c r="A148" s="191" t="s">
        <v>62</v>
      </c>
      <c r="B148" s="191" t="s">
        <v>880</v>
      </c>
      <c r="C148" s="191" t="s">
        <v>59</v>
      </c>
      <c r="D148" s="191" t="s">
        <v>200</v>
      </c>
      <c r="E148" s="191" t="s">
        <v>120</v>
      </c>
      <c r="F148" s="191"/>
      <c r="G148" s="191" t="s">
        <v>121</v>
      </c>
      <c r="H148" s="192">
        <v>0.02</v>
      </c>
      <c r="I148" s="244">
        <v>28.52</v>
      </c>
      <c r="J148" s="244">
        <v>0.56999999999999995</v>
      </c>
    </row>
    <row r="149" spans="1:10" x14ac:dyDescent="0.25">
      <c r="A149" s="187"/>
      <c r="B149" s="187"/>
      <c r="C149" s="187"/>
      <c r="D149" s="187"/>
      <c r="E149" s="187" t="s">
        <v>756</v>
      </c>
      <c r="F149" s="188">
        <v>1.06</v>
      </c>
      <c r="G149" s="187" t="s">
        <v>757</v>
      </c>
      <c r="H149" s="188">
        <v>0</v>
      </c>
      <c r="I149" s="242" t="s">
        <v>758</v>
      </c>
      <c r="J149" s="242">
        <v>1.06</v>
      </c>
    </row>
    <row r="150" spans="1:10" x14ac:dyDescent="0.25">
      <c r="A150" s="187"/>
      <c r="B150" s="187"/>
      <c r="C150" s="187"/>
      <c r="D150" s="187"/>
      <c r="E150" s="187" t="s">
        <v>759</v>
      </c>
      <c r="F150" s="188">
        <v>0</v>
      </c>
      <c r="G150" s="187"/>
      <c r="H150" s="187" t="s">
        <v>760</v>
      </c>
      <c r="I150" s="242"/>
      <c r="J150" s="242">
        <v>9.51</v>
      </c>
    </row>
    <row r="151" spans="1:10" x14ac:dyDescent="0.25">
      <c r="A151" s="182"/>
      <c r="B151" s="182"/>
      <c r="C151" s="182"/>
      <c r="D151" s="182"/>
      <c r="E151" s="182"/>
      <c r="F151" s="182"/>
      <c r="G151" s="182" t="s">
        <v>761</v>
      </c>
      <c r="H151" s="189" t="s">
        <v>888</v>
      </c>
      <c r="I151" s="239" t="s">
        <v>763</v>
      </c>
      <c r="J151" s="239">
        <v>3693.77</v>
      </c>
    </row>
    <row r="152" spans="1:10" x14ac:dyDescent="0.25">
      <c r="A152" s="183"/>
      <c r="B152" s="183"/>
      <c r="C152" s="183"/>
      <c r="D152" s="183"/>
      <c r="E152" s="183"/>
      <c r="F152" s="183"/>
      <c r="G152" s="183"/>
      <c r="H152" s="183"/>
      <c r="I152" s="240"/>
      <c r="J152" s="240"/>
    </row>
    <row r="153" spans="1:10" x14ac:dyDescent="0.25">
      <c r="A153" s="182" t="s">
        <v>889</v>
      </c>
      <c r="B153" s="182" t="s">
        <v>66</v>
      </c>
      <c r="C153" s="182" t="s">
        <v>64</v>
      </c>
      <c r="D153" s="182" t="s">
        <v>67</v>
      </c>
      <c r="E153" s="182" t="s">
        <v>65</v>
      </c>
      <c r="F153" s="182"/>
      <c r="G153" s="182" t="s">
        <v>744</v>
      </c>
      <c r="H153" s="182" t="s">
        <v>69</v>
      </c>
      <c r="I153" s="239" t="s">
        <v>745</v>
      </c>
      <c r="J153" s="239" t="s">
        <v>0</v>
      </c>
    </row>
    <row r="154" spans="1:10" ht="85.5" x14ac:dyDescent="0.25">
      <c r="A154" s="183" t="s">
        <v>58</v>
      </c>
      <c r="B154" s="183" t="s">
        <v>890</v>
      </c>
      <c r="C154" s="183" t="s">
        <v>165</v>
      </c>
      <c r="D154" s="183" t="s">
        <v>891</v>
      </c>
      <c r="E154" s="183" t="s">
        <v>892</v>
      </c>
      <c r="F154" s="183"/>
      <c r="G154" s="183" t="s">
        <v>116</v>
      </c>
      <c r="H154" s="184">
        <v>1</v>
      </c>
      <c r="I154" s="240">
        <v>110.56</v>
      </c>
      <c r="J154" s="240">
        <v>110.56</v>
      </c>
    </row>
    <row r="155" spans="1:10" ht="85.5" x14ac:dyDescent="0.25">
      <c r="A155" s="185" t="s">
        <v>119</v>
      </c>
      <c r="B155" s="185" t="s">
        <v>893</v>
      </c>
      <c r="C155" s="185" t="s">
        <v>59</v>
      </c>
      <c r="D155" s="185" t="s">
        <v>195</v>
      </c>
      <c r="E155" s="185" t="s">
        <v>821</v>
      </c>
      <c r="F155" s="185"/>
      <c r="G155" s="185" t="s">
        <v>191</v>
      </c>
      <c r="H155" s="186">
        <v>8.5999999999999993E-2</v>
      </c>
      <c r="I155" s="241">
        <v>526.74</v>
      </c>
      <c r="J155" s="241">
        <v>45.29</v>
      </c>
    </row>
    <row r="156" spans="1:10" ht="28.5" x14ac:dyDescent="0.25">
      <c r="A156" s="185" t="s">
        <v>119</v>
      </c>
      <c r="B156" s="185" t="s">
        <v>769</v>
      </c>
      <c r="C156" s="185" t="s">
        <v>59</v>
      </c>
      <c r="D156" s="185" t="s">
        <v>115</v>
      </c>
      <c r="E156" s="185" t="s">
        <v>754</v>
      </c>
      <c r="F156" s="185"/>
      <c r="G156" s="185" t="s">
        <v>60</v>
      </c>
      <c r="H156" s="186">
        <v>1.33</v>
      </c>
      <c r="I156" s="241">
        <v>22.42</v>
      </c>
      <c r="J156" s="241">
        <v>29.81</v>
      </c>
    </row>
    <row r="157" spans="1:10" ht="28.5" x14ac:dyDescent="0.25">
      <c r="A157" s="185" t="s">
        <v>119</v>
      </c>
      <c r="B157" s="185" t="s">
        <v>894</v>
      </c>
      <c r="C157" s="185" t="s">
        <v>59</v>
      </c>
      <c r="D157" s="185" t="s">
        <v>126</v>
      </c>
      <c r="E157" s="185" t="s">
        <v>754</v>
      </c>
      <c r="F157" s="185"/>
      <c r="G157" s="185" t="s">
        <v>60</v>
      </c>
      <c r="H157" s="186">
        <v>1.103</v>
      </c>
      <c r="I157" s="241">
        <v>32.15</v>
      </c>
      <c r="J157" s="241">
        <v>35.46</v>
      </c>
    </row>
    <row r="158" spans="1:10" x14ac:dyDescent="0.25">
      <c r="A158" s="187"/>
      <c r="B158" s="187"/>
      <c r="C158" s="187"/>
      <c r="D158" s="187"/>
      <c r="E158" s="187" t="s">
        <v>756</v>
      </c>
      <c r="F158" s="188">
        <v>51.2</v>
      </c>
      <c r="G158" s="187" t="s">
        <v>757</v>
      </c>
      <c r="H158" s="188">
        <v>0</v>
      </c>
      <c r="I158" s="242" t="s">
        <v>758</v>
      </c>
      <c r="J158" s="242">
        <v>51.2</v>
      </c>
    </row>
    <row r="159" spans="1:10" x14ac:dyDescent="0.25">
      <c r="A159" s="187"/>
      <c r="B159" s="187"/>
      <c r="C159" s="187"/>
      <c r="D159" s="187"/>
      <c r="E159" s="187" t="s">
        <v>759</v>
      </c>
      <c r="F159" s="188">
        <v>0</v>
      </c>
      <c r="G159" s="187"/>
      <c r="H159" s="187" t="s">
        <v>760</v>
      </c>
      <c r="I159" s="242"/>
      <c r="J159" s="242">
        <v>110.56</v>
      </c>
    </row>
    <row r="160" spans="1:10" x14ac:dyDescent="0.25">
      <c r="A160" s="182"/>
      <c r="B160" s="182"/>
      <c r="C160" s="182"/>
      <c r="D160" s="182"/>
      <c r="E160" s="182"/>
      <c r="F160" s="182"/>
      <c r="G160" s="182" t="s">
        <v>761</v>
      </c>
      <c r="H160" s="189" t="s">
        <v>895</v>
      </c>
      <c r="I160" s="239" t="s">
        <v>763</v>
      </c>
      <c r="J160" s="239">
        <v>27861.119999999999</v>
      </c>
    </row>
    <row r="161" spans="1:10" x14ac:dyDescent="0.25">
      <c r="A161" s="183"/>
      <c r="B161" s="183"/>
      <c r="C161" s="183"/>
      <c r="D161" s="183"/>
      <c r="E161" s="183"/>
      <c r="F161" s="183"/>
      <c r="G161" s="183"/>
      <c r="H161" s="183"/>
      <c r="I161" s="240"/>
      <c r="J161" s="240"/>
    </row>
    <row r="162" spans="1:10" x14ac:dyDescent="0.25">
      <c r="A162" s="190" t="s">
        <v>896</v>
      </c>
      <c r="B162" s="190"/>
      <c r="C162" s="190"/>
      <c r="D162" s="190" t="s">
        <v>897</v>
      </c>
      <c r="E162" s="190"/>
      <c r="F162" s="190"/>
      <c r="G162" s="190"/>
      <c r="H162" s="190"/>
      <c r="I162" s="243"/>
      <c r="J162" s="243">
        <v>15738.12</v>
      </c>
    </row>
    <row r="163" spans="1:10" x14ac:dyDescent="0.25">
      <c r="A163" s="182" t="s">
        <v>898</v>
      </c>
      <c r="B163" s="182" t="s">
        <v>66</v>
      </c>
      <c r="C163" s="182" t="s">
        <v>64</v>
      </c>
      <c r="D163" s="182" t="s">
        <v>67</v>
      </c>
      <c r="E163" s="182" t="s">
        <v>65</v>
      </c>
      <c r="F163" s="182"/>
      <c r="G163" s="182" t="s">
        <v>744</v>
      </c>
      <c r="H163" s="182" t="s">
        <v>69</v>
      </c>
      <c r="I163" s="239" t="s">
        <v>745</v>
      </c>
      <c r="J163" s="239" t="s">
        <v>0</v>
      </c>
    </row>
    <row r="164" spans="1:10" ht="42.75" x14ac:dyDescent="0.25">
      <c r="A164" s="183" t="s">
        <v>58</v>
      </c>
      <c r="B164" s="183" t="s">
        <v>899</v>
      </c>
      <c r="C164" s="183" t="s">
        <v>59</v>
      </c>
      <c r="D164" s="183" t="s">
        <v>900</v>
      </c>
      <c r="E164" s="183" t="s">
        <v>901</v>
      </c>
      <c r="F164" s="183"/>
      <c r="G164" s="183" t="s">
        <v>121</v>
      </c>
      <c r="H164" s="184">
        <v>1</v>
      </c>
      <c r="I164" s="240">
        <v>17.48</v>
      </c>
      <c r="J164" s="240">
        <v>17.48</v>
      </c>
    </row>
    <row r="165" spans="1:10" ht="28.5" x14ac:dyDescent="0.25">
      <c r="A165" s="185" t="s">
        <v>119</v>
      </c>
      <c r="B165" s="185" t="s">
        <v>875</v>
      </c>
      <c r="C165" s="185" t="s">
        <v>59</v>
      </c>
      <c r="D165" s="185" t="s">
        <v>203</v>
      </c>
      <c r="E165" s="185" t="s">
        <v>754</v>
      </c>
      <c r="F165" s="185"/>
      <c r="G165" s="185" t="s">
        <v>60</v>
      </c>
      <c r="H165" s="186">
        <v>0.19600000000000001</v>
      </c>
      <c r="I165" s="241">
        <v>31.91</v>
      </c>
      <c r="J165" s="241">
        <v>6.25</v>
      </c>
    </row>
    <row r="166" spans="1:10" ht="28.5" x14ac:dyDescent="0.25">
      <c r="A166" s="185" t="s">
        <v>119</v>
      </c>
      <c r="B166" s="185" t="s">
        <v>876</v>
      </c>
      <c r="C166" s="185" t="s">
        <v>59</v>
      </c>
      <c r="D166" s="185" t="s">
        <v>199</v>
      </c>
      <c r="E166" s="185" t="s">
        <v>754</v>
      </c>
      <c r="F166" s="185"/>
      <c r="G166" s="185" t="s">
        <v>60</v>
      </c>
      <c r="H166" s="186">
        <v>7.4999999999999997E-2</v>
      </c>
      <c r="I166" s="241">
        <v>22.71</v>
      </c>
      <c r="J166" s="241">
        <v>1.7</v>
      </c>
    </row>
    <row r="167" spans="1:10" ht="28.5" x14ac:dyDescent="0.25">
      <c r="A167" s="185" t="s">
        <v>119</v>
      </c>
      <c r="B167" s="185" t="s">
        <v>877</v>
      </c>
      <c r="C167" s="185" t="s">
        <v>59</v>
      </c>
      <c r="D167" s="185" t="s">
        <v>878</v>
      </c>
      <c r="E167" s="185" t="s">
        <v>879</v>
      </c>
      <c r="F167" s="185"/>
      <c r="G167" s="185" t="s">
        <v>121</v>
      </c>
      <c r="H167" s="186">
        <v>1</v>
      </c>
      <c r="I167" s="241">
        <v>8.64</v>
      </c>
      <c r="J167" s="241">
        <v>8.64</v>
      </c>
    </row>
    <row r="168" spans="1:10" ht="42.75" x14ac:dyDescent="0.25">
      <c r="A168" s="191" t="s">
        <v>62</v>
      </c>
      <c r="B168" s="191" t="s">
        <v>880</v>
      </c>
      <c r="C168" s="191" t="s">
        <v>59</v>
      </c>
      <c r="D168" s="191" t="s">
        <v>200</v>
      </c>
      <c r="E168" s="191" t="s">
        <v>120</v>
      </c>
      <c r="F168" s="191"/>
      <c r="G168" s="191" t="s">
        <v>121</v>
      </c>
      <c r="H168" s="192">
        <v>2.5000000000000001E-2</v>
      </c>
      <c r="I168" s="244">
        <v>28.52</v>
      </c>
      <c r="J168" s="244">
        <v>0.71</v>
      </c>
    </row>
    <row r="169" spans="1:10" ht="71.25" x14ac:dyDescent="0.25">
      <c r="A169" s="191" t="s">
        <v>62</v>
      </c>
      <c r="B169" s="191" t="s">
        <v>881</v>
      </c>
      <c r="C169" s="191" t="s">
        <v>59</v>
      </c>
      <c r="D169" s="191" t="s">
        <v>201</v>
      </c>
      <c r="E169" s="191" t="s">
        <v>120</v>
      </c>
      <c r="F169" s="191"/>
      <c r="G169" s="191" t="s">
        <v>61</v>
      </c>
      <c r="H169" s="192">
        <v>0.85599999999999998</v>
      </c>
      <c r="I169" s="244">
        <v>0.22</v>
      </c>
      <c r="J169" s="244">
        <v>0.18</v>
      </c>
    </row>
    <row r="170" spans="1:10" x14ac:dyDescent="0.25">
      <c r="A170" s="187"/>
      <c r="B170" s="187"/>
      <c r="C170" s="187"/>
      <c r="D170" s="187"/>
      <c r="E170" s="187" t="s">
        <v>756</v>
      </c>
      <c r="F170" s="188">
        <v>6.74</v>
      </c>
      <c r="G170" s="187" t="s">
        <v>757</v>
      </c>
      <c r="H170" s="188">
        <v>0</v>
      </c>
      <c r="I170" s="242" t="s">
        <v>758</v>
      </c>
      <c r="J170" s="242">
        <v>6.74</v>
      </c>
    </row>
    <row r="171" spans="1:10" x14ac:dyDescent="0.25">
      <c r="A171" s="187"/>
      <c r="B171" s="187"/>
      <c r="C171" s="187"/>
      <c r="D171" s="187"/>
      <c r="E171" s="187" t="s">
        <v>759</v>
      </c>
      <c r="F171" s="188">
        <v>0</v>
      </c>
      <c r="G171" s="187"/>
      <c r="H171" s="187" t="s">
        <v>760</v>
      </c>
      <c r="I171" s="242"/>
      <c r="J171" s="242">
        <v>17.48</v>
      </c>
    </row>
    <row r="172" spans="1:10" x14ac:dyDescent="0.25">
      <c r="A172" s="182"/>
      <c r="B172" s="182"/>
      <c r="C172" s="182"/>
      <c r="D172" s="182"/>
      <c r="E172" s="182"/>
      <c r="F172" s="182"/>
      <c r="G172" s="182" t="s">
        <v>761</v>
      </c>
      <c r="H172" s="189" t="s">
        <v>902</v>
      </c>
      <c r="I172" s="239" t="s">
        <v>763</v>
      </c>
      <c r="J172" s="239">
        <v>1142.49</v>
      </c>
    </row>
    <row r="173" spans="1:10" x14ac:dyDescent="0.25">
      <c r="A173" s="183"/>
      <c r="B173" s="183"/>
      <c r="C173" s="183"/>
      <c r="D173" s="183"/>
      <c r="E173" s="183"/>
      <c r="F173" s="183"/>
      <c r="G173" s="183"/>
      <c r="H173" s="183"/>
      <c r="I173" s="240"/>
      <c r="J173" s="240"/>
    </row>
    <row r="174" spans="1:10" x14ac:dyDescent="0.25">
      <c r="A174" s="182" t="s">
        <v>903</v>
      </c>
      <c r="B174" s="182" t="s">
        <v>66</v>
      </c>
      <c r="C174" s="182" t="s">
        <v>64</v>
      </c>
      <c r="D174" s="182" t="s">
        <v>67</v>
      </c>
      <c r="E174" s="182" t="s">
        <v>65</v>
      </c>
      <c r="F174" s="182"/>
      <c r="G174" s="182" t="s">
        <v>744</v>
      </c>
      <c r="H174" s="182" t="s">
        <v>69</v>
      </c>
      <c r="I174" s="239" t="s">
        <v>745</v>
      </c>
      <c r="J174" s="239" t="s">
        <v>0</v>
      </c>
    </row>
    <row r="175" spans="1:10" ht="42.75" x14ac:dyDescent="0.25">
      <c r="A175" s="183" t="s">
        <v>58</v>
      </c>
      <c r="B175" s="183" t="s">
        <v>904</v>
      </c>
      <c r="C175" s="183" t="s">
        <v>59</v>
      </c>
      <c r="D175" s="183" t="s">
        <v>905</v>
      </c>
      <c r="E175" s="183" t="s">
        <v>901</v>
      </c>
      <c r="F175" s="183"/>
      <c r="G175" s="183" t="s">
        <v>121</v>
      </c>
      <c r="H175" s="184">
        <v>1</v>
      </c>
      <c r="I175" s="240">
        <v>13.23</v>
      </c>
      <c r="J175" s="240">
        <v>13.23</v>
      </c>
    </row>
    <row r="176" spans="1:10" ht="28.5" x14ac:dyDescent="0.25">
      <c r="A176" s="185" t="s">
        <v>119</v>
      </c>
      <c r="B176" s="185" t="s">
        <v>875</v>
      </c>
      <c r="C176" s="185" t="s">
        <v>59</v>
      </c>
      <c r="D176" s="185" t="s">
        <v>203</v>
      </c>
      <c r="E176" s="185" t="s">
        <v>754</v>
      </c>
      <c r="F176" s="185"/>
      <c r="G176" s="185" t="s">
        <v>60</v>
      </c>
      <c r="H176" s="186">
        <v>0.11600000000000001</v>
      </c>
      <c r="I176" s="241">
        <v>31.91</v>
      </c>
      <c r="J176" s="241">
        <v>3.7</v>
      </c>
    </row>
    <row r="177" spans="1:10" ht="28.5" x14ac:dyDescent="0.25">
      <c r="A177" s="185" t="s">
        <v>119</v>
      </c>
      <c r="B177" s="185" t="s">
        <v>876</v>
      </c>
      <c r="C177" s="185" t="s">
        <v>59</v>
      </c>
      <c r="D177" s="185" t="s">
        <v>199</v>
      </c>
      <c r="E177" s="185" t="s">
        <v>754</v>
      </c>
      <c r="F177" s="185"/>
      <c r="G177" s="185" t="s">
        <v>60</v>
      </c>
      <c r="H177" s="186">
        <v>4.3999999999999997E-2</v>
      </c>
      <c r="I177" s="241">
        <v>22.71</v>
      </c>
      <c r="J177" s="241">
        <v>0.99</v>
      </c>
    </row>
    <row r="178" spans="1:10" ht="42.75" x14ac:dyDescent="0.25">
      <c r="A178" s="185" t="s">
        <v>119</v>
      </c>
      <c r="B178" s="185" t="s">
        <v>886</v>
      </c>
      <c r="C178" s="185" t="s">
        <v>59</v>
      </c>
      <c r="D178" s="185" t="s">
        <v>887</v>
      </c>
      <c r="E178" s="185" t="s">
        <v>879</v>
      </c>
      <c r="F178" s="185"/>
      <c r="G178" s="185" t="s">
        <v>121</v>
      </c>
      <c r="H178" s="186">
        <v>1</v>
      </c>
      <c r="I178" s="241">
        <v>7.73</v>
      </c>
      <c r="J178" s="241">
        <v>7.73</v>
      </c>
    </row>
    <row r="179" spans="1:10" ht="71.25" x14ac:dyDescent="0.25">
      <c r="A179" s="191" t="s">
        <v>62</v>
      </c>
      <c r="B179" s="191" t="s">
        <v>881</v>
      </c>
      <c r="C179" s="191" t="s">
        <v>59</v>
      </c>
      <c r="D179" s="191" t="s">
        <v>201</v>
      </c>
      <c r="E179" s="191" t="s">
        <v>120</v>
      </c>
      <c r="F179" s="191"/>
      <c r="G179" s="191" t="s">
        <v>61</v>
      </c>
      <c r="H179" s="192">
        <v>0.48</v>
      </c>
      <c r="I179" s="244">
        <v>0.22</v>
      </c>
      <c r="J179" s="244">
        <v>0.1</v>
      </c>
    </row>
    <row r="180" spans="1:10" ht="42.75" x14ac:dyDescent="0.25">
      <c r="A180" s="191" t="s">
        <v>62</v>
      </c>
      <c r="B180" s="191" t="s">
        <v>880</v>
      </c>
      <c r="C180" s="191" t="s">
        <v>59</v>
      </c>
      <c r="D180" s="191" t="s">
        <v>200</v>
      </c>
      <c r="E180" s="191" t="s">
        <v>120</v>
      </c>
      <c r="F180" s="191"/>
      <c r="G180" s="191" t="s">
        <v>121</v>
      </c>
      <c r="H180" s="192">
        <v>2.5000000000000001E-2</v>
      </c>
      <c r="I180" s="244">
        <v>28.52</v>
      </c>
      <c r="J180" s="244">
        <v>0.71</v>
      </c>
    </row>
    <row r="181" spans="1:10" x14ac:dyDescent="0.25">
      <c r="A181" s="187"/>
      <c r="B181" s="187"/>
      <c r="C181" s="187"/>
      <c r="D181" s="187"/>
      <c r="E181" s="187" t="s">
        <v>756</v>
      </c>
      <c r="F181" s="188">
        <v>3.72</v>
      </c>
      <c r="G181" s="187" t="s">
        <v>757</v>
      </c>
      <c r="H181" s="188">
        <v>0</v>
      </c>
      <c r="I181" s="242" t="s">
        <v>758</v>
      </c>
      <c r="J181" s="242">
        <v>3.72</v>
      </c>
    </row>
    <row r="182" spans="1:10" x14ac:dyDescent="0.25">
      <c r="A182" s="187"/>
      <c r="B182" s="187"/>
      <c r="C182" s="187"/>
      <c r="D182" s="187"/>
      <c r="E182" s="187" t="s">
        <v>759</v>
      </c>
      <c r="F182" s="188">
        <v>0</v>
      </c>
      <c r="G182" s="187"/>
      <c r="H182" s="187" t="s">
        <v>760</v>
      </c>
      <c r="I182" s="242"/>
      <c r="J182" s="242">
        <v>13.23</v>
      </c>
    </row>
    <row r="183" spans="1:10" x14ac:dyDescent="0.25">
      <c r="A183" s="182"/>
      <c r="B183" s="182"/>
      <c r="C183" s="182"/>
      <c r="D183" s="182"/>
      <c r="E183" s="182"/>
      <c r="F183" s="182"/>
      <c r="G183" s="182" t="s">
        <v>761</v>
      </c>
      <c r="H183" s="189" t="s">
        <v>906</v>
      </c>
      <c r="I183" s="239" t="s">
        <v>763</v>
      </c>
      <c r="J183" s="239">
        <v>719.31</v>
      </c>
    </row>
    <row r="184" spans="1:10" x14ac:dyDescent="0.25">
      <c r="A184" s="183"/>
      <c r="B184" s="183"/>
      <c r="C184" s="183"/>
      <c r="D184" s="183"/>
      <c r="E184" s="183"/>
      <c r="F184" s="183"/>
      <c r="G184" s="183"/>
      <c r="H184" s="183"/>
      <c r="I184" s="240"/>
      <c r="J184" s="240"/>
    </row>
    <row r="185" spans="1:10" x14ac:dyDescent="0.25">
      <c r="A185" s="182" t="s">
        <v>907</v>
      </c>
      <c r="B185" s="182" t="s">
        <v>66</v>
      </c>
      <c r="C185" s="182" t="s">
        <v>64</v>
      </c>
      <c r="D185" s="182" t="s">
        <v>67</v>
      </c>
      <c r="E185" s="182" t="s">
        <v>65</v>
      </c>
      <c r="F185" s="182"/>
      <c r="G185" s="182" t="s">
        <v>744</v>
      </c>
      <c r="H185" s="182" t="s">
        <v>69</v>
      </c>
      <c r="I185" s="239" t="s">
        <v>745</v>
      </c>
      <c r="J185" s="239" t="s">
        <v>0</v>
      </c>
    </row>
    <row r="186" spans="1:10" ht="85.5" x14ac:dyDescent="0.25">
      <c r="A186" s="183" t="s">
        <v>58</v>
      </c>
      <c r="B186" s="183" t="s">
        <v>893</v>
      </c>
      <c r="C186" s="183" t="s">
        <v>59</v>
      </c>
      <c r="D186" s="183" t="s">
        <v>195</v>
      </c>
      <c r="E186" s="183" t="s">
        <v>821</v>
      </c>
      <c r="F186" s="183"/>
      <c r="G186" s="183" t="s">
        <v>191</v>
      </c>
      <c r="H186" s="184">
        <v>1</v>
      </c>
      <c r="I186" s="240">
        <v>526.74</v>
      </c>
      <c r="J186" s="240">
        <v>526.74</v>
      </c>
    </row>
    <row r="187" spans="1:10" ht="57" x14ac:dyDescent="0.25">
      <c r="A187" s="185" t="s">
        <v>119</v>
      </c>
      <c r="B187" s="185" t="s">
        <v>908</v>
      </c>
      <c r="C187" s="185" t="s">
        <v>59</v>
      </c>
      <c r="D187" s="185" t="s">
        <v>196</v>
      </c>
      <c r="E187" s="185" t="s">
        <v>754</v>
      </c>
      <c r="F187" s="185"/>
      <c r="G187" s="185" t="s">
        <v>60</v>
      </c>
      <c r="H187" s="186">
        <v>1.2501</v>
      </c>
      <c r="I187" s="241">
        <v>20.58</v>
      </c>
      <c r="J187" s="241">
        <v>25.72</v>
      </c>
    </row>
    <row r="188" spans="1:10" ht="85.5" x14ac:dyDescent="0.25">
      <c r="A188" s="185" t="s">
        <v>119</v>
      </c>
      <c r="B188" s="185" t="s">
        <v>909</v>
      </c>
      <c r="C188" s="185" t="s">
        <v>59</v>
      </c>
      <c r="D188" s="185" t="s">
        <v>198</v>
      </c>
      <c r="E188" s="185" t="s">
        <v>807</v>
      </c>
      <c r="F188" s="185"/>
      <c r="G188" s="185" t="s">
        <v>117</v>
      </c>
      <c r="H188" s="186">
        <v>0.64339999999999997</v>
      </c>
      <c r="I188" s="241">
        <v>5.53</v>
      </c>
      <c r="J188" s="241">
        <v>3.55</v>
      </c>
    </row>
    <row r="189" spans="1:10" ht="28.5" x14ac:dyDescent="0.25">
      <c r="A189" s="185" t="s">
        <v>119</v>
      </c>
      <c r="B189" s="185" t="s">
        <v>769</v>
      </c>
      <c r="C189" s="185" t="s">
        <v>59</v>
      </c>
      <c r="D189" s="185" t="s">
        <v>115</v>
      </c>
      <c r="E189" s="185" t="s">
        <v>754</v>
      </c>
      <c r="F189" s="185"/>
      <c r="G189" s="185" t="s">
        <v>60</v>
      </c>
      <c r="H189" s="186">
        <v>1.9792000000000001</v>
      </c>
      <c r="I189" s="241">
        <v>22.42</v>
      </c>
      <c r="J189" s="241">
        <v>44.37</v>
      </c>
    </row>
    <row r="190" spans="1:10" ht="85.5" x14ac:dyDescent="0.25">
      <c r="A190" s="185" t="s">
        <v>119</v>
      </c>
      <c r="B190" s="185" t="s">
        <v>910</v>
      </c>
      <c r="C190" s="185" t="s">
        <v>59</v>
      </c>
      <c r="D190" s="185" t="s">
        <v>197</v>
      </c>
      <c r="E190" s="185" t="s">
        <v>807</v>
      </c>
      <c r="F190" s="185"/>
      <c r="G190" s="185" t="s">
        <v>125</v>
      </c>
      <c r="H190" s="186">
        <v>0.60670000000000002</v>
      </c>
      <c r="I190" s="241">
        <v>1.52</v>
      </c>
      <c r="J190" s="241">
        <v>0.92</v>
      </c>
    </row>
    <row r="191" spans="1:10" ht="28.5" x14ac:dyDescent="0.25">
      <c r="A191" s="191" t="s">
        <v>62</v>
      </c>
      <c r="B191" s="191" t="s">
        <v>911</v>
      </c>
      <c r="C191" s="191" t="s">
        <v>59</v>
      </c>
      <c r="D191" s="191" t="s">
        <v>912</v>
      </c>
      <c r="E191" s="191" t="s">
        <v>120</v>
      </c>
      <c r="F191" s="191"/>
      <c r="G191" s="191" t="s">
        <v>121</v>
      </c>
      <c r="H191" s="192">
        <v>364.94330000000002</v>
      </c>
      <c r="I191" s="244">
        <v>0.74</v>
      </c>
      <c r="J191" s="244">
        <v>270.05</v>
      </c>
    </row>
    <row r="192" spans="1:10" ht="57" x14ac:dyDescent="0.25">
      <c r="A192" s="191" t="s">
        <v>62</v>
      </c>
      <c r="B192" s="191" t="s">
        <v>913</v>
      </c>
      <c r="C192" s="191" t="s">
        <v>59</v>
      </c>
      <c r="D192" s="191" t="s">
        <v>914</v>
      </c>
      <c r="E192" s="191" t="s">
        <v>120</v>
      </c>
      <c r="F192" s="191"/>
      <c r="G192" s="191" t="s">
        <v>191</v>
      </c>
      <c r="H192" s="192">
        <v>0.59719999999999995</v>
      </c>
      <c r="I192" s="244">
        <v>122.27</v>
      </c>
      <c r="J192" s="244">
        <v>73.010000000000005</v>
      </c>
    </row>
    <row r="193" spans="1:10" ht="57" x14ac:dyDescent="0.25">
      <c r="A193" s="191" t="s">
        <v>62</v>
      </c>
      <c r="B193" s="191" t="s">
        <v>915</v>
      </c>
      <c r="C193" s="191" t="s">
        <v>59</v>
      </c>
      <c r="D193" s="191" t="s">
        <v>916</v>
      </c>
      <c r="E193" s="191" t="s">
        <v>120</v>
      </c>
      <c r="F193" s="191"/>
      <c r="G193" s="191" t="s">
        <v>191</v>
      </c>
      <c r="H193" s="192">
        <v>0.72750000000000004</v>
      </c>
      <c r="I193" s="244">
        <v>150</v>
      </c>
      <c r="J193" s="244">
        <v>109.12</v>
      </c>
    </row>
    <row r="194" spans="1:10" x14ac:dyDescent="0.25">
      <c r="A194" s="187"/>
      <c r="B194" s="187"/>
      <c r="C194" s="187"/>
      <c r="D194" s="187"/>
      <c r="E194" s="187" t="s">
        <v>756</v>
      </c>
      <c r="F194" s="188">
        <v>47.5</v>
      </c>
      <c r="G194" s="187" t="s">
        <v>757</v>
      </c>
      <c r="H194" s="188">
        <v>0</v>
      </c>
      <c r="I194" s="242" t="s">
        <v>758</v>
      </c>
      <c r="J194" s="242">
        <v>47.5</v>
      </c>
    </row>
    <row r="195" spans="1:10" x14ac:dyDescent="0.25">
      <c r="A195" s="187"/>
      <c r="B195" s="187"/>
      <c r="C195" s="187"/>
      <c r="D195" s="187"/>
      <c r="E195" s="187" t="s">
        <v>759</v>
      </c>
      <c r="F195" s="188">
        <v>0</v>
      </c>
      <c r="G195" s="187"/>
      <c r="H195" s="187" t="s">
        <v>760</v>
      </c>
      <c r="I195" s="242"/>
      <c r="J195" s="242">
        <v>526.74</v>
      </c>
    </row>
    <row r="196" spans="1:10" x14ac:dyDescent="0.25">
      <c r="A196" s="182"/>
      <c r="B196" s="182"/>
      <c r="C196" s="182"/>
      <c r="D196" s="182"/>
      <c r="E196" s="182"/>
      <c r="F196" s="182"/>
      <c r="G196" s="182" t="s">
        <v>761</v>
      </c>
      <c r="H196" s="189" t="s">
        <v>917</v>
      </c>
      <c r="I196" s="239" t="s">
        <v>763</v>
      </c>
      <c r="J196" s="239">
        <v>4161.24</v>
      </c>
    </row>
    <row r="197" spans="1:10" x14ac:dyDescent="0.25">
      <c r="A197" s="183"/>
      <c r="B197" s="183"/>
      <c r="C197" s="183"/>
      <c r="D197" s="183"/>
      <c r="E197" s="183"/>
      <c r="F197" s="183"/>
      <c r="G197" s="183"/>
      <c r="H197" s="183"/>
      <c r="I197" s="240"/>
      <c r="J197" s="240"/>
    </row>
    <row r="198" spans="1:10" x14ac:dyDescent="0.25">
      <c r="A198" s="182" t="s">
        <v>918</v>
      </c>
      <c r="B198" s="182" t="s">
        <v>66</v>
      </c>
      <c r="C198" s="182" t="s">
        <v>64</v>
      </c>
      <c r="D198" s="182" t="s">
        <v>67</v>
      </c>
      <c r="E198" s="182" t="s">
        <v>65</v>
      </c>
      <c r="F198" s="182"/>
      <c r="G198" s="182" t="s">
        <v>744</v>
      </c>
      <c r="H198" s="182" t="s">
        <v>69</v>
      </c>
      <c r="I198" s="239" t="s">
        <v>745</v>
      </c>
      <c r="J198" s="239" t="s">
        <v>0</v>
      </c>
    </row>
    <row r="199" spans="1:10" ht="57" x14ac:dyDescent="0.25">
      <c r="A199" s="183" t="s">
        <v>58</v>
      </c>
      <c r="B199" s="183" t="s">
        <v>919</v>
      </c>
      <c r="C199" s="183" t="s">
        <v>59</v>
      </c>
      <c r="D199" s="183" t="s">
        <v>920</v>
      </c>
      <c r="E199" s="183" t="s">
        <v>921</v>
      </c>
      <c r="F199" s="183"/>
      <c r="G199" s="183" t="s">
        <v>191</v>
      </c>
      <c r="H199" s="184">
        <v>1</v>
      </c>
      <c r="I199" s="240">
        <v>324.68</v>
      </c>
      <c r="J199" s="240">
        <v>324.68</v>
      </c>
    </row>
    <row r="200" spans="1:10" ht="28.5" x14ac:dyDescent="0.25">
      <c r="A200" s="185" t="s">
        <v>119</v>
      </c>
      <c r="B200" s="185" t="s">
        <v>773</v>
      </c>
      <c r="C200" s="185" t="s">
        <v>59</v>
      </c>
      <c r="D200" s="185" t="s">
        <v>122</v>
      </c>
      <c r="E200" s="185" t="s">
        <v>754</v>
      </c>
      <c r="F200" s="185"/>
      <c r="G200" s="185" t="s">
        <v>60</v>
      </c>
      <c r="H200" s="186">
        <v>2.4590000000000001</v>
      </c>
      <c r="I200" s="241">
        <v>31.69</v>
      </c>
      <c r="J200" s="241">
        <v>77.92</v>
      </c>
    </row>
    <row r="201" spans="1:10" ht="71.25" x14ac:dyDescent="0.25">
      <c r="A201" s="185" t="s">
        <v>119</v>
      </c>
      <c r="B201" s="185" t="s">
        <v>922</v>
      </c>
      <c r="C201" s="185" t="s">
        <v>59</v>
      </c>
      <c r="D201" s="185" t="s">
        <v>204</v>
      </c>
      <c r="E201" s="185" t="s">
        <v>807</v>
      </c>
      <c r="F201" s="185"/>
      <c r="G201" s="185" t="s">
        <v>125</v>
      </c>
      <c r="H201" s="186">
        <v>1.417</v>
      </c>
      <c r="I201" s="241">
        <v>0.56000000000000005</v>
      </c>
      <c r="J201" s="241">
        <v>0.79</v>
      </c>
    </row>
    <row r="202" spans="1:10" ht="71.25" x14ac:dyDescent="0.25">
      <c r="A202" s="185" t="s">
        <v>119</v>
      </c>
      <c r="B202" s="185" t="s">
        <v>923</v>
      </c>
      <c r="C202" s="185" t="s">
        <v>59</v>
      </c>
      <c r="D202" s="185" t="s">
        <v>205</v>
      </c>
      <c r="E202" s="185" t="s">
        <v>807</v>
      </c>
      <c r="F202" s="185"/>
      <c r="G202" s="185" t="s">
        <v>117</v>
      </c>
      <c r="H202" s="186">
        <v>1.042</v>
      </c>
      <c r="I202" s="241">
        <v>1.47</v>
      </c>
      <c r="J202" s="241">
        <v>1.53</v>
      </c>
    </row>
    <row r="203" spans="1:10" ht="28.5" x14ac:dyDescent="0.25">
      <c r="A203" s="185" t="s">
        <v>119</v>
      </c>
      <c r="B203" s="185" t="s">
        <v>769</v>
      </c>
      <c r="C203" s="185" t="s">
        <v>59</v>
      </c>
      <c r="D203" s="185" t="s">
        <v>115</v>
      </c>
      <c r="E203" s="185" t="s">
        <v>754</v>
      </c>
      <c r="F203" s="185"/>
      <c r="G203" s="185" t="s">
        <v>60</v>
      </c>
      <c r="H203" s="186">
        <v>7.3769999999999998</v>
      </c>
      <c r="I203" s="241">
        <v>22.42</v>
      </c>
      <c r="J203" s="241">
        <v>165.39</v>
      </c>
    </row>
    <row r="204" spans="1:10" ht="28.5" x14ac:dyDescent="0.25">
      <c r="A204" s="185" t="s">
        <v>119</v>
      </c>
      <c r="B204" s="185" t="s">
        <v>894</v>
      </c>
      <c r="C204" s="185" t="s">
        <v>59</v>
      </c>
      <c r="D204" s="185" t="s">
        <v>126</v>
      </c>
      <c r="E204" s="185" t="s">
        <v>754</v>
      </c>
      <c r="F204" s="185"/>
      <c r="G204" s="185" t="s">
        <v>60</v>
      </c>
      <c r="H204" s="186">
        <v>2.4590000000000001</v>
      </c>
      <c r="I204" s="241">
        <v>32.15</v>
      </c>
      <c r="J204" s="241">
        <v>79.05</v>
      </c>
    </row>
    <row r="205" spans="1:10" x14ac:dyDescent="0.25">
      <c r="A205" s="187"/>
      <c r="B205" s="187"/>
      <c r="C205" s="187"/>
      <c r="D205" s="187"/>
      <c r="E205" s="187" t="s">
        <v>756</v>
      </c>
      <c r="F205" s="188">
        <v>231.22</v>
      </c>
      <c r="G205" s="187" t="s">
        <v>757</v>
      </c>
      <c r="H205" s="188">
        <v>0</v>
      </c>
      <c r="I205" s="242" t="s">
        <v>758</v>
      </c>
      <c r="J205" s="242">
        <v>231.22</v>
      </c>
    </row>
    <row r="206" spans="1:10" x14ac:dyDescent="0.25">
      <c r="A206" s="187"/>
      <c r="B206" s="187"/>
      <c r="C206" s="187"/>
      <c r="D206" s="187"/>
      <c r="E206" s="187" t="s">
        <v>759</v>
      </c>
      <c r="F206" s="188">
        <v>0</v>
      </c>
      <c r="G206" s="187"/>
      <c r="H206" s="187" t="s">
        <v>760</v>
      </c>
      <c r="I206" s="242"/>
      <c r="J206" s="242">
        <v>324.68</v>
      </c>
    </row>
    <row r="207" spans="1:10" x14ac:dyDescent="0.25">
      <c r="A207" s="182"/>
      <c r="B207" s="182"/>
      <c r="C207" s="182"/>
      <c r="D207" s="182"/>
      <c r="E207" s="182"/>
      <c r="F207" s="182"/>
      <c r="G207" s="182" t="s">
        <v>761</v>
      </c>
      <c r="H207" s="189" t="s">
        <v>917</v>
      </c>
      <c r="I207" s="239" t="s">
        <v>763</v>
      </c>
      <c r="J207" s="239">
        <v>2564.9699999999998</v>
      </c>
    </row>
    <row r="208" spans="1:10" x14ac:dyDescent="0.25">
      <c r="A208" s="183"/>
      <c r="B208" s="183"/>
      <c r="C208" s="183"/>
      <c r="D208" s="183"/>
      <c r="E208" s="183"/>
      <c r="F208" s="183"/>
      <c r="G208" s="183"/>
      <c r="H208" s="183"/>
      <c r="I208" s="240"/>
      <c r="J208" s="240"/>
    </row>
    <row r="209" spans="1:10" x14ac:dyDescent="0.25">
      <c r="A209" s="182" t="s">
        <v>924</v>
      </c>
      <c r="B209" s="182" t="s">
        <v>66</v>
      </c>
      <c r="C209" s="182" t="s">
        <v>64</v>
      </c>
      <c r="D209" s="182" t="s">
        <v>67</v>
      </c>
      <c r="E209" s="182" t="s">
        <v>65</v>
      </c>
      <c r="F209" s="182"/>
      <c r="G209" s="182" t="s">
        <v>744</v>
      </c>
      <c r="H209" s="182" t="s">
        <v>69</v>
      </c>
      <c r="I209" s="239" t="s">
        <v>745</v>
      </c>
      <c r="J209" s="239" t="s">
        <v>0</v>
      </c>
    </row>
    <row r="210" spans="1:10" ht="99.75" x14ac:dyDescent="0.25">
      <c r="A210" s="183" t="s">
        <v>58</v>
      </c>
      <c r="B210" s="183" t="s">
        <v>925</v>
      </c>
      <c r="C210" s="183" t="s">
        <v>59</v>
      </c>
      <c r="D210" s="183" t="s">
        <v>926</v>
      </c>
      <c r="E210" s="183" t="s">
        <v>901</v>
      </c>
      <c r="F210" s="183"/>
      <c r="G210" s="183" t="s">
        <v>191</v>
      </c>
      <c r="H210" s="184">
        <v>1</v>
      </c>
      <c r="I210" s="240">
        <v>41.43</v>
      </c>
      <c r="J210" s="240">
        <v>41.43</v>
      </c>
    </row>
    <row r="211" spans="1:10" ht="128.25" x14ac:dyDescent="0.25">
      <c r="A211" s="185" t="s">
        <v>119</v>
      </c>
      <c r="B211" s="185" t="s">
        <v>927</v>
      </c>
      <c r="C211" s="185" t="s">
        <v>59</v>
      </c>
      <c r="D211" s="185" t="s">
        <v>174</v>
      </c>
      <c r="E211" s="185" t="s">
        <v>807</v>
      </c>
      <c r="F211" s="185"/>
      <c r="G211" s="185" t="s">
        <v>125</v>
      </c>
      <c r="H211" s="186">
        <v>9.6000000000000002E-2</v>
      </c>
      <c r="I211" s="241">
        <v>63.7</v>
      </c>
      <c r="J211" s="241">
        <v>6.11</v>
      </c>
    </row>
    <row r="212" spans="1:10" ht="28.5" x14ac:dyDescent="0.25">
      <c r="A212" s="185" t="s">
        <v>119</v>
      </c>
      <c r="B212" s="185" t="s">
        <v>769</v>
      </c>
      <c r="C212" s="185" t="s">
        <v>59</v>
      </c>
      <c r="D212" s="185" t="s">
        <v>115</v>
      </c>
      <c r="E212" s="185" t="s">
        <v>754</v>
      </c>
      <c r="F212" s="185"/>
      <c r="G212" s="185" t="s">
        <v>60</v>
      </c>
      <c r="H212" s="186">
        <v>0.16600000000000001</v>
      </c>
      <c r="I212" s="241">
        <v>22.42</v>
      </c>
      <c r="J212" s="241">
        <v>3.72</v>
      </c>
    </row>
    <row r="213" spans="1:10" ht="128.25" x14ac:dyDescent="0.25">
      <c r="A213" s="185" t="s">
        <v>119</v>
      </c>
      <c r="B213" s="185" t="s">
        <v>928</v>
      </c>
      <c r="C213" s="185" t="s">
        <v>59</v>
      </c>
      <c r="D213" s="185" t="s">
        <v>175</v>
      </c>
      <c r="E213" s="185" t="s">
        <v>807</v>
      </c>
      <c r="F213" s="185"/>
      <c r="G213" s="185" t="s">
        <v>117</v>
      </c>
      <c r="H213" s="186">
        <v>0.192</v>
      </c>
      <c r="I213" s="241">
        <v>147.06</v>
      </c>
      <c r="J213" s="241">
        <v>28.23</v>
      </c>
    </row>
    <row r="214" spans="1:10" ht="28.5" x14ac:dyDescent="0.25">
      <c r="A214" s="185" t="s">
        <v>119</v>
      </c>
      <c r="B214" s="185" t="s">
        <v>894</v>
      </c>
      <c r="C214" s="185" t="s">
        <v>59</v>
      </c>
      <c r="D214" s="185" t="s">
        <v>126</v>
      </c>
      <c r="E214" s="185" t="s">
        <v>754</v>
      </c>
      <c r="F214" s="185"/>
      <c r="G214" s="185" t="s">
        <v>60</v>
      </c>
      <c r="H214" s="186">
        <v>0.105</v>
      </c>
      <c r="I214" s="241">
        <v>32.15</v>
      </c>
      <c r="J214" s="241">
        <v>3.37</v>
      </c>
    </row>
    <row r="215" spans="1:10" x14ac:dyDescent="0.25">
      <c r="A215" s="187"/>
      <c r="B215" s="187"/>
      <c r="C215" s="187"/>
      <c r="D215" s="187"/>
      <c r="E215" s="187" t="s">
        <v>756</v>
      </c>
      <c r="F215" s="188">
        <v>12.09</v>
      </c>
      <c r="G215" s="187" t="s">
        <v>757</v>
      </c>
      <c r="H215" s="188">
        <v>0</v>
      </c>
      <c r="I215" s="242" t="s">
        <v>758</v>
      </c>
      <c r="J215" s="242">
        <v>12.09</v>
      </c>
    </row>
    <row r="216" spans="1:10" x14ac:dyDescent="0.25">
      <c r="A216" s="187"/>
      <c r="B216" s="187"/>
      <c r="C216" s="187"/>
      <c r="D216" s="187"/>
      <c r="E216" s="187" t="s">
        <v>759</v>
      </c>
      <c r="F216" s="188">
        <v>0</v>
      </c>
      <c r="G216" s="187"/>
      <c r="H216" s="187" t="s">
        <v>760</v>
      </c>
      <c r="I216" s="242"/>
      <c r="J216" s="242">
        <v>41.43</v>
      </c>
    </row>
    <row r="217" spans="1:10" x14ac:dyDescent="0.25">
      <c r="A217" s="182"/>
      <c r="B217" s="182"/>
      <c r="C217" s="182"/>
      <c r="D217" s="182"/>
      <c r="E217" s="182"/>
      <c r="F217" s="182"/>
      <c r="G217" s="182" t="s">
        <v>761</v>
      </c>
      <c r="H217" s="189" t="s">
        <v>929</v>
      </c>
      <c r="I217" s="239" t="s">
        <v>763</v>
      </c>
      <c r="J217" s="239">
        <v>1377.96</v>
      </c>
    </row>
    <row r="218" spans="1:10" x14ac:dyDescent="0.25">
      <c r="A218" s="183"/>
      <c r="B218" s="183"/>
      <c r="C218" s="183"/>
      <c r="D218" s="183"/>
      <c r="E218" s="183"/>
      <c r="F218" s="183"/>
      <c r="G218" s="183"/>
      <c r="H218" s="183"/>
      <c r="I218" s="240"/>
      <c r="J218" s="240"/>
    </row>
    <row r="219" spans="1:10" x14ac:dyDescent="0.25">
      <c r="A219" s="182" t="s">
        <v>930</v>
      </c>
      <c r="B219" s="182" t="s">
        <v>66</v>
      </c>
      <c r="C219" s="182" t="s">
        <v>64</v>
      </c>
      <c r="D219" s="182" t="s">
        <v>67</v>
      </c>
      <c r="E219" s="182" t="s">
        <v>65</v>
      </c>
      <c r="F219" s="182"/>
      <c r="G219" s="182" t="s">
        <v>744</v>
      </c>
      <c r="H219" s="182" t="s">
        <v>69</v>
      </c>
      <c r="I219" s="239" t="s">
        <v>745</v>
      </c>
      <c r="J219" s="239" t="s">
        <v>0</v>
      </c>
    </row>
    <row r="220" spans="1:10" ht="28.5" x14ac:dyDescent="0.25">
      <c r="A220" s="183" t="s">
        <v>58</v>
      </c>
      <c r="B220" s="183" t="s">
        <v>931</v>
      </c>
      <c r="C220" s="183" t="s">
        <v>785</v>
      </c>
      <c r="D220" s="183" t="s">
        <v>932</v>
      </c>
      <c r="E220" s="183">
        <v>509</v>
      </c>
      <c r="F220" s="183"/>
      <c r="G220" s="183" t="s">
        <v>191</v>
      </c>
      <c r="H220" s="184">
        <v>1</v>
      </c>
      <c r="I220" s="240">
        <v>34.35</v>
      </c>
      <c r="J220" s="240">
        <v>34.35</v>
      </c>
    </row>
    <row r="221" spans="1:10" ht="28.5" x14ac:dyDescent="0.25">
      <c r="A221" s="191" t="s">
        <v>62</v>
      </c>
      <c r="B221" s="191" t="s">
        <v>799</v>
      </c>
      <c r="C221" s="191" t="s">
        <v>785</v>
      </c>
      <c r="D221" s="191" t="s">
        <v>188</v>
      </c>
      <c r="E221" s="191" t="s">
        <v>124</v>
      </c>
      <c r="F221" s="191"/>
      <c r="G221" s="191" t="s">
        <v>60</v>
      </c>
      <c r="H221" s="192">
        <v>1.7</v>
      </c>
      <c r="I221" s="244">
        <v>20.21</v>
      </c>
      <c r="J221" s="244">
        <v>34.35</v>
      </c>
    </row>
    <row r="222" spans="1:10" x14ac:dyDescent="0.25">
      <c r="A222" s="187"/>
      <c r="B222" s="187"/>
      <c r="C222" s="187"/>
      <c r="D222" s="187"/>
      <c r="E222" s="187" t="s">
        <v>756</v>
      </c>
      <c r="F222" s="188">
        <v>34.35</v>
      </c>
      <c r="G222" s="187" t="s">
        <v>757</v>
      </c>
      <c r="H222" s="188">
        <v>0</v>
      </c>
      <c r="I222" s="242" t="s">
        <v>758</v>
      </c>
      <c r="J222" s="242">
        <v>34.35</v>
      </c>
    </row>
    <row r="223" spans="1:10" x14ac:dyDescent="0.25">
      <c r="A223" s="187"/>
      <c r="B223" s="187"/>
      <c r="C223" s="187"/>
      <c r="D223" s="187"/>
      <c r="E223" s="187" t="s">
        <v>759</v>
      </c>
      <c r="F223" s="188">
        <v>0</v>
      </c>
      <c r="G223" s="187"/>
      <c r="H223" s="187" t="s">
        <v>760</v>
      </c>
      <c r="I223" s="242"/>
      <c r="J223" s="242">
        <v>34.35</v>
      </c>
    </row>
    <row r="224" spans="1:10" x14ac:dyDescent="0.25">
      <c r="A224" s="182"/>
      <c r="B224" s="182"/>
      <c r="C224" s="182"/>
      <c r="D224" s="182"/>
      <c r="E224" s="182"/>
      <c r="F224" s="182"/>
      <c r="G224" s="182" t="s">
        <v>761</v>
      </c>
      <c r="H224" s="189" t="s">
        <v>933</v>
      </c>
      <c r="I224" s="239" t="s">
        <v>763</v>
      </c>
      <c r="J224" s="239">
        <v>857.03</v>
      </c>
    </row>
    <row r="225" spans="1:10" x14ac:dyDescent="0.25">
      <c r="A225" s="183"/>
      <c r="B225" s="183"/>
      <c r="C225" s="183"/>
      <c r="D225" s="183"/>
      <c r="E225" s="183"/>
      <c r="F225" s="183"/>
      <c r="G225" s="183"/>
      <c r="H225" s="183"/>
      <c r="I225" s="240"/>
      <c r="J225" s="240"/>
    </row>
    <row r="226" spans="1:10" x14ac:dyDescent="0.25">
      <c r="A226" s="182" t="s">
        <v>934</v>
      </c>
      <c r="B226" s="182" t="s">
        <v>66</v>
      </c>
      <c r="C226" s="182" t="s">
        <v>64</v>
      </c>
      <c r="D226" s="182" t="s">
        <v>67</v>
      </c>
      <c r="E226" s="182" t="s">
        <v>65</v>
      </c>
      <c r="F226" s="182"/>
      <c r="G226" s="182" t="s">
        <v>744</v>
      </c>
      <c r="H226" s="182" t="s">
        <v>69</v>
      </c>
      <c r="I226" s="239" t="s">
        <v>745</v>
      </c>
      <c r="J226" s="239" t="s">
        <v>0</v>
      </c>
    </row>
    <row r="227" spans="1:10" ht="71.25" x14ac:dyDescent="0.25">
      <c r="A227" s="183" t="s">
        <v>58</v>
      </c>
      <c r="B227" s="183" t="s">
        <v>935</v>
      </c>
      <c r="C227" s="183" t="s">
        <v>59</v>
      </c>
      <c r="D227" s="183" t="s">
        <v>936</v>
      </c>
      <c r="E227" s="183" t="s">
        <v>901</v>
      </c>
      <c r="F227" s="183"/>
      <c r="G227" s="183" t="s">
        <v>217</v>
      </c>
      <c r="H227" s="184">
        <v>1</v>
      </c>
      <c r="I227" s="240">
        <v>87.77</v>
      </c>
      <c r="J227" s="240">
        <v>87.77</v>
      </c>
    </row>
    <row r="228" spans="1:10" ht="71.25" x14ac:dyDescent="0.25">
      <c r="A228" s="185" t="s">
        <v>119</v>
      </c>
      <c r="B228" s="185" t="s">
        <v>817</v>
      </c>
      <c r="C228" s="185" t="s">
        <v>59</v>
      </c>
      <c r="D228" s="185" t="s">
        <v>208</v>
      </c>
      <c r="E228" s="185" t="s">
        <v>807</v>
      </c>
      <c r="F228" s="185"/>
      <c r="G228" s="185" t="s">
        <v>117</v>
      </c>
      <c r="H228" s="186">
        <v>1.0999999999999999E-2</v>
      </c>
      <c r="I228" s="241">
        <v>25.46</v>
      </c>
      <c r="J228" s="241">
        <v>0.28000000000000003</v>
      </c>
    </row>
    <row r="229" spans="1:10" ht="28.5" x14ac:dyDescent="0.25">
      <c r="A229" s="185" t="s">
        <v>119</v>
      </c>
      <c r="B229" s="185" t="s">
        <v>773</v>
      </c>
      <c r="C229" s="185" t="s">
        <v>59</v>
      </c>
      <c r="D229" s="185" t="s">
        <v>122</v>
      </c>
      <c r="E229" s="185" t="s">
        <v>754</v>
      </c>
      <c r="F229" s="185"/>
      <c r="G229" s="185" t="s">
        <v>60</v>
      </c>
      <c r="H229" s="186">
        <v>1.3340000000000001</v>
      </c>
      <c r="I229" s="241">
        <v>31.69</v>
      </c>
      <c r="J229" s="241">
        <v>42.27</v>
      </c>
    </row>
    <row r="230" spans="1:10" ht="42.75" x14ac:dyDescent="0.25">
      <c r="A230" s="185" t="s">
        <v>119</v>
      </c>
      <c r="B230" s="185" t="s">
        <v>822</v>
      </c>
      <c r="C230" s="185" t="s">
        <v>59</v>
      </c>
      <c r="D230" s="185" t="s">
        <v>206</v>
      </c>
      <c r="E230" s="185" t="s">
        <v>754</v>
      </c>
      <c r="F230" s="185"/>
      <c r="G230" s="185" t="s">
        <v>60</v>
      </c>
      <c r="H230" s="186">
        <v>0.58799999999999997</v>
      </c>
      <c r="I230" s="241">
        <v>22.54</v>
      </c>
      <c r="J230" s="241">
        <v>13.25</v>
      </c>
    </row>
    <row r="231" spans="1:10" ht="71.25" x14ac:dyDescent="0.25">
      <c r="A231" s="185" t="s">
        <v>119</v>
      </c>
      <c r="B231" s="185" t="s">
        <v>818</v>
      </c>
      <c r="C231" s="185" t="s">
        <v>59</v>
      </c>
      <c r="D231" s="185" t="s">
        <v>207</v>
      </c>
      <c r="E231" s="185" t="s">
        <v>807</v>
      </c>
      <c r="F231" s="185"/>
      <c r="G231" s="185" t="s">
        <v>125</v>
      </c>
      <c r="H231" s="186">
        <v>4.3999999999999997E-2</v>
      </c>
      <c r="I231" s="241">
        <v>23.96</v>
      </c>
      <c r="J231" s="241">
        <v>1.05</v>
      </c>
    </row>
    <row r="232" spans="1:10" ht="28.5" x14ac:dyDescent="0.25">
      <c r="A232" s="191" t="s">
        <v>62</v>
      </c>
      <c r="B232" s="191" t="s">
        <v>937</v>
      </c>
      <c r="C232" s="191" t="s">
        <v>59</v>
      </c>
      <c r="D232" s="191" t="s">
        <v>938</v>
      </c>
      <c r="E232" s="191" t="s">
        <v>120</v>
      </c>
      <c r="F232" s="191"/>
      <c r="G232" s="191" t="s">
        <v>121</v>
      </c>
      <c r="H232" s="192">
        <v>1.0999999999999999E-2</v>
      </c>
      <c r="I232" s="244">
        <v>22.74</v>
      </c>
      <c r="J232" s="244">
        <v>0.25</v>
      </c>
    </row>
    <row r="233" spans="1:10" ht="42.75" x14ac:dyDescent="0.25">
      <c r="A233" s="191" t="s">
        <v>62</v>
      </c>
      <c r="B233" s="191" t="s">
        <v>939</v>
      </c>
      <c r="C233" s="191" t="s">
        <v>59</v>
      </c>
      <c r="D233" s="191" t="s">
        <v>940</v>
      </c>
      <c r="E233" s="191" t="s">
        <v>120</v>
      </c>
      <c r="F233" s="191"/>
      <c r="G233" s="191" t="s">
        <v>116</v>
      </c>
      <c r="H233" s="192">
        <v>1.155</v>
      </c>
      <c r="I233" s="244">
        <v>17</v>
      </c>
      <c r="J233" s="244">
        <v>19.63</v>
      </c>
    </row>
    <row r="234" spans="1:10" ht="42.75" x14ac:dyDescent="0.25">
      <c r="A234" s="191" t="s">
        <v>62</v>
      </c>
      <c r="B234" s="191" t="s">
        <v>941</v>
      </c>
      <c r="C234" s="191" t="s">
        <v>59</v>
      </c>
      <c r="D234" s="191" t="s">
        <v>128</v>
      </c>
      <c r="E234" s="191" t="s">
        <v>120</v>
      </c>
      <c r="F234" s="191"/>
      <c r="G234" s="191" t="s">
        <v>116</v>
      </c>
      <c r="H234" s="192">
        <v>0.92400000000000004</v>
      </c>
      <c r="I234" s="244">
        <v>3.58</v>
      </c>
      <c r="J234" s="244">
        <v>3.3</v>
      </c>
    </row>
    <row r="235" spans="1:10" ht="42.75" x14ac:dyDescent="0.25">
      <c r="A235" s="191" t="s">
        <v>62</v>
      </c>
      <c r="B235" s="191" t="s">
        <v>942</v>
      </c>
      <c r="C235" s="191" t="s">
        <v>59</v>
      </c>
      <c r="D235" s="191" t="s">
        <v>943</v>
      </c>
      <c r="E235" s="191" t="s">
        <v>120</v>
      </c>
      <c r="F235" s="191"/>
      <c r="G235" s="191" t="s">
        <v>121</v>
      </c>
      <c r="H235" s="192">
        <v>2.9000000000000001E-2</v>
      </c>
      <c r="I235" s="244">
        <v>25.05</v>
      </c>
      <c r="J235" s="244">
        <v>0.72</v>
      </c>
    </row>
    <row r="236" spans="1:10" ht="57" x14ac:dyDescent="0.25">
      <c r="A236" s="191" t="s">
        <v>62</v>
      </c>
      <c r="B236" s="191" t="s">
        <v>944</v>
      </c>
      <c r="C236" s="191" t="s">
        <v>59</v>
      </c>
      <c r="D236" s="191" t="s">
        <v>171</v>
      </c>
      <c r="E236" s="191" t="s">
        <v>120</v>
      </c>
      <c r="F236" s="191"/>
      <c r="G236" s="191" t="s">
        <v>127</v>
      </c>
      <c r="H236" s="192">
        <v>1.67E-2</v>
      </c>
      <c r="I236" s="244">
        <v>6.99</v>
      </c>
      <c r="J236" s="244">
        <v>0.11</v>
      </c>
    </row>
    <row r="237" spans="1:10" ht="42.75" x14ac:dyDescent="0.25">
      <c r="A237" s="191" t="s">
        <v>62</v>
      </c>
      <c r="B237" s="191" t="s">
        <v>945</v>
      </c>
      <c r="C237" s="191" t="s">
        <v>59</v>
      </c>
      <c r="D237" s="191" t="s">
        <v>173</v>
      </c>
      <c r="E237" s="191" t="s">
        <v>120</v>
      </c>
      <c r="F237" s="191"/>
      <c r="G237" s="191" t="s">
        <v>116</v>
      </c>
      <c r="H237" s="192">
        <v>0.67500000000000004</v>
      </c>
      <c r="I237" s="244">
        <v>10.25</v>
      </c>
      <c r="J237" s="244">
        <v>6.91</v>
      </c>
    </row>
    <row r="238" spans="1:10" x14ac:dyDescent="0.25">
      <c r="A238" s="187"/>
      <c r="B238" s="187"/>
      <c r="C238" s="187"/>
      <c r="D238" s="187"/>
      <c r="E238" s="187" t="s">
        <v>756</v>
      </c>
      <c r="F238" s="188">
        <v>42.46</v>
      </c>
      <c r="G238" s="187" t="s">
        <v>757</v>
      </c>
      <c r="H238" s="188">
        <v>0</v>
      </c>
      <c r="I238" s="242" t="s">
        <v>758</v>
      </c>
      <c r="J238" s="242">
        <v>42.46</v>
      </c>
    </row>
    <row r="239" spans="1:10" x14ac:dyDescent="0.25">
      <c r="A239" s="187"/>
      <c r="B239" s="187"/>
      <c r="C239" s="187"/>
      <c r="D239" s="187"/>
      <c r="E239" s="187" t="s">
        <v>759</v>
      </c>
      <c r="F239" s="188">
        <v>0</v>
      </c>
      <c r="G239" s="187"/>
      <c r="H239" s="187" t="s">
        <v>760</v>
      </c>
      <c r="I239" s="242"/>
      <c r="J239" s="242">
        <v>87.77</v>
      </c>
    </row>
    <row r="240" spans="1:10" x14ac:dyDescent="0.25">
      <c r="A240" s="182"/>
      <c r="B240" s="182"/>
      <c r="C240" s="182"/>
      <c r="D240" s="182"/>
      <c r="E240" s="182"/>
      <c r="F240" s="182"/>
      <c r="G240" s="182" t="s">
        <v>761</v>
      </c>
      <c r="H240" s="189" t="s">
        <v>946</v>
      </c>
      <c r="I240" s="239" t="s">
        <v>763</v>
      </c>
      <c r="J240" s="239">
        <v>4915.12</v>
      </c>
    </row>
    <row r="241" spans="1:10" x14ac:dyDescent="0.25">
      <c r="A241" s="183"/>
      <c r="B241" s="183"/>
      <c r="C241" s="183"/>
      <c r="D241" s="183"/>
      <c r="E241" s="183"/>
      <c r="F241" s="183"/>
      <c r="G241" s="183"/>
      <c r="H241" s="183"/>
      <c r="I241" s="240"/>
      <c r="J241" s="240"/>
    </row>
    <row r="242" spans="1:10" x14ac:dyDescent="0.25">
      <c r="A242" s="190" t="s">
        <v>947</v>
      </c>
      <c r="B242" s="190"/>
      <c r="C242" s="190"/>
      <c r="D242" s="190" t="s">
        <v>288</v>
      </c>
      <c r="E242" s="190"/>
      <c r="F242" s="190"/>
      <c r="G242" s="190"/>
      <c r="H242" s="190"/>
      <c r="I242" s="243"/>
      <c r="J242" s="243">
        <v>27806.53</v>
      </c>
    </row>
    <row r="243" spans="1:10" x14ac:dyDescent="0.25">
      <c r="A243" s="182" t="s">
        <v>948</v>
      </c>
      <c r="B243" s="182" t="s">
        <v>66</v>
      </c>
      <c r="C243" s="182" t="s">
        <v>64</v>
      </c>
      <c r="D243" s="182" t="s">
        <v>67</v>
      </c>
      <c r="E243" s="182" t="s">
        <v>65</v>
      </c>
      <c r="F243" s="182"/>
      <c r="G243" s="182" t="s">
        <v>744</v>
      </c>
      <c r="H243" s="182" t="s">
        <v>69</v>
      </c>
      <c r="I243" s="239" t="s">
        <v>745</v>
      </c>
      <c r="J243" s="239" t="s">
        <v>0</v>
      </c>
    </row>
    <row r="244" spans="1:10" ht="71.25" x14ac:dyDescent="0.25">
      <c r="A244" s="183" t="s">
        <v>58</v>
      </c>
      <c r="B244" s="183" t="s">
        <v>949</v>
      </c>
      <c r="C244" s="183" t="s">
        <v>59</v>
      </c>
      <c r="D244" s="183" t="s">
        <v>950</v>
      </c>
      <c r="E244" s="183" t="s">
        <v>901</v>
      </c>
      <c r="F244" s="183"/>
      <c r="G244" s="183" t="s">
        <v>121</v>
      </c>
      <c r="H244" s="184">
        <v>1</v>
      </c>
      <c r="I244" s="240">
        <v>16.46</v>
      </c>
      <c r="J244" s="240">
        <v>16.46</v>
      </c>
    </row>
    <row r="245" spans="1:10" ht="28.5" x14ac:dyDescent="0.25">
      <c r="A245" s="185" t="s">
        <v>119</v>
      </c>
      <c r="B245" s="185" t="s">
        <v>876</v>
      </c>
      <c r="C245" s="185" t="s">
        <v>59</v>
      </c>
      <c r="D245" s="185" t="s">
        <v>199</v>
      </c>
      <c r="E245" s="185" t="s">
        <v>754</v>
      </c>
      <c r="F245" s="185"/>
      <c r="G245" s="185" t="s">
        <v>60</v>
      </c>
      <c r="H245" s="186">
        <v>6.4000000000000001E-2</v>
      </c>
      <c r="I245" s="241">
        <v>22.71</v>
      </c>
      <c r="J245" s="241">
        <v>1.45</v>
      </c>
    </row>
    <row r="246" spans="1:10" ht="28.5" x14ac:dyDescent="0.25">
      <c r="A246" s="185" t="s">
        <v>119</v>
      </c>
      <c r="B246" s="185" t="s">
        <v>875</v>
      </c>
      <c r="C246" s="185" t="s">
        <v>59</v>
      </c>
      <c r="D246" s="185" t="s">
        <v>203</v>
      </c>
      <c r="E246" s="185" t="s">
        <v>754</v>
      </c>
      <c r="F246" s="185"/>
      <c r="G246" s="185" t="s">
        <v>60</v>
      </c>
      <c r="H246" s="186">
        <v>0.16600000000000001</v>
      </c>
      <c r="I246" s="241">
        <v>31.91</v>
      </c>
      <c r="J246" s="241">
        <v>5.29</v>
      </c>
    </row>
    <row r="247" spans="1:10" ht="28.5" x14ac:dyDescent="0.25">
      <c r="A247" s="185" t="s">
        <v>119</v>
      </c>
      <c r="B247" s="185" t="s">
        <v>951</v>
      </c>
      <c r="C247" s="185" t="s">
        <v>59</v>
      </c>
      <c r="D247" s="185" t="s">
        <v>952</v>
      </c>
      <c r="E247" s="185" t="s">
        <v>879</v>
      </c>
      <c r="F247" s="185"/>
      <c r="G247" s="185" t="s">
        <v>121</v>
      </c>
      <c r="H247" s="186">
        <v>1</v>
      </c>
      <c r="I247" s="241">
        <v>8.83</v>
      </c>
      <c r="J247" s="241">
        <v>8.83</v>
      </c>
    </row>
    <row r="248" spans="1:10" ht="71.25" x14ac:dyDescent="0.25">
      <c r="A248" s="191" t="s">
        <v>62</v>
      </c>
      <c r="B248" s="191" t="s">
        <v>881</v>
      </c>
      <c r="C248" s="191" t="s">
        <v>59</v>
      </c>
      <c r="D248" s="191" t="s">
        <v>201</v>
      </c>
      <c r="E248" s="191" t="s">
        <v>120</v>
      </c>
      <c r="F248" s="191"/>
      <c r="G248" s="191" t="s">
        <v>61</v>
      </c>
      <c r="H248" s="192">
        <v>0.81899999999999995</v>
      </c>
      <c r="I248" s="244">
        <v>0.22</v>
      </c>
      <c r="J248" s="244">
        <v>0.18</v>
      </c>
    </row>
    <row r="249" spans="1:10" ht="42.75" x14ac:dyDescent="0.25">
      <c r="A249" s="191" t="s">
        <v>62</v>
      </c>
      <c r="B249" s="191" t="s">
        <v>880</v>
      </c>
      <c r="C249" s="191" t="s">
        <v>59</v>
      </c>
      <c r="D249" s="191" t="s">
        <v>200</v>
      </c>
      <c r="E249" s="191" t="s">
        <v>120</v>
      </c>
      <c r="F249" s="191"/>
      <c r="G249" s="191" t="s">
        <v>121</v>
      </c>
      <c r="H249" s="192">
        <v>2.5000000000000001E-2</v>
      </c>
      <c r="I249" s="244">
        <v>28.52</v>
      </c>
      <c r="J249" s="244">
        <v>0.71</v>
      </c>
    </row>
    <row r="250" spans="1:10" x14ac:dyDescent="0.25">
      <c r="A250" s="187"/>
      <c r="B250" s="187"/>
      <c r="C250" s="187"/>
      <c r="D250" s="187"/>
      <c r="E250" s="187" t="s">
        <v>756</v>
      </c>
      <c r="F250" s="188">
        <v>6.57</v>
      </c>
      <c r="G250" s="187" t="s">
        <v>757</v>
      </c>
      <c r="H250" s="188">
        <v>0</v>
      </c>
      <c r="I250" s="242" t="s">
        <v>758</v>
      </c>
      <c r="J250" s="242">
        <v>6.57</v>
      </c>
    </row>
    <row r="251" spans="1:10" x14ac:dyDescent="0.25">
      <c r="A251" s="187"/>
      <c r="B251" s="187"/>
      <c r="C251" s="187"/>
      <c r="D251" s="187"/>
      <c r="E251" s="187" t="s">
        <v>759</v>
      </c>
      <c r="F251" s="188">
        <v>0</v>
      </c>
      <c r="G251" s="187"/>
      <c r="H251" s="187" t="s">
        <v>760</v>
      </c>
      <c r="I251" s="242"/>
      <c r="J251" s="242">
        <v>16.46</v>
      </c>
    </row>
    <row r="252" spans="1:10" x14ac:dyDescent="0.25">
      <c r="A252" s="182"/>
      <c r="B252" s="182"/>
      <c r="C252" s="182"/>
      <c r="D252" s="182"/>
      <c r="E252" s="182"/>
      <c r="F252" s="182"/>
      <c r="G252" s="182" t="s">
        <v>761</v>
      </c>
      <c r="H252" s="189" t="s">
        <v>953</v>
      </c>
      <c r="I252" s="239" t="s">
        <v>763</v>
      </c>
      <c r="J252" s="239">
        <v>2156.42</v>
      </c>
    </row>
    <row r="253" spans="1:10" x14ac:dyDescent="0.25">
      <c r="A253" s="183"/>
      <c r="B253" s="183"/>
      <c r="C253" s="183"/>
      <c r="D253" s="183"/>
      <c r="E253" s="183"/>
      <c r="F253" s="183"/>
      <c r="G253" s="183"/>
      <c r="H253" s="183"/>
      <c r="I253" s="240"/>
      <c r="J253" s="240"/>
    </row>
    <row r="254" spans="1:10" x14ac:dyDescent="0.25">
      <c r="A254" s="182" t="s">
        <v>954</v>
      </c>
      <c r="B254" s="182" t="s">
        <v>66</v>
      </c>
      <c r="C254" s="182" t="s">
        <v>64</v>
      </c>
      <c r="D254" s="182" t="s">
        <v>67</v>
      </c>
      <c r="E254" s="182" t="s">
        <v>65</v>
      </c>
      <c r="F254" s="182"/>
      <c r="G254" s="182" t="s">
        <v>744</v>
      </c>
      <c r="H254" s="182" t="s">
        <v>69</v>
      </c>
      <c r="I254" s="239" t="s">
        <v>745</v>
      </c>
      <c r="J254" s="239" t="s">
        <v>0</v>
      </c>
    </row>
    <row r="255" spans="1:10" ht="71.25" x14ac:dyDescent="0.25">
      <c r="A255" s="183" t="s">
        <v>58</v>
      </c>
      <c r="B255" s="183" t="s">
        <v>955</v>
      </c>
      <c r="C255" s="183" t="s">
        <v>59</v>
      </c>
      <c r="D255" s="183" t="s">
        <v>956</v>
      </c>
      <c r="E255" s="183" t="s">
        <v>901</v>
      </c>
      <c r="F255" s="183"/>
      <c r="G255" s="183" t="s">
        <v>121</v>
      </c>
      <c r="H255" s="184">
        <v>1</v>
      </c>
      <c r="I255" s="240">
        <v>13.39</v>
      </c>
      <c r="J255" s="240">
        <v>13.39</v>
      </c>
    </row>
    <row r="256" spans="1:10" ht="28.5" x14ac:dyDescent="0.25">
      <c r="A256" s="185" t="s">
        <v>119</v>
      </c>
      <c r="B256" s="185" t="s">
        <v>957</v>
      </c>
      <c r="C256" s="185" t="s">
        <v>59</v>
      </c>
      <c r="D256" s="185" t="s">
        <v>202</v>
      </c>
      <c r="E256" s="185" t="s">
        <v>879</v>
      </c>
      <c r="F256" s="185"/>
      <c r="G256" s="185" t="s">
        <v>121</v>
      </c>
      <c r="H256" s="186">
        <v>1</v>
      </c>
      <c r="I256" s="241">
        <v>8.44</v>
      </c>
      <c r="J256" s="241">
        <v>8.44</v>
      </c>
    </row>
    <row r="257" spans="1:10" ht="28.5" x14ac:dyDescent="0.25">
      <c r="A257" s="185" t="s">
        <v>119</v>
      </c>
      <c r="B257" s="185" t="s">
        <v>876</v>
      </c>
      <c r="C257" s="185" t="s">
        <v>59</v>
      </c>
      <c r="D257" s="185" t="s">
        <v>199</v>
      </c>
      <c r="E257" s="185" t="s">
        <v>754</v>
      </c>
      <c r="F257" s="185"/>
      <c r="G257" s="185" t="s">
        <v>60</v>
      </c>
      <c r="H257" s="186">
        <v>3.9E-2</v>
      </c>
      <c r="I257" s="241">
        <v>22.71</v>
      </c>
      <c r="J257" s="241">
        <v>0.88</v>
      </c>
    </row>
    <row r="258" spans="1:10" ht="28.5" x14ac:dyDescent="0.25">
      <c r="A258" s="185" t="s">
        <v>119</v>
      </c>
      <c r="B258" s="185" t="s">
        <v>875</v>
      </c>
      <c r="C258" s="185" t="s">
        <v>59</v>
      </c>
      <c r="D258" s="185" t="s">
        <v>203</v>
      </c>
      <c r="E258" s="185" t="s">
        <v>754</v>
      </c>
      <c r="F258" s="185"/>
      <c r="G258" s="185" t="s">
        <v>60</v>
      </c>
      <c r="H258" s="186">
        <v>0.10199999999999999</v>
      </c>
      <c r="I258" s="241">
        <v>31.91</v>
      </c>
      <c r="J258" s="241">
        <v>3.25</v>
      </c>
    </row>
    <row r="259" spans="1:10" ht="71.25" x14ac:dyDescent="0.25">
      <c r="A259" s="191" t="s">
        <v>62</v>
      </c>
      <c r="B259" s="191" t="s">
        <v>881</v>
      </c>
      <c r="C259" s="191" t="s">
        <v>59</v>
      </c>
      <c r="D259" s="191" t="s">
        <v>201</v>
      </c>
      <c r="E259" s="191" t="s">
        <v>120</v>
      </c>
      <c r="F259" s="191"/>
      <c r="G259" s="191" t="s">
        <v>61</v>
      </c>
      <c r="H259" s="192">
        <v>0.503</v>
      </c>
      <c r="I259" s="244">
        <v>0.22</v>
      </c>
      <c r="J259" s="244">
        <v>0.11</v>
      </c>
    </row>
    <row r="260" spans="1:10" ht="42.75" x14ac:dyDescent="0.25">
      <c r="A260" s="191" t="s">
        <v>62</v>
      </c>
      <c r="B260" s="191" t="s">
        <v>880</v>
      </c>
      <c r="C260" s="191" t="s">
        <v>59</v>
      </c>
      <c r="D260" s="191" t="s">
        <v>200</v>
      </c>
      <c r="E260" s="191" t="s">
        <v>120</v>
      </c>
      <c r="F260" s="191"/>
      <c r="G260" s="191" t="s">
        <v>121</v>
      </c>
      <c r="H260" s="192">
        <v>2.5000000000000001E-2</v>
      </c>
      <c r="I260" s="244">
        <v>28.52</v>
      </c>
      <c r="J260" s="244">
        <v>0.71</v>
      </c>
    </row>
    <row r="261" spans="1:10" x14ac:dyDescent="0.25">
      <c r="A261" s="187"/>
      <c r="B261" s="187"/>
      <c r="C261" s="187"/>
      <c r="D261" s="187"/>
      <c r="E261" s="187" t="s">
        <v>756</v>
      </c>
      <c r="F261" s="188">
        <v>3.49</v>
      </c>
      <c r="G261" s="187" t="s">
        <v>757</v>
      </c>
      <c r="H261" s="188">
        <v>0</v>
      </c>
      <c r="I261" s="242" t="s">
        <v>758</v>
      </c>
      <c r="J261" s="242">
        <v>3.49</v>
      </c>
    </row>
    <row r="262" spans="1:10" x14ac:dyDescent="0.25">
      <c r="A262" s="187"/>
      <c r="B262" s="187"/>
      <c r="C262" s="187"/>
      <c r="D262" s="187"/>
      <c r="E262" s="187" t="s">
        <v>759</v>
      </c>
      <c r="F262" s="188">
        <v>0</v>
      </c>
      <c r="G262" s="187"/>
      <c r="H262" s="187" t="s">
        <v>760</v>
      </c>
      <c r="I262" s="242"/>
      <c r="J262" s="242">
        <v>13.39</v>
      </c>
    </row>
    <row r="263" spans="1:10" x14ac:dyDescent="0.25">
      <c r="A263" s="182"/>
      <c r="B263" s="182"/>
      <c r="C263" s="182"/>
      <c r="D263" s="182"/>
      <c r="E263" s="182"/>
      <c r="F263" s="182"/>
      <c r="G263" s="182" t="s">
        <v>761</v>
      </c>
      <c r="H263" s="189" t="s">
        <v>958</v>
      </c>
      <c r="I263" s="239" t="s">
        <v>763</v>
      </c>
      <c r="J263" s="239">
        <v>2414.48</v>
      </c>
    </row>
    <row r="264" spans="1:10" x14ac:dyDescent="0.25">
      <c r="A264" s="183"/>
      <c r="B264" s="183"/>
      <c r="C264" s="183"/>
      <c r="D264" s="183"/>
      <c r="E264" s="183"/>
      <c r="F264" s="183"/>
      <c r="G264" s="183"/>
      <c r="H264" s="183"/>
      <c r="I264" s="240"/>
      <c r="J264" s="240"/>
    </row>
    <row r="265" spans="1:10" x14ac:dyDescent="0.25">
      <c r="A265" s="182" t="s">
        <v>959</v>
      </c>
      <c r="B265" s="182" t="s">
        <v>66</v>
      </c>
      <c r="C265" s="182" t="s">
        <v>64</v>
      </c>
      <c r="D265" s="182" t="s">
        <v>67</v>
      </c>
      <c r="E265" s="182" t="s">
        <v>65</v>
      </c>
      <c r="F265" s="182"/>
      <c r="G265" s="182" t="s">
        <v>744</v>
      </c>
      <c r="H265" s="182" t="s">
        <v>69</v>
      </c>
      <c r="I265" s="239" t="s">
        <v>745</v>
      </c>
      <c r="J265" s="239" t="s">
        <v>0</v>
      </c>
    </row>
    <row r="266" spans="1:10" ht="71.25" x14ac:dyDescent="0.25">
      <c r="A266" s="183" t="s">
        <v>58</v>
      </c>
      <c r="B266" s="183" t="s">
        <v>960</v>
      </c>
      <c r="C266" s="183" t="s">
        <v>59</v>
      </c>
      <c r="D266" s="183" t="s">
        <v>961</v>
      </c>
      <c r="E266" s="183" t="s">
        <v>901</v>
      </c>
      <c r="F266" s="183"/>
      <c r="G266" s="183" t="s">
        <v>121</v>
      </c>
      <c r="H266" s="184">
        <v>1</v>
      </c>
      <c r="I266" s="240">
        <v>11.8</v>
      </c>
      <c r="J266" s="240">
        <v>11.8</v>
      </c>
    </row>
    <row r="267" spans="1:10" ht="28.5" x14ac:dyDescent="0.25">
      <c r="A267" s="185" t="s">
        <v>119</v>
      </c>
      <c r="B267" s="185" t="s">
        <v>876</v>
      </c>
      <c r="C267" s="185" t="s">
        <v>59</v>
      </c>
      <c r="D267" s="185" t="s">
        <v>199</v>
      </c>
      <c r="E267" s="185" t="s">
        <v>754</v>
      </c>
      <c r="F267" s="185"/>
      <c r="G267" s="185" t="s">
        <v>60</v>
      </c>
      <c r="H267" s="186">
        <v>3.1E-2</v>
      </c>
      <c r="I267" s="241">
        <v>22.71</v>
      </c>
      <c r="J267" s="241">
        <v>0.7</v>
      </c>
    </row>
    <row r="268" spans="1:10" ht="42.75" x14ac:dyDescent="0.25">
      <c r="A268" s="185" t="s">
        <v>119</v>
      </c>
      <c r="B268" s="185" t="s">
        <v>886</v>
      </c>
      <c r="C268" s="185" t="s">
        <v>59</v>
      </c>
      <c r="D268" s="185" t="s">
        <v>887</v>
      </c>
      <c r="E268" s="185" t="s">
        <v>879</v>
      </c>
      <c r="F268" s="185"/>
      <c r="G268" s="185" t="s">
        <v>121</v>
      </c>
      <c r="H268" s="186">
        <v>1</v>
      </c>
      <c r="I268" s="241">
        <v>7.73</v>
      </c>
      <c r="J268" s="241">
        <v>7.73</v>
      </c>
    </row>
    <row r="269" spans="1:10" ht="28.5" x14ac:dyDescent="0.25">
      <c r="A269" s="185" t="s">
        <v>119</v>
      </c>
      <c r="B269" s="185" t="s">
        <v>875</v>
      </c>
      <c r="C269" s="185" t="s">
        <v>59</v>
      </c>
      <c r="D269" s="185" t="s">
        <v>203</v>
      </c>
      <c r="E269" s="185" t="s">
        <v>754</v>
      </c>
      <c r="F269" s="185"/>
      <c r="G269" s="185" t="s">
        <v>60</v>
      </c>
      <c r="H269" s="186">
        <v>8.1000000000000003E-2</v>
      </c>
      <c r="I269" s="241">
        <v>31.91</v>
      </c>
      <c r="J269" s="241">
        <v>2.58</v>
      </c>
    </row>
    <row r="270" spans="1:10" ht="42.75" x14ac:dyDescent="0.25">
      <c r="A270" s="191" t="s">
        <v>62</v>
      </c>
      <c r="B270" s="191" t="s">
        <v>880</v>
      </c>
      <c r="C270" s="191" t="s">
        <v>59</v>
      </c>
      <c r="D270" s="191" t="s">
        <v>200</v>
      </c>
      <c r="E270" s="191" t="s">
        <v>120</v>
      </c>
      <c r="F270" s="191"/>
      <c r="G270" s="191" t="s">
        <v>121</v>
      </c>
      <c r="H270" s="192">
        <v>2.5000000000000001E-2</v>
      </c>
      <c r="I270" s="244">
        <v>28.52</v>
      </c>
      <c r="J270" s="244">
        <v>0.71</v>
      </c>
    </row>
    <row r="271" spans="1:10" ht="71.25" x14ac:dyDescent="0.25">
      <c r="A271" s="191" t="s">
        <v>62</v>
      </c>
      <c r="B271" s="191" t="s">
        <v>881</v>
      </c>
      <c r="C271" s="191" t="s">
        <v>59</v>
      </c>
      <c r="D271" s="191" t="s">
        <v>201</v>
      </c>
      <c r="E271" s="191" t="s">
        <v>120</v>
      </c>
      <c r="F271" s="191"/>
      <c r="G271" s="191" t="s">
        <v>61</v>
      </c>
      <c r="H271" s="192">
        <v>0.39900000000000002</v>
      </c>
      <c r="I271" s="244">
        <v>0.22</v>
      </c>
      <c r="J271" s="244">
        <v>0.08</v>
      </c>
    </row>
    <row r="272" spans="1:10" x14ac:dyDescent="0.25">
      <c r="A272" s="187"/>
      <c r="B272" s="187"/>
      <c r="C272" s="187"/>
      <c r="D272" s="187"/>
      <c r="E272" s="187" t="s">
        <v>756</v>
      </c>
      <c r="F272" s="188">
        <v>2.67</v>
      </c>
      <c r="G272" s="187" t="s">
        <v>757</v>
      </c>
      <c r="H272" s="188">
        <v>0</v>
      </c>
      <c r="I272" s="242" t="s">
        <v>758</v>
      </c>
      <c r="J272" s="242">
        <v>2.67</v>
      </c>
    </row>
    <row r="273" spans="1:10" x14ac:dyDescent="0.25">
      <c r="A273" s="187"/>
      <c r="B273" s="187"/>
      <c r="C273" s="187"/>
      <c r="D273" s="187"/>
      <c r="E273" s="187" t="s">
        <v>759</v>
      </c>
      <c r="F273" s="188">
        <v>0</v>
      </c>
      <c r="G273" s="187"/>
      <c r="H273" s="187" t="s">
        <v>760</v>
      </c>
      <c r="I273" s="242"/>
      <c r="J273" s="242">
        <v>11.8</v>
      </c>
    </row>
    <row r="274" spans="1:10" x14ac:dyDescent="0.25">
      <c r="A274" s="182"/>
      <c r="B274" s="182"/>
      <c r="C274" s="182"/>
      <c r="D274" s="182"/>
      <c r="E274" s="182"/>
      <c r="F274" s="182"/>
      <c r="G274" s="182" t="s">
        <v>761</v>
      </c>
      <c r="H274" s="189" t="s">
        <v>962</v>
      </c>
      <c r="I274" s="239" t="s">
        <v>763</v>
      </c>
      <c r="J274" s="239">
        <v>1433.11</v>
      </c>
    </row>
    <row r="275" spans="1:10" x14ac:dyDescent="0.25">
      <c r="A275" s="183"/>
      <c r="B275" s="183"/>
      <c r="C275" s="183"/>
      <c r="D275" s="183"/>
      <c r="E275" s="183"/>
      <c r="F275" s="183"/>
      <c r="G275" s="183"/>
      <c r="H275" s="183"/>
      <c r="I275" s="240"/>
      <c r="J275" s="240"/>
    </row>
    <row r="276" spans="1:10" x14ac:dyDescent="0.25">
      <c r="A276" s="182" t="s">
        <v>963</v>
      </c>
      <c r="B276" s="182" t="s">
        <v>66</v>
      </c>
      <c r="C276" s="182" t="s">
        <v>64</v>
      </c>
      <c r="D276" s="182" t="s">
        <v>67</v>
      </c>
      <c r="E276" s="182" t="s">
        <v>65</v>
      </c>
      <c r="F276" s="182"/>
      <c r="G276" s="182" t="s">
        <v>744</v>
      </c>
      <c r="H276" s="182" t="s">
        <v>69</v>
      </c>
      <c r="I276" s="239" t="s">
        <v>745</v>
      </c>
      <c r="J276" s="239" t="s">
        <v>0</v>
      </c>
    </row>
    <row r="277" spans="1:10" ht="85.5" x14ac:dyDescent="0.25">
      <c r="A277" s="183" t="s">
        <v>58</v>
      </c>
      <c r="B277" s="183" t="s">
        <v>893</v>
      </c>
      <c r="C277" s="183" t="s">
        <v>59</v>
      </c>
      <c r="D277" s="183" t="s">
        <v>195</v>
      </c>
      <c r="E277" s="183" t="s">
        <v>821</v>
      </c>
      <c r="F277" s="183"/>
      <c r="G277" s="183" t="s">
        <v>191</v>
      </c>
      <c r="H277" s="184">
        <v>1</v>
      </c>
      <c r="I277" s="240">
        <v>526.74</v>
      </c>
      <c r="J277" s="240">
        <v>526.74</v>
      </c>
    </row>
    <row r="278" spans="1:10" ht="57" x14ac:dyDescent="0.25">
      <c r="A278" s="185" t="s">
        <v>119</v>
      </c>
      <c r="B278" s="185" t="s">
        <v>908</v>
      </c>
      <c r="C278" s="185" t="s">
        <v>59</v>
      </c>
      <c r="D278" s="185" t="s">
        <v>196</v>
      </c>
      <c r="E278" s="185" t="s">
        <v>754</v>
      </c>
      <c r="F278" s="185"/>
      <c r="G278" s="185" t="s">
        <v>60</v>
      </c>
      <c r="H278" s="186">
        <v>1.2501</v>
      </c>
      <c r="I278" s="241">
        <v>20.58</v>
      </c>
      <c r="J278" s="241">
        <v>25.72</v>
      </c>
    </row>
    <row r="279" spans="1:10" ht="85.5" x14ac:dyDescent="0.25">
      <c r="A279" s="185" t="s">
        <v>119</v>
      </c>
      <c r="B279" s="185" t="s">
        <v>909</v>
      </c>
      <c r="C279" s="185" t="s">
        <v>59</v>
      </c>
      <c r="D279" s="185" t="s">
        <v>198</v>
      </c>
      <c r="E279" s="185" t="s">
        <v>807</v>
      </c>
      <c r="F279" s="185"/>
      <c r="G279" s="185" t="s">
        <v>117</v>
      </c>
      <c r="H279" s="186">
        <v>0.64339999999999997</v>
      </c>
      <c r="I279" s="241">
        <v>5.53</v>
      </c>
      <c r="J279" s="241">
        <v>3.55</v>
      </c>
    </row>
    <row r="280" spans="1:10" ht="28.5" x14ac:dyDescent="0.25">
      <c r="A280" s="185" t="s">
        <v>119</v>
      </c>
      <c r="B280" s="185" t="s">
        <v>769</v>
      </c>
      <c r="C280" s="185" t="s">
        <v>59</v>
      </c>
      <c r="D280" s="185" t="s">
        <v>115</v>
      </c>
      <c r="E280" s="185" t="s">
        <v>754</v>
      </c>
      <c r="F280" s="185"/>
      <c r="G280" s="185" t="s">
        <v>60</v>
      </c>
      <c r="H280" s="186">
        <v>1.9792000000000001</v>
      </c>
      <c r="I280" s="241">
        <v>22.42</v>
      </c>
      <c r="J280" s="241">
        <v>44.37</v>
      </c>
    </row>
    <row r="281" spans="1:10" ht="85.5" x14ac:dyDescent="0.25">
      <c r="A281" s="185" t="s">
        <v>119</v>
      </c>
      <c r="B281" s="185" t="s">
        <v>910</v>
      </c>
      <c r="C281" s="185" t="s">
        <v>59</v>
      </c>
      <c r="D281" s="185" t="s">
        <v>197</v>
      </c>
      <c r="E281" s="185" t="s">
        <v>807</v>
      </c>
      <c r="F281" s="185"/>
      <c r="G281" s="185" t="s">
        <v>125</v>
      </c>
      <c r="H281" s="186">
        <v>0.60670000000000002</v>
      </c>
      <c r="I281" s="241">
        <v>1.52</v>
      </c>
      <c r="J281" s="241">
        <v>0.92</v>
      </c>
    </row>
    <row r="282" spans="1:10" ht="28.5" x14ac:dyDescent="0.25">
      <c r="A282" s="191" t="s">
        <v>62</v>
      </c>
      <c r="B282" s="191" t="s">
        <v>911</v>
      </c>
      <c r="C282" s="191" t="s">
        <v>59</v>
      </c>
      <c r="D282" s="191" t="s">
        <v>912</v>
      </c>
      <c r="E282" s="191" t="s">
        <v>120</v>
      </c>
      <c r="F282" s="191"/>
      <c r="G282" s="191" t="s">
        <v>121</v>
      </c>
      <c r="H282" s="192">
        <v>364.94330000000002</v>
      </c>
      <c r="I282" s="244">
        <v>0.74</v>
      </c>
      <c r="J282" s="244">
        <v>270.05</v>
      </c>
    </row>
    <row r="283" spans="1:10" ht="57" x14ac:dyDescent="0.25">
      <c r="A283" s="191" t="s">
        <v>62</v>
      </c>
      <c r="B283" s="191" t="s">
        <v>913</v>
      </c>
      <c r="C283" s="191" t="s">
        <v>59</v>
      </c>
      <c r="D283" s="191" t="s">
        <v>914</v>
      </c>
      <c r="E283" s="191" t="s">
        <v>120</v>
      </c>
      <c r="F283" s="191"/>
      <c r="G283" s="191" t="s">
        <v>191</v>
      </c>
      <c r="H283" s="192">
        <v>0.59719999999999995</v>
      </c>
      <c r="I283" s="244">
        <v>122.27</v>
      </c>
      <c r="J283" s="244">
        <v>73.010000000000005</v>
      </c>
    </row>
    <row r="284" spans="1:10" ht="57" x14ac:dyDescent="0.25">
      <c r="A284" s="191" t="s">
        <v>62</v>
      </c>
      <c r="B284" s="191" t="s">
        <v>915</v>
      </c>
      <c r="C284" s="191" t="s">
        <v>59</v>
      </c>
      <c r="D284" s="191" t="s">
        <v>916</v>
      </c>
      <c r="E284" s="191" t="s">
        <v>120</v>
      </c>
      <c r="F284" s="191"/>
      <c r="G284" s="191" t="s">
        <v>191</v>
      </c>
      <c r="H284" s="192">
        <v>0.72750000000000004</v>
      </c>
      <c r="I284" s="244">
        <v>150</v>
      </c>
      <c r="J284" s="244">
        <v>109.12</v>
      </c>
    </row>
    <row r="285" spans="1:10" x14ac:dyDescent="0.25">
      <c r="A285" s="187"/>
      <c r="B285" s="187"/>
      <c r="C285" s="187"/>
      <c r="D285" s="187"/>
      <c r="E285" s="187" t="s">
        <v>756</v>
      </c>
      <c r="F285" s="188">
        <v>47.5</v>
      </c>
      <c r="G285" s="187" t="s">
        <v>757</v>
      </c>
      <c r="H285" s="188">
        <v>0</v>
      </c>
      <c r="I285" s="242" t="s">
        <v>758</v>
      </c>
      <c r="J285" s="242">
        <v>47.5</v>
      </c>
    </row>
    <row r="286" spans="1:10" x14ac:dyDescent="0.25">
      <c r="A286" s="187"/>
      <c r="B286" s="187"/>
      <c r="C286" s="187"/>
      <c r="D286" s="187"/>
      <c r="E286" s="187" t="s">
        <v>759</v>
      </c>
      <c r="F286" s="188">
        <v>0</v>
      </c>
      <c r="G286" s="187"/>
      <c r="H286" s="187" t="s">
        <v>760</v>
      </c>
      <c r="I286" s="242"/>
      <c r="J286" s="242">
        <v>526.74</v>
      </c>
    </row>
    <row r="287" spans="1:10" x14ac:dyDescent="0.25">
      <c r="A287" s="182"/>
      <c r="B287" s="182"/>
      <c r="C287" s="182"/>
      <c r="D287" s="182"/>
      <c r="E287" s="182"/>
      <c r="F287" s="182"/>
      <c r="G287" s="182" t="s">
        <v>761</v>
      </c>
      <c r="H287" s="189" t="s">
        <v>964</v>
      </c>
      <c r="I287" s="239" t="s">
        <v>763</v>
      </c>
      <c r="J287" s="239">
        <v>5820.47</v>
      </c>
    </row>
    <row r="288" spans="1:10" x14ac:dyDescent="0.25">
      <c r="A288" s="183"/>
      <c r="B288" s="183"/>
      <c r="C288" s="183"/>
      <c r="D288" s="183"/>
      <c r="E288" s="183"/>
      <c r="F288" s="183"/>
      <c r="G288" s="183"/>
      <c r="H288" s="183"/>
      <c r="I288" s="240"/>
      <c r="J288" s="240"/>
    </row>
    <row r="289" spans="1:10" x14ac:dyDescent="0.25">
      <c r="A289" s="182" t="s">
        <v>965</v>
      </c>
      <c r="B289" s="182" t="s">
        <v>66</v>
      </c>
      <c r="C289" s="182" t="s">
        <v>64</v>
      </c>
      <c r="D289" s="182" t="s">
        <v>67</v>
      </c>
      <c r="E289" s="182" t="s">
        <v>65</v>
      </c>
      <c r="F289" s="182"/>
      <c r="G289" s="182" t="s">
        <v>744</v>
      </c>
      <c r="H289" s="182" t="s">
        <v>69</v>
      </c>
      <c r="I289" s="239" t="s">
        <v>745</v>
      </c>
      <c r="J289" s="239" t="s">
        <v>0</v>
      </c>
    </row>
    <row r="290" spans="1:10" ht="57" x14ac:dyDescent="0.25">
      <c r="A290" s="183" t="s">
        <v>58</v>
      </c>
      <c r="B290" s="183" t="s">
        <v>919</v>
      </c>
      <c r="C290" s="183" t="s">
        <v>59</v>
      </c>
      <c r="D290" s="183" t="s">
        <v>920</v>
      </c>
      <c r="E290" s="183" t="s">
        <v>921</v>
      </c>
      <c r="F290" s="183"/>
      <c r="G290" s="183" t="s">
        <v>191</v>
      </c>
      <c r="H290" s="184">
        <v>1</v>
      </c>
      <c r="I290" s="240">
        <v>324.68</v>
      </c>
      <c r="J290" s="240">
        <v>324.68</v>
      </c>
    </row>
    <row r="291" spans="1:10" ht="28.5" x14ac:dyDescent="0.25">
      <c r="A291" s="185" t="s">
        <v>119</v>
      </c>
      <c r="B291" s="185" t="s">
        <v>773</v>
      </c>
      <c r="C291" s="185" t="s">
        <v>59</v>
      </c>
      <c r="D291" s="185" t="s">
        <v>122</v>
      </c>
      <c r="E291" s="185" t="s">
        <v>754</v>
      </c>
      <c r="F291" s="185"/>
      <c r="G291" s="185" t="s">
        <v>60</v>
      </c>
      <c r="H291" s="186">
        <v>2.4590000000000001</v>
      </c>
      <c r="I291" s="241">
        <v>31.69</v>
      </c>
      <c r="J291" s="241">
        <v>77.92</v>
      </c>
    </row>
    <row r="292" spans="1:10" ht="71.25" x14ac:dyDescent="0.25">
      <c r="A292" s="185" t="s">
        <v>119</v>
      </c>
      <c r="B292" s="185" t="s">
        <v>922</v>
      </c>
      <c r="C292" s="185" t="s">
        <v>59</v>
      </c>
      <c r="D292" s="185" t="s">
        <v>204</v>
      </c>
      <c r="E292" s="185" t="s">
        <v>807</v>
      </c>
      <c r="F292" s="185"/>
      <c r="G292" s="185" t="s">
        <v>125</v>
      </c>
      <c r="H292" s="186">
        <v>1.417</v>
      </c>
      <c r="I292" s="241">
        <v>0.56000000000000005</v>
      </c>
      <c r="J292" s="241">
        <v>0.79</v>
      </c>
    </row>
    <row r="293" spans="1:10" ht="71.25" x14ac:dyDescent="0.25">
      <c r="A293" s="185" t="s">
        <v>119</v>
      </c>
      <c r="B293" s="185" t="s">
        <v>923</v>
      </c>
      <c r="C293" s="185" t="s">
        <v>59</v>
      </c>
      <c r="D293" s="185" t="s">
        <v>205</v>
      </c>
      <c r="E293" s="185" t="s">
        <v>807</v>
      </c>
      <c r="F293" s="185"/>
      <c r="G293" s="185" t="s">
        <v>117</v>
      </c>
      <c r="H293" s="186">
        <v>1.042</v>
      </c>
      <c r="I293" s="241">
        <v>1.47</v>
      </c>
      <c r="J293" s="241">
        <v>1.53</v>
      </c>
    </row>
    <row r="294" spans="1:10" ht="28.5" x14ac:dyDescent="0.25">
      <c r="A294" s="185" t="s">
        <v>119</v>
      </c>
      <c r="B294" s="185" t="s">
        <v>769</v>
      </c>
      <c r="C294" s="185" t="s">
        <v>59</v>
      </c>
      <c r="D294" s="185" t="s">
        <v>115</v>
      </c>
      <c r="E294" s="185" t="s">
        <v>754</v>
      </c>
      <c r="F294" s="185"/>
      <c r="G294" s="185" t="s">
        <v>60</v>
      </c>
      <c r="H294" s="186">
        <v>7.3769999999999998</v>
      </c>
      <c r="I294" s="241">
        <v>22.42</v>
      </c>
      <c r="J294" s="241">
        <v>165.39</v>
      </c>
    </row>
    <row r="295" spans="1:10" ht="28.5" x14ac:dyDescent="0.25">
      <c r="A295" s="185" t="s">
        <v>119</v>
      </c>
      <c r="B295" s="185" t="s">
        <v>894</v>
      </c>
      <c r="C295" s="185" t="s">
        <v>59</v>
      </c>
      <c r="D295" s="185" t="s">
        <v>126</v>
      </c>
      <c r="E295" s="185" t="s">
        <v>754</v>
      </c>
      <c r="F295" s="185"/>
      <c r="G295" s="185" t="s">
        <v>60</v>
      </c>
      <c r="H295" s="186">
        <v>2.4590000000000001</v>
      </c>
      <c r="I295" s="241">
        <v>32.15</v>
      </c>
      <c r="J295" s="241">
        <v>79.05</v>
      </c>
    </row>
    <row r="296" spans="1:10" x14ac:dyDescent="0.25">
      <c r="A296" s="187"/>
      <c r="B296" s="187"/>
      <c r="C296" s="187"/>
      <c r="D296" s="187"/>
      <c r="E296" s="187" t="s">
        <v>756</v>
      </c>
      <c r="F296" s="188">
        <v>231.22</v>
      </c>
      <c r="G296" s="187" t="s">
        <v>757</v>
      </c>
      <c r="H296" s="188">
        <v>0</v>
      </c>
      <c r="I296" s="242" t="s">
        <v>758</v>
      </c>
      <c r="J296" s="242">
        <v>231.22</v>
      </c>
    </row>
    <row r="297" spans="1:10" x14ac:dyDescent="0.25">
      <c r="A297" s="187"/>
      <c r="B297" s="187"/>
      <c r="C297" s="187"/>
      <c r="D297" s="187"/>
      <c r="E297" s="187" t="s">
        <v>759</v>
      </c>
      <c r="F297" s="188">
        <v>0</v>
      </c>
      <c r="G297" s="187"/>
      <c r="H297" s="187" t="s">
        <v>760</v>
      </c>
      <c r="I297" s="242"/>
      <c r="J297" s="242">
        <v>324.68</v>
      </c>
    </row>
    <row r="298" spans="1:10" x14ac:dyDescent="0.25">
      <c r="A298" s="182"/>
      <c r="B298" s="182"/>
      <c r="C298" s="182"/>
      <c r="D298" s="182"/>
      <c r="E298" s="182"/>
      <c r="F298" s="182"/>
      <c r="G298" s="182" t="s">
        <v>761</v>
      </c>
      <c r="H298" s="189" t="s">
        <v>964</v>
      </c>
      <c r="I298" s="239" t="s">
        <v>763</v>
      </c>
      <c r="J298" s="239">
        <v>3587.71</v>
      </c>
    </row>
    <row r="299" spans="1:10" x14ac:dyDescent="0.25">
      <c r="A299" s="183"/>
      <c r="B299" s="183"/>
      <c r="C299" s="183"/>
      <c r="D299" s="183"/>
      <c r="E299" s="183"/>
      <c r="F299" s="183"/>
      <c r="G299" s="183"/>
      <c r="H299" s="183"/>
      <c r="I299" s="240"/>
      <c r="J299" s="240"/>
    </row>
    <row r="300" spans="1:10" x14ac:dyDescent="0.25">
      <c r="A300" s="182" t="s">
        <v>966</v>
      </c>
      <c r="B300" s="182" t="s">
        <v>66</v>
      </c>
      <c r="C300" s="182" t="s">
        <v>64</v>
      </c>
      <c r="D300" s="182" t="s">
        <v>67</v>
      </c>
      <c r="E300" s="182" t="s">
        <v>65</v>
      </c>
      <c r="F300" s="182"/>
      <c r="G300" s="182" t="s">
        <v>744</v>
      </c>
      <c r="H300" s="182" t="s">
        <v>69</v>
      </c>
      <c r="I300" s="239" t="s">
        <v>745</v>
      </c>
      <c r="J300" s="239" t="s">
        <v>0</v>
      </c>
    </row>
    <row r="301" spans="1:10" ht="85.5" x14ac:dyDescent="0.25">
      <c r="A301" s="183" t="s">
        <v>58</v>
      </c>
      <c r="B301" s="183" t="s">
        <v>967</v>
      </c>
      <c r="C301" s="183" t="s">
        <v>59</v>
      </c>
      <c r="D301" s="183" t="s">
        <v>968</v>
      </c>
      <c r="E301" s="183" t="s">
        <v>901</v>
      </c>
      <c r="F301" s="183"/>
      <c r="G301" s="183" t="s">
        <v>191</v>
      </c>
      <c r="H301" s="184">
        <v>1</v>
      </c>
      <c r="I301" s="240">
        <v>58.16</v>
      </c>
      <c r="J301" s="240">
        <v>58.16</v>
      </c>
    </row>
    <row r="302" spans="1:10" ht="71.25" x14ac:dyDescent="0.25">
      <c r="A302" s="185" t="s">
        <v>119</v>
      </c>
      <c r="B302" s="185" t="s">
        <v>969</v>
      </c>
      <c r="C302" s="185" t="s">
        <v>59</v>
      </c>
      <c r="D302" s="185" t="s">
        <v>970</v>
      </c>
      <c r="E302" s="185" t="s">
        <v>807</v>
      </c>
      <c r="F302" s="185"/>
      <c r="G302" s="185" t="s">
        <v>117</v>
      </c>
      <c r="H302" s="186">
        <v>0.32800000000000001</v>
      </c>
      <c r="I302" s="241">
        <v>124.96</v>
      </c>
      <c r="J302" s="241">
        <v>40.98</v>
      </c>
    </row>
    <row r="303" spans="1:10" ht="71.25" x14ac:dyDescent="0.25">
      <c r="A303" s="185" t="s">
        <v>119</v>
      </c>
      <c r="B303" s="185" t="s">
        <v>971</v>
      </c>
      <c r="C303" s="185" t="s">
        <v>59</v>
      </c>
      <c r="D303" s="185" t="s">
        <v>972</v>
      </c>
      <c r="E303" s="185" t="s">
        <v>807</v>
      </c>
      <c r="F303" s="185"/>
      <c r="G303" s="185" t="s">
        <v>125</v>
      </c>
      <c r="H303" s="186">
        <v>0.16400000000000001</v>
      </c>
      <c r="I303" s="241">
        <v>69.400000000000006</v>
      </c>
      <c r="J303" s="241">
        <v>11.38</v>
      </c>
    </row>
    <row r="304" spans="1:10" ht="28.5" x14ac:dyDescent="0.25">
      <c r="A304" s="185" t="s">
        <v>119</v>
      </c>
      <c r="B304" s="185" t="s">
        <v>894</v>
      </c>
      <c r="C304" s="185" t="s">
        <v>59</v>
      </c>
      <c r="D304" s="185" t="s">
        <v>126</v>
      </c>
      <c r="E304" s="185" t="s">
        <v>754</v>
      </c>
      <c r="F304" s="185"/>
      <c r="G304" s="185" t="s">
        <v>60</v>
      </c>
      <c r="H304" s="186">
        <v>8.5999999999999993E-2</v>
      </c>
      <c r="I304" s="241">
        <v>32.15</v>
      </c>
      <c r="J304" s="241">
        <v>2.76</v>
      </c>
    </row>
    <row r="305" spans="1:10" ht="28.5" x14ac:dyDescent="0.25">
      <c r="A305" s="185" t="s">
        <v>119</v>
      </c>
      <c r="B305" s="185" t="s">
        <v>769</v>
      </c>
      <c r="C305" s="185" t="s">
        <v>59</v>
      </c>
      <c r="D305" s="185" t="s">
        <v>115</v>
      </c>
      <c r="E305" s="185" t="s">
        <v>754</v>
      </c>
      <c r="F305" s="185"/>
      <c r="G305" s="185" t="s">
        <v>60</v>
      </c>
      <c r="H305" s="186">
        <v>0.13600000000000001</v>
      </c>
      <c r="I305" s="241">
        <v>22.42</v>
      </c>
      <c r="J305" s="241">
        <v>3.04</v>
      </c>
    </row>
    <row r="306" spans="1:10" x14ac:dyDescent="0.25">
      <c r="A306" s="187"/>
      <c r="B306" s="187"/>
      <c r="C306" s="187"/>
      <c r="D306" s="187"/>
      <c r="E306" s="187" t="s">
        <v>756</v>
      </c>
      <c r="F306" s="188">
        <v>16.149999999999999</v>
      </c>
      <c r="G306" s="187" t="s">
        <v>757</v>
      </c>
      <c r="H306" s="188">
        <v>0</v>
      </c>
      <c r="I306" s="242" t="s">
        <v>758</v>
      </c>
      <c r="J306" s="242">
        <v>16.149999999999999</v>
      </c>
    </row>
    <row r="307" spans="1:10" x14ac:dyDescent="0.25">
      <c r="A307" s="187"/>
      <c r="B307" s="187"/>
      <c r="C307" s="187"/>
      <c r="D307" s="187"/>
      <c r="E307" s="187" t="s">
        <v>759</v>
      </c>
      <c r="F307" s="188">
        <v>0</v>
      </c>
      <c r="G307" s="187"/>
      <c r="H307" s="187" t="s">
        <v>760</v>
      </c>
      <c r="I307" s="242"/>
      <c r="J307" s="242">
        <v>58.16</v>
      </c>
    </row>
    <row r="308" spans="1:10" x14ac:dyDescent="0.25">
      <c r="A308" s="182"/>
      <c r="B308" s="182"/>
      <c r="C308" s="182"/>
      <c r="D308" s="182"/>
      <c r="E308" s="182"/>
      <c r="F308" s="182"/>
      <c r="G308" s="182" t="s">
        <v>761</v>
      </c>
      <c r="H308" s="189" t="s">
        <v>973</v>
      </c>
      <c r="I308" s="239" t="s">
        <v>763</v>
      </c>
      <c r="J308" s="239">
        <v>1035.24</v>
      </c>
    </row>
    <row r="309" spans="1:10" x14ac:dyDescent="0.25">
      <c r="A309" s="183"/>
      <c r="B309" s="183"/>
      <c r="C309" s="183"/>
      <c r="D309" s="183"/>
      <c r="E309" s="183"/>
      <c r="F309" s="183"/>
      <c r="G309" s="183"/>
      <c r="H309" s="183"/>
      <c r="I309" s="240"/>
      <c r="J309" s="240"/>
    </row>
    <row r="310" spans="1:10" x14ac:dyDescent="0.25">
      <c r="A310" s="182" t="s">
        <v>974</v>
      </c>
      <c r="B310" s="182" t="s">
        <v>66</v>
      </c>
      <c r="C310" s="182" t="s">
        <v>64</v>
      </c>
      <c r="D310" s="182" t="s">
        <v>67</v>
      </c>
      <c r="E310" s="182" t="s">
        <v>65</v>
      </c>
      <c r="F310" s="182"/>
      <c r="G310" s="182" t="s">
        <v>744</v>
      </c>
      <c r="H310" s="182" t="s">
        <v>69</v>
      </c>
      <c r="I310" s="239" t="s">
        <v>745</v>
      </c>
      <c r="J310" s="239" t="s">
        <v>0</v>
      </c>
    </row>
    <row r="311" spans="1:10" ht="28.5" x14ac:dyDescent="0.25">
      <c r="A311" s="183" t="s">
        <v>58</v>
      </c>
      <c r="B311" s="183" t="s">
        <v>975</v>
      </c>
      <c r="C311" s="183" t="s">
        <v>785</v>
      </c>
      <c r="D311" s="183" t="s">
        <v>976</v>
      </c>
      <c r="E311" s="183">
        <v>409</v>
      </c>
      <c r="F311" s="183"/>
      <c r="G311" s="183" t="s">
        <v>191</v>
      </c>
      <c r="H311" s="184">
        <v>1</v>
      </c>
      <c r="I311" s="240">
        <v>34.35</v>
      </c>
      <c r="J311" s="240">
        <v>34.35</v>
      </c>
    </row>
    <row r="312" spans="1:10" ht="28.5" x14ac:dyDescent="0.25">
      <c r="A312" s="191" t="s">
        <v>62</v>
      </c>
      <c r="B312" s="191" t="s">
        <v>799</v>
      </c>
      <c r="C312" s="191" t="s">
        <v>785</v>
      </c>
      <c r="D312" s="191" t="s">
        <v>188</v>
      </c>
      <c r="E312" s="191" t="s">
        <v>124</v>
      </c>
      <c r="F312" s="191"/>
      <c r="G312" s="191" t="s">
        <v>60</v>
      </c>
      <c r="H312" s="192">
        <v>1.7</v>
      </c>
      <c r="I312" s="244">
        <v>20.21</v>
      </c>
      <c r="J312" s="244">
        <v>34.35</v>
      </c>
    </row>
    <row r="313" spans="1:10" x14ac:dyDescent="0.25">
      <c r="A313" s="187"/>
      <c r="B313" s="187"/>
      <c r="C313" s="187"/>
      <c r="D313" s="187"/>
      <c r="E313" s="187" t="s">
        <v>756</v>
      </c>
      <c r="F313" s="188">
        <v>34.35</v>
      </c>
      <c r="G313" s="187" t="s">
        <v>757</v>
      </c>
      <c r="H313" s="188">
        <v>0</v>
      </c>
      <c r="I313" s="242" t="s">
        <v>758</v>
      </c>
      <c r="J313" s="242">
        <v>34.35</v>
      </c>
    </row>
    <row r="314" spans="1:10" x14ac:dyDescent="0.25">
      <c r="A314" s="187"/>
      <c r="B314" s="187"/>
      <c r="C314" s="187"/>
      <c r="D314" s="187"/>
      <c r="E314" s="187" t="s">
        <v>759</v>
      </c>
      <c r="F314" s="188">
        <v>0</v>
      </c>
      <c r="G314" s="187"/>
      <c r="H314" s="187" t="s">
        <v>760</v>
      </c>
      <c r="I314" s="242"/>
      <c r="J314" s="242">
        <v>34.35</v>
      </c>
    </row>
    <row r="315" spans="1:10" x14ac:dyDescent="0.25">
      <c r="A315" s="182"/>
      <c r="B315" s="182"/>
      <c r="C315" s="182"/>
      <c r="D315" s="182"/>
      <c r="E315" s="182"/>
      <c r="F315" s="182"/>
      <c r="G315" s="182" t="s">
        <v>761</v>
      </c>
      <c r="H315" s="189" t="s">
        <v>977</v>
      </c>
      <c r="I315" s="239" t="s">
        <v>763</v>
      </c>
      <c r="J315" s="239">
        <v>311.55</v>
      </c>
    </row>
    <row r="316" spans="1:10" x14ac:dyDescent="0.25">
      <c r="A316" s="183"/>
      <c r="B316" s="183"/>
      <c r="C316" s="183"/>
      <c r="D316" s="183"/>
      <c r="E316" s="183"/>
      <c r="F316" s="183"/>
      <c r="G316" s="183"/>
      <c r="H316" s="183"/>
      <c r="I316" s="240"/>
      <c r="J316" s="240"/>
    </row>
    <row r="317" spans="1:10" x14ac:dyDescent="0.25">
      <c r="A317" s="182" t="s">
        <v>978</v>
      </c>
      <c r="B317" s="182" t="s">
        <v>66</v>
      </c>
      <c r="C317" s="182" t="s">
        <v>64</v>
      </c>
      <c r="D317" s="182" t="s">
        <v>67</v>
      </c>
      <c r="E317" s="182" t="s">
        <v>65</v>
      </c>
      <c r="F317" s="182"/>
      <c r="G317" s="182" t="s">
        <v>744</v>
      </c>
      <c r="H317" s="182" t="s">
        <v>69</v>
      </c>
      <c r="I317" s="239" t="s">
        <v>745</v>
      </c>
      <c r="J317" s="239" t="s">
        <v>0</v>
      </c>
    </row>
    <row r="318" spans="1:10" ht="71.25" x14ac:dyDescent="0.25">
      <c r="A318" s="183" t="s">
        <v>58</v>
      </c>
      <c r="B318" s="183" t="s">
        <v>979</v>
      </c>
      <c r="C318" s="183" t="s">
        <v>59</v>
      </c>
      <c r="D318" s="183" t="s">
        <v>980</v>
      </c>
      <c r="E318" s="183" t="s">
        <v>901</v>
      </c>
      <c r="F318" s="183"/>
      <c r="G318" s="183" t="s">
        <v>217</v>
      </c>
      <c r="H318" s="184">
        <v>1</v>
      </c>
      <c r="I318" s="240">
        <v>76.19</v>
      </c>
      <c r="J318" s="240">
        <v>76.19</v>
      </c>
    </row>
    <row r="319" spans="1:10" ht="71.25" x14ac:dyDescent="0.25">
      <c r="A319" s="185" t="s">
        <v>119</v>
      </c>
      <c r="B319" s="185" t="s">
        <v>818</v>
      </c>
      <c r="C319" s="185" t="s">
        <v>59</v>
      </c>
      <c r="D319" s="185" t="s">
        <v>207</v>
      </c>
      <c r="E319" s="185" t="s">
        <v>807</v>
      </c>
      <c r="F319" s="185"/>
      <c r="G319" s="185" t="s">
        <v>125</v>
      </c>
      <c r="H319" s="186">
        <v>5.2999999999999999E-2</v>
      </c>
      <c r="I319" s="241">
        <v>23.96</v>
      </c>
      <c r="J319" s="241">
        <v>1.26</v>
      </c>
    </row>
    <row r="320" spans="1:10" ht="71.25" x14ac:dyDescent="0.25">
      <c r="A320" s="185" t="s">
        <v>119</v>
      </c>
      <c r="B320" s="185" t="s">
        <v>817</v>
      </c>
      <c r="C320" s="185" t="s">
        <v>59</v>
      </c>
      <c r="D320" s="185" t="s">
        <v>208</v>
      </c>
      <c r="E320" s="185" t="s">
        <v>807</v>
      </c>
      <c r="F320" s="185"/>
      <c r="G320" s="185" t="s">
        <v>117</v>
      </c>
      <c r="H320" s="186">
        <v>1.2999999999999999E-2</v>
      </c>
      <c r="I320" s="241">
        <v>25.46</v>
      </c>
      <c r="J320" s="241">
        <v>0.33</v>
      </c>
    </row>
    <row r="321" spans="1:10" ht="42.75" x14ac:dyDescent="0.25">
      <c r="A321" s="185" t="s">
        <v>119</v>
      </c>
      <c r="B321" s="185" t="s">
        <v>822</v>
      </c>
      <c r="C321" s="185" t="s">
        <v>59</v>
      </c>
      <c r="D321" s="185" t="s">
        <v>206</v>
      </c>
      <c r="E321" s="185" t="s">
        <v>754</v>
      </c>
      <c r="F321" s="185"/>
      <c r="G321" s="185" t="s">
        <v>60</v>
      </c>
      <c r="H321" s="186">
        <v>0.47699999999999998</v>
      </c>
      <c r="I321" s="241">
        <v>22.54</v>
      </c>
      <c r="J321" s="241">
        <v>10.75</v>
      </c>
    </row>
    <row r="322" spans="1:10" ht="28.5" x14ac:dyDescent="0.25">
      <c r="A322" s="185" t="s">
        <v>119</v>
      </c>
      <c r="B322" s="185" t="s">
        <v>773</v>
      </c>
      <c r="C322" s="185" t="s">
        <v>59</v>
      </c>
      <c r="D322" s="185" t="s">
        <v>122</v>
      </c>
      <c r="E322" s="185" t="s">
        <v>754</v>
      </c>
      <c r="F322" s="185"/>
      <c r="G322" s="185" t="s">
        <v>60</v>
      </c>
      <c r="H322" s="186">
        <v>1.0880000000000001</v>
      </c>
      <c r="I322" s="241">
        <v>31.69</v>
      </c>
      <c r="J322" s="241">
        <v>34.47</v>
      </c>
    </row>
    <row r="323" spans="1:10" ht="42.75" x14ac:dyDescent="0.25">
      <c r="A323" s="191" t="s">
        <v>62</v>
      </c>
      <c r="B323" s="191" t="s">
        <v>945</v>
      </c>
      <c r="C323" s="191" t="s">
        <v>59</v>
      </c>
      <c r="D323" s="191" t="s">
        <v>173</v>
      </c>
      <c r="E323" s="191" t="s">
        <v>120</v>
      </c>
      <c r="F323" s="191"/>
      <c r="G323" s="191" t="s">
        <v>116</v>
      </c>
      <c r="H323" s="192">
        <v>0.60499999999999998</v>
      </c>
      <c r="I323" s="244">
        <v>10.25</v>
      </c>
      <c r="J323" s="244">
        <v>6.2</v>
      </c>
    </row>
    <row r="324" spans="1:10" ht="28.5" x14ac:dyDescent="0.25">
      <c r="A324" s="191" t="s">
        <v>62</v>
      </c>
      <c r="B324" s="191" t="s">
        <v>981</v>
      </c>
      <c r="C324" s="191" t="s">
        <v>59</v>
      </c>
      <c r="D324" s="191" t="s">
        <v>982</v>
      </c>
      <c r="E324" s="191" t="s">
        <v>120</v>
      </c>
      <c r="F324" s="191"/>
      <c r="G324" s="191" t="s">
        <v>121</v>
      </c>
      <c r="H324" s="192">
        <v>2.5999999999999999E-2</v>
      </c>
      <c r="I324" s="244">
        <v>20.68</v>
      </c>
      <c r="J324" s="244">
        <v>0.53</v>
      </c>
    </row>
    <row r="325" spans="1:10" ht="57" x14ac:dyDescent="0.25">
      <c r="A325" s="191" t="s">
        <v>62</v>
      </c>
      <c r="B325" s="191" t="s">
        <v>944</v>
      </c>
      <c r="C325" s="191" t="s">
        <v>59</v>
      </c>
      <c r="D325" s="191" t="s">
        <v>171</v>
      </c>
      <c r="E325" s="191" t="s">
        <v>120</v>
      </c>
      <c r="F325" s="191"/>
      <c r="G325" s="191" t="s">
        <v>127</v>
      </c>
      <c r="H325" s="192">
        <v>1.67E-2</v>
      </c>
      <c r="I325" s="244">
        <v>6.99</v>
      </c>
      <c r="J325" s="244">
        <v>0.11</v>
      </c>
    </row>
    <row r="326" spans="1:10" ht="42.75" x14ac:dyDescent="0.25">
      <c r="A326" s="191" t="s">
        <v>62</v>
      </c>
      <c r="B326" s="191" t="s">
        <v>941</v>
      </c>
      <c r="C326" s="191" t="s">
        <v>59</v>
      </c>
      <c r="D326" s="191" t="s">
        <v>128</v>
      </c>
      <c r="E326" s="191" t="s">
        <v>120</v>
      </c>
      <c r="F326" s="191"/>
      <c r="G326" s="191" t="s">
        <v>116</v>
      </c>
      <c r="H326" s="192">
        <v>0.54700000000000004</v>
      </c>
      <c r="I326" s="244">
        <v>3.58</v>
      </c>
      <c r="J326" s="244">
        <v>1.95</v>
      </c>
    </row>
    <row r="327" spans="1:10" ht="42.75" x14ac:dyDescent="0.25">
      <c r="A327" s="191" t="s">
        <v>62</v>
      </c>
      <c r="B327" s="191" t="s">
        <v>939</v>
      </c>
      <c r="C327" s="191" t="s">
        <v>59</v>
      </c>
      <c r="D327" s="191" t="s">
        <v>940</v>
      </c>
      <c r="E327" s="191" t="s">
        <v>120</v>
      </c>
      <c r="F327" s="191"/>
      <c r="G327" s="191" t="s">
        <v>116</v>
      </c>
      <c r="H327" s="192">
        <v>1.1339999999999999</v>
      </c>
      <c r="I327" s="244">
        <v>17</v>
      </c>
      <c r="J327" s="244">
        <v>19.27</v>
      </c>
    </row>
    <row r="328" spans="1:10" ht="42.75" x14ac:dyDescent="0.25">
      <c r="A328" s="191" t="s">
        <v>62</v>
      </c>
      <c r="B328" s="191" t="s">
        <v>942</v>
      </c>
      <c r="C328" s="191" t="s">
        <v>59</v>
      </c>
      <c r="D328" s="191" t="s">
        <v>943</v>
      </c>
      <c r="E328" s="191" t="s">
        <v>120</v>
      </c>
      <c r="F328" s="191"/>
      <c r="G328" s="191" t="s">
        <v>121</v>
      </c>
      <c r="H328" s="192">
        <v>5.2999999999999999E-2</v>
      </c>
      <c r="I328" s="244">
        <v>25.05</v>
      </c>
      <c r="J328" s="244">
        <v>1.32</v>
      </c>
    </row>
    <row r="329" spans="1:10" x14ac:dyDescent="0.25">
      <c r="A329" s="187"/>
      <c r="B329" s="187"/>
      <c r="C329" s="187"/>
      <c r="D329" s="187"/>
      <c r="E329" s="187" t="s">
        <v>756</v>
      </c>
      <c r="F329" s="188">
        <v>34.950000000000003</v>
      </c>
      <c r="G329" s="187" t="s">
        <v>757</v>
      </c>
      <c r="H329" s="188">
        <v>0</v>
      </c>
      <c r="I329" s="242" t="s">
        <v>758</v>
      </c>
      <c r="J329" s="242">
        <v>34.950000000000003</v>
      </c>
    </row>
    <row r="330" spans="1:10" x14ac:dyDescent="0.25">
      <c r="A330" s="187"/>
      <c r="B330" s="187"/>
      <c r="C330" s="187"/>
      <c r="D330" s="187"/>
      <c r="E330" s="187" t="s">
        <v>759</v>
      </c>
      <c r="F330" s="188">
        <v>0</v>
      </c>
      <c r="G330" s="187"/>
      <c r="H330" s="187" t="s">
        <v>760</v>
      </c>
      <c r="I330" s="242"/>
      <c r="J330" s="242">
        <v>76.19</v>
      </c>
    </row>
    <row r="331" spans="1:10" x14ac:dyDescent="0.25">
      <c r="A331" s="182"/>
      <c r="B331" s="182"/>
      <c r="C331" s="182"/>
      <c r="D331" s="182"/>
      <c r="E331" s="182"/>
      <c r="F331" s="182"/>
      <c r="G331" s="182" t="s">
        <v>761</v>
      </c>
      <c r="H331" s="189" t="s">
        <v>983</v>
      </c>
      <c r="I331" s="239" t="s">
        <v>763</v>
      </c>
      <c r="J331" s="239">
        <v>11047.55</v>
      </c>
    </row>
    <row r="332" spans="1:10" x14ac:dyDescent="0.25">
      <c r="A332" s="183"/>
      <c r="B332" s="183"/>
      <c r="C332" s="183"/>
      <c r="D332" s="183"/>
      <c r="E332" s="183"/>
      <c r="F332" s="183"/>
      <c r="G332" s="183"/>
      <c r="H332" s="183"/>
      <c r="I332" s="240"/>
      <c r="J332" s="240"/>
    </row>
    <row r="333" spans="1:10" x14ac:dyDescent="0.25">
      <c r="A333" s="190" t="s">
        <v>984</v>
      </c>
      <c r="B333" s="190"/>
      <c r="C333" s="190"/>
      <c r="D333" s="190" t="s">
        <v>586</v>
      </c>
      <c r="E333" s="190"/>
      <c r="F333" s="190"/>
      <c r="G333" s="190"/>
      <c r="H333" s="190"/>
      <c r="I333" s="243"/>
      <c r="J333" s="243">
        <v>136758.37</v>
      </c>
    </row>
    <row r="334" spans="1:10" x14ac:dyDescent="0.25">
      <c r="A334" s="190" t="s">
        <v>985</v>
      </c>
      <c r="B334" s="190"/>
      <c r="C334" s="190"/>
      <c r="D334" s="190" t="s">
        <v>272</v>
      </c>
      <c r="E334" s="190"/>
      <c r="F334" s="190"/>
      <c r="G334" s="190"/>
      <c r="H334" s="190"/>
      <c r="I334" s="243"/>
      <c r="J334" s="243">
        <v>26497.46</v>
      </c>
    </row>
    <row r="335" spans="1:10" x14ac:dyDescent="0.25">
      <c r="A335" s="182" t="s">
        <v>986</v>
      </c>
      <c r="B335" s="182" t="s">
        <v>66</v>
      </c>
      <c r="C335" s="182" t="s">
        <v>64</v>
      </c>
      <c r="D335" s="182" t="s">
        <v>67</v>
      </c>
      <c r="E335" s="182" t="s">
        <v>65</v>
      </c>
      <c r="F335" s="182"/>
      <c r="G335" s="182" t="s">
        <v>744</v>
      </c>
      <c r="H335" s="182" t="s">
        <v>69</v>
      </c>
      <c r="I335" s="239" t="s">
        <v>745</v>
      </c>
      <c r="J335" s="239" t="s">
        <v>0</v>
      </c>
    </row>
    <row r="336" spans="1:10" ht="71.25" x14ac:dyDescent="0.25">
      <c r="A336" s="183" t="s">
        <v>58</v>
      </c>
      <c r="B336" s="183" t="s">
        <v>987</v>
      </c>
      <c r="C336" s="183" t="s">
        <v>59</v>
      </c>
      <c r="D336" s="183" t="s">
        <v>988</v>
      </c>
      <c r="E336" s="183" t="s">
        <v>879</v>
      </c>
      <c r="F336" s="183"/>
      <c r="G336" s="183" t="s">
        <v>121</v>
      </c>
      <c r="H336" s="184">
        <v>1</v>
      </c>
      <c r="I336" s="240">
        <v>13.6</v>
      </c>
      <c r="J336" s="240">
        <v>13.6</v>
      </c>
    </row>
    <row r="337" spans="1:10" ht="28.5" x14ac:dyDescent="0.25">
      <c r="A337" s="185" t="s">
        <v>119</v>
      </c>
      <c r="B337" s="185" t="s">
        <v>875</v>
      </c>
      <c r="C337" s="185" t="s">
        <v>59</v>
      </c>
      <c r="D337" s="185" t="s">
        <v>203</v>
      </c>
      <c r="E337" s="185" t="s">
        <v>754</v>
      </c>
      <c r="F337" s="185"/>
      <c r="G337" s="185" t="s">
        <v>60</v>
      </c>
      <c r="H337" s="186">
        <v>0.1069</v>
      </c>
      <c r="I337" s="241">
        <v>31.91</v>
      </c>
      <c r="J337" s="241">
        <v>3.41</v>
      </c>
    </row>
    <row r="338" spans="1:10" ht="28.5" x14ac:dyDescent="0.25">
      <c r="A338" s="185" t="s">
        <v>119</v>
      </c>
      <c r="B338" s="185" t="s">
        <v>876</v>
      </c>
      <c r="C338" s="185" t="s">
        <v>59</v>
      </c>
      <c r="D338" s="185" t="s">
        <v>199</v>
      </c>
      <c r="E338" s="185" t="s">
        <v>754</v>
      </c>
      <c r="F338" s="185"/>
      <c r="G338" s="185" t="s">
        <v>60</v>
      </c>
      <c r="H338" s="186">
        <v>1.7500000000000002E-2</v>
      </c>
      <c r="I338" s="241">
        <v>22.71</v>
      </c>
      <c r="J338" s="241">
        <v>0.39</v>
      </c>
    </row>
    <row r="339" spans="1:10" ht="28.5" x14ac:dyDescent="0.25">
      <c r="A339" s="185" t="s">
        <v>119</v>
      </c>
      <c r="B339" s="185" t="s">
        <v>951</v>
      </c>
      <c r="C339" s="185" t="s">
        <v>59</v>
      </c>
      <c r="D339" s="185" t="s">
        <v>952</v>
      </c>
      <c r="E339" s="185" t="s">
        <v>879</v>
      </c>
      <c r="F339" s="185"/>
      <c r="G339" s="185" t="s">
        <v>121</v>
      </c>
      <c r="H339" s="186">
        <v>1</v>
      </c>
      <c r="I339" s="241">
        <v>8.83</v>
      </c>
      <c r="J339" s="241">
        <v>8.83</v>
      </c>
    </row>
    <row r="340" spans="1:10" ht="42.75" x14ac:dyDescent="0.25">
      <c r="A340" s="191" t="s">
        <v>62</v>
      </c>
      <c r="B340" s="191" t="s">
        <v>880</v>
      </c>
      <c r="C340" s="191" t="s">
        <v>59</v>
      </c>
      <c r="D340" s="191" t="s">
        <v>200</v>
      </c>
      <c r="E340" s="191" t="s">
        <v>120</v>
      </c>
      <c r="F340" s="191"/>
      <c r="G340" s="191" t="s">
        <v>121</v>
      </c>
      <c r="H340" s="192">
        <v>2.5000000000000001E-2</v>
      </c>
      <c r="I340" s="244">
        <v>28.52</v>
      </c>
      <c r="J340" s="244">
        <v>0.71</v>
      </c>
    </row>
    <row r="341" spans="1:10" ht="71.25" x14ac:dyDescent="0.25">
      <c r="A341" s="191" t="s">
        <v>62</v>
      </c>
      <c r="B341" s="191" t="s">
        <v>881</v>
      </c>
      <c r="C341" s="191" t="s">
        <v>59</v>
      </c>
      <c r="D341" s="191" t="s">
        <v>201</v>
      </c>
      <c r="E341" s="191" t="s">
        <v>120</v>
      </c>
      <c r="F341" s="191"/>
      <c r="G341" s="191" t="s">
        <v>61</v>
      </c>
      <c r="H341" s="192">
        <v>1.19</v>
      </c>
      <c r="I341" s="244">
        <v>0.22</v>
      </c>
      <c r="J341" s="244">
        <v>0.26</v>
      </c>
    </row>
    <row r="342" spans="1:10" x14ac:dyDescent="0.25">
      <c r="A342" s="187"/>
      <c r="B342" s="187"/>
      <c r="C342" s="187"/>
      <c r="D342" s="187"/>
      <c r="E342" s="187" t="s">
        <v>756</v>
      </c>
      <c r="F342" s="188">
        <v>4.41</v>
      </c>
      <c r="G342" s="187" t="s">
        <v>757</v>
      </c>
      <c r="H342" s="188">
        <v>0</v>
      </c>
      <c r="I342" s="242" t="s">
        <v>758</v>
      </c>
      <c r="J342" s="242">
        <v>4.41</v>
      </c>
    </row>
    <row r="343" spans="1:10" x14ac:dyDescent="0.25">
      <c r="A343" s="187"/>
      <c r="B343" s="187"/>
      <c r="C343" s="187"/>
      <c r="D343" s="187"/>
      <c r="E343" s="187" t="s">
        <v>759</v>
      </c>
      <c r="F343" s="188">
        <v>0</v>
      </c>
      <c r="G343" s="187"/>
      <c r="H343" s="187" t="s">
        <v>760</v>
      </c>
      <c r="I343" s="242"/>
      <c r="J343" s="242">
        <v>13.6</v>
      </c>
    </row>
    <row r="344" spans="1:10" x14ac:dyDescent="0.25">
      <c r="A344" s="182"/>
      <c r="B344" s="182"/>
      <c r="C344" s="182"/>
      <c r="D344" s="182"/>
      <c r="E344" s="182"/>
      <c r="F344" s="182"/>
      <c r="G344" s="182" t="s">
        <v>761</v>
      </c>
      <c r="H344" s="189" t="s">
        <v>989</v>
      </c>
      <c r="I344" s="239" t="s">
        <v>763</v>
      </c>
      <c r="J344" s="239">
        <v>2906.86</v>
      </c>
    </row>
    <row r="345" spans="1:10" x14ac:dyDescent="0.25">
      <c r="A345" s="183"/>
      <c r="B345" s="183"/>
      <c r="C345" s="183"/>
      <c r="D345" s="183"/>
      <c r="E345" s="183"/>
      <c r="F345" s="183"/>
      <c r="G345" s="183"/>
      <c r="H345" s="183"/>
      <c r="I345" s="240"/>
      <c r="J345" s="240"/>
    </row>
    <row r="346" spans="1:10" x14ac:dyDescent="0.25">
      <c r="A346" s="182" t="s">
        <v>990</v>
      </c>
      <c r="B346" s="182" t="s">
        <v>66</v>
      </c>
      <c r="C346" s="182" t="s">
        <v>64</v>
      </c>
      <c r="D346" s="182" t="s">
        <v>67</v>
      </c>
      <c r="E346" s="182" t="s">
        <v>65</v>
      </c>
      <c r="F346" s="182"/>
      <c r="G346" s="182" t="s">
        <v>744</v>
      </c>
      <c r="H346" s="182" t="s">
        <v>69</v>
      </c>
      <c r="I346" s="239" t="s">
        <v>745</v>
      </c>
      <c r="J346" s="239" t="s">
        <v>0</v>
      </c>
    </row>
    <row r="347" spans="1:10" ht="71.25" x14ac:dyDescent="0.25">
      <c r="A347" s="183" t="s">
        <v>58</v>
      </c>
      <c r="B347" s="183" t="s">
        <v>991</v>
      </c>
      <c r="C347" s="183" t="s">
        <v>59</v>
      </c>
      <c r="D347" s="183" t="s">
        <v>992</v>
      </c>
      <c r="E347" s="183" t="s">
        <v>879</v>
      </c>
      <c r="F347" s="183"/>
      <c r="G347" s="183" t="s">
        <v>121</v>
      </c>
      <c r="H347" s="184">
        <v>1</v>
      </c>
      <c r="I347" s="240">
        <v>9.94</v>
      </c>
      <c r="J347" s="240">
        <v>9.94</v>
      </c>
    </row>
    <row r="348" spans="1:10" ht="42.75" x14ac:dyDescent="0.25">
      <c r="A348" s="185" t="s">
        <v>119</v>
      </c>
      <c r="B348" s="185" t="s">
        <v>886</v>
      </c>
      <c r="C348" s="185" t="s">
        <v>59</v>
      </c>
      <c r="D348" s="185" t="s">
        <v>887</v>
      </c>
      <c r="E348" s="185" t="s">
        <v>879</v>
      </c>
      <c r="F348" s="185"/>
      <c r="G348" s="185" t="s">
        <v>121</v>
      </c>
      <c r="H348" s="186">
        <v>1</v>
      </c>
      <c r="I348" s="241">
        <v>7.73</v>
      </c>
      <c r="J348" s="241">
        <v>7.73</v>
      </c>
    </row>
    <row r="349" spans="1:10" ht="28.5" x14ac:dyDescent="0.25">
      <c r="A349" s="185" t="s">
        <v>119</v>
      </c>
      <c r="B349" s="185" t="s">
        <v>876</v>
      </c>
      <c r="C349" s="185" t="s">
        <v>59</v>
      </c>
      <c r="D349" s="185" t="s">
        <v>199</v>
      </c>
      <c r="E349" s="185" t="s">
        <v>754</v>
      </c>
      <c r="F349" s="185"/>
      <c r="G349" s="185" t="s">
        <v>60</v>
      </c>
      <c r="H349" s="186">
        <v>6.4000000000000003E-3</v>
      </c>
      <c r="I349" s="241">
        <v>22.71</v>
      </c>
      <c r="J349" s="241">
        <v>0.14000000000000001</v>
      </c>
    </row>
    <row r="350" spans="1:10" ht="28.5" x14ac:dyDescent="0.25">
      <c r="A350" s="185" t="s">
        <v>119</v>
      </c>
      <c r="B350" s="185" t="s">
        <v>875</v>
      </c>
      <c r="C350" s="185" t="s">
        <v>59</v>
      </c>
      <c r="D350" s="185" t="s">
        <v>203</v>
      </c>
      <c r="E350" s="185" t="s">
        <v>754</v>
      </c>
      <c r="F350" s="185"/>
      <c r="G350" s="185" t="s">
        <v>60</v>
      </c>
      <c r="H350" s="186">
        <v>3.9199999999999999E-2</v>
      </c>
      <c r="I350" s="241">
        <v>31.91</v>
      </c>
      <c r="J350" s="241">
        <v>1.25</v>
      </c>
    </row>
    <row r="351" spans="1:10" ht="71.25" x14ac:dyDescent="0.25">
      <c r="A351" s="191" t="s">
        <v>62</v>
      </c>
      <c r="B351" s="191" t="s">
        <v>881</v>
      </c>
      <c r="C351" s="191" t="s">
        <v>59</v>
      </c>
      <c r="D351" s="191" t="s">
        <v>201</v>
      </c>
      <c r="E351" s="191" t="s">
        <v>120</v>
      </c>
      <c r="F351" s="191"/>
      <c r="G351" s="191" t="s">
        <v>61</v>
      </c>
      <c r="H351" s="192">
        <v>0.54300000000000004</v>
      </c>
      <c r="I351" s="244">
        <v>0.22</v>
      </c>
      <c r="J351" s="244">
        <v>0.11</v>
      </c>
    </row>
    <row r="352" spans="1:10" ht="42.75" x14ac:dyDescent="0.25">
      <c r="A352" s="191" t="s">
        <v>62</v>
      </c>
      <c r="B352" s="191" t="s">
        <v>880</v>
      </c>
      <c r="C352" s="191" t="s">
        <v>59</v>
      </c>
      <c r="D352" s="191" t="s">
        <v>200</v>
      </c>
      <c r="E352" s="191" t="s">
        <v>120</v>
      </c>
      <c r="F352" s="191"/>
      <c r="G352" s="191" t="s">
        <v>121</v>
      </c>
      <c r="H352" s="192">
        <v>2.5000000000000001E-2</v>
      </c>
      <c r="I352" s="244">
        <v>28.52</v>
      </c>
      <c r="J352" s="244">
        <v>0.71</v>
      </c>
    </row>
    <row r="353" spans="1:10" x14ac:dyDescent="0.25">
      <c r="A353" s="187"/>
      <c r="B353" s="187"/>
      <c r="C353" s="187"/>
      <c r="D353" s="187"/>
      <c r="E353" s="187" t="s">
        <v>756</v>
      </c>
      <c r="F353" s="188">
        <v>1.27</v>
      </c>
      <c r="G353" s="187" t="s">
        <v>757</v>
      </c>
      <c r="H353" s="188">
        <v>0</v>
      </c>
      <c r="I353" s="242" t="s">
        <v>758</v>
      </c>
      <c r="J353" s="242">
        <v>1.27</v>
      </c>
    </row>
    <row r="354" spans="1:10" x14ac:dyDescent="0.25">
      <c r="A354" s="187"/>
      <c r="B354" s="187"/>
      <c r="C354" s="187"/>
      <c r="D354" s="187"/>
      <c r="E354" s="187" t="s">
        <v>759</v>
      </c>
      <c r="F354" s="188">
        <v>0</v>
      </c>
      <c r="G354" s="187"/>
      <c r="H354" s="187" t="s">
        <v>760</v>
      </c>
      <c r="I354" s="242"/>
      <c r="J354" s="242">
        <v>9.94</v>
      </c>
    </row>
    <row r="355" spans="1:10" x14ac:dyDescent="0.25">
      <c r="A355" s="182"/>
      <c r="B355" s="182"/>
      <c r="C355" s="182"/>
      <c r="D355" s="182"/>
      <c r="E355" s="182"/>
      <c r="F355" s="182"/>
      <c r="G355" s="182" t="s">
        <v>761</v>
      </c>
      <c r="H355" s="189" t="s">
        <v>993</v>
      </c>
      <c r="I355" s="239" t="s">
        <v>763</v>
      </c>
      <c r="J355" s="239">
        <v>6120.25</v>
      </c>
    </row>
    <row r="356" spans="1:10" x14ac:dyDescent="0.25">
      <c r="A356" s="183"/>
      <c r="B356" s="183"/>
      <c r="C356" s="183"/>
      <c r="D356" s="183"/>
      <c r="E356" s="183"/>
      <c r="F356" s="183"/>
      <c r="G356" s="183"/>
      <c r="H356" s="183"/>
      <c r="I356" s="240"/>
      <c r="J356" s="240"/>
    </row>
    <row r="357" spans="1:10" x14ac:dyDescent="0.25">
      <c r="A357" s="182" t="s">
        <v>994</v>
      </c>
      <c r="B357" s="182" t="s">
        <v>66</v>
      </c>
      <c r="C357" s="182" t="s">
        <v>64</v>
      </c>
      <c r="D357" s="182" t="s">
        <v>67</v>
      </c>
      <c r="E357" s="182" t="s">
        <v>65</v>
      </c>
      <c r="F357" s="182"/>
      <c r="G357" s="182" t="s">
        <v>744</v>
      </c>
      <c r="H357" s="182" t="s">
        <v>69</v>
      </c>
      <c r="I357" s="239" t="s">
        <v>745</v>
      </c>
      <c r="J357" s="239" t="s">
        <v>0</v>
      </c>
    </row>
    <row r="358" spans="1:10" ht="71.25" x14ac:dyDescent="0.25">
      <c r="A358" s="183" t="s">
        <v>58</v>
      </c>
      <c r="B358" s="183" t="s">
        <v>995</v>
      </c>
      <c r="C358" s="183" t="s">
        <v>59</v>
      </c>
      <c r="D358" s="183" t="s">
        <v>996</v>
      </c>
      <c r="E358" s="183" t="s">
        <v>879</v>
      </c>
      <c r="F358" s="183"/>
      <c r="G358" s="183" t="s">
        <v>121</v>
      </c>
      <c r="H358" s="184">
        <v>1</v>
      </c>
      <c r="I358" s="240">
        <v>8.2899999999999991</v>
      </c>
      <c r="J358" s="240">
        <v>8.2899999999999991</v>
      </c>
    </row>
    <row r="359" spans="1:10" ht="42.75" x14ac:dyDescent="0.25">
      <c r="A359" s="185" t="s">
        <v>119</v>
      </c>
      <c r="B359" s="185" t="s">
        <v>997</v>
      </c>
      <c r="C359" s="185" t="s">
        <v>59</v>
      </c>
      <c r="D359" s="185" t="s">
        <v>998</v>
      </c>
      <c r="E359" s="185" t="s">
        <v>879</v>
      </c>
      <c r="F359" s="185"/>
      <c r="G359" s="185" t="s">
        <v>121</v>
      </c>
      <c r="H359" s="186">
        <v>1</v>
      </c>
      <c r="I359" s="241">
        <v>6.59</v>
      </c>
      <c r="J359" s="241">
        <v>6.59</v>
      </c>
    </row>
    <row r="360" spans="1:10" ht="28.5" x14ac:dyDescent="0.25">
      <c r="A360" s="185" t="s">
        <v>119</v>
      </c>
      <c r="B360" s="185" t="s">
        <v>875</v>
      </c>
      <c r="C360" s="185" t="s">
        <v>59</v>
      </c>
      <c r="D360" s="185" t="s">
        <v>203</v>
      </c>
      <c r="E360" s="185" t="s">
        <v>754</v>
      </c>
      <c r="F360" s="185"/>
      <c r="G360" s="185" t="s">
        <v>60</v>
      </c>
      <c r="H360" s="186">
        <v>2.5700000000000001E-2</v>
      </c>
      <c r="I360" s="241">
        <v>31.91</v>
      </c>
      <c r="J360" s="241">
        <v>0.82</v>
      </c>
    </row>
    <row r="361" spans="1:10" ht="28.5" x14ac:dyDescent="0.25">
      <c r="A361" s="185" t="s">
        <v>119</v>
      </c>
      <c r="B361" s="185" t="s">
        <v>876</v>
      </c>
      <c r="C361" s="185" t="s">
        <v>59</v>
      </c>
      <c r="D361" s="185" t="s">
        <v>199</v>
      </c>
      <c r="E361" s="185" t="s">
        <v>754</v>
      </c>
      <c r="F361" s="185"/>
      <c r="G361" s="185" t="s">
        <v>60</v>
      </c>
      <c r="H361" s="186">
        <v>4.1999999999999997E-3</v>
      </c>
      <c r="I361" s="241">
        <v>22.71</v>
      </c>
      <c r="J361" s="241">
        <v>0.09</v>
      </c>
    </row>
    <row r="362" spans="1:10" ht="42.75" x14ac:dyDescent="0.25">
      <c r="A362" s="191" t="s">
        <v>62</v>
      </c>
      <c r="B362" s="191" t="s">
        <v>880</v>
      </c>
      <c r="C362" s="191" t="s">
        <v>59</v>
      </c>
      <c r="D362" s="191" t="s">
        <v>200</v>
      </c>
      <c r="E362" s="191" t="s">
        <v>120</v>
      </c>
      <c r="F362" s="191"/>
      <c r="G362" s="191" t="s">
        <v>121</v>
      </c>
      <c r="H362" s="192">
        <v>2.5000000000000001E-2</v>
      </c>
      <c r="I362" s="244">
        <v>28.52</v>
      </c>
      <c r="J362" s="244">
        <v>0.71</v>
      </c>
    </row>
    <row r="363" spans="1:10" ht="71.25" x14ac:dyDescent="0.25">
      <c r="A363" s="191" t="s">
        <v>62</v>
      </c>
      <c r="B363" s="191" t="s">
        <v>881</v>
      </c>
      <c r="C363" s="191" t="s">
        <v>59</v>
      </c>
      <c r="D363" s="191" t="s">
        <v>201</v>
      </c>
      <c r="E363" s="191" t="s">
        <v>120</v>
      </c>
      <c r="F363" s="191"/>
      <c r="G363" s="191" t="s">
        <v>61</v>
      </c>
      <c r="H363" s="192">
        <v>0.36699999999999999</v>
      </c>
      <c r="I363" s="244">
        <v>0.22</v>
      </c>
      <c r="J363" s="244">
        <v>0.08</v>
      </c>
    </row>
    <row r="364" spans="1:10" x14ac:dyDescent="0.25">
      <c r="A364" s="187"/>
      <c r="B364" s="187"/>
      <c r="C364" s="187"/>
      <c r="D364" s="187"/>
      <c r="E364" s="187" t="s">
        <v>756</v>
      </c>
      <c r="F364" s="188">
        <v>0.8</v>
      </c>
      <c r="G364" s="187" t="s">
        <v>757</v>
      </c>
      <c r="H364" s="188">
        <v>0</v>
      </c>
      <c r="I364" s="242" t="s">
        <v>758</v>
      </c>
      <c r="J364" s="242">
        <v>0.8</v>
      </c>
    </row>
    <row r="365" spans="1:10" x14ac:dyDescent="0.25">
      <c r="A365" s="187"/>
      <c r="B365" s="187"/>
      <c r="C365" s="187"/>
      <c r="D365" s="187"/>
      <c r="E365" s="187" t="s">
        <v>759</v>
      </c>
      <c r="F365" s="188">
        <v>0</v>
      </c>
      <c r="G365" s="187"/>
      <c r="H365" s="187" t="s">
        <v>760</v>
      </c>
      <c r="I365" s="242"/>
      <c r="J365" s="242">
        <v>8.2899999999999991</v>
      </c>
    </row>
    <row r="366" spans="1:10" x14ac:dyDescent="0.25">
      <c r="A366" s="182"/>
      <c r="B366" s="182"/>
      <c r="C366" s="182"/>
      <c r="D366" s="182"/>
      <c r="E366" s="182"/>
      <c r="F366" s="182"/>
      <c r="G366" s="182" t="s">
        <v>761</v>
      </c>
      <c r="H366" s="189" t="s">
        <v>999</v>
      </c>
      <c r="I366" s="239" t="s">
        <v>763</v>
      </c>
      <c r="J366" s="239">
        <v>251.51</v>
      </c>
    </row>
    <row r="367" spans="1:10" x14ac:dyDescent="0.25">
      <c r="A367" s="183"/>
      <c r="B367" s="183"/>
      <c r="C367" s="183"/>
      <c r="D367" s="183"/>
      <c r="E367" s="183"/>
      <c r="F367" s="183"/>
      <c r="G367" s="183"/>
      <c r="H367" s="183"/>
      <c r="I367" s="240"/>
      <c r="J367" s="240"/>
    </row>
    <row r="368" spans="1:10" x14ac:dyDescent="0.25">
      <c r="A368" s="182" t="s">
        <v>1000</v>
      </c>
      <c r="B368" s="182" t="s">
        <v>66</v>
      </c>
      <c r="C368" s="182" t="s">
        <v>64</v>
      </c>
      <c r="D368" s="182" t="s">
        <v>67</v>
      </c>
      <c r="E368" s="182" t="s">
        <v>65</v>
      </c>
      <c r="F368" s="182"/>
      <c r="G368" s="182" t="s">
        <v>744</v>
      </c>
      <c r="H368" s="182" t="s">
        <v>69</v>
      </c>
      <c r="I368" s="239" t="s">
        <v>745</v>
      </c>
      <c r="J368" s="239" t="s">
        <v>0</v>
      </c>
    </row>
    <row r="369" spans="1:10" ht="85.5" x14ac:dyDescent="0.25">
      <c r="A369" s="183" t="s">
        <v>58</v>
      </c>
      <c r="B369" s="183" t="s">
        <v>893</v>
      </c>
      <c r="C369" s="183" t="s">
        <v>59</v>
      </c>
      <c r="D369" s="183" t="s">
        <v>195</v>
      </c>
      <c r="E369" s="183" t="s">
        <v>821</v>
      </c>
      <c r="F369" s="183"/>
      <c r="G369" s="183" t="s">
        <v>191</v>
      </c>
      <c r="H369" s="184">
        <v>1</v>
      </c>
      <c r="I369" s="240">
        <v>526.74</v>
      </c>
      <c r="J369" s="240">
        <v>526.74</v>
      </c>
    </row>
    <row r="370" spans="1:10" ht="57" x14ac:dyDescent="0.25">
      <c r="A370" s="185" t="s">
        <v>119</v>
      </c>
      <c r="B370" s="185" t="s">
        <v>908</v>
      </c>
      <c r="C370" s="185" t="s">
        <v>59</v>
      </c>
      <c r="D370" s="185" t="s">
        <v>196</v>
      </c>
      <c r="E370" s="185" t="s">
        <v>754</v>
      </c>
      <c r="F370" s="185"/>
      <c r="G370" s="185" t="s">
        <v>60</v>
      </c>
      <c r="H370" s="186">
        <v>1.2501</v>
      </c>
      <c r="I370" s="241">
        <v>20.58</v>
      </c>
      <c r="J370" s="241">
        <v>25.72</v>
      </c>
    </row>
    <row r="371" spans="1:10" ht="85.5" x14ac:dyDescent="0.25">
      <c r="A371" s="185" t="s">
        <v>119</v>
      </c>
      <c r="B371" s="185" t="s">
        <v>909</v>
      </c>
      <c r="C371" s="185" t="s">
        <v>59</v>
      </c>
      <c r="D371" s="185" t="s">
        <v>198</v>
      </c>
      <c r="E371" s="185" t="s">
        <v>807</v>
      </c>
      <c r="F371" s="185"/>
      <c r="G371" s="185" t="s">
        <v>117</v>
      </c>
      <c r="H371" s="186">
        <v>0.64339999999999997</v>
      </c>
      <c r="I371" s="241">
        <v>5.53</v>
      </c>
      <c r="J371" s="241">
        <v>3.55</v>
      </c>
    </row>
    <row r="372" spans="1:10" ht="28.5" x14ac:dyDescent="0.25">
      <c r="A372" s="185" t="s">
        <v>119</v>
      </c>
      <c r="B372" s="185" t="s">
        <v>769</v>
      </c>
      <c r="C372" s="185" t="s">
        <v>59</v>
      </c>
      <c r="D372" s="185" t="s">
        <v>115</v>
      </c>
      <c r="E372" s="185" t="s">
        <v>754</v>
      </c>
      <c r="F372" s="185"/>
      <c r="G372" s="185" t="s">
        <v>60</v>
      </c>
      <c r="H372" s="186">
        <v>1.9792000000000001</v>
      </c>
      <c r="I372" s="241">
        <v>22.42</v>
      </c>
      <c r="J372" s="241">
        <v>44.37</v>
      </c>
    </row>
    <row r="373" spans="1:10" ht="85.5" x14ac:dyDescent="0.25">
      <c r="A373" s="185" t="s">
        <v>119</v>
      </c>
      <c r="B373" s="185" t="s">
        <v>910</v>
      </c>
      <c r="C373" s="185" t="s">
        <v>59</v>
      </c>
      <c r="D373" s="185" t="s">
        <v>197</v>
      </c>
      <c r="E373" s="185" t="s">
        <v>807</v>
      </c>
      <c r="F373" s="185"/>
      <c r="G373" s="185" t="s">
        <v>125</v>
      </c>
      <c r="H373" s="186">
        <v>0.60670000000000002</v>
      </c>
      <c r="I373" s="241">
        <v>1.52</v>
      </c>
      <c r="J373" s="241">
        <v>0.92</v>
      </c>
    </row>
    <row r="374" spans="1:10" ht="28.5" x14ac:dyDescent="0.25">
      <c r="A374" s="191" t="s">
        <v>62</v>
      </c>
      <c r="B374" s="191" t="s">
        <v>911</v>
      </c>
      <c r="C374" s="191" t="s">
        <v>59</v>
      </c>
      <c r="D374" s="191" t="s">
        <v>912</v>
      </c>
      <c r="E374" s="191" t="s">
        <v>120</v>
      </c>
      <c r="F374" s="191"/>
      <c r="G374" s="191" t="s">
        <v>121</v>
      </c>
      <c r="H374" s="192">
        <v>364.94330000000002</v>
      </c>
      <c r="I374" s="244">
        <v>0.74</v>
      </c>
      <c r="J374" s="244">
        <v>270.05</v>
      </c>
    </row>
    <row r="375" spans="1:10" ht="57" x14ac:dyDescent="0.25">
      <c r="A375" s="191" t="s">
        <v>62</v>
      </c>
      <c r="B375" s="191" t="s">
        <v>913</v>
      </c>
      <c r="C375" s="191" t="s">
        <v>59</v>
      </c>
      <c r="D375" s="191" t="s">
        <v>914</v>
      </c>
      <c r="E375" s="191" t="s">
        <v>120</v>
      </c>
      <c r="F375" s="191"/>
      <c r="G375" s="191" t="s">
        <v>191</v>
      </c>
      <c r="H375" s="192">
        <v>0.59719999999999995</v>
      </c>
      <c r="I375" s="244">
        <v>122.27</v>
      </c>
      <c r="J375" s="244">
        <v>73.010000000000005</v>
      </c>
    </row>
    <row r="376" spans="1:10" ht="57" x14ac:dyDescent="0.25">
      <c r="A376" s="191" t="s">
        <v>62</v>
      </c>
      <c r="B376" s="191" t="s">
        <v>915</v>
      </c>
      <c r="C376" s="191" t="s">
        <v>59</v>
      </c>
      <c r="D376" s="191" t="s">
        <v>916</v>
      </c>
      <c r="E376" s="191" t="s">
        <v>120</v>
      </c>
      <c r="F376" s="191"/>
      <c r="G376" s="191" t="s">
        <v>191</v>
      </c>
      <c r="H376" s="192">
        <v>0.72750000000000004</v>
      </c>
      <c r="I376" s="244">
        <v>150</v>
      </c>
      <c r="J376" s="244">
        <v>109.12</v>
      </c>
    </row>
    <row r="377" spans="1:10" x14ac:dyDescent="0.25">
      <c r="A377" s="187"/>
      <c r="B377" s="187"/>
      <c r="C377" s="187"/>
      <c r="D377" s="187"/>
      <c r="E377" s="187" t="s">
        <v>756</v>
      </c>
      <c r="F377" s="188">
        <v>47.5</v>
      </c>
      <c r="G377" s="187" t="s">
        <v>757</v>
      </c>
      <c r="H377" s="188">
        <v>0</v>
      </c>
      <c r="I377" s="242" t="s">
        <v>758</v>
      </c>
      <c r="J377" s="242">
        <v>47.5</v>
      </c>
    </row>
    <row r="378" spans="1:10" x14ac:dyDescent="0.25">
      <c r="A378" s="187"/>
      <c r="B378" s="187"/>
      <c r="C378" s="187"/>
      <c r="D378" s="187"/>
      <c r="E378" s="187" t="s">
        <v>759</v>
      </c>
      <c r="F378" s="188">
        <v>0</v>
      </c>
      <c r="G378" s="187"/>
      <c r="H378" s="187" t="s">
        <v>760</v>
      </c>
      <c r="I378" s="242"/>
      <c r="J378" s="242">
        <v>526.74</v>
      </c>
    </row>
    <row r="379" spans="1:10" x14ac:dyDescent="0.25">
      <c r="A379" s="182"/>
      <c r="B379" s="182"/>
      <c r="C379" s="182"/>
      <c r="D379" s="182"/>
      <c r="E379" s="182"/>
      <c r="F379" s="182"/>
      <c r="G379" s="182" t="s">
        <v>761</v>
      </c>
      <c r="H379" s="189" t="s">
        <v>1001</v>
      </c>
      <c r="I379" s="239" t="s">
        <v>763</v>
      </c>
      <c r="J379" s="239">
        <v>3771.45</v>
      </c>
    </row>
    <row r="380" spans="1:10" x14ac:dyDescent="0.25">
      <c r="A380" s="183"/>
      <c r="B380" s="183"/>
      <c r="C380" s="183"/>
      <c r="D380" s="183"/>
      <c r="E380" s="183"/>
      <c r="F380" s="183"/>
      <c r="G380" s="183"/>
      <c r="H380" s="183"/>
      <c r="I380" s="240"/>
      <c r="J380" s="240"/>
    </row>
    <row r="381" spans="1:10" x14ac:dyDescent="0.25">
      <c r="A381" s="182" t="s">
        <v>1002</v>
      </c>
      <c r="B381" s="182" t="s">
        <v>66</v>
      </c>
      <c r="C381" s="182" t="s">
        <v>64</v>
      </c>
      <c r="D381" s="182" t="s">
        <v>67</v>
      </c>
      <c r="E381" s="182" t="s">
        <v>65</v>
      </c>
      <c r="F381" s="182"/>
      <c r="G381" s="182" t="s">
        <v>744</v>
      </c>
      <c r="H381" s="182" t="s">
        <v>69</v>
      </c>
      <c r="I381" s="239" t="s">
        <v>745</v>
      </c>
      <c r="J381" s="239" t="s">
        <v>0</v>
      </c>
    </row>
    <row r="382" spans="1:10" ht="57" x14ac:dyDescent="0.25">
      <c r="A382" s="183" t="s">
        <v>58</v>
      </c>
      <c r="B382" s="183" t="s">
        <v>919</v>
      </c>
      <c r="C382" s="183" t="s">
        <v>59</v>
      </c>
      <c r="D382" s="183" t="s">
        <v>920</v>
      </c>
      <c r="E382" s="183" t="s">
        <v>921</v>
      </c>
      <c r="F382" s="183"/>
      <c r="G382" s="183" t="s">
        <v>191</v>
      </c>
      <c r="H382" s="184">
        <v>1</v>
      </c>
      <c r="I382" s="240">
        <v>324.68</v>
      </c>
      <c r="J382" s="240">
        <v>324.68</v>
      </c>
    </row>
    <row r="383" spans="1:10" ht="28.5" x14ac:dyDescent="0.25">
      <c r="A383" s="185" t="s">
        <v>119</v>
      </c>
      <c r="B383" s="185" t="s">
        <v>773</v>
      </c>
      <c r="C383" s="185" t="s">
        <v>59</v>
      </c>
      <c r="D383" s="185" t="s">
        <v>122</v>
      </c>
      <c r="E383" s="185" t="s">
        <v>754</v>
      </c>
      <c r="F383" s="185"/>
      <c r="G383" s="185" t="s">
        <v>60</v>
      </c>
      <c r="H383" s="186">
        <v>2.4590000000000001</v>
      </c>
      <c r="I383" s="241">
        <v>31.69</v>
      </c>
      <c r="J383" s="241">
        <v>77.92</v>
      </c>
    </row>
    <row r="384" spans="1:10" ht="71.25" x14ac:dyDescent="0.25">
      <c r="A384" s="185" t="s">
        <v>119</v>
      </c>
      <c r="B384" s="185" t="s">
        <v>922</v>
      </c>
      <c r="C384" s="185" t="s">
        <v>59</v>
      </c>
      <c r="D384" s="185" t="s">
        <v>204</v>
      </c>
      <c r="E384" s="185" t="s">
        <v>807</v>
      </c>
      <c r="F384" s="185"/>
      <c r="G384" s="185" t="s">
        <v>125</v>
      </c>
      <c r="H384" s="186">
        <v>1.417</v>
      </c>
      <c r="I384" s="241">
        <v>0.56000000000000005</v>
      </c>
      <c r="J384" s="241">
        <v>0.79</v>
      </c>
    </row>
    <row r="385" spans="1:10" ht="71.25" x14ac:dyDescent="0.25">
      <c r="A385" s="185" t="s">
        <v>119</v>
      </c>
      <c r="B385" s="185" t="s">
        <v>923</v>
      </c>
      <c r="C385" s="185" t="s">
        <v>59</v>
      </c>
      <c r="D385" s="185" t="s">
        <v>205</v>
      </c>
      <c r="E385" s="185" t="s">
        <v>807</v>
      </c>
      <c r="F385" s="185"/>
      <c r="G385" s="185" t="s">
        <v>117</v>
      </c>
      <c r="H385" s="186">
        <v>1.042</v>
      </c>
      <c r="I385" s="241">
        <v>1.47</v>
      </c>
      <c r="J385" s="241">
        <v>1.53</v>
      </c>
    </row>
    <row r="386" spans="1:10" ht="28.5" x14ac:dyDescent="0.25">
      <c r="A386" s="185" t="s">
        <v>119</v>
      </c>
      <c r="B386" s="185" t="s">
        <v>769</v>
      </c>
      <c r="C386" s="185" t="s">
        <v>59</v>
      </c>
      <c r="D386" s="185" t="s">
        <v>115</v>
      </c>
      <c r="E386" s="185" t="s">
        <v>754</v>
      </c>
      <c r="F386" s="185"/>
      <c r="G386" s="185" t="s">
        <v>60</v>
      </c>
      <c r="H386" s="186">
        <v>7.3769999999999998</v>
      </c>
      <c r="I386" s="241">
        <v>22.42</v>
      </c>
      <c r="J386" s="241">
        <v>165.39</v>
      </c>
    </row>
    <row r="387" spans="1:10" ht="28.5" x14ac:dyDescent="0.25">
      <c r="A387" s="185" t="s">
        <v>119</v>
      </c>
      <c r="B387" s="185" t="s">
        <v>894</v>
      </c>
      <c r="C387" s="185" t="s">
        <v>59</v>
      </c>
      <c r="D387" s="185" t="s">
        <v>126</v>
      </c>
      <c r="E387" s="185" t="s">
        <v>754</v>
      </c>
      <c r="F387" s="185"/>
      <c r="G387" s="185" t="s">
        <v>60</v>
      </c>
      <c r="H387" s="186">
        <v>2.4590000000000001</v>
      </c>
      <c r="I387" s="241">
        <v>32.15</v>
      </c>
      <c r="J387" s="241">
        <v>79.05</v>
      </c>
    </row>
    <row r="388" spans="1:10" x14ac:dyDescent="0.25">
      <c r="A388" s="187"/>
      <c r="B388" s="187"/>
      <c r="C388" s="187"/>
      <c r="D388" s="187"/>
      <c r="E388" s="187" t="s">
        <v>756</v>
      </c>
      <c r="F388" s="188">
        <v>231.22</v>
      </c>
      <c r="G388" s="187" t="s">
        <v>757</v>
      </c>
      <c r="H388" s="188">
        <v>0</v>
      </c>
      <c r="I388" s="242" t="s">
        <v>758</v>
      </c>
      <c r="J388" s="242">
        <v>231.22</v>
      </c>
    </row>
    <row r="389" spans="1:10" x14ac:dyDescent="0.25">
      <c r="A389" s="187"/>
      <c r="B389" s="187"/>
      <c r="C389" s="187"/>
      <c r="D389" s="187"/>
      <c r="E389" s="187" t="s">
        <v>759</v>
      </c>
      <c r="F389" s="188">
        <v>0</v>
      </c>
      <c r="G389" s="187"/>
      <c r="H389" s="187" t="s">
        <v>760</v>
      </c>
      <c r="I389" s="242"/>
      <c r="J389" s="242">
        <v>324.68</v>
      </c>
    </row>
    <row r="390" spans="1:10" x14ac:dyDescent="0.25">
      <c r="A390" s="182"/>
      <c r="B390" s="182"/>
      <c r="C390" s="182"/>
      <c r="D390" s="182"/>
      <c r="E390" s="182"/>
      <c r="F390" s="182"/>
      <c r="G390" s="182" t="s">
        <v>761</v>
      </c>
      <c r="H390" s="189" t="s">
        <v>1001</v>
      </c>
      <c r="I390" s="239" t="s">
        <v>763</v>
      </c>
      <c r="J390" s="239">
        <v>2324.6999999999998</v>
      </c>
    </row>
    <row r="391" spans="1:10" x14ac:dyDescent="0.25">
      <c r="A391" s="183"/>
      <c r="B391" s="183"/>
      <c r="C391" s="183"/>
      <c r="D391" s="183"/>
      <c r="E391" s="183"/>
      <c r="F391" s="183"/>
      <c r="G391" s="183"/>
      <c r="H391" s="183"/>
      <c r="I391" s="240"/>
      <c r="J391" s="240"/>
    </row>
    <row r="392" spans="1:10" x14ac:dyDescent="0.25">
      <c r="A392" s="182" t="s">
        <v>1003</v>
      </c>
      <c r="B392" s="182" t="s">
        <v>66</v>
      </c>
      <c r="C392" s="182" t="s">
        <v>64</v>
      </c>
      <c r="D392" s="182" t="s">
        <v>67</v>
      </c>
      <c r="E392" s="182" t="s">
        <v>65</v>
      </c>
      <c r="F392" s="182"/>
      <c r="G392" s="182" t="s">
        <v>744</v>
      </c>
      <c r="H392" s="182" t="s">
        <v>69</v>
      </c>
      <c r="I392" s="239" t="s">
        <v>745</v>
      </c>
      <c r="J392" s="239" t="s">
        <v>0</v>
      </c>
    </row>
    <row r="393" spans="1:10" ht="99.75" x14ac:dyDescent="0.25">
      <c r="A393" s="183" t="s">
        <v>58</v>
      </c>
      <c r="B393" s="183" t="s">
        <v>1004</v>
      </c>
      <c r="C393" s="183" t="s">
        <v>59</v>
      </c>
      <c r="D393" s="183" t="s">
        <v>1005</v>
      </c>
      <c r="E393" s="183" t="s">
        <v>1006</v>
      </c>
      <c r="F393" s="183"/>
      <c r="G393" s="183" t="s">
        <v>217</v>
      </c>
      <c r="H393" s="184">
        <v>1</v>
      </c>
      <c r="I393" s="240">
        <v>76.739999999999995</v>
      </c>
      <c r="J393" s="240">
        <v>76.739999999999995</v>
      </c>
    </row>
    <row r="394" spans="1:10" ht="28.5" x14ac:dyDescent="0.25">
      <c r="A394" s="185" t="s">
        <v>119</v>
      </c>
      <c r="B394" s="185" t="s">
        <v>773</v>
      </c>
      <c r="C394" s="185" t="s">
        <v>59</v>
      </c>
      <c r="D394" s="185" t="s">
        <v>122</v>
      </c>
      <c r="E394" s="185" t="s">
        <v>754</v>
      </c>
      <c r="F394" s="185"/>
      <c r="G394" s="185" t="s">
        <v>60</v>
      </c>
      <c r="H394" s="186">
        <v>0.69499999999999995</v>
      </c>
      <c r="I394" s="241">
        <v>31.69</v>
      </c>
      <c r="J394" s="241">
        <v>22.02</v>
      </c>
    </row>
    <row r="395" spans="1:10" ht="71.25" x14ac:dyDescent="0.25">
      <c r="A395" s="185" t="s">
        <v>119</v>
      </c>
      <c r="B395" s="185" t="s">
        <v>1007</v>
      </c>
      <c r="C395" s="185" t="s">
        <v>59</v>
      </c>
      <c r="D395" s="185" t="s">
        <v>1008</v>
      </c>
      <c r="E395" s="185" t="s">
        <v>1006</v>
      </c>
      <c r="F395" s="185"/>
      <c r="G395" s="185" t="s">
        <v>217</v>
      </c>
      <c r="H395" s="186">
        <v>0.15</v>
      </c>
      <c r="I395" s="241">
        <v>212.41</v>
      </c>
      <c r="J395" s="241">
        <v>31.86</v>
      </c>
    </row>
    <row r="396" spans="1:10" ht="42.75" x14ac:dyDescent="0.25">
      <c r="A396" s="185" t="s">
        <v>119</v>
      </c>
      <c r="B396" s="185" t="s">
        <v>822</v>
      </c>
      <c r="C396" s="185" t="s">
        <v>59</v>
      </c>
      <c r="D396" s="185" t="s">
        <v>206</v>
      </c>
      <c r="E396" s="185" t="s">
        <v>754</v>
      </c>
      <c r="F396" s="185"/>
      <c r="G396" s="185" t="s">
        <v>60</v>
      </c>
      <c r="H396" s="186">
        <v>0.127</v>
      </c>
      <c r="I396" s="241">
        <v>22.54</v>
      </c>
      <c r="J396" s="241">
        <v>2.86</v>
      </c>
    </row>
    <row r="397" spans="1:10" ht="57" x14ac:dyDescent="0.25">
      <c r="A397" s="191" t="s">
        <v>62</v>
      </c>
      <c r="B397" s="191" t="s">
        <v>944</v>
      </c>
      <c r="C397" s="191" t="s">
        <v>59</v>
      </c>
      <c r="D397" s="191" t="s">
        <v>171</v>
      </c>
      <c r="E397" s="191" t="s">
        <v>120</v>
      </c>
      <c r="F397" s="191"/>
      <c r="G397" s="191" t="s">
        <v>127</v>
      </c>
      <c r="H397" s="192">
        <v>0.01</v>
      </c>
      <c r="I397" s="244">
        <v>6.99</v>
      </c>
      <c r="J397" s="244">
        <v>0.06</v>
      </c>
    </row>
    <row r="398" spans="1:10" ht="71.25" x14ac:dyDescent="0.25">
      <c r="A398" s="191" t="s">
        <v>62</v>
      </c>
      <c r="B398" s="191" t="s">
        <v>1009</v>
      </c>
      <c r="C398" s="191" t="s">
        <v>59</v>
      </c>
      <c r="D398" s="191" t="s">
        <v>1010</v>
      </c>
      <c r="E398" s="191" t="s">
        <v>1011</v>
      </c>
      <c r="F398" s="191"/>
      <c r="G398" s="191" t="s">
        <v>1012</v>
      </c>
      <c r="H398" s="192">
        <v>0.39300000000000002</v>
      </c>
      <c r="I398" s="244">
        <v>22.4</v>
      </c>
      <c r="J398" s="244">
        <v>8.8000000000000007</v>
      </c>
    </row>
    <row r="399" spans="1:10" ht="57" x14ac:dyDescent="0.25">
      <c r="A399" s="191" t="s">
        <v>62</v>
      </c>
      <c r="B399" s="191" t="s">
        <v>1013</v>
      </c>
      <c r="C399" s="191" t="s">
        <v>59</v>
      </c>
      <c r="D399" s="191" t="s">
        <v>1014</v>
      </c>
      <c r="E399" s="191" t="s">
        <v>1011</v>
      </c>
      <c r="F399" s="191"/>
      <c r="G399" s="191" t="s">
        <v>1012</v>
      </c>
      <c r="H399" s="192">
        <v>0.19600000000000001</v>
      </c>
      <c r="I399" s="244">
        <v>21.43</v>
      </c>
      <c r="J399" s="244">
        <v>4.2</v>
      </c>
    </row>
    <row r="400" spans="1:10" ht="42.75" x14ac:dyDescent="0.25">
      <c r="A400" s="191" t="s">
        <v>62</v>
      </c>
      <c r="B400" s="191" t="s">
        <v>942</v>
      </c>
      <c r="C400" s="191" t="s">
        <v>59</v>
      </c>
      <c r="D400" s="191" t="s">
        <v>943</v>
      </c>
      <c r="E400" s="191" t="s">
        <v>120</v>
      </c>
      <c r="F400" s="191"/>
      <c r="G400" s="191" t="s">
        <v>121</v>
      </c>
      <c r="H400" s="192">
        <v>1.9E-2</v>
      </c>
      <c r="I400" s="244">
        <v>25.05</v>
      </c>
      <c r="J400" s="244">
        <v>0.47</v>
      </c>
    </row>
    <row r="401" spans="1:10" ht="57" x14ac:dyDescent="0.25">
      <c r="A401" s="191" t="s">
        <v>62</v>
      </c>
      <c r="B401" s="191" t="s">
        <v>1015</v>
      </c>
      <c r="C401" s="191" t="s">
        <v>59</v>
      </c>
      <c r="D401" s="191" t="s">
        <v>1016</v>
      </c>
      <c r="E401" s="191" t="s">
        <v>1011</v>
      </c>
      <c r="F401" s="191"/>
      <c r="G401" s="191" t="s">
        <v>755</v>
      </c>
      <c r="H401" s="192">
        <v>0.78500000000000003</v>
      </c>
      <c r="I401" s="244">
        <v>8.25</v>
      </c>
      <c r="J401" s="244">
        <v>6.47</v>
      </c>
    </row>
    <row r="402" spans="1:10" x14ac:dyDescent="0.25">
      <c r="A402" s="187"/>
      <c r="B402" s="187"/>
      <c r="C402" s="187"/>
      <c r="D402" s="187"/>
      <c r="E402" s="187" t="s">
        <v>756</v>
      </c>
      <c r="F402" s="188">
        <v>24.6</v>
      </c>
      <c r="G402" s="187" t="s">
        <v>757</v>
      </c>
      <c r="H402" s="188">
        <v>0</v>
      </c>
      <c r="I402" s="242" t="s">
        <v>758</v>
      </c>
      <c r="J402" s="242">
        <v>24.6</v>
      </c>
    </row>
    <row r="403" spans="1:10" x14ac:dyDescent="0.25">
      <c r="A403" s="187"/>
      <c r="B403" s="187"/>
      <c r="C403" s="187"/>
      <c r="D403" s="187"/>
      <c r="E403" s="187" t="s">
        <v>759</v>
      </c>
      <c r="F403" s="188">
        <v>0</v>
      </c>
      <c r="G403" s="187"/>
      <c r="H403" s="187" t="s">
        <v>760</v>
      </c>
      <c r="I403" s="242"/>
      <c r="J403" s="242">
        <v>76.739999999999995</v>
      </c>
    </row>
    <row r="404" spans="1:10" x14ac:dyDescent="0.25">
      <c r="A404" s="182"/>
      <c r="B404" s="182"/>
      <c r="C404" s="182"/>
      <c r="D404" s="182"/>
      <c r="E404" s="182"/>
      <c r="F404" s="182"/>
      <c r="G404" s="182" t="s">
        <v>761</v>
      </c>
      <c r="H404" s="189" t="s">
        <v>1017</v>
      </c>
      <c r="I404" s="239" t="s">
        <v>763</v>
      </c>
      <c r="J404" s="239">
        <v>11122.69</v>
      </c>
    </row>
    <row r="405" spans="1:10" x14ac:dyDescent="0.25">
      <c r="A405" s="183"/>
      <c r="B405" s="183"/>
      <c r="C405" s="183"/>
      <c r="D405" s="183"/>
      <c r="E405" s="183"/>
      <c r="F405" s="183"/>
      <c r="G405" s="183"/>
      <c r="H405" s="183"/>
      <c r="I405" s="240"/>
      <c r="J405" s="240"/>
    </row>
    <row r="406" spans="1:10" x14ac:dyDescent="0.25">
      <c r="A406" s="190" t="s">
        <v>1018</v>
      </c>
      <c r="B406" s="190"/>
      <c r="C406" s="190"/>
      <c r="D406" s="190" t="s">
        <v>280</v>
      </c>
      <c r="E406" s="190"/>
      <c r="F406" s="190"/>
      <c r="G406" s="190"/>
      <c r="H406" s="190"/>
      <c r="I406" s="243"/>
      <c r="J406" s="243">
        <v>46326.02</v>
      </c>
    </row>
    <row r="407" spans="1:10" x14ac:dyDescent="0.25">
      <c r="A407" s="182" t="s">
        <v>1019</v>
      </c>
      <c r="B407" s="182" t="s">
        <v>66</v>
      </c>
      <c r="C407" s="182" t="s">
        <v>64</v>
      </c>
      <c r="D407" s="182" t="s">
        <v>67</v>
      </c>
      <c r="E407" s="182" t="s">
        <v>65</v>
      </c>
      <c r="F407" s="182"/>
      <c r="G407" s="182" t="s">
        <v>744</v>
      </c>
      <c r="H407" s="182" t="s">
        <v>69</v>
      </c>
      <c r="I407" s="239" t="s">
        <v>745</v>
      </c>
      <c r="J407" s="239" t="s">
        <v>0</v>
      </c>
    </row>
    <row r="408" spans="1:10" ht="71.25" x14ac:dyDescent="0.25">
      <c r="A408" s="183" t="s">
        <v>58</v>
      </c>
      <c r="B408" s="183" t="s">
        <v>987</v>
      </c>
      <c r="C408" s="183" t="s">
        <v>59</v>
      </c>
      <c r="D408" s="183" t="s">
        <v>988</v>
      </c>
      <c r="E408" s="183" t="s">
        <v>879</v>
      </c>
      <c r="F408" s="183"/>
      <c r="G408" s="183" t="s">
        <v>121</v>
      </c>
      <c r="H408" s="184">
        <v>1</v>
      </c>
      <c r="I408" s="240">
        <v>13.6</v>
      </c>
      <c r="J408" s="240">
        <v>13.6</v>
      </c>
    </row>
    <row r="409" spans="1:10" ht="28.5" x14ac:dyDescent="0.25">
      <c r="A409" s="185" t="s">
        <v>119</v>
      </c>
      <c r="B409" s="185" t="s">
        <v>875</v>
      </c>
      <c r="C409" s="185" t="s">
        <v>59</v>
      </c>
      <c r="D409" s="185" t="s">
        <v>203</v>
      </c>
      <c r="E409" s="185" t="s">
        <v>754</v>
      </c>
      <c r="F409" s="185"/>
      <c r="G409" s="185" t="s">
        <v>60</v>
      </c>
      <c r="H409" s="186">
        <v>0.1069</v>
      </c>
      <c r="I409" s="241">
        <v>31.91</v>
      </c>
      <c r="J409" s="241">
        <v>3.41</v>
      </c>
    </row>
    <row r="410" spans="1:10" ht="28.5" x14ac:dyDescent="0.25">
      <c r="A410" s="185" t="s">
        <v>119</v>
      </c>
      <c r="B410" s="185" t="s">
        <v>876</v>
      </c>
      <c r="C410" s="185" t="s">
        <v>59</v>
      </c>
      <c r="D410" s="185" t="s">
        <v>199</v>
      </c>
      <c r="E410" s="185" t="s">
        <v>754</v>
      </c>
      <c r="F410" s="185"/>
      <c r="G410" s="185" t="s">
        <v>60</v>
      </c>
      <c r="H410" s="186">
        <v>1.7500000000000002E-2</v>
      </c>
      <c r="I410" s="241">
        <v>22.71</v>
      </c>
      <c r="J410" s="241">
        <v>0.39</v>
      </c>
    </row>
    <row r="411" spans="1:10" ht="28.5" x14ac:dyDescent="0.25">
      <c r="A411" s="185" t="s">
        <v>119</v>
      </c>
      <c r="B411" s="185" t="s">
        <v>951</v>
      </c>
      <c r="C411" s="185" t="s">
        <v>59</v>
      </c>
      <c r="D411" s="185" t="s">
        <v>952</v>
      </c>
      <c r="E411" s="185" t="s">
        <v>879</v>
      </c>
      <c r="F411" s="185"/>
      <c r="G411" s="185" t="s">
        <v>121</v>
      </c>
      <c r="H411" s="186">
        <v>1</v>
      </c>
      <c r="I411" s="241">
        <v>8.83</v>
      </c>
      <c r="J411" s="241">
        <v>8.83</v>
      </c>
    </row>
    <row r="412" spans="1:10" ht="42.75" x14ac:dyDescent="0.25">
      <c r="A412" s="191" t="s">
        <v>62</v>
      </c>
      <c r="B412" s="191" t="s">
        <v>880</v>
      </c>
      <c r="C412" s="191" t="s">
        <v>59</v>
      </c>
      <c r="D412" s="191" t="s">
        <v>200</v>
      </c>
      <c r="E412" s="191" t="s">
        <v>120</v>
      </c>
      <c r="F412" s="191"/>
      <c r="G412" s="191" t="s">
        <v>121</v>
      </c>
      <c r="H412" s="192">
        <v>2.5000000000000001E-2</v>
      </c>
      <c r="I412" s="244">
        <v>28.52</v>
      </c>
      <c r="J412" s="244">
        <v>0.71</v>
      </c>
    </row>
    <row r="413" spans="1:10" ht="71.25" x14ac:dyDescent="0.25">
      <c r="A413" s="191" t="s">
        <v>62</v>
      </c>
      <c r="B413" s="191" t="s">
        <v>881</v>
      </c>
      <c r="C413" s="191" t="s">
        <v>59</v>
      </c>
      <c r="D413" s="191" t="s">
        <v>201</v>
      </c>
      <c r="E413" s="191" t="s">
        <v>120</v>
      </c>
      <c r="F413" s="191"/>
      <c r="G413" s="191" t="s">
        <v>61</v>
      </c>
      <c r="H413" s="192">
        <v>1.19</v>
      </c>
      <c r="I413" s="244">
        <v>0.22</v>
      </c>
      <c r="J413" s="244">
        <v>0.26</v>
      </c>
    </row>
    <row r="414" spans="1:10" x14ac:dyDescent="0.25">
      <c r="A414" s="187"/>
      <c r="B414" s="187"/>
      <c r="C414" s="187"/>
      <c r="D414" s="187"/>
      <c r="E414" s="187" t="s">
        <v>756</v>
      </c>
      <c r="F414" s="188">
        <v>4.41</v>
      </c>
      <c r="G414" s="187" t="s">
        <v>757</v>
      </c>
      <c r="H414" s="188">
        <v>0</v>
      </c>
      <c r="I414" s="242" t="s">
        <v>758</v>
      </c>
      <c r="J414" s="242">
        <v>4.41</v>
      </c>
    </row>
    <row r="415" spans="1:10" x14ac:dyDescent="0.25">
      <c r="A415" s="187"/>
      <c r="B415" s="187"/>
      <c r="C415" s="187"/>
      <c r="D415" s="187"/>
      <c r="E415" s="187" t="s">
        <v>759</v>
      </c>
      <c r="F415" s="188">
        <v>0</v>
      </c>
      <c r="G415" s="187"/>
      <c r="H415" s="187" t="s">
        <v>760</v>
      </c>
      <c r="I415" s="242"/>
      <c r="J415" s="242">
        <v>13.6</v>
      </c>
    </row>
    <row r="416" spans="1:10" x14ac:dyDescent="0.25">
      <c r="A416" s="182"/>
      <c r="B416" s="182"/>
      <c r="C416" s="182"/>
      <c r="D416" s="182"/>
      <c r="E416" s="182"/>
      <c r="F416" s="182"/>
      <c r="G416" s="182" t="s">
        <v>761</v>
      </c>
      <c r="H416" s="189" t="s">
        <v>1020</v>
      </c>
      <c r="I416" s="239" t="s">
        <v>763</v>
      </c>
      <c r="J416" s="239">
        <v>2092.7600000000002</v>
      </c>
    </row>
    <row r="417" spans="1:10" x14ac:dyDescent="0.25">
      <c r="A417" s="183"/>
      <c r="B417" s="183"/>
      <c r="C417" s="183"/>
      <c r="D417" s="183"/>
      <c r="E417" s="183"/>
      <c r="F417" s="183"/>
      <c r="G417" s="183"/>
      <c r="H417" s="183"/>
      <c r="I417" s="240"/>
      <c r="J417" s="240"/>
    </row>
    <row r="418" spans="1:10" x14ac:dyDescent="0.25">
      <c r="A418" s="182" t="s">
        <v>1021</v>
      </c>
      <c r="B418" s="182" t="s">
        <v>66</v>
      </c>
      <c r="C418" s="182" t="s">
        <v>64</v>
      </c>
      <c r="D418" s="182" t="s">
        <v>67</v>
      </c>
      <c r="E418" s="182" t="s">
        <v>65</v>
      </c>
      <c r="F418" s="182"/>
      <c r="G418" s="182" t="s">
        <v>744</v>
      </c>
      <c r="H418" s="182" t="s">
        <v>69</v>
      </c>
      <c r="I418" s="239" t="s">
        <v>745</v>
      </c>
      <c r="J418" s="239" t="s">
        <v>0</v>
      </c>
    </row>
    <row r="419" spans="1:10" ht="71.25" x14ac:dyDescent="0.25">
      <c r="A419" s="183" t="s">
        <v>58</v>
      </c>
      <c r="B419" s="183" t="s">
        <v>1022</v>
      </c>
      <c r="C419" s="183" t="s">
        <v>59</v>
      </c>
      <c r="D419" s="183" t="s">
        <v>1023</v>
      </c>
      <c r="E419" s="183" t="s">
        <v>879</v>
      </c>
      <c r="F419" s="183"/>
      <c r="G419" s="183" t="s">
        <v>121</v>
      </c>
      <c r="H419" s="184">
        <v>1</v>
      </c>
      <c r="I419" s="240">
        <v>11.3</v>
      </c>
      <c r="J419" s="240">
        <v>11.3</v>
      </c>
    </row>
    <row r="420" spans="1:10" ht="28.5" x14ac:dyDescent="0.25">
      <c r="A420" s="185" t="s">
        <v>119</v>
      </c>
      <c r="B420" s="185" t="s">
        <v>957</v>
      </c>
      <c r="C420" s="185" t="s">
        <v>59</v>
      </c>
      <c r="D420" s="185" t="s">
        <v>202</v>
      </c>
      <c r="E420" s="185" t="s">
        <v>879</v>
      </c>
      <c r="F420" s="185"/>
      <c r="G420" s="185" t="s">
        <v>121</v>
      </c>
      <c r="H420" s="186">
        <v>1</v>
      </c>
      <c r="I420" s="241">
        <v>8.44</v>
      </c>
      <c r="J420" s="241">
        <v>8.44</v>
      </c>
    </row>
    <row r="421" spans="1:10" ht="28.5" x14ac:dyDescent="0.25">
      <c r="A421" s="185" t="s">
        <v>119</v>
      </c>
      <c r="B421" s="185" t="s">
        <v>875</v>
      </c>
      <c r="C421" s="185" t="s">
        <v>59</v>
      </c>
      <c r="D421" s="185" t="s">
        <v>203</v>
      </c>
      <c r="E421" s="185" t="s">
        <v>754</v>
      </c>
      <c r="F421" s="185"/>
      <c r="G421" s="185" t="s">
        <v>60</v>
      </c>
      <c r="H421" s="186">
        <v>5.6099999999999997E-2</v>
      </c>
      <c r="I421" s="241">
        <v>31.91</v>
      </c>
      <c r="J421" s="241">
        <v>1.79</v>
      </c>
    </row>
    <row r="422" spans="1:10" ht="28.5" x14ac:dyDescent="0.25">
      <c r="A422" s="185" t="s">
        <v>119</v>
      </c>
      <c r="B422" s="185" t="s">
        <v>876</v>
      </c>
      <c r="C422" s="185" t="s">
        <v>59</v>
      </c>
      <c r="D422" s="185" t="s">
        <v>199</v>
      </c>
      <c r="E422" s="185" t="s">
        <v>754</v>
      </c>
      <c r="F422" s="185"/>
      <c r="G422" s="185" t="s">
        <v>60</v>
      </c>
      <c r="H422" s="186">
        <v>9.1999999999999998E-3</v>
      </c>
      <c r="I422" s="241">
        <v>22.71</v>
      </c>
      <c r="J422" s="241">
        <v>0.2</v>
      </c>
    </row>
    <row r="423" spans="1:10" ht="42.75" x14ac:dyDescent="0.25">
      <c r="A423" s="191" t="s">
        <v>62</v>
      </c>
      <c r="B423" s="191" t="s">
        <v>880</v>
      </c>
      <c r="C423" s="191" t="s">
        <v>59</v>
      </c>
      <c r="D423" s="191" t="s">
        <v>200</v>
      </c>
      <c r="E423" s="191" t="s">
        <v>120</v>
      </c>
      <c r="F423" s="191"/>
      <c r="G423" s="191" t="s">
        <v>121</v>
      </c>
      <c r="H423" s="192">
        <v>2.5000000000000001E-2</v>
      </c>
      <c r="I423" s="244">
        <v>28.52</v>
      </c>
      <c r="J423" s="244">
        <v>0.71</v>
      </c>
    </row>
    <row r="424" spans="1:10" ht="71.25" x14ac:dyDescent="0.25">
      <c r="A424" s="191" t="s">
        <v>62</v>
      </c>
      <c r="B424" s="191" t="s">
        <v>881</v>
      </c>
      <c r="C424" s="191" t="s">
        <v>59</v>
      </c>
      <c r="D424" s="191" t="s">
        <v>201</v>
      </c>
      <c r="E424" s="191" t="s">
        <v>120</v>
      </c>
      <c r="F424" s="191"/>
      <c r="G424" s="191" t="s">
        <v>61</v>
      </c>
      <c r="H424" s="192">
        <v>0.74299999999999999</v>
      </c>
      <c r="I424" s="244">
        <v>0.22</v>
      </c>
      <c r="J424" s="244">
        <v>0.16</v>
      </c>
    </row>
    <row r="425" spans="1:10" x14ac:dyDescent="0.25">
      <c r="A425" s="187"/>
      <c r="B425" s="187"/>
      <c r="C425" s="187"/>
      <c r="D425" s="187"/>
      <c r="E425" s="187" t="s">
        <v>756</v>
      </c>
      <c r="F425" s="188">
        <v>1.91</v>
      </c>
      <c r="G425" s="187" t="s">
        <v>757</v>
      </c>
      <c r="H425" s="188">
        <v>0</v>
      </c>
      <c r="I425" s="242" t="s">
        <v>758</v>
      </c>
      <c r="J425" s="242">
        <v>1.91</v>
      </c>
    </row>
    <row r="426" spans="1:10" x14ac:dyDescent="0.25">
      <c r="A426" s="187"/>
      <c r="B426" s="187"/>
      <c r="C426" s="187"/>
      <c r="D426" s="187"/>
      <c r="E426" s="187" t="s">
        <v>759</v>
      </c>
      <c r="F426" s="188">
        <v>0</v>
      </c>
      <c r="G426" s="187"/>
      <c r="H426" s="187" t="s">
        <v>760</v>
      </c>
      <c r="I426" s="242"/>
      <c r="J426" s="242">
        <v>11.3</v>
      </c>
    </row>
    <row r="427" spans="1:10" x14ac:dyDescent="0.25">
      <c r="A427" s="182"/>
      <c r="B427" s="182"/>
      <c r="C427" s="182"/>
      <c r="D427" s="182"/>
      <c r="E427" s="182"/>
      <c r="F427" s="182"/>
      <c r="G427" s="182" t="s">
        <v>761</v>
      </c>
      <c r="H427" s="189" t="s">
        <v>1024</v>
      </c>
      <c r="I427" s="239" t="s">
        <v>763</v>
      </c>
      <c r="J427" s="239">
        <v>3166.03</v>
      </c>
    </row>
    <row r="428" spans="1:10" x14ac:dyDescent="0.25">
      <c r="A428" s="183"/>
      <c r="B428" s="183"/>
      <c r="C428" s="183"/>
      <c r="D428" s="183"/>
      <c r="E428" s="183"/>
      <c r="F428" s="183"/>
      <c r="G428" s="183"/>
      <c r="H428" s="183"/>
      <c r="I428" s="240"/>
      <c r="J428" s="240"/>
    </row>
    <row r="429" spans="1:10" x14ac:dyDescent="0.25">
      <c r="A429" s="182" t="s">
        <v>1025</v>
      </c>
      <c r="B429" s="182" t="s">
        <v>66</v>
      </c>
      <c r="C429" s="182" t="s">
        <v>64</v>
      </c>
      <c r="D429" s="182" t="s">
        <v>67</v>
      </c>
      <c r="E429" s="182" t="s">
        <v>65</v>
      </c>
      <c r="F429" s="182"/>
      <c r="G429" s="182" t="s">
        <v>744</v>
      </c>
      <c r="H429" s="182" t="s">
        <v>69</v>
      </c>
      <c r="I429" s="239" t="s">
        <v>745</v>
      </c>
      <c r="J429" s="239" t="s">
        <v>0</v>
      </c>
    </row>
    <row r="430" spans="1:10" ht="71.25" x14ac:dyDescent="0.25">
      <c r="A430" s="183" t="s">
        <v>58</v>
      </c>
      <c r="B430" s="183" t="s">
        <v>991</v>
      </c>
      <c r="C430" s="183" t="s">
        <v>59</v>
      </c>
      <c r="D430" s="183" t="s">
        <v>992</v>
      </c>
      <c r="E430" s="183" t="s">
        <v>879</v>
      </c>
      <c r="F430" s="183"/>
      <c r="G430" s="183" t="s">
        <v>121</v>
      </c>
      <c r="H430" s="184">
        <v>1</v>
      </c>
      <c r="I430" s="240">
        <v>9.94</v>
      </c>
      <c r="J430" s="240">
        <v>9.94</v>
      </c>
    </row>
    <row r="431" spans="1:10" ht="42.75" x14ac:dyDescent="0.25">
      <c r="A431" s="185" t="s">
        <v>119</v>
      </c>
      <c r="B431" s="185" t="s">
        <v>886</v>
      </c>
      <c r="C431" s="185" t="s">
        <v>59</v>
      </c>
      <c r="D431" s="185" t="s">
        <v>887</v>
      </c>
      <c r="E431" s="185" t="s">
        <v>879</v>
      </c>
      <c r="F431" s="185"/>
      <c r="G431" s="185" t="s">
        <v>121</v>
      </c>
      <c r="H431" s="186">
        <v>1</v>
      </c>
      <c r="I431" s="241">
        <v>7.73</v>
      </c>
      <c r="J431" s="241">
        <v>7.73</v>
      </c>
    </row>
    <row r="432" spans="1:10" ht="28.5" x14ac:dyDescent="0.25">
      <c r="A432" s="185" t="s">
        <v>119</v>
      </c>
      <c r="B432" s="185" t="s">
        <v>876</v>
      </c>
      <c r="C432" s="185" t="s">
        <v>59</v>
      </c>
      <c r="D432" s="185" t="s">
        <v>199</v>
      </c>
      <c r="E432" s="185" t="s">
        <v>754</v>
      </c>
      <c r="F432" s="185"/>
      <c r="G432" s="185" t="s">
        <v>60</v>
      </c>
      <c r="H432" s="186">
        <v>6.4000000000000003E-3</v>
      </c>
      <c r="I432" s="241">
        <v>22.71</v>
      </c>
      <c r="J432" s="241">
        <v>0.14000000000000001</v>
      </c>
    </row>
    <row r="433" spans="1:10" ht="28.5" x14ac:dyDescent="0.25">
      <c r="A433" s="185" t="s">
        <v>119</v>
      </c>
      <c r="B433" s="185" t="s">
        <v>875</v>
      </c>
      <c r="C433" s="185" t="s">
        <v>59</v>
      </c>
      <c r="D433" s="185" t="s">
        <v>203</v>
      </c>
      <c r="E433" s="185" t="s">
        <v>754</v>
      </c>
      <c r="F433" s="185"/>
      <c r="G433" s="185" t="s">
        <v>60</v>
      </c>
      <c r="H433" s="186">
        <v>3.9199999999999999E-2</v>
      </c>
      <c r="I433" s="241">
        <v>31.91</v>
      </c>
      <c r="J433" s="241">
        <v>1.25</v>
      </c>
    </row>
    <row r="434" spans="1:10" ht="71.25" x14ac:dyDescent="0.25">
      <c r="A434" s="191" t="s">
        <v>62</v>
      </c>
      <c r="B434" s="191" t="s">
        <v>881</v>
      </c>
      <c r="C434" s="191" t="s">
        <v>59</v>
      </c>
      <c r="D434" s="191" t="s">
        <v>201</v>
      </c>
      <c r="E434" s="191" t="s">
        <v>120</v>
      </c>
      <c r="F434" s="191"/>
      <c r="G434" s="191" t="s">
        <v>61</v>
      </c>
      <c r="H434" s="192">
        <v>0.54300000000000004</v>
      </c>
      <c r="I434" s="244">
        <v>0.22</v>
      </c>
      <c r="J434" s="244">
        <v>0.11</v>
      </c>
    </row>
    <row r="435" spans="1:10" ht="42.75" x14ac:dyDescent="0.25">
      <c r="A435" s="191" t="s">
        <v>62</v>
      </c>
      <c r="B435" s="191" t="s">
        <v>880</v>
      </c>
      <c r="C435" s="191" t="s">
        <v>59</v>
      </c>
      <c r="D435" s="191" t="s">
        <v>200</v>
      </c>
      <c r="E435" s="191" t="s">
        <v>120</v>
      </c>
      <c r="F435" s="191"/>
      <c r="G435" s="191" t="s">
        <v>121</v>
      </c>
      <c r="H435" s="192">
        <v>2.5000000000000001E-2</v>
      </c>
      <c r="I435" s="244">
        <v>28.52</v>
      </c>
      <c r="J435" s="244">
        <v>0.71</v>
      </c>
    </row>
    <row r="436" spans="1:10" x14ac:dyDescent="0.25">
      <c r="A436" s="187"/>
      <c r="B436" s="187"/>
      <c r="C436" s="187"/>
      <c r="D436" s="187"/>
      <c r="E436" s="187" t="s">
        <v>756</v>
      </c>
      <c r="F436" s="188">
        <v>1.27</v>
      </c>
      <c r="G436" s="187" t="s">
        <v>757</v>
      </c>
      <c r="H436" s="188">
        <v>0</v>
      </c>
      <c r="I436" s="242" t="s">
        <v>758</v>
      </c>
      <c r="J436" s="242">
        <v>1.27</v>
      </c>
    </row>
    <row r="437" spans="1:10" x14ac:dyDescent="0.25">
      <c r="A437" s="187"/>
      <c r="B437" s="187"/>
      <c r="C437" s="187"/>
      <c r="D437" s="187"/>
      <c r="E437" s="187" t="s">
        <v>759</v>
      </c>
      <c r="F437" s="188">
        <v>0</v>
      </c>
      <c r="G437" s="187"/>
      <c r="H437" s="187" t="s">
        <v>760</v>
      </c>
      <c r="I437" s="242"/>
      <c r="J437" s="242">
        <v>9.94</v>
      </c>
    </row>
    <row r="438" spans="1:10" x14ac:dyDescent="0.25">
      <c r="A438" s="182"/>
      <c r="B438" s="182"/>
      <c r="C438" s="182"/>
      <c r="D438" s="182"/>
      <c r="E438" s="182"/>
      <c r="F438" s="182"/>
      <c r="G438" s="182" t="s">
        <v>761</v>
      </c>
      <c r="H438" s="189" t="s">
        <v>1026</v>
      </c>
      <c r="I438" s="239" t="s">
        <v>763</v>
      </c>
      <c r="J438" s="239">
        <v>723.63</v>
      </c>
    </row>
    <row r="439" spans="1:10" x14ac:dyDescent="0.25">
      <c r="A439" s="183"/>
      <c r="B439" s="183"/>
      <c r="C439" s="183"/>
      <c r="D439" s="183"/>
      <c r="E439" s="183"/>
      <c r="F439" s="183"/>
      <c r="G439" s="183"/>
      <c r="H439" s="183"/>
      <c r="I439" s="240"/>
      <c r="J439" s="240"/>
    </row>
    <row r="440" spans="1:10" x14ac:dyDescent="0.25">
      <c r="A440" s="182" t="s">
        <v>1027</v>
      </c>
      <c r="B440" s="182" t="s">
        <v>66</v>
      </c>
      <c r="C440" s="182" t="s">
        <v>64</v>
      </c>
      <c r="D440" s="182" t="s">
        <v>67</v>
      </c>
      <c r="E440" s="182" t="s">
        <v>65</v>
      </c>
      <c r="F440" s="182"/>
      <c r="G440" s="182" t="s">
        <v>744</v>
      </c>
      <c r="H440" s="182" t="s">
        <v>69</v>
      </c>
      <c r="I440" s="239" t="s">
        <v>745</v>
      </c>
      <c r="J440" s="239" t="s">
        <v>0</v>
      </c>
    </row>
    <row r="441" spans="1:10" ht="71.25" x14ac:dyDescent="0.25">
      <c r="A441" s="183" t="s">
        <v>58</v>
      </c>
      <c r="B441" s="183" t="s">
        <v>995</v>
      </c>
      <c r="C441" s="183" t="s">
        <v>59</v>
      </c>
      <c r="D441" s="183" t="s">
        <v>996</v>
      </c>
      <c r="E441" s="183" t="s">
        <v>879</v>
      </c>
      <c r="F441" s="183"/>
      <c r="G441" s="183" t="s">
        <v>121</v>
      </c>
      <c r="H441" s="184">
        <v>1</v>
      </c>
      <c r="I441" s="240">
        <v>8.2899999999999991</v>
      </c>
      <c r="J441" s="240">
        <v>8.2899999999999991</v>
      </c>
    </row>
    <row r="442" spans="1:10" ht="42.75" x14ac:dyDescent="0.25">
      <c r="A442" s="185" t="s">
        <v>119</v>
      </c>
      <c r="B442" s="185" t="s">
        <v>997</v>
      </c>
      <c r="C442" s="185" t="s">
        <v>59</v>
      </c>
      <c r="D442" s="185" t="s">
        <v>998</v>
      </c>
      <c r="E442" s="185" t="s">
        <v>879</v>
      </c>
      <c r="F442" s="185"/>
      <c r="G442" s="185" t="s">
        <v>121</v>
      </c>
      <c r="H442" s="186">
        <v>1</v>
      </c>
      <c r="I442" s="241">
        <v>6.59</v>
      </c>
      <c r="J442" s="241">
        <v>6.59</v>
      </c>
    </row>
    <row r="443" spans="1:10" ht="28.5" x14ac:dyDescent="0.25">
      <c r="A443" s="185" t="s">
        <v>119</v>
      </c>
      <c r="B443" s="185" t="s">
        <v>875</v>
      </c>
      <c r="C443" s="185" t="s">
        <v>59</v>
      </c>
      <c r="D443" s="185" t="s">
        <v>203</v>
      </c>
      <c r="E443" s="185" t="s">
        <v>754</v>
      </c>
      <c r="F443" s="185"/>
      <c r="G443" s="185" t="s">
        <v>60</v>
      </c>
      <c r="H443" s="186">
        <v>2.5700000000000001E-2</v>
      </c>
      <c r="I443" s="241">
        <v>31.91</v>
      </c>
      <c r="J443" s="241">
        <v>0.82</v>
      </c>
    </row>
    <row r="444" spans="1:10" ht="28.5" x14ac:dyDescent="0.25">
      <c r="A444" s="185" t="s">
        <v>119</v>
      </c>
      <c r="B444" s="185" t="s">
        <v>876</v>
      </c>
      <c r="C444" s="185" t="s">
        <v>59</v>
      </c>
      <c r="D444" s="185" t="s">
        <v>199</v>
      </c>
      <c r="E444" s="185" t="s">
        <v>754</v>
      </c>
      <c r="F444" s="185"/>
      <c r="G444" s="185" t="s">
        <v>60</v>
      </c>
      <c r="H444" s="186">
        <v>4.1999999999999997E-3</v>
      </c>
      <c r="I444" s="241">
        <v>22.71</v>
      </c>
      <c r="J444" s="241">
        <v>0.09</v>
      </c>
    </row>
    <row r="445" spans="1:10" ht="42.75" x14ac:dyDescent="0.25">
      <c r="A445" s="191" t="s">
        <v>62</v>
      </c>
      <c r="B445" s="191" t="s">
        <v>880</v>
      </c>
      <c r="C445" s="191" t="s">
        <v>59</v>
      </c>
      <c r="D445" s="191" t="s">
        <v>200</v>
      </c>
      <c r="E445" s="191" t="s">
        <v>120</v>
      </c>
      <c r="F445" s="191"/>
      <c r="G445" s="191" t="s">
        <v>121</v>
      </c>
      <c r="H445" s="192">
        <v>2.5000000000000001E-2</v>
      </c>
      <c r="I445" s="244">
        <v>28.52</v>
      </c>
      <c r="J445" s="244">
        <v>0.71</v>
      </c>
    </row>
    <row r="446" spans="1:10" ht="71.25" x14ac:dyDescent="0.25">
      <c r="A446" s="191" t="s">
        <v>62</v>
      </c>
      <c r="B446" s="191" t="s">
        <v>881</v>
      </c>
      <c r="C446" s="191" t="s">
        <v>59</v>
      </c>
      <c r="D446" s="191" t="s">
        <v>201</v>
      </c>
      <c r="E446" s="191" t="s">
        <v>120</v>
      </c>
      <c r="F446" s="191"/>
      <c r="G446" s="191" t="s">
        <v>61</v>
      </c>
      <c r="H446" s="192">
        <v>0.36699999999999999</v>
      </c>
      <c r="I446" s="244">
        <v>0.22</v>
      </c>
      <c r="J446" s="244">
        <v>0.08</v>
      </c>
    </row>
    <row r="447" spans="1:10" x14ac:dyDescent="0.25">
      <c r="A447" s="187"/>
      <c r="B447" s="187"/>
      <c r="C447" s="187"/>
      <c r="D447" s="187"/>
      <c r="E447" s="187" t="s">
        <v>756</v>
      </c>
      <c r="F447" s="188">
        <v>0.8</v>
      </c>
      <c r="G447" s="187" t="s">
        <v>757</v>
      </c>
      <c r="H447" s="188">
        <v>0</v>
      </c>
      <c r="I447" s="242" t="s">
        <v>758</v>
      </c>
      <c r="J447" s="242">
        <v>0.8</v>
      </c>
    </row>
    <row r="448" spans="1:10" x14ac:dyDescent="0.25">
      <c r="A448" s="187"/>
      <c r="B448" s="187"/>
      <c r="C448" s="187"/>
      <c r="D448" s="187"/>
      <c r="E448" s="187" t="s">
        <v>759</v>
      </c>
      <c r="F448" s="188">
        <v>0</v>
      </c>
      <c r="G448" s="187"/>
      <c r="H448" s="187" t="s">
        <v>760</v>
      </c>
      <c r="I448" s="242"/>
      <c r="J448" s="242">
        <v>8.2899999999999991</v>
      </c>
    </row>
    <row r="449" spans="1:10" x14ac:dyDescent="0.25">
      <c r="A449" s="182"/>
      <c r="B449" s="182"/>
      <c r="C449" s="182"/>
      <c r="D449" s="182"/>
      <c r="E449" s="182"/>
      <c r="F449" s="182"/>
      <c r="G449" s="182" t="s">
        <v>761</v>
      </c>
      <c r="H449" s="189" t="s">
        <v>1028</v>
      </c>
      <c r="I449" s="239" t="s">
        <v>763</v>
      </c>
      <c r="J449" s="239">
        <v>162.88999999999999</v>
      </c>
    </row>
    <row r="450" spans="1:10" x14ac:dyDescent="0.25">
      <c r="A450" s="183"/>
      <c r="B450" s="183"/>
      <c r="C450" s="183"/>
      <c r="D450" s="183"/>
      <c r="E450" s="183"/>
      <c r="F450" s="183"/>
      <c r="G450" s="183"/>
      <c r="H450" s="183"/>
      <c r="I450" s="240"/>
      <c r="J450" s="240"/>
    </row>
    <row r="451" spans="1:10" x14ac:dyDescent="0.25">
      <c r="A451" s="182" t="s">
        <v>1029</v>
      </c>
      <c r="B451" s="182" t="s">
        <v>66</v>
      </c>
      <c r="C451" s="182" t="s">
        <v>64</v>
      </c>
      <c r="D451" s="182" t="s">
        <v>67</v>
      </c>
      <c r="E451" s="182" t="s">
        <v>65</v>
      </c>
      <c r="F451" s="182"/>
      <c r="G451" s="182" t="s">
        <v>744</v>
      </c>
      <c r="H451" s="182" t="s">
        <v>69</v>
      </c>
      <c r="I451" s="239" t="s">
        <v>745</v>
      </c>
      <c r="J451" s="239" t="s">
        <v>0</v>
      </c>
    </row>
    <row r="452" spans="1:10" ht="85.5" x14ac:dyDescent="0.25">
      <c r="A452" s="183" t="s">
        <v>58</v>
      </c>
      <c r="B452" s="183" t="s">
        <v>893</v>
      </c>
      <c r="C452" s="183" t="s">
        <v>59</v>
      </c>
      <c r="D452" s="183" t="s">
        <v>195</v>
      </c>
      <c r="E452" s="183" t="s">
        <v>821</v>
      </c>
      <c r="F452" s="183"/>
      <c r="G452" s="183" t="s">
        <v>191</v>
      </c>
      <c r="H452" s="184">
        <v>1</v>
      </c>
      <c r="I452" s="240">
        <v>526.74</v>
      </c>
      <c r="J452" s="240">
        <v>526.74</v>
      </c>
    </row>
    <row r="453" spans="1:10" ht="57" x14ac:dyDescent="0.25">
      <c r="A453" s="185" t="s">
        <v>119</v>
      </c>
      <c r="B453" s="185" t="s">
        <v>908</v>
      </c>
      <c r="C453" s="185" t="s">
        <v>59</v>
      </c>
      <c r="D453" s="185" t="s">
        <v>196</v>
      </c>
      <c r="E453" s="185" t="s">
        <v>754</v>
      </c>
      <c r="F453" s="185"/>
      <c r="G453" s="185" t="s">
        <v>60</v>
      </c>
      <c r="H453" s="186">
        <v>1.2501</v>
      </c>
      <c r="I453" s="241">
        <v>20.58</v>
      </c>
      <c r="J453" s="241">
        <v>25.72</v>
      </c>
    </row>
    <row r="454" spans="1:10" ht="85.5" x14ac:dyDescent="0.25">
      <c r="A454" s="185" t="s">
        <v>119</v>
      </c>
      <c r="B454" s="185" t="s">
        <v>909</v>
      </c>
      <c r="C454" s="185" t="s">
        <v>59</v>
      </c>
      <c r="D454" s="185" t="s">
        <v>198</v>
      </c>
      <c r="E454" s="185" t="s">
        <v>807</v>
      </c>
      <c r="F454" s="185"/>
      <c r="G454" s="185" t="s">
        <v>117</v>
      </c>
      <c r="H454" s="186">
        <v>0.64339999999999997</v>
      </c>
      <c r="I454" s="241">
        <v>5.53</v>
      </c>
      <c r="J454" s="241">
        <v>3.55</v>
      </c>
    </row>
    <row r="455" spans="1:10" ht="28.5" x14ac:dyDescent="0.25">
      <c r="A455" s="185" t="s">
        <v>119</v>
      </c>
      <c r="B455" s="185" t="s">
        <v>769</v>
      </c>
      <c r="C455" s="185" t="s">
        <v>59</v>
      </c>
      <c r="D455" s="185" t="s">
        <v>115</v>
      </c>
      <c r="E455" s="185" t="s">
        <v>754</v>
      </c>
      <c r="F455" s="185"/>
      <c r="G455" s="185" t="s">
        <v>60</v>
      </c>
      <c r="H455" s="186">
        <v>1.9792000000000001</v>
      </c>
      <c r="I455" s="241">
        <v>22.42</v>
      </c>
      <c r="J455" s="241">
        <v>44.37</v>
      </c>
    </row>
    <row r="456" spans="1:10" ht="85.5" x14ac:dyDescent="0.25">
      <c r="A456" s="185" t="s">
        <v>119</v>
      </c>
      <c r="B456" s="185" t="s">
        <v>910</v>
      </c>
      <c r="C456" s="185" t="s">
        <v>59</v>
      </c>
      <c r="D456" s="185" t="s">
        <v>197</v>
      </c>
      <c r="E456" s="185" t="s">
        <v>807</v>
      </c>
      <c r="F456" s="185"/>
      <c r="G456" s="185" t="s">
        <v>125</v>
      </c>
      <c r="H456" s="186">
        <v>0.60670000000000002</v>
      </c>
      <c r="I456" s="241">
        <v>1.52</v>
      </c>
      <c r="J456" s="241">
        <v>0.92</v>
      </c>
    </row>
    <row r="457" spans="1:10" ht="28.5" x14ac:dyDescent="0.25">
      <c r="A457" s="191" t="s">
        <v>62</v>
      </c>
      <c r="B457" s="191" t="s">
        <v>911</v>
      </c>
      <c r="C457" s="191" t="s">
        <v>59</v>
      </c>
      <c r="D457" s="191" t="s">
        <v>912</v>
      </c>
      <c r="E457" s="191" t="s">
        <v>120</v>
      </c>
      <c r="F457" s="191"/>
      <c r="G457" s="191" t="s">
        <v>121</v>
      </c>
      <c r="H457" s="192">
        <v>364.94330000000002</v>
      </c>
      <c r="I457" s="244">
        <v>0.74</v>
      </c>
      <c r="J457" s="244">
        <v>270.05</v>
      </c>
    </row>
    <row r="458" spans="1:10" ht="57" x14ac:dyDescent="0.25">
      <c r="A458" s="191" t="s">
        <v>62</v>
      </c>
      <c r="B458" s="191" t="s">
        <v>913</v>
      </c>
      <c r="C458" s="191" t="s">
        <v>59</v>
      </c>
      <c r="D458" s="191" t="s">
        <v>914</v>
      </c>
      <c r="E458" s="191" t="s">
        <v>120</v>
      </c>
      <c r="F458" s="191"/>
      <c r="G458" s="191" t="s">
        <v>191</v>
      </c>
      <c r="H458" s="192">
        <v>0.59719999999999995</v>
      </c>
      <c r="I458" s="244">
        <v>122.27</v>
      </c>
      <c r="J458" s="244">
        <v>73.010000000000005</v>
      </c>
    </row>
    <row r="459" spans="1:10" ht="57" x14ac:dyDescent="0.25">
      <c r="A459" s="191" t="s">
        <v>62</v>
      </c>
      <c r="B459" s="191" t="s">
        <v>915</v>
      </c>
      <c r="C459" s="191" t="s">
        <v>59</v>
      </c>
      <c r="D459" s="191" t="s">
        <v>916</v>
      </c>
      <c r="E459" s="191" t="s">
        <v>120</v>
      </c>
      <c r="F459" s="191"/>
      <c r="G459" s="191" t="s">
        <v>191</v>
      </c>
      <c r="H459" s="192">
        <v>0.72750000000000004</v>
      </c>
      <c r="I459" s="244">
        <v>150</v>
      </c>
      <c r="J459" s="244">
        <v>109.12</v>
      </c>
    </row>
    <row r="460" spans="1:10" x14ac:dyDescent="0.25">
      <c r="A460" s="187"/>
      <c r="B460" s="187"/>
      <c r="C460" s="187"/>
      <c r="D460" s="187"/>
      <c r="E460" s="187" t="s">
        <v>756</v>
      </c>
      <c r="F460" s="188">
        <v>47.5</v>
      </c>
      <c r="G460" s="187" t="s">
        <v>757</v>
      </c>
      <c r="H460" s="188">
        <v>0</v>
      </c>
      <c r="I460" s="242" t="s">
        <v>758</v>
      </c>
      <c r="J460" s="242">
        <v>47.5</v>
      </c>
    </row>
    <row r="461" spans="1:10" x14ac:dyDescent="0.25">
      <c r="A461" s="187"/>
      <c r="B461" s="187"/>
      <c r="C461" s="187"/>
      <c r="D461" s="187"/>
      <c r="E461" s="187" t="s">
        <v>759</v>
      </c>
      <c r="F461" s="188">
        <v>0</v>
      </c>
      <c r="G461" s="187"/>
      <c r="H461" s="187" t="s">
        <v>760</v>
      </c>
      <c r="I461" s="242"/>
      <c r="J461" s="242">
        <v>526.74</v>
      </c>
    </row>
    <row r="462" spans="1:10" x14ac:dyDescent="0.25">
      <c r="A462" s="182"/>
      <c r="B462" s="182"/>
      <c r="C462" s="182"/>
      <c r="D462" s="182"/>
      <c r="E462" s="182"/>
      <c r="F462" s="182"/>
      <c r="G462" s="182" t="s">
        <v>761</v>
      </c>
      <c r="H462" s="189" t="s">
        <v>1030</v>
      </c>
      <c r="I462" s="239" t="s">
        <v>763</v>
      </c>
      <c r="J462" s="239">
        <v>10782.36</v>
      </c>
    </row>
    <row r="463" spans="1:10" x14ac:dyDescent="0.25">
      <c r="A463" s="183"/>
      <c r="B463" s="183"/>
      <c r="C463" s="183"/>
      <c r="D463" s="183"/>
      <c r="E463" s="183"/>
      <c r="F463" s="183"/>
      <c r="G463" s="183"/>
      <c r="H463" s="183"/>
      <c r="I463" s="240"/>
      <c r="J463" s="240"/>
    </row>
    <row r="464" spans="1:10" x14ac:dyDescent="0.25">
      <c r="A464" s="182" t="s">
        <v>1031</v>
      </c>
      <c r="B464" s="182" t="s">
        <v>66</v>
      </c>
      <c r="C464" s="182" t="s">
        <v>64</v>
      </c>
      <c r="D464" s="182" t="s">
        <v>67</v>
      </c>
      <c r="E464" s="182" t="s">
        <v>65</v>
      </c>
      <c r="F464" s="182"/>
      <c r="G464" s="182" t="s">
        <v>744</v>
      </c>
      <c r="H464" s="182" t="s">
        <v>69</v>
      </c>
      <c r="I464" s="239" t="s">
        <v>745</v>
      </c>
      <c r="J464" s="239" t="s">
        <v>0</v>
      </c>
    </row>
    <row r="465" spans="1:10" ht="57" x14ac:dyDescent="0.25">
      <c r="A465" s="183" t="s">
        <v>58</v>
      </c>
      <c r="B465" s="183" t="s">
        <v>919</v>
      </c>
      <c r="C465" s="183" t="s">
        <v>59</v>
      </c>
      <c r="D465" s="183" t="s">
        <v>920</v>
      </c>
      <c r="E465" s="183" t="s">
        <v>921</v>
      </c>
      <c r="F465" s="183"/>
      <c r="G465" s="183" t="s">
        <v>191</v>
      </c>
      <c r="H465" s="184">
        <v>1</v>
      </c>
      <c r="I465" s="240">
        <v>324.68</v>
      </c>
      <c r="J465" s="240">
        <v>324.68</v>
      </c>
    </row>
    <row r="466" spans="1:10" ht="28.5" x14ac:dyDescent="0.25">
      <c r="A466" s="185" t="s">
        <v>119</v>
      </c>
      <c r="B466" s="185" t="s">
        <v>773</v>
      </c>
      <c r="C466" s="185" t="s">
        <v>59</v>
      </c>
      <c r="D466" s="185" t="s">
        <v>122</v>
      </c>
      <c r="E466" s="185" t="s">
        <v>754</v>
      </c>
      <c r="F466" s="185"/>
      <c r="G466" s="185" t="s">
        <v>60</v>
      </c>
      <c r="H466" s="186">
        <v>2.4590000000000001</v>
      </c>
      <c r="I466" s="241">
        <v>31.69</v>
      </c>
      <c r="J466" s="241">
        <v>77.92</v>
      </c>
    </row>
    <row r="467" spans="1:10" ht="71.25" x14ac:dyDescent="0.25">
      <c r="A467" s="185" t="s">
        <v>119</v>
      </c>
      <c r="B467" s="185" t="s">
        <v>922</v>
      </c>
      <c r="C467" s="185" t="s">
        <v>59</v>
      </c>
      <c r="D467" s="185" t="s">
        <v>204</v>
      </c>
      <c r="E467" s="185" t="s">
        <v>807</v>
      </c>
      <c r="F467" s="185"/>
      <c r="G467" s="185" t="s">
        <v>125</v>
      </c>
      <c r="H467" s="186">
        <v>1.417</v>
      </c>
      <c r="I467" s="241">
        <v>0.56000000000000005</v>
      </c>
      <c r="J467" s="241">
        <v>0.79</v>
      </c>
    </row>
    <row r="468" spans="1:10" ht="71.25" x14ac:dyDescent="0.25">
      <c r="A468" s="185" t="s">
        <v>119</v>
      </c>
      <c r="B468" s="185" t="s">
        <v>923</v>
      </c>
      <c r="C468" s="185" t="s">
        <v>59</v>
      </c>
      <c r="D468" s="185" t="s">
        <v>205</v>
      </c>
      <c r="E468" s="185" t="s">
        <v>807</v>
      </c>
      <c r="F468" s="185"/>
      <c r="G468" s="185" t="s">
        <v>117</v>
      </c>
      <c r="H468" s="186">
        <v>1.042</v>
      </c>
      <c r="I468" s="241">
        <v>1.47</v>
      </c>
      <c r="J468" s="241">
        <v>1.53</v>
      </c>
    </row>
    <row r="469" spans="1:10" ht="28.5" x14ac:dyDescent="0.25">
      <c r="A469" s="185" t="s">
        <v>119</v>
      </c>
      <c r="B469" s="185" t="s">
        <v>769</v>
      </c>
      <c r="C469" s="185" t="s">
        <v>59</v>
      </c>
      <c r="D469" s="185" t="s">
        <v>115</v>
      </c>
      <c r="E469" s="185" t="s">
        <v>754</v>
      </c>
      <c r="F469" s="185"/>
      <c r="G469" s="185" t="s">
        <v>60</v>
      </c>
      <c r="H469" s="186">
        <v>7.3769999999999998</v>
      </c>
      <c r="I469" s="241">
        <v>22.42</v>
      </c>
      <c r="J469" s="241">
        <v>165.39</v>
      </c>
    </row>
    <row r="470" spans="1:10" ht="28.5" x14ac:dyDescent="0.25">
      <c r="A470" s="185" t="s">
        <v>119</v>
      </c>
      <c r="B470" s="185" t="s">
        <v>894</v>
      </c>
      <c r="C470" s="185" t="s">
        <v>59</v>
      </c>
      <c r="D470" s="185" t="s">
        <v>126</v>
      </c>
      <c r="E470" s="185" t="s">
        <v>754</v>
      </c>
      <c r="F470" s="185"/>
      <c r="G470" s="185" t="s">
        <v>60</v>
      </c>
      <c r="H470" s="186">
        <v>2.4590000000000001</v>
      </c>
      <c r="I470" s="241">
        <v>32.15</v>
      </c>
      <c r="J470" s="241">
        <v>79.05</v>
      </c>
    </row>
    <row r="471" spans="1:10" x14ac:dyDescent="0.25">
      <c r="A471" s="187"/>
      <c r="B471" s="187"/>
      <c r="C471" s="187"/>
      <c r="D471" s="187"/>
      <c r="E471" s="187" t="s">
        <v>756</v>
      </c>
      <c r="F471" s="188">
        <v>231.22</v>
      </c>
      <c r="G471" s="187" t="s">
        <v>757</v>
      </c>
      <c r="H471" s="188">
        <v>0</v>
      </c>
      <c r="I471" s="242" t="s">
        <v>758</v>
      </c>
      <c r="J471" s="242">
        <v>231.22</v>
      </c>
    </row>
    <row r="472" spans="1:10" x14ac:dyDescent="0.25">
      <c r="A472" s="187"/>
      <c r="B472" s="187"/>
      <c r="C472" s="187"/>
      <c r="D472" s="187"/>
      <c r="E472" s="187" t="s">
        <v>759</v>
      </c>
      <c r="F472" s="188">
        <v>0</v>
      </c>
      <c r="G472" s="187"/>
      <c r="H472" s="187" t="s">
        <v>760</v>
      </c>
      <c r="I472" s="242"/>
      <c r="J472" s="242">
        <v>324.68</v>
      </c>
    </row>
    <row r="473" spans="1:10" x14ac:dyDescent="0.25">
      <c r="A473" s="182"/>
      <c r="B473" s="182"/>
      <c r="C473" s="182"/>
      <c r="D473" s="182"/>
      <c r="E473" s="182"/>
      <c r="F473" s="182"/>
      <c r="G473" s="182" t="s">
        <v>761</v>
      </c>
      <c r="H473" s="189" t="s">
        <v>1030</v>
      </c>
      <c r="I473" s="239" t="s">
        <v>763</v>
      </c>
      <c r="J473" s="239">
        <v>6646.19</v>
      </c>
    </row>
    <row r="474" spans="1:10" x14ac:dyDescent="0.25">
      <c r="A474" s="183"/>
      <c r="B474" s="183"/>
      <c r="C474" s="183"/>
      <c r="D474" s="183"/>
      <c r="E474" s="183"/>
      <c r="F474" s="183"/>
      <c r="G474" s="183"/>
      <c r="H474" s="183"/>
      <c r="I474" s="240"/>
      <c r="J474" s="240"/>
    </row>
    <row r="475" spans="1:10" x14ac:dyDescent="0.25">
      <c r="A475" s="182" t="s">
        <v>1032</v>
      </c>
      <c r="B475" s="182" t="s">
        <v>66</v>
      </c>
      <c r="C475" s="182" t="s">
        <v>64</v>
      </c>
      <c r="D475" s="182" t="s">
        <v>67</v>
      </c>
      <c r="E475" s="182" t="s">
        <v>65</v>
      </c>
      <c r="F475" s="182"/>
      <c r="G475" s="182" t="s">
        <v>744</v>
      </c>
      <c r="H475" s="182" t="s">
        <v>69</v>
      </c>
      <c r="I475" s="239" t="s">
        <v>745</v>
      </c>
      <c r="J475" s="239" t="s">
        <v>0</v>
      </c>
    </row>
    <row r="476" spans="1:10" ht="99.75" x14ac:dyDescent="0.25">
      <c r="A476" s="183" t="s">
        <v>58</v>
      </c>
      <c r="B476" s="183" t="s">
        <v>1033</v>
      </c>
      <c r="C476" s="183" t="s">
        <v>59</v>
      </c>
      <c r="D476" s="183" t="s">
        <v>1034</v>
      </c>
      <c r="E476" s="183" t="s">
        <v>1006</v>
      </c>
      <c r="F476" s="183"/>
      <c r="G476" s="183" t="s">
        <v>217</v>
      </c>
      <c r="H476" s="184">
        <v>1</v>
      </c>
      <c r="I476" s="240">
        <v>81.31</v>
      </c>
      <c r="J476" s="240">
        <v>81.31</v>
      </c>
    </row>
    <row r="477" spans="1:10" ht="42.75" x14ac:dyDescent="0.25">
      <c r="A477" s="185" t="s">
        <v>119</v>
      </c>
      <c r="B477" s="185" t="s">
        <v>1035</v>
      </c>
      <c r="C477" s="185" t="s">
        <v>59</v>
      </c>
      <c r="D477" s="185" t="s">
        <v>1036</v>
      </c>
      <c r="E477" s="185" t="s">
        <v>1006</v>
      </c>
      <c r="F477" s="185"/>
      <c r="G477" s="185" t="s">
        <v>116</v>
      </c>
      <c r="H477" s="186">
        <v>0.65900000000000003</v>
      </c>
      <c r="I477" s="241">
        <v>47.62</v>
      </c>
      <c r="J477" s="241">
        <v>31.38</v>
      </c>
    </row>
    <row r="478" spans="1:10" ht="42.75" x14ac:dyDescent="0.25">
      <c r="A478" s="185" t="s">
        <v>119</v>
      </c>
      <c r="B478" s="185" t="s">
        <v>822</v>
      </c>
      <c r="C478" s="185" t="s">
        <v>59</v>
      </c>
      <c r="D478" s="185" t="s">
        <v>206</v>
      </c>
      <c r="E478" s="185" t="s">
        <v>754</v>
      </c>
      <c r="F478" s="185"/>
      <c r="G478" s="185" t="s">
        <v>60</v>
      </c>
      <c r="H478" s="186">
        <v>0.109</v>
      </c>
      <c r="I478" s="241">
        <v>22.54</v>
      </c>
      <c r="J478" s="241">
        <v>2.4500000000000002</v>
      </c>
    </row>
    <row r="479" spans="1:10" ht="28.5" x14ac:dyDescent="0.25">
      <c r="A479" s="185" t="s">
        <v>119</v>
      </c>
      <c r="B479" s="185" t="s">
        <v>773</v>
      </c>
      <c r="C479" s="185" t="s">
        <v>59</v>
      </c>
      <c r="D479" s="185" t="s">
        <v>122</v>
      </c>
      <c r="E479" s="185" t="s">
        <v>754</v>
      </c>
      <c r="F479" s="185"/>
      <c r="G479" s="185" t="s">
        <v>60</v>
      </c>
      <c r="H479" s="186">
        <v>0.59599999999999997</v>
      </c>
      <c r="I479" s="241">
        <v>31.69</v>
      </c>
      <c r="J479" s="241">
        <v>18.88</v>
      </c>
    </row>
    <row r="480" spans="1:10" ht="57" x14ac:dyDescent="0.25">
      <c r="A480" s="185" t="s">
        <v>119</v>
      </c>
      <c r="B480" s="185" t="s">
        <v>1037</v>
      </c>
      <c r="C480" s="185" t="s">
        <v>59</v>
      </c>
      <c r="D480" s="185" t="s">
        <v>1038</v>
      </c>
      <c r="E480" s="185" t="s">
        <v>1006</v>
      </c>
      <c r="F480" s="185"/>
      <c r="G480" s="185" t="s">
        <v>217</v>
      </c>
      <c r="H480" s="186">
        <v>0.105</v>
      </c>
      <c r="I480" s="241">
        <v>216.52</v>
      </c>
      <c r="J480" s="241">
        <v>22.73</v>
      </c>
    </row>
    <row r="481" spans="1:10" ht="57" x14ac:dyDescent="0.25">
      <c r="A481" s="191" t="s">
        <v>62</v>
      </c>
      <c r="B481" s="191" t="s">
        <v>944</v>
      </c>
      <c r="C481" s="191" t="s">
        <v>59</v>
      </c>
      <c r="D481" s="191" t="s">
        <v>171</v>
      </c>
      <c r="E481" s="191" t="s">
        <v>120</v>
      </c>
      <c r="F481" s="191"/>
      <c r="G481" s="191" t="s">
        <v>127</v>
      </c>
      <c r="H481" s="192">
        <v>4.0000000000000001E-3</v>
      </c>
      <c r="I481" s="244">
        <v>6.99</v>
      </c>
      <c r="J481" s="244">
        <v>0.02</v>
      </c>
    </row>
    <row r="482" spans="1:10" ht="42.75" x14ac:dyDescent="0.25">
      <c r="A482" s="191" t="s">
        <v>62</v>
      </c>
      <c r="B482" s="191" t="s">
        <v>942</v>
      </c>
      <c r="C482" s="191" t="s">
        <v>59</v>
      </c>
      <c r="D482" s="191" t="s">
        <v>943</v>
      </c>
      <c r="E482" s="191" t="s">
        <v>120</v>
      </c>
      <c r="F482" s="191"/>
      <c r="G482" s="191" t="s">
        <v>121</v>
      </c>
      <c r="H482" s="192">
        <v>4.9000000000000002E-2</v>
      </c>
      <c r="I482" s="244">
        <v>25.05</v>
      </c>
      <c r="J482" s="244">
        <v>1.22</v>
      </c>
    </row>
    <row r="483" spans="1:10" ht="71.25" x14ac:dyDescent="0.25">
      <c r="A483" s="191" t="s">
        <v>62</v>
      </c>
      <c r="B483" s="191" t="s">
        <v>1039</v>
      </c>
      <c r="C483" s="191" t="s">
        <v>59</v>
      </c>
      <c r="D483" s="191" t="s">
        <v>172</v>
      </c>
      <c r="E483" s="191" t="s">
        <v>120</v>
      </c>
      <c r="F483" s="191"/>
      <c r="G483" s="191" t="s">
        <v>116</v>
      </c>
      <c r="H483" s="192">
        <v>0.32800000000000001</v>
      </c>
      <c r="I483" s="244">
        <v>14.13</v>
      </c>
      <c r="J483" s="244">
        <v>4.63</v>
      </c>
    </row>
    <row r="484" spans="1:10" x14ac:dyDescent="0.25">
      <c r="A484" s="187"/>
      <c r="B484" s="187"/>
      <c r="C484" s="187"/>
      <c r="D484" s="187"/>
      <c r="E484" s="187" t="s">
        <v>756</v>
      </c>
      <c r="F484" s="188">
        <v>22.29</v>
      </c>
      <c r="G484" s="187" t="s">
        <v>757</v>
      </c>
      <c r="H484" s="188">
        <v>0</v>
      </c>
      <c r="I484" s="242" t="s">
        <v>758</v>
      </c>
      <c r="J484" s="242">
        <v>22.29</v>
      </c>
    </row>
    <row r="485" spans="1:10" x14ac:dyDescent="0.25">
      <c r="A485" s="187"/>
      <c r="B485" s="187"/>
      <c r="C485" s="187"/>
      <c r="D485" s="187"/>
      <c r="E485" s="187" t="s">
        <v>759</v>
      </c>
      <c r="F485" s="188">
        <v>0</v>
      </c>
      <c r="G485" s="187"/>
      <c r="H485" s="187" t="s">
        <v>760</v>
      </c>
      <c r="I485" s="242"/>
      <c r="J485" s="242">
        <v>81.31</v>
      </c>
    </row>
    <row r="486" spans="1:10" x14ac:dyDescent="0.25">
      <c r="A486" s="182"/>
      <c r="B486" s="182"/>
      <c r="C486" s="182"/>
      <c r="D486" s="182"/>
      <c r="E486" s="182"/>
      <c r="F486" s="182"/>
      <c r="G486" s="182" t="s">
        <v>761</v>
      </c>
      <c r="H486" s="189" t="s">
        <v>1040</v>
      </c>
      <c r="I486" s="239" t="s">
        <v>763</v>
      </c>
      <c r="J486" s="239">
        <v>22752.16</v>
      </c>
    </row>
    <row r="487" spans="1:10" x14ac:dyDescent="0.25">
      <c r="A487" s="183"/>
      <c r="B487" s="183"/>
      <c r="C487" s="183"/>
      <c r="D487" s="183"/>
      <c r="E487" s="183"/>
      <c r="F487" s="183"/>
      <c r="G487" s="183"/>
      <c r="H487" s="183"/>
      <c r="I487" s="240"/>
      <c r="J487" s="240"/>
    </row>
    <row r="488" spans="1:10" x14ac:dyDescent="0.25">
      <c r="A488" s="190" t="s">
        <v>1041</v>
      </c>
      <c r="B488" s="190"/>
      <c r="C488" s="190"/>
      <c r="D488" s="190" t="s">
        <v>318</v>
      </c>
      <c r="E488" s="190"/>
      <c r="F488" s="190"/>
      <c r="G488" s="190"/>
      <c r="H488" s="190"/>
      <c r="I488" s="243"/>
      <c r="J488" s="243">
        <v>63934.89</v>
      </c>
    </row>
    <row r="489" spans="1:10" x14ac:dyDescent="0.25">
      <c r="A489" s="182" t="s">
        <v>1042</v>
      </c>
      <c r="B489" s="182" t="s">
        <v>66</v>
      </c>
      <c r="C489" s="182" t="s">
        <v>64</v>
      </c>
      <c r="D489" s="182" t="s">
        <v>67</v>
      </c>
      <c r="E489" s="182" t="s">
        <v>65</v>
      </c>
      <c r="F489" s="182"/>
      <c r="G489" s="182" t="s">
        <v>744</v>
      </c>
      <c r="H489" s="182" t="s">
        <v>69</v>
      </c>
      <c r="I489" s="239" t="s">
        <v>745</v>
      </c>
      <c r="J489" s="239" t="s">
        <v>0</v>
      </c>
    </row>
    <row r="490" spans="1:10" ht="99.75" x14ac:dyDescent="0.25">
      <c r="A490" s="183" t="s">
        <v>58</v>
      </c>
      <c r="B490" s="183" t="s">
        <v>1043</v>
      </c>
      <c r="C490" s="183" t="s">
        <v>59</v>
      </c>
      <c r="D490" s="183" t="s">
        <v>1044</v>
      </c>
      <c r="E490" s="183" t="s">
        <v>1045</v>
      </c>
      <c r="F490" s="183"/>
      <c r="G490" s="183" t="s">
        <v>217</v>
      </c>
      <c r="H490" s="184">
        <v>1</v>
      </c>
      <c r="I490" s="240">
        <v>190.65</v>
      </c>
      <c r="J490" s="240">
        <v>190.65</v>
      </c>
    </row>
    <row r="491" spans="1:10" ht="57" x14ac:dyDescent="0.25">
      <c r="A491" s="185" t="s">
        <v>119</v>
      </c>
      <c r="B491" s="185" t="s">
        <v>1046</v>
      </c>
      <c r="C491" s="185" t="s">
        <v>59</v>
      </c>
      <c r="D491" s="185" t="s">
        <v>1047</v>
      </c>
      <c r="E491" s="185" t="s">
        <v>1006</v>
      </c>
      <c r="F491" s="185"/>
      <c r="G491" s="185" t="s">
        <v>116</v>
      </c>
      <c r="H491" s="186">
        <v>1.1599999999999999</v>
      </c>
      <c r="I491" s="241">
        <v>18.11</v>
      </c>
      <c r="J491" s="241">
        <v>21</v>
      </c>
    </row>
    <row r="492" spans="1:10" ht="85.5" x14ac:dyDescent="0.25">
      <c r="A492" s="185" t="s">
        <v>119</v>
      </c>
      <c r="B492" s="185" t="s">
        <v>1048</v>
      </c>
      <c r="C492" s="185" t="s">
        <v>59</v>
      </c>
      <c r="D492" s="185" t="s">
        <v>1049</v>
      </c>
      <c r="E492" s="185" t="s">
        <v>921</v>
      </c>
      <c r="F492" s="185"/>
      <c r="G492" s="185" t="s">
        <v>191</v>
      </c>
      <c r="H492" s="186">
        <v>5.0999999999999997E-2</v>
      </c>
      <c r="I492" s="241">
        <v>790.76</v>
      </c>
      <c r="J492" s="241">
        <v>40.32</v>
      </c>
    </row>
    <row r="493" spans="1:10" ht="71.25" x14ac:dyDescent="0.25">
      <c r="A493" s="185" t="s">
        <v>119</v>
      </c>
      <c r="B493" s="185" t="s">
        <v>1050</v>
      </c>
      <c r="C493" s="185" t="s">
        <v>59</v>
      </c>
      <c r="D493" s="185" t="s">
        <v>170</v>
      </c>
      <c r="E493" s="185" t="s">
        <v>879</v>
      </c>
      <c r="F493" s="185"/>
      <c r="G493" s="185" t="s">
        <v>121</v>
      </c>
      <c r="H493" s="186">
        <v>0.99099999999999999</v>
      </c>
      <c r="I493" s="241">
        <v>15.15</v>
      </c>
      <c r="J493" s="241">
        <v>15.01</v>
      </c>
    </row>
    <row r="494" spans="1:10" ht="28.5" x14ac:dyDescent="0.25">
      <c r="A494" s="185" t="s">
        <v>119</v>
      </c>
      <c r="B494" s="185" t="s">
        <v>773</v>
      </c>
      <c r="C494" s="185" t="s">
        <v>59</v>
      </c>
      <c r="D494" s="185" t="s">
        <v>122</v>
      </c>
      <c r="E494" s="185" t="s">
        <v>754</v>
      </c>
      <c r="F494" s="185"/>
      <c r="G494" s="185" t="s">
        <v>60</v>
      </c>
      <c r="H494" s="186">
        <v>0.39300000000000002</v>
      </c>
      <c r="I494" s="241">
        <v>31.69</v>
      </c>
      <c r="J494" s="241">
        <v>12.45</v>
      </c>
    </row>
    <row r="495" spans="1:10" ht="28.5" x14ac:dyDescent="0.25">
      <c r="A495" s="185" t="s">
        <v>119</v>
      </c>
      <c r="B495" s="185" t="s">
        <v>769</v>
      </c>
      <c r="C495" s="185" t="s">
        <v>59</v>
      </c>
      <c r="D495" s="185" t="s">
        <v>115</v>
      </c>
      <c r="E495" s="185" t="s">
        <v>754</v>
      </c>
      <c r="F495" s="185"/>
      <c r="G495" s="185" t="s">
        <v>60</v>
      </c>
      <c r="H495" s="186">
        <v>0.29499999999999998</v>
      </c>
      <c r="I495" s="241">
        <v>22.42</v>
      </c>
      <c r="J495" s="241">
        <v>6.61</v>
      </c>
    </row>
    <row r="496" spans="1:10" ht="85.5" x14ac:dyDescent="0.25">
      <c r="A496" s="191" t="s">
        <v>62</v>
      </c>
      <c r="B496" s="191" t="s">
        <v>1051</v>
      </c>
      <c r="C496" s="191" t="s">
        <v>59</v>
      </c>
      <c r="D496" s="191" t="s">
        <v>1052</v>
      </c>
      <c r="E496" s="191" t="s">
        <v>120</v>
      </c>
      <c r="F496" s="191"/>
      <c r="G496" s="191" t="s">
        <v>217</v>
      </c>
      <c r="H496" s="192">
        <v>1</v>
      </c>
      <c r="I496" s="244">
        <v>67.84</v>
      </c>
      <c r="J496" s="244">
        <v>67.84</v>
      </c>
    </row>
    <row r="497" spans="1:10" ht="42.75" x14ac:dyDescent="0.25">
      <c r="A497" s="191" t="s">
        <v>62</v>
      </c>
      <c r="B497" s="191" t="s">
        <v>942</v>
      </c>
      <c r="C497" s="191" t="s">
        <v>59</v>
      </c>
      <c r="D497" s="191" t="s">
        <v>943</v>
      </c>
      <c r="E497" s="191" t="s">
        <v>120</v>
      </c>
      <c r="F497" s="191"/>
      <c r="G497" s="191" t="s">
        <v>121</v>
      </c>
      <c r="H497" s="192">
        <v>0.04</v>
      </c>
      <c r="I497" s="244">
        <v>25.05</v>
      </c>
      <c r="J497" s="244">
        <v>1</v>
      </c>
    </row>
    <row r="498" spans="1:10" ht="71.25" x14ac:dyDescent="0.25">
      <c r="A498" s="191" t="s">
        <v>62</v>
      </c>
      <c r="B498" s="191" t="s">
        <v>1039</v>
      </c>
      <c r="C498" s="191" t="s">
        <v>59</v>
      </c>
      <c r="D498" s="191" t="s">
        <v>172</v>
      </c>
      <c r="E498" s="191" t="s">
        <v>120</v>
      </c>
      <c r="F498" s="191"/>
      <c r="G498" s="191" t="s">
        <v>116</v>
      </c>
      <c r="H498" s="192">
        <v>1.87</v>
      </c>
      <c r="I498" s="244">
        <v>14.13</v>
      </c>
      <c r="J498" s="244">
        <v>26.42</v>
      </c>
    </row>
    <row r="499" spans="1:10" x14ac:dyDescent="0.25">
      <c r="A499" s="187"/>
      <c r="B499" s="187"/>
      <c r="C499" s="187"/>
      <c r="D499" s="187"/>
      <c r="E499" s="187" t="s">
        <v>756</v>
      </c>
      <c r="F499" s="188">
        <v>25.5</v>
      </c>
      <c r="G499" s="187" t="s">
        <v>757</v>
      </c>
      <c r="H499" s="188">
        <v>0</v>
      </c>
      <c r="I499" s="242" t="s">
        <v>758</v>
      </c>
      <c r="J499" s="242">
        <v>25.5</v>
      </c>
    </row>
    <row r="500" spans="1:10" x14ac:dyDescent="0.25">
      <c r="A500" s="187"/>
      <c r="B500" s="187"/>
      <c r="C500" s="187"/>
      <c r="D500" s="187"/>
      <c r="E500" s="187" t="s">
        <v>759</v>
      </c>
      <c r="F500" s="188">
        <v>0</v>
      </c>
      <c r="G500" s="187"/>
      <c r="H500" s="187" t="s">
        <v>760</v>
      </c>
      <c r="I500" s="242"/>
      <c r="J500" s="242">
        <v>190.65</v>
      </c>
    </row>
    <row r="501" spans="1:10" x14ac:dyDescent="0.25">
      <c r="A501" s="182"/>
      <c r="B501" s="182"/>
      <c r="C501" s="182"/>
      <c r="D501" s="182"/>
      <c r="E501" s="182"/>
      <c r="F501" s="182"/>
      <c r="G501" s="182" t="s">
        <v>761</v>
      </c>
      <c r="H501" s="189" t="s">
        <v>1053</v>
      </c>
      <c r="I501" s="239" t="s">
        <v>763</v>
      </c>
      <c r="J501" s="239">
        <v>60436.05</v>
      </c>
    </row>
    <row r="502" spans="1:10" x14ac:dyDescent="0.25">
      <c r="A502" s="183"/>
      <c r="B502" s="183"/>
      <c r="C502" s="183"/>
      <c r="D502" s="183"/>
      <c r="E502" s="183"/>
      <c r="F502" s="183"/>
      <c r="G502" s="183"/>
      <c r="H502" s="183"/>
      <c r="I502" s="240"/>
      <c r="J502" s="240"/>
    </row>
    <row r="503" spans="1:10" x14ac:dyDescent="0.25">
      <c r="A503" s="182" t="s">
        <v>1054</v>
      </c>
      <c r="B503" s="182" t="s">
        <v>66</v>
      </c>
      <c r="C503" s="182" t="s">
        <v>64</v>
      </c>
      <c r="D503" s="182" t="s">
        <v>67</v>
      </c>
      <c r="E503" s="182" t="s">
        <v>65</v>
      </c>
      <c r="F503" s="182"/>
      <c r="G503" s="182" t="s">
        <v>744</v>
      </c>
      <c r="H503" s="182" t="s">
        <v>69</v>
      </c>
      <c r="I503" s="239" t="s">
        <v>745</v>
      </c>
      <c r="J503" s="239" t="s">
        <v>0</v>
      </c>
    </row>
    <row r="504" spans="1:10" ht="71.25" x14ac:dyDescent="0.25">
      <c r="A504" s="183" t="s">
        <v>58</v>
      </c>
      <c r="B504" s="183" t="s">
        <v>1055</v>
      </c>
      <c r="C504" s="183" t="s">
        <v>59</v>
      </c>
      <c r="D504" s="183" t="s">
        <v>1056</v>
      </c>
      <c r="E504" s="183" t="s">
        <v>879</v>
      </c>
      <c r="F504" s="183"/>
      <c r="G504" s="183" t="s">
        <v>121</v>
      </c>
      <c r="H504" s="184">
        <v>1</v>
      </c>
      <c r="I504" s="240">
        <v>12.96</v>
      </c>
      <c r="J504" s="240">
        <v>12.96</v>
      </c>
    </row>
    <row r="505" spans="1:10" ht="28.5" x14ac:dyDescent="0.25">
      <c r="A505" s="185" t="s">
        <v>119</v>
      </c>
      <c r="B505" s="185" t="s">
        <v>951</v>
      </c>
      <c r="C505" s="185" t="s">
        <v>59</v>
      </c>
      <c r="D505" s="185" t="s">
        <v>952</v>
      </c>
      <c r="E505" s="185" t="s">
        <v>879</v>
      </c>
      <c r="F505" s="185"/>
      <c r="G505" s="185" t="s">
        <v>121</v>
      </c>
      <c r="H505" s="186">
        <v>1</v>
      </c>
      <c r="I505" s="241">
        <v>8.83</v>
      </c>
      <c r="J505" s="241">
        <v>8.83</v>
      </c>
    </row>
    <row r="506" spans="1:10" ht="28.5" x14ac:dyDescent="0.25">
      <c r="A506" s="185" t="s">
        <v>119</v>
      </c>
      <c r="B506" s="185" t="s">
        <v>875</v>
      </c>
      <c r="C506" s="185" t="s">
        <v>59</v>
      </c>
      <c r="D506" s="185" t="s">
        <v>203</v>
      </c>
      <c r="E506" s="185" t="s">
        <v>754</v>
      </c>
      <c r="F506" s="185"/>
      <c r="G506" s="185" t="s">
        <v>60</v>
      </c>
      <c r="H506" s="186">
        <v>8.3599999999999994E-2</v>
      </c>
      <c r="I506" s="241">
        <v>31.91</v>
      </c>
      <c r="J506" s="241">
        <v>2.66</v>
      </c>
    </row>
    <row r="507" spans="1:10" ht="28.5" x14ac:dyDescent="0.25">
      <c r="A507" s="185" t="s">
        <v>119</v>
      </c>
      <c r="B507" s="185" t="s">
        <v>876</v>
      </c>
      <c r="C507" s="185" t="s">
        <v>59</v>
      </c>
      <c r="D507" s="185" t="s">
        <v>199</v>
      </c>
      <c r="E507" s="185" t="s">
        <v>754</v>
      </c>
      <c r="F507" s="185"/>
      <c r="G507" s="185" t="s">
        <v>60</v>
      </c>
      <c r="H507" s="186">
        <v>1.3599999999999999E-2</v>
      </c>
      <c r="I507" s="241">
        <v>22.71</v>
      </c>
      <c r="J507" s="241">
        <v>0.3</v>
      </c>
    </row>
    <row r="508" spans="1:10" ht="42.75" x14ac:dyDescent="0.25">
      <c r="A508" s="191" t="s">
        <v>62</v>
      </c>
      <c r="B508" s="191" t="s">
        <v>880</v>
      </c>
      <c r="C508" s="191" t="s">
        <v>59</v>
      </c>
      <c r="D508" s="191" t="s">
        <v>200</v>
      </c>
      <c r="E508" s="191" t="s">
        <v>120</v>
      </c>
      <c r="F508" s="191"/>
      <c r="G508" s="191" t="s">
        <v>121</v>
      </c>
      <c r="H508" s="192">
        <v>2.5000000000000001E-2</v>
      </c>
      <c r="I508" s="244">
        <v>28.52</v>
      </c>
      <c r="J508" s="244">
        <v>0.71</v>
      </c>
    </row>
    <row r="509" spans="1:10" ht="71.25" x14ac:dyDescent="0.25">
      <c r="A509" s="191" t="s">
        <v>62</v>
      </c>
      <c r="B509" s="191" t="s">
        <v>881</v>
      </c>
      <c r="C509" s="191" t="s">
        <v>59</v>
      </c>
      <c r="D509" s="191" t="s">
        <v>201</v>
      </c>
      <c r="E509" s="191" t="s">
        <v>120</v>
      </c>
      <c r="F509" s="191"/>
      <c r="G509" s="191" t="s">
        <v>61</v>
      </c>
      <c r="H509" s="192">
        <v>2.1179999999999999</v>
      </c>
      <c r="I509" s="244">
        <v>0.22</v>
      </c>
      <c r="J509" s="244">
        <v>0.46</v>
      </c>
    </row>
    <row r="510" spans="1:10" x14ac:dyDescent="0.25">
      <c r="A510" s="187"/>
      <c r="B510" s="187"/>
      <c r="C510" s="187"/>
      <c r="D510" s="187"/>
      <c r="E510" s="187" t="s">
        <v>756</v>
      </c>
      <c r="F510" s="188">
        <v>3.78</v>
      </c>
      <c r="G510" s="187" t="s">
        <v>757</v>
      </c>
      <c r="H510" s="188">
        <v>0</v>
      </c>
      <c r="I510" s="242" t="s">
        <v>758</v>
      </c>
      <c r="J510" s="242">
        <v>3.78</v>
      </c>
    </row>
    <row r="511" spans="1:10" x14ac:dyDescent="0.25">
      <c r="A511" s="187"/>
      <c r="B511" s="187"/>
      <c r="C511" s="187"/>
      <c r="D511" s="187"/>
      <c r="E511" s="187" t="s">
        <v>759</v>
      </c>
      <c r="F511" s="188">
        <v>0</v>
      </c>
      <c r="G511" s="187"/>
      <c r="H511" s="187" t="s">
        <v>760</v>
      </c>
      <c r="I511" s="242"/>
      <c r="J511" s="242">
        <v>12.96</v>
      </c>
    </row>
    <row r="512" spans="1:10" x14ac:dyDescent="0.25">
      <c r="A512" s="182"/>
      <c r="B512" s="182"/>
      <c r="C512" s="182"/>
      <c r="D512" s="182"/>
      <c r="E512" s="182"/>
      <c r="F512" s="182"/>
      <c r="G512" s="182" t="s">
        <v>761</v>
      </c>
      <c r="H512" s="189" t="s">
        <v>1057</v>
      </c>
      <c r="I512" s="239" t="s">
        <v>763</v>
      </c>
      <c r="J512" s="239">
        <v>46.13</v>
      </c>
    </row>
    <row r="513" spans="1:10" x14ac:dyDescent="0.25">
      <c r="A513" s="183"/>
      <c r="B513" s="183"/>
      <c r="C513" s="183"/>
      <c r="D513" s="183"/>
      <c r="E513" s="183"/>
      <c r="F513" s="183"/>
      <c r="G513" s="183"/>
      <c r="H513" s="183"/>
      <c r="I513" s="240"/>
      <c r="J513" s="240"/>
    </row>
    <row r="514" spans="1:10" x14ac:dyDescent="0.25">
      <c r="A514" s="182" t="s">
        <v>1058</v>
      </c>
      <c r="B514" s="182" t="s">
        <v>66</v>
      </c>
      <c r="C514" s="182" t="s">
        <v>64</v>
      </c>
      <c r="D514" s="182" t="s">
        <v>67</v>
      </c>
      <c r="E514" s="182" t="s">
        <v>65</v>
      </c>
      <c r="F514" s="182"/>
      <c r="G514" s="182" t="s">
        <v>744</v>
      </c>
      <c r="H514" s="182" t="s">
        <v>69</v>
      </c>
      <c r="I514" s="239" t="s">
        <v>745</v>
      </c>
      <c r="J514" s="239" t="s">
        <v>0</v>
      </c>
    </row>
    <row r="515" spans="1:10" ht="71.25" x14ac:dyDescent="0.25">
      <c r="A515" s="183" t="s">
        <v>58</v>
      </c>
      <c r="B515" s="183" t="s">
        <v>1059</v>
      </c>
      <c r="C515" s="183" t="s">
        <v>59</v>
      </c>
      <c r="D515" s="183" t="s">
        <v>1060</v>
      </c>
      <c r="E515" s="183" t="s">
        <v>879</v>
      </c>
      <c r="F515" s="183"/>
      <c r="G515" s="183" t="s">
        <v>121</v>
      </c>
      <c r="H515" s="184">
        <v>1</v>
      </c>
      <c r="I515" s="240">
        <v>10.73</v>
      </c>
      <c r="J515" s="240">
        <v>10.73</v>
      </c>
    </row>
    <row r="516" spans="1:10" ht="28.5" x14ac:dyDescent="0.25">
      <c r="A516" s="185" t="s">
        <v>119</v>
      </c>
      <c r="B516" s="185" t="s">
        <v>875</v>
      </c>
      <c r="C516" s="185" t="s">
        <v>59</v>
      </c>
      <c r="D516" s="185" t="s">
        <v>203</v>
      </c>
      <c r="E516" s="185" t="s">
        <v>754</v>
      </c>
      <c r="F516" s="185"/>
      <c r="G516" s="185" t="s">
        <v>60</v>
      </c>
      <c r="H516" s="186">
        <v>4.0300000000000002E-2</v>
      </c>
      <c r="I516" s="241">
        <v>31.91</v>
      </c>
      <c r="J516" s="241">
        <v>1.28</v>
      </c>
    </row>
    <row r="517" spans="1:10" ht="28.5" x14ac:dyDescent="0.25">
      <c r="A517" s="185" t="s">
        <v>119</v>
      </c>
      <c r="B517" s="185" t="s">
        <v>957</v>
      </c>
      <c r="C517" s="185" t="s">
        <v>59</v>
      </c>
      <c r="D517" s="185" t="s">
        <v>202</v>
      </c>
      <c r="E517" s="185" t="s">
        <v>879</v>
      </c>
      <c r="F517" s="185"/>
      <c r="G517" s="185" t="s">
        <v>121</v>
      </c>
      <c r="H517" s="186">
        <v>1</v>
      </c>
      <c r="I517" s="241">
        <v>8.44</v>
      </c>
      <c r="J517" s="241">
        <v>8.44</v>
      </c>
    </row>
    <row r="518" spans="1:10" ht="28.5" x14ac:dyDescent="0.25">
      <c r="A518" s="185" t="s">
        <v>119</v>
      </c>
      <c r="B518" s="185" t="s">
        <v>876</v>
      </c>
      <c r="C518" s="185" t="s">
        <v>59</v>
      </c>
      <c r="D518" s="185" t="s">
        <v>199</v>
      </c>
      <c r="E518" s="185" t="s">
        <v>754</v>
      </c>
      <c r="F518" s="185"/>
      <c r="G518" s="185" t="s">
        <v>60</v>
      </c>
      <c r="H518" s="186">
        <v>6.6E-3</v>
      </c>
      <c r="I518" s="241">
        <v>22.71</v>
      </c>
      <c r="J518" s="241">
        <v>0.14000000000000001</v>
      </c>
    </row>
    <row r="519" spans="1:10" ht="71.25" x14ac:dyDescent="0.25">
      <c r="A519" s="191" t="s">
        <v>62</v>
      </c>
      <c r="B519" s="191" t="s">
        <v>881</v>
      </c>
      <c r="C519" s="191" t="s">
        <v>59</v>
      </c>
      <c r="D519" s="191" t="s">
        <v>201</v>
      </c>
      <c r="E519" s="191" t="s">
        <v>120</v>
      </c>
      <c r="F519" s="191"/>
      <c r="G519" s="191" t="s">
        <v>61</v>
      </c>
      <c r="H519" s="192">
        <v>0.72799999999999998</v>
      </c>
      <c r="I519" s="244">
        <v>0.22</v>
      </c>
      <c r="J519" s="244">
        <v>0.16</v>
      </c>
    </row>
    <row r="520" spans="1:10" ht="42.75" x14ac:dyDescent="0.25">
      <c r="A520" s="191" t="s">
        <v>62</v>
      </c>
      <c r="B520" s="191" t="s">
        <v>880</v>
      </c>
      <c r="C520" s="191" t="s">
        <v>59</v>
      </c>
      <c r="D520" s="191" t="s">
        <v>200</v>
      </c>
      <c r="E520" s="191" t="s">
        <v>120</v>
      </c>
      <c r="F520" s="191"/>
      <c r="G520" s="191" t="s">
        <v>121</v>
      </c>
      <c r="H520" s="192">
        <v>2.5000000000000001E-2</v>
      </c>
      <c r="I520" s="244">
        <v>28.52</v>
      </c>
      <c r="J520" s="244">
        <v>0.71</v>
      </c>
    </row>
    <row r="521" spans="1:10" x14ac:dyDescent="0.25">
      <c r="A521" s="187"/>
      <c r="B521" s="187"/>
      <c r="C521" s="187"/>
      <c r="D521" s="187"/>
      <c r="E521" s="187" t="s">
        <v>756</v>
      </c>
      <c r="F521" s="188">
        <v>1.5</v>
      </c>
      <c r="G521" s="187" t="s">
        <v>757</v>
      </c>
      <c r="H521" s="188">
        <v>0</v>
      </c>
      <c r="I521" s="242" t="s">
        <v>758</v>
      </c>
      <c r="J521" s="242">
        <v>1.5</v>
      </c>
    </row>
    <row r="522" spans="1:10" x14ac:dyDescent="0.25">
      <c r="A522" s="187"/>
      <c r="B522" s="187"/>
      <c r="C522" s="187"/>
      <c r="D522" s="187"/>
      <c r="E522" s="187" t="s">
        <v>759</v>
      </c>
      <c r="F522" s="188">
        <v>0</v>
      </c>
      <c r="G522" s="187"/>
      <c r="H522" s="187" t="s">
        <v>760</v>
      </c>
      <c r="I522" s="242"/>
      <c r="J522" s="242">
        <v>10.73</v>
      </c>
    </row>
    <row r="523" spans="1:10" x14ac:dyDescent="0.25">
      <c r="A523" s="182"/>
      <c r="B523" s="182"/>
      <c r="C523" s="182"/>
      <c r="D523" s="182"/>
      <c r="E523" s="182"/>
      <c r="F523" s="182"/>
      <c r="G523" s="182" t="s">
        <v>761</v>
      </c>
      <c r="H523" s="189" t="s">
        <v>1061</v>
      </c>
      <c r="I523" s="239" t="s">
        <v>763</v>
      </c>
      <c r="J523" s="239">
        <v>3348.72</v>
      </c>
    </row>
    <row r="524" spans="1:10" x14ac:dyDescent="0.25">
      <c r="A524" s="183"/>
      <c r="B524" s="183"/>
      <c r="C524" s="183"/>
      <c r="D524" s="183"/>
      <c r="E524" s="183"/>
      <c r="F524" s="183"/>
      <c r="G524" s="183"/>
      <c r="H524" s="183"/>
      <c r="I524" s="240"/>
      <c r="J524" s="240"/>
    </row>
    <row r="525" spans="1:10" x14ac:dyDescent="0.25">
      <c r="A525" s="182" t="s">
        <v>1062</v>
      </c>
      <c r="B525" s="182" t="s">
        <v>66</v>
      </c>
      <c r="C525" s="182" t="s">
        <v>64</v>
      </c>
      <c r="D525" s="182" t="s">
        <v>67</v>
      </c>
      <c r="E525" s="182" t="s">
        <v>65</v>
      </c>
      <c r="F525" s="182"/>
      <c r="G525" s="182" t="s">
        <v>744</v>
      </c>
      <c r="H525" s="182" t="s">
        <v>69</v>
      </c>
      <c r="I525" s="239" t="s">
        <v>745</v>
      </c>
      <c r="J525" s="239" t="s">
        <v>0</v>
      </c>
    </row>
    <row r="526" spans="1:10" ht="71.25" x14ac:dyDescent="0.25">
      <c r="A526" s="183" t="s">
        <v>58</v>
      </c>
      <c r="B526" s="183" t="s">
        <v>1063</v>
      </c>
      <c r="C526" s="183" t="s">
        <v>59</v>
      </c>
      <c r="D526" s="183" t="s">
        <v>1064</v>
      </c>
      <c r="E526" s="183" t="s">
        <v>879</v>
      </c>
      <c r="F526" s="183"/>
      <c r="G526" s="183" t="s">
        <v>121</v>
      </c>
      <c r="H526" s="184">
        <v>1</v>
      </c>
      <c r="I526" s="240">
        <v>9.42</v>
      </c>
      <c r="J526" s="240">
        <v>9.42</v>
      </c>
    </row>
    <row r="527" spans="1:10" ht="28.5" x14ac:dyDescent="0.25">
      <c r="A527" s="185" t="s">
        <v>119</v>
      </c>
      <c r="B527" s="185" t="s">
        <v>875</v>
      </c>
      <c r="C527" s="185" t="s">
        <v>59</v>
      </c>
      <c r="D527" s="185" t="s">
        <v>203</v>
      </c>
      <c r="E527" s="185" t="s">
        <v>754</v>
      </c>
      <c r="F527" s="185"/>
      <c r="G527" s="185" t="s">
        <v>60</v>
      </c>
      <c r="H527" s="186">
        <v>2.5899999999999999E-2</v>
      </c>
      <c r="I527" s="241">
        <v>31.91</v>
      </c>
      <c r="J527" s="241">
        <v>0.82</v>
      </c>
    </row>
    <row r="528" spans="1:10" ht="42.75" x14ac:dyDescent="0.25">
      <c r="A528" s="185" t="s">
        <v>119</v>
      </c>
      <c r="B528" s="185" t="s">
        <v>886</v>
      </c>
      <c r="C528" s="185" t="s">
        <v>59</v>
      </c>
      <c r="D528" s="185" t="s">
        <v>887</v>
      </c>
      <c r="E528" s="185" t="s">
        <v>879</v>
      </c>
      <c r="F528" s="185"/>
      <c r="G528" s="185" t="s">
        <v>121</v>
      </c>
      <c r="H528" s="186">
        <v>1</v>
      </c>
      <c r="I528" s="241">
        <v>7.73</v>
      </c>
      <c r="J528" s="241">
        <v>7.73</v>
      </c>
    </row>
    <row r="529" spans="1:10" ht="28.5" x14ac:dyDescent="0.25">
      <c r="A529" s="185" t="s">
        <v>119</v>
      </c>
      <c r="B529" s="185" t="s">
        <v>876</v>
      </c>
      <c r="C529" s="185" t="s">
        <v>59</v>
      </c>
      <c r="D529" s="185" t="s">
        <v>199</v>
      </c>
      <c r="E529" s="185" t="s">
        <v>754</v>
      </c>
      <c r="F529" s="185"/>
      <c r="G529" s="185" t="s">
        <v>60</v>
      </c>
      <c r="H529" s="186">
        <v>4.1999999999999997E-3</v>
      </c>
      <c r="I529" s="241">
        <v>22.71</v>
      </c>
      <c r="J529" s="241">
        <v>0.09</v>
      </c>
    </row>
    <row r="530" spans="1:10" ht="42.75" x14ac:dyDescent="0.25">
      <c r="A530" s="191" t="s">
        <v>62</v>
      </c>
      <c r="B530" s="191" t="s">
        <v>880</v>
      </c>
      <c r="C530" s="191" t="s">
        <v>59</v>
      </c>
      <c r="D530" s="191" t="s">
        <v>200</v>
      </c>
      <c r="E530" s="191" t="s">
        <v>120</v>
      </c>
      <c r="F530" s="191"/>
      <c r="G530" s="191" t="s">
        <v>121</v>
      </c>
      <c r="H530" s="192">
        <v>2.5000000000000001E-2</v>
      </c>
      <c r="I530" s="244">
        <v>28.52</v>
      </c>
      <c r="J530" s="244">
        <v>0.71</v>
      </c>
    </row>
    <row r="531" spans="1:10" ht="71.25" x14ac:dyDescent="0.25">
      <c r="A531" s="191" t="s">
        <v>62</v>
      </c>
      <c r="B531" s="191" t="s">
        <v>881</v>
      </c>
      <c r="C531" s="191" t="s">
        <v>59</v>
      </c>
      <c r="D531" s="191" t="s">
        <v>201</v>
      </c>
      <c r="E531" s="191" t="s">
        <v>120</v>
      </c>
      <c r="F531" s="191"/>
      <c r="G531" s="191" t="s">
        <v>61</v>
      </c>
      <c r="H531" s="192">
        <v>0.35699999999999998</v>
      </c>
      <c r="I531" s="244">
        <v>0.22</v>
      </c>
      <c r="J531" s="244">
        <v>7.0000000000000007E-2</v>
      </c>
    </row>
    <row r="532" spans="1:10" x14ac:dyDescent="0.25">
      <c r="A532" s="187"/>
      <c r="B532" s="187"/>
      <c r="C532" s="187"/>
      <c r="D532" s="187"/>
      <c r="E532" s="187" t="s">
        <v>756</v>
      </c>
      <c r="F532" s="188">
        <v>0.92</v>
      </c>
      <c r="G532" s="187" t="s">
        <v>757</v>
      </c>
      <c r="H532" s="188">
        <v>0</v>
      </c>
      <c r="I532" s="242" t="s">
        <v>758</v>
      </c>
      <c r="J532" s="242">
        <v>0.92</v>
      </c>
    </row>
    <row r="533" spans="1:10" x14ac:dyDescent="0.25">
      <c r="A533" s="187"/>
      <c r="B533" s="187"/>
      <c r="C533" s="187"/>
      <c r="D533" s="187"/>
      <c r="E533" s="187" t="s">
        <v>759</v>
      </c>
      <c r="F533" s="188">
        <v>0</v>
      </c>
      <c r="G533" s="187"/>
      <c r="H533" s="187" t="s">
        <v>760</v>
      </c>
      <c r="I533" s="242"/>
      <c r="J533" s="242">
        <v>9.42</v>
      </c>
    </row>
    <row r="534" spans="1:10" x14ac:dyDescent="0.25">
      <c r="A534" s="182"/>
      <c r="B534" s="182"/>
      <c r="C534" s="182"/>
      <c r="D534" s="182"/>
      <c r="E534" s="182"/>
      <c r="F534" s="182"/>
      <c r="G534" s="182" t="s">
        <v>761</v>
      </c>
      <c r="H534" s="189" t="s">
        <v>1065</v>
      </c>
      <c r="I534" s="239" t="s">
        <v>763</v>
      </c>
      <c r="J534" s="239">
        <v>103.99</v>
      </c>
    </row>
    <row r="535" spans="1:10" x14ac:dyDescent="0.25">
      <c r="A535" s="183"/>
      <c r="B535" s="183"/>
      <c r="C535" s="183"/>
      <c r="D535" s="183"/>
      <c r="E535" s="183"/>
      <c r="F535" s="183"/>
      <c r="G535" s="183"/>
      <c r="H535" s="183"/>
      <c r="I535" s="240"/>
      <c r="J535" s="240"/>
    </row>
    <row r="536" spans="1:10" x14ac:dyDescent="0.25">
      <c r="A536" s="190" t="s">
        <v>1066</v>
      </c>
      <c r="B536" s="190"/>
      <c r="C536" s="190"/>
      <c r="D536" s="190" t="s">
        <v>219</v>
      </c>
      <c r="E536" s="190"/>
      <c r="F536" s="190"/>
      <c r="G536" s="190"/>
      <c r="H536" s="190"/>
      <c r="I536" s="243"/>
      <c r="J536" s="243">
        <v>118383.84</v>
      </c>
    </row>
    <row r="537" spans="1:10" x14ac:dyDescent="0.25">
      <c r="A537" s="182" t="s">
        <v>1067</v>
      </c>
      <c r="B537" s="182" t="s">
        <v>66</v>
      </c>
      <c r="C537" s="182" t="s">
        <v>64</v>
      </c>
      <c r="D537" s="182" t="s">
        <v>67</v>
      </c>
      <c r="E537" s="182" t="s">
        <v>65</v>
      </c>
      <c r="F537" s="182"/>
      <c r="G537" s="182" t="s">
        <v>744</v>
      </c>
      <c r="H537" s="182" t="s">
        <v>69</v>
      </c>
      <c r="I537" s="239" t="s">
        <v>745</v>
      </c>
      <c r="J537" s="239" t="s">
        <v>0</v>
      </c>
    </row>
    <row r="538" spans="1:10" ht="99.75" x14ac:dyDescent="0.25">
      <c r="A538" s="183" t="s">
        <v>58</v>
      </c>
      <c r="B538" s="183" t="s">
        <v>1068</v>
      </c>
      <c r="C538" s="183" t="s">
        <v>59</v>
      </c>
      <c r="D538" s="183" t="s">
        <v>1069</v>
      </c>
      <c r="E538" s="183" t="s">
        <v>1070</v>
      </c>
      <c r="F538" s="183"/>
      <c r="G538" s="183" t="s">
        <v>217</v>
      </c>
      <c r="H538" s="184">
        <v>1</v>
      </c>
      <c r="I538" s="240">
        <v>76.47</v>
      </c>
      <c r="J538" s="240">
        <v>76.47</v>
      </c>
    </row>
    <row r="539" spans="1:10" ht="28.5" x14ac:dyDescent="0.25">
      <c r="A539" s="185" t="s">
        <v>119</v>
      </c>
      <c r="B539" s="185" t="s">
        <v>894</v>
      </c>
      <c r="C539" s="185" t="s">
        <v>59</v>
      </c>
      <c r="D539" s="185" t="s">
        <v>126</v>
      </c>
      <c r="E539" s="185" t="s">
        <v>754</v>
      </c>
      <c r="F539" s="185"/>
      <c r="G539" s="185" t="s">
        <v>60</v>
      </c>
      <c r="H539" s="186">
        <v>0.77</v>
      </c>
      <c r="I539" s="241">
        <v>32.15</v>
      </c>
      <c r="J539" s="241">
        <v>24.75</v>
      </c>
    </row>
    <row r="540" spans="1:10" ht="114" x14ac:dyDescent="0.25">
      <c r="A540" s="185" t="s">
        <v>119</v>
      </c>
      <c r="B540" s="185" t="s">
        <v>1071</v>
      </c>
      <c r="C540" s="185" t="s">
        <v>59</v>
      </c>
      <c r="D540" s="185" t="s">
        <v>1072</v>
      </c>
      <c r="E540" s="185" t="s">
        <v>1073</v>
      </c>
      <c r="F540" s="185"/>
      <c r="G540" s="185" t="s">
        <v>191</v>
      </c>
      <c r="H540" s="186">
        <v>7.7000000000000002E-3</v>
      </c>
      <c r="I540" s="241">
        <v>658.67</v>
      </c>
      <c r="J540" s="241">
        <v>5.07</v>
      </c>
    </row>
    <row r="541" spans="1:10" ht="28.5" x14ac:dyDescent="0.25">
      <c r="A541" s="185" t="s">
        <v>119</v>
      </c>
      <c r="B541" s="185" t="s">
        <v>769</v>
      </c>
      <c r="C541" s="185" t="s">
        <v>59</v>
      </c>
      <c r="D541" s="185" t="s">
        <v>115</v>
      </c>
      <c r="E541" s="185" t="s">
        <v>754</v>
      </c>
      <c r="F541" s="185"/>
      <c r="G541" s="185" t="s">
        <v>60</v>
      </c>
      <c r="H541" s="186">
        <v>0.38500000000000001</v>
      </c>
      <c r="I541" s="241">
        <v>22.42</v>
      </c>
      <c r="J541" s="241">
        <v>8.6300000000000008</v>
      </c>
    </row>
    <row r="542" spans="1:10" ht="71.25" x14ac:dyDescent="0.25">
      <c r="A542" s="191" t="s">
        <v>62</v>
      </c>
      <c r="B542" s="191" t="s">
        <v>1074</v>
      </c>
      <c r="C542" s="191" t="s">
        <v>59</v>
      </c>
      <c r="D542" s="191" t="s">
        <v>1075</v>
      </c>
      <c r="E542" s="191" t="s">
        <v>120</v>
      </c>
      <c r="F542" s="191"/>
      <c r="G542" s="191" t="s">
        <v>116</v>
      </c>
      <c r="H542" s="192">
        <v>0.42</v>
      </c>
      <c r="I542" s="244">
        <v>2.02</v>
      </c>
      <c r="J542" s="244">
        <v>0.84</v>
      </c>
    </row>
    <row r="543" spans="1:10" ht="28.5" x14ac:dyDescent="0.25">
      <c r="A543" s="191" t="s">
        <v>62</v>
      </c>
      <c r="B543" s="191" t="s">
        <v>1076</v>
      </c>
      <c r="C543" s="191" t="s">
        <v>59</v>
      </c>
      <c r="D543" s="191" t="s">
        <v>1077</v>
      </c>
      <c r="E543" s="191" t="s">
        <v>120</v>
      </c>
      <c r="F543" s="191"/>
      <c r="G543" s="191" t="s">
        <v>1078</v>
      </c>
      <c r="H543" s="192">
        <v>5.0000000000000001E-3</v>
      </c>
      <c r="I543" s="244">
        <v>41.93</v>
      </c>
      <c r="J543" s="244">
        <v>0.2</v>
      </c>
    </row>
    <row r="544" spans="1:10" ht="71.25" x14ac:dyDescent="0.25">
      <c r="A544" s="191" t="s">
        <v>62</v>
      </c>
      <c r="B544" s="191" t="s">
        <v>1079</v>
      </c>
      <c r="C544" s="191" t="s">
        <v>59</v>
      </c>
      <c r="D544" s="191" t="s">
        <v>1080</v>
      </c>
      <c r="E544" s="191" t="s">
        <v>120</v>
      </c>
      <c r="F544" s="191"/>
      <c r="G544" s="191" t="s">
        <v>61</v>
      </c>
      <c r="H544" s="192">
        <v>18.87</v>
      </c>
      <c r="I544" s="244">
        <v>1.96</v>
      </c>
      <c r="J544" s="244">
        <v>36.979999999999997</v>
      </c>
    </row>
    <row r="545" spans="1:10" x14ac:dyDescent="0.25">
      <c r="A545" s="187"/>
      <c r="B545" s="187"/>
      <c r="C545" s="187"/>
      <c r="D545" s="187"/>
      <c r="E545" s="187" t="s">
        <v>756</v>
      </c>
      <c r="F545" s="188">
        <v>25.23</v>
      </c>
      <c r="G545" s="187" t="s">
        <v>757</v>
      </c>
      <c r="H545" s="188">
        <v>0</v>
      </c>
      <c r="I545" s="242" t="s">
        <v>758</v>
      </c>
      <c r="J545" s="242">
        <v>25.23</v>
      </c>
    </row>
    <row r="546" spans="1:10" x14ac:dyDescent="0.25">
      <c r="A546" s="187"/>
      <c r="B546" s="187"/>
      <c r="C546" s="187"/>
      <c r="D546" s="187"/>
      <c r="E546" s="187" t="s">
        <v>759</v>
      </c>
      <c r="F546" s="188">
        <v>0</v>
      </c>
      <c r="G546" s="187"/>
      <c r="H546" s="187" t="s">
        <v>760</v>
      </c>
      <c r="I546" s="242"/>
      <c r="J546" s="242">
        <v>76.47</v>
      </c>
    </row>
    <row r="547" spans="1:10" x14ac:dyDescent="0.25">
      <c r="A547" s="182"/>
      <c r="B547" s="182"/>
      <c r="C547" s="182"/>
      <c r="D547" s="182"/>
      <c r="E547" s="182"/>
      <c r="F547" s="182"/>
      <c r="G547" s="182" t="s">
        <v>761</v>
      </c>
      <c r="H547" s="189" t="s">
        <v>1081</v>
      </c>
      <c r="I547" s="239" t="s">
        <v>763</v>
      </c>
      <c r="J547" s="239">
        <v>42011.85</v>
      </c>
    </row>
    <row r="548" spans="1:10" x14ac:dyDescent="0.25">
      <c r="A548" s="183"/>
      <c r="B548" s="183"/>
      <c r="C548" s="183"/>
      <c r="D548" s="183"/>
      <c r="E548" s="183"/>
      <c r="F548" s="183"/>
      <c r="G548" s="183"/>
      <c r="H548" s="183"/>
      <c r="I548" s="240"/>
      <c r="J548" s="240"/>
    </row>
    <row r="549" spans="1:10" x14ac:dyDescent="0.25">
      <c r="A549" s="182" t="s">
        <v>1082</v>
      </c>
      <c r="B549" s="182" t="s">
        <v>66</v>
      </c>
      <c r="C549" s="182" t="s">
        <v>64</v>
      </c>
      <c r="D549" s="182" t="s">
        <v>67</v>
      </c>
      <c r="E549" s="182" t="s">
        <v>65</v>
      </c>
      <c r="F549" s="182"/>
      <c r="G549" s="182" t="s">
        <v>744</v>
      </c>
      <c r="H549" s="182" t="s">
        <v>69</v>
      </c>
      <c r="I549" s="239" t="s">
        <v>745</v>
      </c>
      <c r="J549" s="239" t="s">
        <v>0</v>
      </c>
    </row>
    <row r="550" spans="1:10" ht="85.5" x14ac:dyDescent="0.25">
      <c r="A550" s="183" t="s">
        <v>58</v>
      </c>
      <c r="B550" s="183" t="s">
        <v>1083</v>
      </c>
      <c r="C550" s="183" t="s">
        <v>59</v>
      </c>
      <c r="D550" s="183" t="s">
        <v>1084</v>
      </c>
      <c r="E550" s="183" t="s">
        <v>1085</v>
      </c>
      <c r="F550" s="183"/>
      <c r="G550" s="183" t="s">
        <v>217</v>
      </c>
      <c r="H550" s="184">
        <v>1</v>
      </c>
      <c r="I550" s="240">
        <v>191.36</v>
      </c>
      <c r="J550" s="240">
        <v>191.36</v>
      </c>
    </row>
    <row r="551" spans="1:10" ht="28.5" x14ac:dyDescent="0.25">
      <c r="A551" s="185" t="s">
        <v>119</v>
      </c>
      <c r="B551" s="185" t="s">
        <v>894</v>
      </c>
      <c r="C551" s="185" t="s">
        <v>59</v>
      </c>
      <c r="D551" s="185" t="s">
        <v>126</v>
      </c>
      <c r="E551" s="185" t="s">
        <v>754</v>
      </c>
      <c r="F551" s="185"/>
      <c r="G551" s="185" t="s">
        <v>60</v>
      </c>
      <c r="H551" s="186">
        <v>2.2200000000000002</v>
      </c>
      <c r="I551" s="241">
        <v>32.15</v>
      </c>
      <c r="J551" s="241">
        <v>71.37</v>
      </c>
    </row>
    <row r="552" spans="1:10" ht="71.25" x14ac:dyDescent="0.25">
      <c r="A552" s="185" t="s">
        <v>119</v>
      </c>
      <c r="B552" s="185" t="s">
        <v>1086</v>
      </c>
      <c r="C552" s="185" t="s">
        <v>59</v>
      </c>
      <c r="D552" s="185" t="s">
        <v>1087</v>
      </c>
      <c r="E552" s="185" t="s">
        <v>1073</v>
      </c>
      <c r="F552" s="185"/>
      <c r="G552" s="185" t="s">
        <v>191</v>
      </c>
      <c r="H552" s="186">
        <v>2.3E-2</v>
      </c>
      <c r="I552" s="241">
        <v>591.46</v>
      </c>
      <c r="J552" s="241">
        <v>13.6</v>
      </c>
    </row>
    <row r="553" spans="1:10" ht="28.5" x14ac:dyDescent="0.25">
      <c r="A553" s="185" t="s">
        <v>119</v>
      </c>
      <c r="B553" s="185" t="s">
        <v>769</v>
      </c>
      <c r="C553" s="185" t="s">
        <v>59</v>
      </c>
      <c r="D553" s="185" t="s">
        <v>115</v>
      </c>
      <c r="E553" s="185" t="s">
        <v>754</v>
      </c>
      <c r="F553" s="185"/>
      <c r="G553" s="185" t="s">
        <v>60</v>
      </c>
      <c r="H553" s="186">
        <v>1.1100000000000001</v>
      </c>
      <c r="I553" s="241">
        <v>22.42</v>
      </c>
      <c r="J553" s="241">
        <v>24.88</v>
      </c>
    </row>
    <row r="554" spans="1:10" ht="57" x14ac:dyDescent="0.25">
      <c r="A554" s="191" t="s">
        <v>62</v>
      </c>
      <c r="B554" s="191" t="s">
        <v>1088</v>
      </c>
      <c r="C554" s="191" t="s">
        <v>59</v>
      </c>
      <c r="D554" s="191" t="s">
        <v>1089</v>
      </c>
      <c r="E554" s="191" t="s">
        <v>120</v>
      </c>
      <c r="F554" s="191"/>
      <c r="G554" s="191" t="s">
        <v>61</v>
      </c>
      <c r="H554" s="192">
        <v>23.29</v>
      </c>
      <c r="I554" s="244">
        <v>3.5</v>
      </c>
      <c r="J554" s="244">
        <v>81.510000000000005</v>
      </c>
    </row>
    <row r="555" spans="1:10" x14ac:dyDescent="0.25">
      <c r="A555" s="187"/>
      <c r="B555" s="187"/>
      <c r="C555" s="187"/>
      <c r="D555" s="187"/>
      <c r="E555" s="187" t="s">
        <v>756</v>
      </c>
      <c r="F555" s="188">
        <v>72.400000000000006</v>
      </c>
      <c r="G555" s="187" t="s">
        <v>757</v>
      </c>
      <c r="H555" s="188">
        <v>0</v>
      </c>
      <c r="I555" s="242" t="s">
        <v>758</v>
      </c>
      <c r="J555" s="242">
        <v>72.400000000000006</v>
      </c>
    </row>
    <row r="556" spans="1:10" x14ac:dyDescent="0.25">
      <c r="A556" s="187"/>
      <c r="B556" s="187"/>
      <c r="C556" s="187"/>
      <c r="D556" s="187"/>
      <c r="E556" s="187" t="s">
        <v>759</v>
      </c>
      <c r="F556" s="188">
        <v>0</v>
      </c>
      <c r="G556" s="187"/>
      <c r="H556" s="187" t="s">
        <v>760</v>
      </c>
      <c r="I556" s="242"/>
      <c r="J556" s="242">
        <v>191.36</v>
      </c>
    </row>
    <row r="557" spans="1:10" x14ac:dyDescent="0.25">
      <c r="A557" s="182"/>
      <c r="B557" s="182"/>
      <c r="C557" s="182"/>
      <c r="D557" s="182"/>
      <c r="E557" s="182"/>
      <c r="F557" s="182"/>
      <c r="G557" s="182" t="s">
        <v>761</v>
      </c>
      <c r="H557" s="189" t="s">
        <v>1090</v>
      </c>
      <c r="I557" s="239" t="s">
        <v>763</v>
      </c>
      <c r="J557" s="239">
        <v>463.09</v>
      </c>
    </row>
    <row r="558" spans="1:10" x14ac:dyDescent="0.25">
      <c r="A558" s="183"/>
      <c r="B558" s="183"/>
      <c r="C558" s="183"/>
      <c r="D558" s="183"/>
      <c r="E558" s="183"/>
      <c r="F558" s="183"/>
      <c r="G558" s="183"/>
      <c r="H558" s="183"/>
      <c r="I558" s="240"/>
      <c r="J558" s="240"/>
    </row>
    <row r="559" spans="1:10" x14ac:dyDescent="0.25">
      <c r="A559" s="182" t="s">
        <v>1091</v>
      </c>
      <c r="B559" s="182" t="s">
        <v>66</v>
      </c>
      <c r="C559" s="182" t="s">
        <v>64</v>
      </c>
      <c r="D559" s="182" t="s">
        <v>67</v>
      </c>
      <c r="E559" s="182" t="s">
        <v>65</v>
      </c>
      <c r="F559" s="182"/>
      <c r="G559" s="182" t="s">
        <v>744</v>
      </c>
      <c r="H559" s="182" t="s">
        <v>69</v>
      </c>
      <c r="I559" s="239" t="s">
        <v>745</v>
      </c>
      <c r="J559" s="239" t="s">
        <v>0</v>
      </c>
    </row>
    <row r="560" spans="1:10" ht="85.5" x14ac:dyDescent="0.25">
      <c r="A560" s="183" t="s">
        <v>58</v>
      </c>
      <c r="B560" s="183" t="s">
        <v>1092</v>
      </c>
      <c r="C560" s="183" t="s">
        <v>59</v>
      </c>
      <c r="D560" s="183" t="s">
        <v>1093</v>
      </c>
      <c r="E560" s="183" t="s">
        <v>1094</v>
      </c>
      <c r="F560" s="183"/>
      <c r="G560" s="183" t="s">
        <v>217</v>
      </c>
      <c r="H560" s="184">
        <v>1</v>
      </c>
      <c r="I560" s="240">
        <v>350.21</v>
      </c>
      <c r="J560" s="240">
        <v>350.21</v>
      </c>
    </row>
    <row r="561" spans="1:10" ht="71.25" x14ac:dyDescent="0.25">
      <c r="A561" s="185" t="s">
        <v>119</v>
      </c>
      <c r="B561" s="185" t="s">
        <v>817</v>
      </c>
      <c r="C561" s="185" t="s">
        <v>59</v>
      </c>
      <c r="D561" s="185" t="s">
        <v>208</v>
      </c>
      <c r="E561" s="185" t="s">
        <v>807</v>
      </c>
      <c r="F561" s="185"/>
      <c r="G561" s="185" t="s">
        <v>117</v>
      </c>
      <c r="H561" s="186">
        <v>4.2000000000000003E-2</v>
      </c>
      <c r="I561" s="241">
        <v>25.46</v>
      </c>
      <c r="J561" s="241">
        <v>1.06</v>
      </c>
    </row>
    <row r="562" spans="1:10" ht="28.5" x14ac:dyDescent="0.25">
      <c r="A562" s="185" t="s">
        <v>119</v>
      </c>
      <c r="B562" s="185" t="s">
        <v>1095</v>
      </c>
      <c r="C562" s="185" t="s">
        <v>59</v>
      </c>
      <c r="D562" s="185" t="s">
        <v>1096</v>
      </c>
      <c r="E562" s="185" t="s">
        <v>754</v>
      </c>
      <c r="F562" s="185"/>
      <c r="G562" s="185" t="s">
        <v>60</v>
      </c>
      <c r="H562" s="186">
        <v>1.2649999999999999</v>
      </c>
      <c r="I562" s="241">
        <v>31.99</v>
      </c>
      <c r="J562" s="241">
        <v>40.46</v>
      </c>
    </row>
    <row r="563" spans="1:10" ht="28.5" x14ac:dyDescent="0.25">
      <c r="A563" s="185" t="s">
        <v>119</v>
      </c>
      <c r="B563" s="185" t="s">
        <v>769</v>
      </c>
      <c r="C563" s="185" t="s">
        <v>59</v>
      </c>
      <c r="D563" s="185" t="s">
        <v>115</v>
      </c>
      <c r="E563" s="185" t="s">
        <v>754</v>
      </c>
      <c r="F563" s="185"/>
      <c r="G563" s="185" t="s">
        <v>60</v>
      </c>
      <c r="H563" s="186">
        <v>0.63300000000000001</v>
      </c>
      <c r="I563" s="241">
        <v>22.42</v>
      </c>
      <c r="J563" s="241">
        <v>14.19</v>
      </c>
    </row>
    <row r="564" spans="1:10" ht="71.25" x14ac:dyDescent="0.25">
      <c r="A564" s="185" t="s">
        <v>119</v>
      </c>
      <c r="B564" s="185" t="s">
        <v>818</v>
      </c>
      <c r="C564" s="185" t="s">
        <v>59</v>
      </c>
      <c r="D564" s="185" t="s">
        <v>207</v>
      </c>
      <c r="E564" s="185" t="s">
        <v>807</v>
      </c>
      <c r="F564" s="185"/>
      <c r="G564" s="185" t="s">
        <v>125</v>
      </c>
      <c r="H564" s="186">
        <v>1.2230000000000001</v>
      </c>
      <c r="I564" s="241">
        <v>23.96</v>
      </c>
      <c r="J564" s="241">
        <v>29.3</v>
      </c>
    </row>
    <row r="565" spans="1:10" ht="42.75" x14ac:dyDescent="0.25">
      <c r="A565" s="191" t="s">
        <v>62</v>
      </c>
      <c r="B565" s="191" t="s">
        <v>1097</v>
      </c>
      <c r="C565" s="191" t="s">
        <v>59</v>
      </c>
      <c r="D565" s="191" t="s">
        <v>1098</v>
      </c>
      <c r="E565" s="191" t="s">
        <v>120</v>
      </c>
      <c r="F565" s="191"/>
      <c r="G565" s="191" t="s">
        <v>217</v>
      </c>
      <c r="H565" s="192">
        <v>1.05</v>
      </c>
      <c r="I565" s="244">
        <v>226.69</v>
      </c>
      <c r="J565" s="244">
        <v>238.02</v>
      </c>
    </row>
    <row r="566" spans="1:10" ht="28.5" x14ac:dyDescent="0.25">
      <c r="A566" s="191" t="s">
        <v>62</v>
      </c>
      <c r="B566" s="191" t="s">
        <v>1099</v>
      </c>
      <c r="C566" s="191" t="s">
        <v>59</v>
      </c>
      <c r="D566" s="191" t="s">
        <v>1100</v>
      </c>
      <c r="E566" s="191" t="s">
        <v>120</v>
      </c>
      <c r="F566" s="191"/>
      <c r="G566" s="191" t="s">
        <v>121</v>
      </c>
      <c r="H566" s="192">
        <v>0.97</v>
      </c>
      <c r="I566" s="244">
        <v>2.82</v>
      </c>
      <c r="J566" s="244">
        <v>2.73</v>
      </c>
    </row>
    <row r="567" spans="1:10" ht="57" x14ac:dyDescent="0.25">
      <c r="A567" s="191" t="s">
        <v>62</v>
      </c>
      <c r="B567" s="191" t="s">
        <v>1101</v>
      </c>
      <c r="C567" s="191" t="s">
        <v>59</v>
      </c>
      <c r="D567" s="191" t="s">
        <v>1102</v>
      </c>
      <c r="E567" s="191" t="s">
        <v>120</v>
      </c>
      <c r="F567" s="191"/>
      <c r="G567" s="191" t="s">
        <v>121</v>
      </c>
      <c r="H567" s="192">
        <v>0.53</v>
      </c>
      <c r="I567" s="244">
        <v>46.14</v>
      </c>
      <c r="J567" s="244">
        <v>24.45</v>
      </c>
    </row>
    <row r="568" spans="1:10" x14ac:dyDescent="0.25">
      <c r="A568" s="187"/>
      <c r="B568" s="187"/>
      <c r="C568" s="187"/>
      <c r="D568" s="187"/>
      <c r="E568" s="187" t="s">
        <v>756</v>
      </c>
      <c r="F568" s="188">
        <v>62.63</v>
      </c>
      <c r="G568" s="187" t="s">
        <v>757</v>
      </c>
      <c r="H568" s="188">
        <v>0</v>
      </c>
      <c r="I568" s="242" t="s">
        <v>758</v>
      </c>
      <c r="J568" s="242">
        <v>62.63</v>
      </c>
    </row>
    <row r="569" spans="1:10" x14ac:dyDescent="0.25">
      <c r="A569" s="187"/>
      <c r="B569" s="187"/>
      <c r="C569" s="187"/>
      <c r="D569" s="187"/>
      <c r="E569" s="187" t="s">
        <v>759</v>
      </c>
      <c r="F569" s="188">
        <v>0</v>
      </c>
      <c r="G569" s="187"/>
      <c r="H569" s="187" t="s">
        <v>760</v>
      </c>
      <c r="I569" s="242"/>
      <c r="J569" s="242">
        <v>350.21</v>
      </c>
    </row>
    <row r="570" spans="1:10" x14ac:dyDescent="0.25">
      <c r="A570" s="182"/>
      <c r="B570" s="182"/>
      <c r="C570" s="182"/>
      <c r="D570" s="182"/>
      <c r="E570" s="182"/>
      <c r="F570" s="182"/>
      <c r="G570" s="182" t="s">
        <v>761</v>
      </c>
      <c r="H570" s="189" t="s">
        <v>1103</v>
      </c>
      <c r="I570" s="239" t="s">
        <v>763</v>
      </c>
      <c r="J570" s="239">
        <v>2230.83</v>
      </c>
    </row>
    <row r="571" spans="1:10" x14ac:dyDescent="0.25">
      <c r="A571" s="183"/>
      <c r="B571" s="183"/>
      <c r="C571" s="183"/>
      <c r="D571" s="183"/>
      <c r="E571" s="183"/>
      <c r="F571" s="183"/>
      <c r="G571" s="183"/>
      <c r="H571" s="183"/>
      <c r="I571" s="240"/>
      <c r="J571" s="240"/>
    </row>
    <row r="572" spans="1:10" x14ac:dyDescent="0.25">
      <c r="A572" s="182" t="s">
        <v>1104</v>
      </c>
      <c r="B572" s="182" t="s">
        <v>66</v>
      </c>
      <c r="C572" s="182" t="s">
        <v>64</v>
      </c>
      <c r="D572" s="182" t="s">
        <v>67</v>
      </c>
      <c r="E572" s="182" t="s">
        <v>65</v>
      </c>
      <c r="F572" s="182"/>
      <c r="G572" s="182" t="s">
        <v>744</v>
      </c>
      <c r="H572" s="182" t="s">
        <v>69</v>
      </c>
      <c r="I572" s="239" t="s">
        <v>745</v>
      </c>
      <c r="J572" s="239" t="s">
        <v>0</v>
      </c>
    </row>
    <row r="573" spans="1:10" ht="99.75" x14ac:dyDescent="0.25">
      <c r="A573" s="183" t="s">
        <v>58</v>
      </c>
      <c r="B573" s="183" t="s">
        <v>1105</v>
      </c>
      <c r="C573" s="183" t="s">
        <v>59</v>
      </c>
      <c r="D573" s="183" t="s">
        <v>1106</v>
      </c>
      <c r="E573" s="183" t="s">
        <v>1107</v>
      </c>
      <c r="F573" s="183"/>
      <c r="G573" s="183" t="s">
        <v>217</v>
      </c>
      <c r="H573" s="184">
        <v>1</v>
      </c>
      <c r="I573" s="240">
        <v>4.79</v>
      </c>
      <c r="J573" s="240">
        <v>4.79</v>
      </c>
    </row>
    <row r="574" spans="1:10" ht="85.5" x14ac:dyDescent="0.25">
      <c r="A574" s="185" t="s">
        <v>119</v>
      </c>
      <c r="B574" s="185" t="s">
        <v>1108</v>
      </c>
      <c r="C574" s="185" t="s">
        <v>59</v>
      </c>
      <c r="D574" s="185" t="s">
        <v>1109</v>
      </c>
      <c r="E574" s="185" t="s">
        <v>1073</v>
      </c>
      <c r="F574" s="185"/>
      <c r="G574" s="185" t="s">
        <v>191</v>
      </c>
      <c r="H574" s="186">
        <v>3.7000000000000002E-3</v>
      </c>
      <c r="I574" s="241">
        <v>552.12</v>
      </c>
      <c r="J574" s="241">
        <v>2.04</v>
      </c>
    </row>
    <row r="575" spans="1:10" ht="28.5" x14ac:dyDescent="0.25">
      <c r="A575" s="185" t="s">
        <v>119</v>
      </c>
      <c r="B575" s="185" t="s">
        <v>894</v>
      </c>
      <c r="C575" s="185" t="s">
        <v>59</v>
      </c>
      <c r="D575" s="185" t="s">
        <v>126</v>
      </c>
      <c r="E575" s="185" t="s">
        <v>754</v>
      </c>
      <c r="F575" s="185"/>
      <c r="G575" s="185" t="s">
        <v>60</v>
      </c>
      <c r="H575" s="186">
        <v>6.8099999999999994E-2</v>
      </c>
      <c r="I575" s="241">
        <v>32.15</v>
      </c>
      <c r="J575" s="241">
        <v>2.1800000000000002</v>
      </c>
    </row>
    <row r="576" spans="1:10" ht="28.5" x14ac:dyDescent="0.25">
      <c r="A576" s="185" t="s">
        <v>119</v>
      </c>
      <c r="B576" s="185" t="s">
        <v>769</v>
      </c>
      <c r="C576" s="185" t="s">
        <v>59</v>
      </c>
      <c r="D576" s="185" t="s">
        <v>115</v>
      </c>
      <c r="E576" s="185" t="s">
        <v>754</v>
      </c>
      <c r="F576" s="185"/>
      <c r="G576" s="185" t="s">
        <v>60</v>
      </c>
      <c r="H576" s="186">
        <v>2.5499999999999998E-2</v>
      </c>
      <c r="I576" s="241">
        <v>22.42</v>
      </c>
      <c r="J576" s="241">
        <v>0.56999999999999995</v>
      </c>
    </row>
    <row r="577" spans="1:10" x14ac:dyDescent="0.25">
      <c r="A577" s="187"/>
      <c r="B577" s="187"/>
      <c r="C577" s="187"/>
      <c r="D577" s="187"/>
      <c r="E577" s="187" t="s">
        <v>756</v>
      </c>
      <c r="F577" s="188">
        <v>2.27</v>
      </c>
      <c r="G577" s="187" t="s">
        <v>757</v>
      </c>
      <c r="H577" s="188">
        <v>0</v>
      </c>
      <c r="I577" s="242" t="s">
        <v>758</v>
      </c>
      <c r="J577" s="242">
        <v>2.27</v>
      </c>
    </row>
    <row r="578" spans="1:10" x14ac:dyDescent="0.25">
      <c r="A578" s="187"/>
      <c r="B578" s="187"/>
      <c r="C578" s="187"/>
      <c r="D578" s="187"/>
      <c r="E578" s="187" t="s">
        <v>759</v>
      </c>
      <c r="F578" s="188">
        <v>0</v>
      </c>
      <c r="G578" s="187"/>
      <c r="H578" s="187" t="s">
        <v>760</v>
      </c>
      <c r="I578" s="242"/>
      <c r="J578" s="242">
        <v>4.79</v>
      </c>
    </row>
    <row r="579" spans="1:10" x14ac:dyDescent="0.25">
      <c r="A579" s="182"/>
      <c r="B579" s="182"/>
      <c r="C579" s="182"/>
      <c r="D579" s="182"/>
      <c r="E579" s="182"/>
      <c r="F579" s="182"/>
      <c r="G579" s="182" t="s">
        <v>761</v>
      </c>
      <c r="H579" s="189" t="s">
        <v>1110</v>
      </c>
      <c r="I579" s="239" t="s">
        <v>763</v>
      </c>
      <c r="J579" s="239">
        <v>5077.59</v>
      </c>
    </row>
    <row r="580" spans="1:10" x14ac:dyDescent="0.25">
      <c r="A580" s="183"/>
      <c r="B580" s="183"/>
      <c r="C580" s="183"/>
      <c r="D580" s="183"/>
      <c r="E580" s="183"/>
      <c r="F580" s="183"/>
      <c r="G580" s="183"/>
      <c r="H580" s="183"/>
      <c r="I580" s="240"/>
      <c r="J580" s="240"/>
    </row>
    <row r="581" spans="1:10" x14ac:dyDescent="0.25">
      <c r="A581" s="182" t="s">
        <v>1111</v>
      </c>
      <c r="B581" s="182" t="s">
        <v>66</v>
      </c>
      <c r="C581" s="182" t="s">
        <v>64</v>
      </c>
      <c r="D581" s="182" t="s">
        <v>67</v>
      </c>
      <c r="E581" s="182" t="s">
        <v>65</v>
      </c>
      <c r="F581" s="182"/>
      <c r="G581" s="182" t="s">
        <v>744</v>
      </c>
      <c r="H581" s="182" t="s">
        <v>69</v>
      </c>
      <c r="I581" s="239" t="s">
        <v>745</v>
      </c>
      <c r="J581" s="239" t="s">
        <v>0</v>
      </c>
    </row>
    <row r="582" spans="1:10" ht="114" x14ac:dyDescent="0.25">
      <c r="A582" s="183" t="s">
        <v>58</v>
      </c>
      <c r="B582" s="183" t="s">
        <v>1112</v>
      </c>
      <c r="C582" s="183" t="s">
        <v>59</v>
      </c>
      <c r="D582" s="183" t="s">
        <v>1113</v>
      </c>
      <c r="E582" s="183" t="s">
        <v>1107</v>
      </c>
      <c r="F582" s="183"/>
      <c r="G582" s="183" t="s">
        <v>217</v>
      </c>
      <c r="H582" s="184">
        <v>1</v>
      </c>
      <c r="I582" s="240">
        <v>8.86</v>
      </c>
      <c r="J582" s="240">
        <v>8.86</v>
      </c>
    </row>
    <row r="583" spans="1:10" ht="28.5" x14ac:dyDescent="0.25">
      <c r="A583" s="185" t="s">
        <v>119</v>
      </c>
      <c r="B583" s="185" t="s">
        <v>894</v>
      </c>
      <c r="C583" s="185" t="s">
        <v>59</v>
      </c>
      <c r="D583" s="185" t="s">
        <v>126</v>
      </c>
      <c r="E583" s="185" t="s">
        <v>754</v>
      </c>
      <c r="F583" s="185"/>
      <c r="G583" s="185" t="s">
        <v>60</v>
      </c>
      <c r="H583" s="186">
        <v>0.1724</v>
      </c>
      <c r="I583" s="241">
        <v>32.15</v>
      </c>
      <c r="J583" s="241">
        <v>5.54</v>
      </c>
    </row>
    <row r="584" spans="1:10" ht="85.5" x14ac:dyDescent="0.25">
      <c r="A584" s="185" t="s">
        <v>119</v>
      </c>
      <c r="B584" s="185" t="s">
        <v>1108</v>
      </c>
      <c r="C584" s="185" t="s">
        <v>59</v>
      </c>
      <c r="D584" s="185" t="s">
        <v>1109</v>
      </c>
      <c r="E584" s="185" t="s">
        <v>1073</v>
      </c>
      <c r="F584" s="185"/>
      <c r="G584" s="185" t="s">
        <v>191</v>
      </c>
      <c r="H584" s="186">
        <v>3.7000000000000002E-3</v>
      </c>
      <c r="I584" s="241">
        <v>552.12</v>
      </c>
      <c r="J584" s="241">
        <v>2.04</v>
      </c>
    </row>
    <row r="585" spans="1:10" ht="28.5" x14ac:dyDescent="0.25">
      <c r="A585" s="185" t="s">
        <v>119</v>
      </c>
      <c r="B585" s="185" t="s">
        <v>769</v>
      </c>
      <c r="C585" s="185" t="s">
        <v>59</v>
      </c>
      <c r="D585" s="185" t="s">
        <v>115</v>
      </c>
      <c r="E585" s="185" t="s">
        <v>754</v>
      </c>
      <c r="F585" s="185"/>
      <c r="G585" s="185" t="s">
        <v>60</v>
      </c>
      <c r="H585" s="186">
        <v>5.7500000000000002E-2</v>
      </c>
      <c r="I585" s="241">
        <v>22.42</v>
      </c>
      <c r="J585" s="241">
        <v>1.28</v>
      </c>
    </row>
    <row r="586" spans="1:10" x14ac:dyDescent="0.25">
      <c r="A586" s="187"/>
      <c r="B586" s="187"/>
      <c r="C586" s="187"/>
      <c r="D586" s="187"/>
      <c r="E586" s="187" t="s">
        <v>756</v>
      </c>
      <c r="F586" s="188">
        <v>5.32</v>
      </c>
      <c r="G586" s="187" t="s">
        <v>757</v>
      </c>
      <c r="H586" s="188">
        <v>0</v>
      </c>
      <c r="I586" s="242" t="s">
        <v>758</v>
      </c>
      <c r="J586" s="242">
        <v>5.32</v>
      </c>
    </row>
    <row r="587" spans="1:10" x14ac:dyDescent="0.25">
      <c r="A587" s="187"/>
      <c r="B587" s="187"/>
      <c r="C587" s="187"/>
      <c r="D587" s="187"/>
      <c r="E587" s="187" t="s">
        <v>759</v>
      </c>
      <c r="F587" s="188">
        <v>0</v>
      </c>
      <c r="G587" s="187"/>
      <c r="H587" s="187" t="s">
        <v>760</v>
      </c>
      <c r="I587" s="242"/>
      <c r="J587" s="242">
        <v>8.86</v>
      </c>
    </row>
    <row r="588" spans="1:10" x14ac:dyDescent="0.25">
      <c r="A588" s="182"/>
      <c r="B588" s="182"/>
      <c r="C588" s="182"/>
      <c r="D588" s="182"/>
      <c r="E588" s="182"/>
      <c r="F588" s="182"/>
      <c r="G588" s="182" t="s">
        <v>761</v>
      </c>
      <c r="H588" s="189" t="s">
        <v>1114</v>
      </c>
      <c r="I588" s="239" t="s">
        <v>763</v>
      </c>
      <c r="J588" s="239">
        <v>650.23</v>
      </c>
    </row>
    <row r="589" spans="1:10" x14ac:dyDescent="0.25">
      <c r="A589" s="183"/>
      <c r="B589" s="183"/>
      <c r="C589" s="183"/>
      <c r="D589" s="183"/>
      <c r="E589" s="183"/>
      <c r="F589" s="183"/>
      <c r="G589" s="183"/>
      <c r="H589" s="183"/>
      <c r="I589" s="240"/>
      <c r="J589" s="240"/>
    </row>
    <row r="590" spans="1:10" x14ac:dyDescent="0.25">
      <c r="A590" s="182" t="s">
        <v>1115</v>
      </c>
      <c r="B590" s="182" t="s">
        <v>66</v>
      </c>
      <c r="C590" s="182" t="s">
        <v>64</v>
      </c>
      <c r="D590" s="182" t="s">
        <v>67</v>
      </c>
      <c r="E590" s="182" t="s">
        <v>65</v>
      </c>
      <c r="F590" s="182"/>
      <c r="G590" s="182" t="s">
        <v>744</v>
      </c>
      <c r="H590" s="182" t="s">
        <v>69</v>
      </c>
      <c r="I590" s="239" t="s">
        <v>745</v>
      </c>
      <c r="J590" s="239" t="s">
        <v>0</v>
      </c>
    </row>
    <row r="591" spans="1:10" ht="114" x14ac:dyDescent="0.25">
      <c r="A591" s="183" t="s">
        <v>58</v>
      </c>
      <c r="B591" s="183" t="s">
        <v>1116</v>
      </c>
      <c r="C591" s="183" t="s">
        <v>59</v>
      </c>
      <c r="D591" s="183" t="s">
        <v>1117</v>
      </c>
      <c r="E591" s="183" t="s">
        <v>1107</v>
      </c>
      <c r="F591" s="183"/>
      <c r="G591" s="183" t="s">
        <v>217</v>
      </c>
      <c r="H591" s="184">
        <v>1</v>
      </c>
      <c r="I591" s="240">
        <v>7.56</v>
      </c>
      <c r="J591" s="240">
        <v>7.56</v>
      </c>
    </row>
    <row r="592" spans="1:10" ht="28.5" x14ac:dyDescent="0.25">
      <c r="A592" s="185" t="s">
        <v>119</v>
      </c>
      <c r="B592" s="185" t="s">
        <v>894</v>
      </c>
      <c r="C592" s="185" t="s">
        <v>59</v>
      </c>
      <c r="D592" s="185" t="s">
        <v>126</v>
      </c>
      <c r="E592" s="185" t="s">
        <v>754</v>
      </c>
      <c r="F592" s="185"/>
      <c r="G592" s="185" t="s">
        <v>60</v>
      </c>
      <c r="H592" s="186">
        <v>0.1394</v>
      </c>
      <c r="I592" s="241">
        <v>32.15</v>
      </c>
      <c r="J592" s="241">
        <v>4.4800000000000004</v>
      </c>
    </row>
    <row r="593" spans="1:10" ht="85.5" x14ac:dyDescent="0.25">
      <c r="A593" s="185" t="s">
        <v>119</v>
      </c>
      <c r="B593" s="185" t="s">
        <v>1108</v>
      </c>
      <c r="C593" s="185" t="s">
        <v>59</v>
      </c>
      <c r="D593" s="185" t="s">
        <v>1109</v>
      </c>
      <c r="E593" s="185" t="s">
        <v>1073</v>
      </c>
      <c r="F593" s="185"/>
      <c r="G593" s="185" t="s">
        <v>191</v>
      </c>
      <c r="H593" s="186">
        <v>3.7000000000000002E-3</v>
      </c>
      <c r="I593" s="241">
        <v>552.12</v>
      </c>
      <c r="J593" s="241">
        <v>2.04</v>
      </c>
    </row>
    <row r="594" spans="1:10" ht="28.5" x14ac:dyDescent="0.25">
      <c r="A594" s="185" t="s">
        <v>119</v>
      </c>
      <c r="B594" s="185" t="s">
        <v>769</v>
      </c>
      <c r="C594" s="185" t="s">
        <v>59</v>
      </c>
      <c r="D594" s="185" t="s">
        <v>115</v>
      </c>
      <c r="E594" s="185" t="s">
        <v>754</v>
      </c>
      <c r="F594" s="185"/>
      <c r="G594" s="185" t="s">
        <v>60</v>
      </c>
      <c r="H594" s="186">
        <v>4.65E-2</v>
      </c>
      <c r="I594" s="241">
        <v>22.42</v>
      </c>
      <c r="J594" s="241">
        <v>1.04</v>
      </c>
    </row>
    <row r="595" spans="1:10" x14ac:dyDescent="0.25">
      <c r="A595" s="187"/>
      <c r="B595" s="187"/>
      <c r="C595" s="187"/>
      <c r="D595" s="187"/>
      <c r="E595" s="187" t="s">
        <v>756</v>
      </c>
      <c r="F595" s="188">
        <v>4.34</v>
      </c>
      <c r="G595" s="187" t="s">
        <v>757</v>
      </c>
      <c r="H595" s="188">
        <v>0</v>
      </c>
      <c r="I595" s="242" t="s">
        <v>758</v>
      </c>
      <c r="J595" s="242">
        <v>4.34</v>
      </c>
    </row>
    <row r="596" spans="1:10" x14ac:dyDescent="0.25">
      <c r="A596" s="187"/>
      <c r="B596" s="187"/>
      <c r="C596" s="187"/>
      <c r="D596" s="187"/>
      <c r="E596" s="187" t="s">
        <v>759</v>
      </c>
      <c r="F596" s="188">
        <v>0</v>
      </c>
      <c r="G596" s="187"/>
      <c r="H596" s="187" t="s">
        <v>760</v>
      </c>
      <c r="I596" s="242"/>
      <c r="J596" s="242">
        <v>7.56</v>
      </c>
    </row>
    <row r="597" spans="1:10" x14ac:dyDescent="0.25">
      <c r="A597" s="182"/>
      <c r="B597" s="182"/>
      <c r="C597" s="182"/>
      <c r="D597" s="182"/>
      <c r="E597" s="182"/>
      <c r="F597" s="182"/>
      <c r="G597" s="182" t="s">
        <v>761</v>
      </c>
      <c r="H597" s="189" t="s">
        <v>1118</v>
      </c>
      <c r="I597" s="239" t="s">
        <v>763</v>
      </c>
      <c r="J597" s="239">
        <v>2281.98</v>
      </c>
    </row>
    <row r="598" spans="1:10" x14ac:dyDescent="0.25">
      <c r="A598" s="183"/>
      <c r="B598" s="183"/>
      <c r="C598" s="183"/>
      <c r="D598" s="183"/>
      <c r="E598" s="183"/>
      <c r="F598" s="183"/>
      <c r="G598" s="183"/>
      <c r="H598" s="183"/>
      <c r="I598" s="240"/>
      <c r="J598" s="240"/>
    </row>
    <row r="599" spans="1:10" x14ac:dyDescent="0.25">
      <c r="A599" s="182" t="s">
        <v>1119</v>
      </c>
      <c r="B599" s="182" t="s">
        <v>66</v>
      </c>
      <c r="C599" s="182" t="s">
        <v>64</v>
      </c>
      <c r="D599" s="182" t="s">
        <v>67</v>
      </c>
      <c r="E599" s="182" t="s">
        <v>65</v>
      </c>
      <c r="F599" s="182"/>
      <c r="G599" s="182" t="s">
        <v>744</v>
      </c>
      <c r="H599" s="182" t="s">
        <v>69</v>
      </c>
      <c r="I599" s="239" t="s">
        <v>745</v>
      </c>
      <c r="J599" s="239" t="s">
        <v>0</v>
      </c>
    </row>
    <row r="600" spans="1:10" ht="114" x14ac:dyDescent="0.25">
      <c r="A600" s="183" t="s">
        <v>58</v>
      </c>
      <c r="B600" s="183" t="s">
        <v>1120</v>
      </c>
      <c r="C600" s="183" t="s">
        <v>59</v>
      </c>
      <c r="D600" s="183" t="s">
        <v>1121</v>
      </c>
      <c r="E600" s="183" t="s">
        <v>1122</v>
      </c>
      <c r="F600" s="183"/>
      <c r="G600" s="183" t="s">
        <v>217</v>
      </c>
      <c r="H600" s="184">
        <v>1</v>
      </c>
      <c r="I600" s="240">
        <v>43.92</v>
      </c>
      <c r="J600" s="240">
        <v>43.92</v>
      </c>
    </row>
    <row r="601" spans="1:10" ht="28.5" x14ac:dyDescent="0.25">
      <c r="A601" s="185" t="s">
        <v>119</v>
      </c>
      <c r="B601" s="185" t="s">
        <v>769</v>
      </c>
      <c r="C601" s="185" t="s">
        <v>59</v>
      </c>
      <c r="D601" s="185" t="s">
        <v>115</v>
      </c>
      <c r="E601" s="185" t="s">
        <v>754</v>
      </c>
      <c r="F601" s="185"/>
      <c r="G601" s="185" t="s">
        <v>60</v>
      </c>
      <c r="H601" s="186">
        <v>0.2757</v>
      </c>
      <c r="I601" s="241">
        <v>22.42</v>
      </c>
      <c r="J601" s="241">
        <v>6.18</v>
      </c>
    </row>
    <row r="602" spans="1:10" ht="28.5" x14ac:dyDescent="0.25">
      <c r="A602" s="185" t="s">
        <v>119</v>
      </c>
      <c r="B602" s="185" t="s">
        <v>894</v>
      </c>
      <c r="C602" s="185" t="s">
        <v>59</v>
      </c>
      <c r="D602" s="185" t="s">
        <v>126</v>
      </c>
      <c r="E602" s="185" t="s">
        <v>754</v>
      </c>
      <c r="F602" s="185"/>
      <c r="G602" s="185" t="s">
        <v>60</v>
      </c>
      <c r="H602" s="186">
        <v>0.5514</v>
      </c>
      <c r="I602" s="241">
        <v>32.15</v>
      </c>
      <c r="J602" s="241">
        <v>17.72</v>
      </c>
    </row>
    <row r="603" spans="1:10" ht="114" x14ac:dyDescent="0.25">
      <c r="A603" s="185" t="s">
        <v>119</v>
      </c>
      <c r="B603" s="185" t="s">
        <v>1071</v>
      </c>
      <c r="C603" s="185" t="s">
        <v>59</v>
      </c>
      <c r="D603" s="185" t="s">
        <v>1072</v>
      </c>
      <c r="E603" s="185" t="s">
        <v>1073</v>
      </c>
      <c r="F603" s="185"/>
      <c r="G603" s="185" t="s">
        <v>191</v>
      </c>
      <c r="H603" s="186">
        <v>3.04E-2</v>
      </c>
      <c r="I603" s="241">
        <v>658.67</v>
      </c>
      <c r="J603" s="241">
        <v>20.02</v>
      </c>
    </row>
    <row r="604" spans="1:10" x14ac:dyDescent="0.25">
      <c r="A604" s="187"/>
      <c r="B604" s="187"/>
      <c r="C604" s="187"/>
      <c r="D604" s="187"/>
      <c r="E604" s="187" t="s">
        <v>756</v>
      </c>
      <c r="F604" s="188">
        <v>19.66</v>
      </c>
      <c r="G604" s="187" t="s">
        <v>757</v>
      </c>
      <c r="H604" s="188">
        <v>0</v>
      </c>
      <c r="I604" s="242" t="s">
        <v>758</v>
      </c>
      <c r="J604" s="242">
        <v>19.66</v>
      </c>
    </row>
    <row r="605" spans="1:10" x14ac:dyDescent="0.25">
      <c r="A605" s="187"/>
      <c r="B605" s="187"/>
      <c r="C605" s="187"/>
      <c r="D605" s="187"/>
      <c r="E605" s="187" t="s">
        <v>759</v>
      </c>
      <c r="F605" s="188">
        <v>0</v>
      </c>
      <c r="G605" s="187"/>
      <c r="H605" s="187" t="s">
        <v>760</v>
      </c>
      <c r="I605" s="242"/>
      <c r="J605" s="242">
        <v>43.92</v>
      </c>
    </row>
    <row r="606" spans="1:10" x14ac:dyDescent="0.25">
      <c r="A606" s="182"/>
      <c r="B606" s="182"/>
      <c r="C606" s="182"/>
      <c r="D606" s="182"/>
      <c r="E606" s="182"/>
      <c r="F606" s="182"/>
      <c r="G606" s="182" t="s">
        <v>761</v>
      </c>
      <c r="H606" s="189" t="s">
        <v>1123</v>
      </c>
      <c r="I606" s="239" t="s">
        <v>763</v>
      </c>
      <c r="J606" s="239">
        <v>3790.29</v>
      </c>
    </row>
    <row r="607" spans="1:10" x14ac:dyDescent="0.25">
      <c r="A607" s="183"/>
      <c r="B607" s="183"/>
      <c r="C607" s="183"/>
      <c r="D607" s="183"/>
      <c r="E607" s="183"/>
      <c r="F607" s="183"/>
      <c r="G607" s="183"/>
      <c r="H607" s="183"/>
      <c r="I607" s="240"/>
      <c r="J607" s="240"/>
    </row>
    <row r="608" spans="1:10" x14ac:dyDescent="0.25">
      <c r="A608" s="182" t="s">
        <v>1124</v>
      </c>
      <c r="B608" s="182" t="s">
        <v>66</v>
      </c>
      <c r="C608" s="182" t="s">
        <v>64</v>
      </c>
      <c r="D608" s="182" t="s">
        <v>67</v>
      </c>
      <c r="E608" s="182" t="s">
        <v>65</v>
      </c>
      <c r="F608" s="182"/>
      <c r="G608" s="182" t="s">
        <v>744</v>
      </c>
      <c r="H608" s="182" t="s">
        <v>69</v>
      </c>
      <c r="I608" s="239" t="s">
        <v>745</v>
      </c>
      <c r="J608" s="239" t="s">
        <v>0</v>
      </c>
    </row>
    <row r="609" spans="1:10" ht="114" x14ac:dyDescent="0.25">
      <c r="A609" s="183" t="s">
        <v>58</v>
      </c>
      <c r="B609" s="183" t="s">
        <v>1125</v>
      </c>
      <c r="C609" s="183" t="s">
        <v>59</v>
      </c>
      <c r="D609" s="183" t="s">
        <v>1126</v>
      </c>
      <c r="E609" s="183" t="s">
        <v>1122</v>
      </c>
      <c r="F609" s="183"/>
      <c r="G609" s="183" t="s">
        <v>217</v>
      </c>
      <c r="H609" s="184">
        <v>1</v>
      </c>
      <c r="I609" s="240">
        <v>39.1</v>
      </c>
      <c r="J609" s="240">
        <v>39.1</v>
      </c>
    </row>
    <row r="610" spans="1:10" ht="114" x14ac:dyDescent="0.25">
      <c r="A610" s="185" t="s">
        <v>119</v>
      </c>
      <c r="B610" s="185" t="s">
        <v>1071</v>
      </c>
      <c r="C610" s="185" t="s">
        <v>59</v>
      </c>
      <c r="D610" s="185" t="s">
        <v>1072</v>
      </c>
      <c r="E610" s="185" t="s">
        <v>1073</v>
      </c>
      <c r="F610" s="185"/>
      <c r="G610" s="185" t="s">
        <v>191</v>
      </c>
      <c r="H610" s="186">
        <v>3.04E-2</v>
      </c>
      <c r="I610" s="241">
        <v>658.67</v>
      </c>
      <c r="J610" s="241">
        <v>20.02</v>
      </c>
    </row>
    <row r="611" spans="1:10" ht="28.5" x14ac:dyDescent="0.25">
      <c r="A611" s="185" t="s">
        <v>119</v>
      </c>
      <c r="B611" s="185" t="s">
        <v>769</v>
      </c>
      <c r="C611" s="185" t="s">
        <v>59</v>
      </c>
      <c r="D611" s="185" t="s">
        <v>115</v>
      </c>
      <c r="E611" s="185" t="s">
        <v>754</v>
      </c>
      <c r="F611" s="185"/>
      <c r="G611" s="185" t="s">
        <v>60</v>
      </c>
      <c r="H611" s="186">
        <v>0.22009999999999999</v>
      </c>
      <c r="I611" s="241">
        <v>22.42</v>
      </c>
      <c r="J611" s="241">
        <v>4.93</v>
      </c>
    </row>
    <row r="612" spans="1:10" ht="28.5" x14ac:dyDescent="0.25">
      <c r="A612" s="185" t="s">
        <v>119</v>
      </c>
      <c r="B612" s="185" t="s">
        <v>894</v>
      </c>
      <c r="C612" s="185" t="s">
        <v>59</v>
      </c>
      <c r="D612" s="185" t="s">
        <v>126</v>
      </c>
      <c r="E612" s="185" t="s">
        <v>754</v>
      </c>
      <c r="F612" s="185"/>
      <c r="G612" s="185" t="s">
        <v>60</v>
      </c>
      <c r="H612" s="186">
        <v>0.44019999999999998</v>
      </c>
      <c r="I612" s="241">
        <v>32.15</v>
      </c>
      <c r="J612" s="241">
        <v>14.15</v>
      </c>
    </row>
    <row r="613" spans="1:10" x14ac:dyDescent="0.25">
      <c r="A613" s="187"/>
      <c r="B613" s="187"/>
      <c r="C613" s="187"/>
      <c r="D613" s="187"/>
      <c r="E613" s="187" t="s">
        <v>756</v>
      </c>
      <c r="F613" s="188">
        <v>16.09</v>
      </c>
      <c r="G613" s="187" t="s">
        <v>757</v>
      </c>
      <c r="H613" s="188">
        <v>0</v>
      </c>
      <c r="I613" s="242" t="s">
        <v>758</v>
      </c>
      <c r="J613" s="242">
        <v>16.09</v>
      </c>
    </row>
    <row r="614" spans="1:10" x14ac:dyDescent="0.25">
      <c r="A614" s="187"/>
      <c r="B614" s="187"/>
      <c r="C614" s="187"/>
      <c r="D614" s="187"/>
      <c r="E614" s="187" t="s">
        <v>759</v>
      </c>
      <c r="F614" s="188">
        <v>0</v>
      </c>
      <c r="G614" s="187"/>
      <c r="H614" s="187" t="s">
        <v>760</v>
      </c>
      <c r="I614" s="242"/>
      <c r="J614" s="242">
        <v>39.1</v>
      </c>
    </row>
    <row r="615" spans="1:10" x14ac:dyDescent="0.25">
      <c r="A615" s="182"/>
      <c r="B615" s="182"/>
      <c r="C615" s="182"/>
      <c r="D615" s="182"/>
      <c r="E615" s="182"/>
      <c r="F615" s="182"/>
      <c r="G615" s="182" t="s">
        <v>761</v>
      </c>
      <c r="H615" s="189" t="s">
        <v>1127</v>
      </c>
      <c r="I615" s="239" t="s">
        <v>763</v>
      </c>
      <c r="J615" s="239">
        <v>10189.85</v>
      </c>
    </row>
    <row r="616" spans="1:10" x14ac:dyDescent="0.25">
      <c r="A616" s="183"/>
      <c r="B616" s="183"/>
      <c r="C616" s="183"/>
      <c r="D616" s="183"/>
      <c r="E616" s="183"/>
      <c r="F616" s="183"/>
      <c r="G616" s="183"/>
      <c r="H616" s="183"/>
      <c r="I616" s="240"/>
      <c r="J616" s="240"/>
    </row>
    <row r="617" spans="1:10" x14ac:dyDescent="0.25">
      <c r="A617" s="182" t="s">
        <v>1128</v>
      </c>
      <c r="B617" s="182" t="s">
        <v>66</v>
      </c>
      <c r="C617" s="182" t="s">
        <v>64</v>
      </c>
      <c r="D617" s="182" t="s">
        <v>67</v>
      </c>
      <c r="E617" s="182" t="s">
        <v>65</v>
      </c>
      <c r="F617" s="182"/>
      <c r="G617" s="182" t="s">
        <v>744</v>
      </c>
      <c r="H617" s="182" t="s">
        <v>69</v>
      </c>
      <c r="I617" s="239" t="s">
        <v>745</v>
      </c>
      <c r="J617" s="239" t="s">
        <v>0</v>
      </c>
    </row>
    <row r="618" spans="1:10" ht="114" x14ac:dyDescent="0.25">
      <c r="A618" s="183" t="s">
        <v>58</v>
      </c>
      <c r="B618" s="183" t="s">
        <v>1129</v>
      </c>
      <c r="C618" s="183" t="s">
        <v>59</v>
      </c>
      <c r="D618" s="183" t="s">
        <v>1130</v>
      </c>
      <c r="E618" s="183" t="s">
        <v>1122</v>
      </c>
      <c r="F618" s="183"/>
      <c r="G618" s="183" t="s">
        <v>217</v>
      </c>
      <c r="H618" s="184">
        <v>1</v>
      </c>
      <c r="I618" s="240">
        <v>36.229999999999997</v>
      </c>
      <c r="J618" s="240">
        <v>36.229999999999997</v>
      </c>
    </row>
    <row r="619" spans="1:10" ht="28.5" x14ac:dyDescent="0.25">
      <c r="A619" s="185" t="s">
        <v>119</v>
      </c>
      <c r="B619" s="185" t="s">
        <v>894</v>
      </c>
      <c r="C619" s="185" t="s">
        <v>59</v>
      </c>
      <c r="D619" s="185" t="s">
        <v>126</v>
      </c>
      <c r="E619" s="185" t="s">
        <v>754</v>
      </c>
      <c r="F619" s="185"/>
      <c r="G619" s="185" t="s">
        <v>60</v>
      </c>
      <c r="H619" s="186">
        <v>0.374</v>
      </c>
      <c r="I619" s="241">
        <v>32.15</v>
      </c>
      <c r="J619" s="241">
        <v>12.02</v>
      </c>
    </row>
    <row r="620" spans="1:10" ht="114" x14ac:dyDescent="0.25">
      <c r="A620" s="185" t="s">
        <v>119</v>
      </c>
      <c r="B620" s="185" t="s">
        <v>1071</v>
      </c>
      <c r="C620" s="185" t="s">
        <v>59</v>
      </c>
      <c r="D620" s="185" t="s">
        <v>1072</v>
      </c>
      <c r="E620" s="185" t="s">
        <v>1073</v>
      </c>
      <c r="F620" s="185"/>
      <c r="G620" s="185" t="s">
        <v>191</v>
      </c>
      <c r="H620" s="186">
        <v>3.04E-2</v>
      </c>
      <c r="I620" s="241">
        <v>658.67</v>
      </c>
      <c r="J620" s="241">
        <v>20.02</v>
      </c>
    </row>
    <row r="621" spans="1:10" ht="28.5" x14ac:dyDescent="0.25">
      <c r="A621" s="185" t="s">
        <v>119</v>
      </c>
      <c r="B621" s="185" t="s">
        <v>769</v>
      </c>
      <c r="C621" s="185" t="s">
        <v>59</v>
      </c>
      <c r="D621" s="185" t="s">
        <v>115</v>
      </c>
      <c r="E621" s="185" t="s">
        <v>754</v>
      </c>
      <c r="F621" s="185"/>
      <c r="G621" s="185" t="s">
        <v>60</v>
      </c>
      <c r="H621" s="186">
        <v>0.187</v>
      </c>
      <c r="I621" s="241">
        <v>22.42</v>
      </c>
      <c r="J621" s="241">
        <v>4.1900000000000004</v>
      </c>
    </row>
    <row r="622" spans="1:10" x14ac:dyDescent="0.25">
      <c r="A622" s="187"/>
      <c r="B622" s="187"/>
      <c r="C622" s="187"/>
      <c r="D622" s="187"/>
      <c r="E622" s="187" t="s">
        <v>756</v>
      </c>
      <c r="F622" s="188">
        <v>13.96</v>
      </c>
      <c r="G622" s="187" t="s">
        <v>757</v>
      </c>
      <c r="H622" s="188">
        <v>0</v>
      </c>
      <c r="I622" s="242" t="s">
        <v>758</v>
      </c>
      <c r="J622" s="242">
        <v>13.96</v>
      </c>
    </row>
    <row r="623" spans="1:10" x14ac:dyDescent="0.25">
      <c r="A623" s="187"/>
      <c r="B623" s="187"/>
      <c r="C623" s="187"/>
      <c r="D623" s="187"/>
      <c r="E623" s="187" t="s">
        <v>759</v>
      </c>
      <c r="F623" s="188">
        <v>0</v>
      </c>
      <c r="G623" s="187"/>
      <c r="H623" s="187" t="s">
        <v>760</v>
      </c>
      <c r="I623" s="242"/>
      <c r="J623" s="242">
        <v>36.229999999999997</v>
      </c>
    </row>
    <row r="624" spans="1:10" x14ac:dyDescent="0.25">
      <c r="A624" s="182"/>
      <c r="B624" s="182"/>
      <c r="C624" s="182"/>
      <c r="D624" s="182"/>
      <c r="E624" s="182"/>
      <c r="F624" s="182"/>
      <c r="G624" s="182" t="s">
        <v>761</v>
      </c>
      <c r="H624" s="189" t="s">
        <v>1131</v>
      </c>
      <c r="I624" s="239" t="s">
        <v>763</v>
      </c>
      <c r="J624" s="239">
        <v>25836.33</v>
      </c>
    </row>
    <row r="625" spans="1:10" x14ac:dyDescent="0.25">
      <c r="A625" s="183"/>
      <c r="B625" s="183"/>
      <c r="C625" s="183"/>
      <c r="D625" s="183"/>
      <c r="E625" s="183"/>
      <c r="F625" s="183"/>
      <c r="G625" s="183"/>
      <c r="H625" s="183"/>
      <c r="I625" s="240"/>
      <c r="J625" s="240"/>
    </row>
    <row r="626" spans="1:10" x14ac:dyDescent="0.25">
      <c r="A626" s="182" t="s">
        <v>1132</v>
      </c>
      <c r="B626" s="182" t="s">
        <v>66</v>
      </c>
      <c r="C626" s="182" t="s">
        <v>64</v>
      </c>
      <c r="D626" s="182" t="s">
        <v>67</v>
      </c>
      <c r="E626" s="182" t="s">
        <v>65</v>
      </c>
      <c r="F626" s="182"/>
      <c r="G626" s="182" t="s">
        <v>744</v>
      </c>
      <c r="H626" s="182" t="s">
        <v>69</v>
      </c>
      <c r="I626" s="239" t="s">
        <v>745</v>
      </c>
      <c r="J626" s="239" t="s">
        <v>0</v>
      </c>
    </row>
    <row r="627" spans="1:10" ht="128.25" x14ac:dyDescent="0.25">
      <c r="A627" s="183" t="s">
        <v>58</v>
      </c>
      <c r="B627" s="183" t="s">
        <v>1133</v>
      </c>
      <c r="C627" s="183" t="s">
        <v>59</v>
      </c>
      <c r="D627" s="183" t="s">
        <v>1134</v>
      </c>
      <c r="E627" s="183" t="s">
        <v>1135</v>
      </c>
      <c r="F627" s="183"/>
      <c r="G627" s="183" t="s">
        <v>217</v>
      </c>
      <c r="H627" s="184">
        <v>1</v>
      </c>
      <c r="I627" s="240">
        <v>57.23</v>
      </c>
      <c r="J627" s="240">
        <v>57.23</v>
      </c>
    </row>
    <row r="628" spans="1:10" ht="28.5" x14ac:dyDescent="0.25">
      <c r="A628" s="185" t="s">
        <v>119</v>
      </c>
      <c r="B628" s="185" t="s">
        <v>769</v>
      </c>
      <c r="C628" s="185" t="s">
        <v>59</v>
      </c>
      <c r="D628" s="185" t="s">
        <v>115</v>
      </c>
      <c r="E628" s="185" t="s">
        <v>754</v>
      </c>
      <c r="F628" s="185"/>
      <c r="G628" s="185" t="s">
        <v>60</v>
      </c>
      <c r="H628" s="186">
        <v>0.53200000000000003</v>
      </c>
      <c r="I628" s="241">
        <v>22.42</v>
      </c>
      <c r="J628" s="241">
        <v>11.92</v>
      </c>
    </row>
    <row r="629" spans="1:10" ht="114" x14ac:dyDescent="0.25">
      <c r="A629" s="185" t="s">
        <v>119</v>
      </c>
      <c r="B629" s="185" t="s">
        <v>1071</v>
      </c>
      <c r="C629" s="185" t="s">
        <v>59</v>
      </c>
      <c r="D629" s="185" t="s">
        <v>1072</v>
      </c>
      <c r="E629" s="185" t="s">
        <v>1073</v>
      </c>
      <c r="F629" s="185"/>
      <c r="G629" s="185" t="s">
        <v>191</v>
      </c>
      <c r="H629" s="186">
        <v>3.9300000000000002E-2</v>
      </c>
      <c r="I629" s="241">
        <v>658.67</v>
      </c>
      <c r="J629" s="241">
        <v>25.88</v>
      </c>
    </row>
    <row r="630" spans="1:10" ht="28.5" x14ac:dyDescent="0.25">
      <c r="A630" s="185" t="s">
        <v>119</v>
      </c>
      <c r="B630" s="185" t="s">
        <v>894</v>
      </c>
      <c r="C630" s="185" t="s">
        <v>59</v>
      </c>
      <c r="D630" s="185" t="s">
        <v>126</v>
      </c>
      <c r="E630" s="185" t="s">
        <v>754</v>
      </c>
      <c r="F630" s="185"/>
      <c r="G630" s="185" t="s">
        <v>60</v>
      </c>
      <c r="H630" s="186">
        <v>0.53200000000000003</v>
      </c>
      <c r="I630" s="241">
        <v>32.15</v>
      </c>
      <c r="J630" s="241">
        <v>17.100000000000001</v>
      </c>
    </row>
    <row r="631" spans="1:10" ht="57" x14ac:dyDescent="0.25">
      <c r="A631" s="191" t="s">
        <v>62</v>
      </c>
      <c r="B631" s="191" t="s">
        <v>1136</v>
      </c>
      <c r="C631" s="191" t="s">
        <v>59</v>
      </c>
      <c r="D631" s="191" t="s">
        <v>1137</v>
      </c>
      <c r="E631" s="191" t="s">
        <v>120</v>
      </c>
      <c r="F631" s="191"/>
      <c r="G631" s="191" t="s">
        <v>217</v>
      </c>
      <c r="H631" s="192">
        <v>0.15809999999999999</v>
      </c>
      <c r="I631" s="244">
        <v>14.76</v>
      </c>
      <c r="J631" s="244">
        <v>2.33</v>
      </c>
    </row>
    <row r="632" spans="1:10" x14ac:dyDescent="0.25">
      <c r="A632" s="187"/>
      <c r="B632" s="187"/>
      <c r="C632" s="187"/>
      <c r="D632" s="187"/>
      <c r="E632" s="187" t="s">
        <v>756</v>
      </c>
      <c r="F632" s="188">
        <v>23.6</v>
      </c>
      <c r="G632" s="187" t="s">
        <v>757</v>
      </c>
      <c r="H632" s="188">
        <v>0</v>
      </c>
      <c r="I632" s="242" t="s">
        <v>758</v>
      </c>
      <c r="J632" s="242">
        <v>23.6</v>
      </c>
    </row>
    <row r="633" spans="1:10" x14ac:dyDescent="0.25">
      <c r="A633" s="187"/>
      <c r="B633" s="187"/>
      <c r="C633" s="187"/>
      <c r="D633" s="187"/>
      <c r="E633" s="187" t="s">
        <v>759</v>
      </c>
      <c r="F633" s="188">
        <v>0</v>
      </c>
      <c r="G633" s="187"/>
      <c r="H633" s="187" t="s">
        <v>760</v>
      </c>
      <c r="I633" s="242"/>
      <c r="J633" s="242">
        <v>57.23</v>
      </c>
    </row>
    <row r="634" spans="1:10" x14ac:dyDescent="0.25">
      <c r="A634" s="182"/>
      <c r="B634" s="182"/>
      <c r="C634" s="182"/>
      <c r="D634" s="182"/>
      <c r="E634" s="182"/>
      <c r="F634" s="182"/>
      <c r="G634" s="182" t="s">
        <v>761</v>
      </c>
      <c r="H634" s="189" t="s">
        <v>1114</v>
      </c>
      <c r="I634" s="239" t="s">
        <v>763</v>
      </c>
      <c r="J634" s="239">
        <v>4200.1000000000004</v>
      </c>
    </row>
    <row r="635" spans="1:10" x14ac:dyDescent="0.25">
      <c r="A635" s="183"/>
      <c r="B635" s="183"/>
      <c r="C635" s="183"/>
      <c r="D635" s="183"/>
      <c r="E635" s="183"/>
      <c r="F635" s="183"/>
      <c r="G635" s="183"/>
      <c r="H635" s="183"/>
      <c r="I635" s="240"/>
      <c r="J635" s="240"/>
    </row>
    <row r="636" spans="1:10" x14ac:dyDescent="0.25">
      <c r="A636" s="182" t="s">
        <v>1138</v>
      </c>
      <c r="B636" s="182" t="s">
        <v>66</v>
      </c>
      <c r="C636" s="182" t="s">
        <v>64</v>
      </c>
      <c r="D636" s="182" t="s">
        <v>67</v>
      </c>
      <c r="E636" s="182" t="s">
        <v>65</v>
      </c>
      <c r="F636" s="182"/>
      <c r="G636" s="182" t="s">
        <v>744</v>
      </c>
      <c r="H636" s="182" t="s">
        <v>69</v>
      </c>
      <c r="I636" s="239" t="s">
        <v>745</v>
      </c>
      <c r="J636" s="239" t="s">
        <v>0</v>
      </c>
    </row>
    <row r="637" spans="1:10" ht="128.25" x14ac:dyDescent="0.25">
      <c r="A637" s="183" t="s">
        <v>58</v>
      </c>
      <c r="B637" s="183" t="s">
        <v>1139</v>
      </c>
      <c r="C637" s="183" t="s">
        <v>59</v>
      </c>
      <c r="D637" s="183" t="s">
        <v>1140</v>
      </c>
      <c r="E637" s="183" t="s">
        <v>1135</v>
      </c>
      <c r="F637" s="183"/>
      <c r="G637" s="183" t="s">
        <v>217</v>
      </c>
      <c r="H637" s="184">
        <v>1</v>
      </c>
      <c r="I637" s="240">
        <v>71.73</v>
      </c>
      <c r="J637" s="240">
        <v>71.73</v>
      </c>
    </row>
    <row r="638" spans="1:10" ht="28.5" x14ac:dyDescent="0.25">
      <c r="A638" s="185" t="s">
        <v>119</v>
      </c>
      <c r="B638" s="185" t="s">
        <v>769</v>
      </c>
      <c r="C638" s="185" t="s">
        <v>59</v>
      </c>
      <c r="D638" s="185" t="s">
        <v>115</v>
      </c>
      <c r="E638" s="185" t="s">
        <v>754</v>
      </c>
      <c r="F638" s="185"/>
      <c r="G638" s="185" t="s">
        <v>60</v>
      </c>
      <c r="H638" s="186">
        <v>0.76900000000000002</v>
      </c>
      <c r="I638" s="241">
        <v>22.42</v>
      </c>
      <c r="J638" s="241">
        <v>17.239999999999998</v>
      </c>
    </row>
    <row r="639" spans="1:10" ht="114" x14ac:dyDescent="0.25">
      <c r="A639" s="185" t="s">
        <v>119</v>
      </c>
      <c r="B639" s="185" t="s">
        <v>1071</v>
      </c>
      <c r="C639" s="185" t="s">
        <v>59</v>
      </c>
      <c r="D639" s="185" t="s">
        <v>1072</v>
      </c>
      <c r="E639" s="185" t="s">
        <v>1073</v>
      </c>
      <c r="F639" s="185"/>
      <c r="G639" s="185" t="s">
        <v>191</v>
      </c>
      <c r="H639" s="186">
        <v>4.2099999999999999E-2</v>
      </c>
      <c r="I639" s="241">
        <v>658.67</v>
      </c>
      <c r="J639" s="241">
        <v>27.73</v>
      </c>
    </row>
    <row r="640" spans="1:10" ht="28.5" x14ac:dyDescent="0.25">
      <c r="A640" s="185" t="s">
        <v>119</v>
      </c>
      <c r="B640" s="185" t="s">
        <v>894</v>
      </c>
      <c r="C640" s="185" t="s">
        <v>59</v>
      </c>
      <c r="D640" s="185" t="s">
        <v>126</v>
      </c>
      <c r="E640" s="185" t="s">
        <v>754</v>
      </c>
      <c r="F640" s="185"/>
      <c r="G640" s="185" t="s">
        <v>60</v>
      </c>
      <c r="H640" s="186">
        <v>0.76900000000000002</v>
      </c>
      <c r="I640" s="241">
        <v>32.15</v>
      </c>
      <c r="J640" s="241">
        <v>24.72</v>
      </c>
    </row>
    <row r="641" spans="1:10" ht="57" x14ac:dyDescent="0.25">
      <c r="A641" s="191" t="s">
        <v>62</v>
      </c>
      <c r="B641" s="191" t="s">
        <v>1136</v>
      </c>
      <c r="C641" s="191" t="s">
        <v>59</v>
      </c>
      <c r="D641" s="191" t="s">
        <v>1137</v>
      </c>
      <c r="E641" s="191" t="s">
        <v>120</v>
      </c>
      <c r="F641" s="191"/>
      <c r="G641" s="191" t="s">
        <v>217</v>
      </c>
      <c r="H641" s="192">
        <v>0.13880000000000001</v>
      </c>
      <c r="I641" s="244">
        <v>14.76</v>
      </c>
      <c r="J641" s="244">
        <v>2.04</v>
      </c>
    </row>
    <row r="642" spans="1:10" x14ac:dyDescent="0.25">
      <c r="A642" s="187"/>
      <c r="B642" s="187"/>
      <c r="C642" s="187"/>
      <c r="D642" s="187"/>
      <c r="E642" s="187" t="s">
        <v>756</v>
      </c>
      <c r="F642" s="188">
        <v>33.17</v>
      </c>
      <c r="G642" s="187" t="s">
        <v>757</v>
      </c>
      <c r="H642" s="188">
        <v>0</v>
      </c>
      <c r="I642" s="242" t="s">
        <v>758</v>
      </c>
      <c r="J642" s="242">
        <v>33.17</v>
      </c>
    </row>
    <row r="643" spans="1:10" x14ac:dyDescent="0.25">
      <c r="A643" s="187"/>
      <c r="B643" s="187"/>
      <c r="C643" s="187"/>
      <c r="D643" s="187"/>
      <c r="E643" s="187" t="s">
        <v>759</v>
      </c>
      <c r="F643" s="188">
        <v>0</v>
      </c>
      <c r="G643" s="187"/>
      <c r="H643" s="187" t="s">
        <v>760</v>
      </c>
      <c r="I643" s="242"/>
      <c r="J643" s="242">
        <v>71.73</v>
      </c>
    </row>
    <row r="644" spans="1:10" x14ac:dyDescent="0.25">
      <c r="A644" s="182"/>
      <c r="B644" s="182"/>
      <c r="C644" s="182"/>
      <c r="D644" s="182"/>
      <c r="E644" s="182"/>
      <c r="F644" s="182"/>
      <c r="G644" s="182" t="s">
        <v>761</v>
      </c>
      <c r="H644" s="189" t="s">
        <v>1118</v>
      </c>
      <c r="I644" s="239" t="s">
        <v>763</v>
      </c>
      <c r="J644" s="239">
        <v>21651.7</v>
      </c>
    </row>
    <row r="645" spans="1:10" x14ac:dyDescent="0.25">
      <c r="A645" s="183"/>
      <c r="B645" s="183"/>
      <c r="C645" s="183"/>
      <c r="D645" s="183"/>
      <c r="E645" s="183"/>
      <c r="F645" s="183"/>
      <c r="G645" s="183"/>
      <c r="H645" s="183"/>
      <c r="I645" s="240"/>
      <c r="J645" s="240"/>
    </row>
    <row r="646" spans="1:10" x14ac:dyDescent="0.25">
      <c r="A646" s="190" t="s">
        <v>1141</v>
      </c>
      <c r="B646" s="190"/>
      <c r="C646" s="190"/>
      <c r="D646" s="190" t="s">
        <v>220</v>
      </c>
      <c r="E646" s="190"/>
      <c r="F646" s="190"/>
      <c r="G646" s="190"/>
      <c r="H646" s="190"/>
      <c r="I646" s="243"/>
      <c r="J646" s="243">
        <v>91322.72</v>
      </c>
    </row>
    <row r="647" spans="1:10" x14ac:dyDescent="0.25">
      <c r="A647" s="182" t="s">
        <v>1142</v>
      </c>
      <c r="B647" s="182" t="s">
        <v>66</v>
      </c>
      <c r="C647" s="182" t="s">
        <v>64</v>
      </c>
      <c r="D647" s="182" t="s">
        <v>67</v>
      </c>
      <c r="E647" s="182" t="s">
        <v>65</v>
      </c>
      <c r="F647" s="182"/>
      <c r="G647" s="182" t="s">
        <v>744</v>
      </c>
      <c r="H647" s="182" t="s">
        <v>69</v>
      </c>
      <c r="I647" s="239" t="s">
        <v>745</v>
      </c>
      <c r="J647" s="239" t="s">
        <v>0</v>
      </c>
    </row>
    <row r="648" spans="1:10" ht="85.5" x14ac:dyDescent="0.25">
      <c r="A648" s="183" t="s">
        <v>58</v>
      </c>
      <c r="B648" s="183" t="s">
        <v>1143</v>
      </c>
      <c r="C648" s="183" t="s">
        <v>59</v>
      </c>
      <c r="D648" s="183" t="s">
        <v>1144</v>
      </c>
      <c r="E648" s="183" t="s">
        <v>1145</v>
      </c>
      <c r="F648" s="183"/>
      <c r="G648" s="183" t="s">
        <v>217</v>
      </c>
      <c r="H648" s="184">
        <v>1</v>
      </c>
      <c r="I648" s="240">
        <v>0.75</v>
      </c>
      <c r="J648" s="240">
        <v>0.75</v>
      </c>
    </row>
    <row r="649" spans="1:10" ht="28.5" x14ac:dyDescent="0.25">
      <c r="A649" s="185" t="s">
        <v>119</v>
      </c>
      <c r="B649" s="185" t="s">
        <v>894</v>
      </c>
      <c r="C649" s="185" t="s">
        <v>59</v>
      </c>
      <c r="D649" s="185" t="s">
        <v>126</v>
      </c>
      <c r="E649" s="185" t="s">
        <v>754</v>
      </c>
      <c r="F649" s="185"/>
      <c r="G649" s="185" t="s">
        <v>60</v>
      </c>
      <c r="H649" s="186">
        <v>8.9999999999999993E-3</v>
      </c>
      <c r="I649" s="241">
        <v>32.15</v>
      </c>
      <c r="J649" s="241">
        <v>0.28000000000000003</v>
      </c>
    </row>
    <row r="650" spans="1:10" ht="28.5" x14ac:dyDescent="0.25">
      <c r="A650" s="185" t="s">
        <v>119</v>
      </c>
      <c r="B650" s="185" t="s">
        <v>769</v>
      </c>
      <c r="C650" s="185" t="s">
        <v>59</v>
      </c>
      <c r="D650" s="185" t="s">
        <v>115</v>
      </c>
      <c r="E650" s="185" t="s">
        <v>754</v>
      </c>
      <c r="F650" s="185"/>
      <c r="G650" s="185" t="s">
        <v>60</v>
      </c>
      <c r="H650" s="186">
        <v>1.9E-2</v>
      </c>
      <c r="I650" s="241">
        <v>22.42</v>
      </c>
      <c r="J650" s="241">
        <v>0.42</v>
      </c>
    </row>
    <row r="651" spans="1:10" ht="71.25" x14ac:dyDescent="0.25">
      <c r="A651" s="185" t="s">
        <v>119</v>
      </c>
      <c r="B651" s="185" t="s">
        <v>1146</v>
      </c>
      <c r="C651" s="185" t="s">
        <v>59</v>
      </c>
      <c r="D651" s="185" t="s">
        <v>1147</v>
      </c>
      <c r="E651" s="185" t="s">
        <v>807</v>
      </c>
      <c r="F651" s="185"/>
      <c r="G651" s="185" t="s">
        <v>117</v>
      </c>
      <c r="H651" s="186">
        <v>5.0000000000000001E-3</v>
      </c>
      <c r="I651" s="241">
        <v>10.83</v>
      </c>
      <c r="J651" s="241">
        <v>0.05</v>
      </c>
    </row>
    <row r="652" spans="1:10" x14ac:dyDescent="0.25">
      <c r="A652" s="187"/>
      <c r="B652" s="187"/>
      <c r="C652" s="187"/>
      <c r="D652" s="187"/>
      <c r="E652" s="187" t="s">
        <v>756</v>
      </c>
      <c r="F652" s="188">
        <v>0.5</v>
      </c>
      <c r="G652" s="187" t="s">
        <v>757</v>
      </c>
      <c r="H652" s="188">
        <v>0</v>
      </c>
      <c r="I652" s="242" t="s">
        <v>758</v>
      </c>
      <c r="J652" s="242">
        <v>0.5</v>
      </c>
    </row>
    <row r="653" spans="1:10" x14ac:dyDescent="0.25">
      <c r="A653" s="187"/>
      <c r="B653" s="187"/>
      <c r="C653" s="187"/>
      <c r="D653" s="187"/>
      <c r="E653" s="187" t="s">
        <v>759</v>
      </c>
      <c r="F653" s="188">
        <v>0</v>
      </c>
      <c r="G653" s="187"/>
      <c r="H653" s="187" t="s">
        <v>760</v>
      </c>
      <c r="I653" s="242"/>
      <c r="J653" s="242">
        <v>0.75</v>
      </c>
    </row>
    <row r="654" spans="1:10" x14ac:dyDescent="0.25">
      <c r="A654" s="182"/>
      <c r="B654" s="182"/>
      <c r="C654" s="182"/>
      <c r="D654" s="182"/>
      <c r="E654" s="182"/>
      <c r="F654" s="182"/>
      <c r="G654" s="182" t="s">
        <v>761</v>
      </c>
      <c r="H654" s="189" t="s">
        <v>1148</v>
      </c>
      <c r="I654" s="239" t="s">
        <v>763</v>
      </c>
      <c r="J654" s="239">
        <v>332.11</v>
      </c>
    </row>
    <row r="655" spans="1:10" x14ac:dyDescent="0.25">
      <c r="A655" s="183"/>
      <c r="B655" s="183"/>
      <c r="C655" s="183"/>
      <c r="D655" s="183"/>
      <c r="E655" s="183"/>
      <c r="F655" s="183"/>
      <c r="G655" s="183"/>
      <c r="H655" s="183"/>
      <c r="I655" s="240"/>
      <c r="J655" s="240"/>
    </row>
    <row r="656" spans="1:10" x14ac:dyDescent="0.25">
      <c r="A656" s="182" t="s">
        <v>1149</v>
      </c>
      <c r="B656" s="182" t="s">
        <v>66</v>
      </c>
      <c r="C656" s="182" t="s">
        <v>64</v>
      </c>
      <c r="D656" s="182" t="s">
        <v>67</v>
      </c>
      <c r="E656" s="182" t="s">
        <v>65</v>
      </c>
      <c r="F656" s="182"/>
      <c r="G656" s="182" t="s">
        <v>744</v>
      </c>
      <c r="H656" s="182" t="s">
        <v>69</v>
      </c>
      <c r="I656" s="239" t="s">
        <v>745</v>
      </c>
      <c r="J656" s="239" t="s">
        <v>0</v>
      </c>
    </row>
    <row r="657" spans="1:10" ht="71.25" x14ac:dyDescent="0.25">
      <c r="A657" s="183" t="s">
        <v>58</v>
      </c>
      <c r="B657" s="183" t="s">
        <v>1150</v>
      </c>
      <c r="C657" s="183" t="s">
        <v>59</v>
      </c>
      <c r="D657" s="183" t="s">
        <v>1151</v>
      </c>
      <c r="E657" s="183" t="s">
        <v>1145</v>
      </c>
      <c r="F657" s="183"/>
      <c r="G657" s="183" t="s">
        <v>217</v>
      </c>
      <c r="H657" s="184">
        <v>1</v>
      </c>
      <c r="I657" s="240">
        <v>2.5499999999999998</v>
      </c>
      <c r="J657" s="240">
        <v>2.5499999999999998</v>
      </c>
    </row>
    <row r="658" spans="1:10" ht="28.5" x14ac:dyDescent="0.25">
      <c r="A658" s="185" t="s">
        <v>119</v>
      </c>
      <c r="B658" s="185" t="s">
        <v>769</v>
      </c>
      <c r="C658" s="185" t="s">
        <v>59</v>
      </c>
      <c r="D658" s="185" t="s">
        <v>115</v>
      </c>
      <c r="E658" s="185" t="s">
        <v>754</v>
      </c>
      <c r="F658" s="185"/>
      <c r="G658" s="185" t="s">
        <v>60</v>
      </c>
      <c r="H658" s="186">
        <v>5.0000000000000001E-3</v>
      </c>
      <c r="I658" s="241">
        <v>22.42</v>
      </c>
      <c r="J658" s="241">
        <v>0.11</v>
      </c>
    </row>
    <row r="659" spans="1:10" ht="28.5" x14ac:dyDescent="0.25">
      <c r="A659" s="185" t="s">
        <v>119</v>
      </c>
      <c r="B659" s="185" t="s">
        <v>894</v>
      </c>
      <c r="C659" s="185" t="s">
        <v>59</v>
      </c>
      <c r="D659" s="185" t="s">
        <v>126</v>
      </c>
      <c r="E659" s="185" t="s">
        <v>754</v>
      </c>
      <c r="F659" s="185"/>
      <c r="G659" s="185" t="s">
        <v>60</v>
      </c>
      <c r="H659" s="186">
        <v>1.4E-2</v>
      </c>
      <c r="I659" s="241">
        <v>32.15</v>
      </c>
      <c r="J659" s="241">
        <v>0.45</v>
      </c>
    </row>
    <row r="660" spans="1:10" ht="28.5" x14ac:dyDescent="0.25">
      <c r="A660" s="191" t="s">
        <v>62</v>
      </c>
      <c r="B660" s="191" t="s">
        <v>1152</v>
      </c>
      <c r="C660" s="191" t="s">
        <v>59</v>
      </c>
      <c r="D660" s="191" t="s">
        <v>1153</v>
      </c>
      <c r="E660" s="191" t="s">
        <v>120</v>
      </c>
      <c r="F660" s="191"/>
      <c r="G660" s="191" t="s">
        <v>217</v>
      </c>
      <c r="H660" s="192">
        <v>1.04</v>
      </c>
      <c r="I660" s="244">
        <v>1.92</v>
      </c>
      <c r="J660" s="244">
        <v>1.99</v>
      </c>
    </row>
    <row r="661" spans="1:10" x14ac:dyDescent="0.25">
      <c r="A661" s="187"/>
      <c r="B661" s="187"/>
      <c r="C661" s="187"/>
      <c r="D661" s="187"/>
      <c r="E661" s="187" t="s">
        <v>756</v>
      </c>
      <c r="F661" s="188">
        <v>0.41</v>
      </c>
      <c r="G661" s="187" t="s">
        <v>757</v>
      </c>
      <c r="H661" s="188">
        <v>0</v>
      </c>
      <c r="I661" s="242" t="s">
        <v>758</v>
      </c>
      <c r="J661" s="242">
        <v>0.41</v>
      </c>
    </row>
    <row r="662" spans="1:10" x14ac:dyDescent="0.25">
      <c r="A662" s="187"/>
      <c r="B662" s="187"/>
      <c r="C662" s="187"/>
      <c r="D662" s="187"/>
      <c r="E662" s="187" t="s">
        <v>759</v>
      </c>
      <c r="F662" s="188">
        <v>0</v>
      </c>
      <c r="G662" s="187"/>
      <c r="H662" s="187" t="s">
        <v>760</v>
      </c>
      <c r="I662" s="242"/>
      <c r="J662" s="242">
        <v>2.5499999999999998</v>
      </c>
    </row>
    <row r="663" spans="1:10" x14ac:dyDescent="0.25">
      <c r="A663" s="182"/>
      <c r="B663" s="182"/>
      <c r="C663" s="182"/>
      <c r="D663" s="182"/>
      <c r="E663" s="182"/>
      <c r="F663" s="182"/>
      <c r="G663" s="182" t="s">
        <v>761</v>
      </c>
      <c r="H663" s="189" t="s">
        <v>1148</v>
      </c>
      <c r="I663" s="239" t="s">
        <v>763</v>
      </c>
      <c r="J663" s="239">
        <v>1129.19</v>
      </c>
    </row>
    <row r="664" spans="1:10" x14ac:dyDescent="0.25">
      <c r="A664" s="183"/>
      <c r="B664" s="183"/>
      <c r="C664" s="183"/>
      <c r="D664" s="183"/>
      <c r="E664" s="183"/>
      <c r="F664" s="183"/>
      <c r="G664" s="183"/>
      <c r="H664" s="183"/>
      <c r="I664" s="240"/>
      <c r="J664" s="240"/>
    </row>
    <row r="665" spans="1:10" x14ac:dyDescent="0.25">
      <c r="A665" s="182" t="s">
        <v>1154</v>
      </c>
      <c r="B665" s="182" t="s">
        <v>66</v>
      </c>
      <c r="C665" s="182" t="s">
        <v>64</v>
      </c>
      <c r="D665" s="182" t="s">
        <v>67</v>
      </c>
      <c r="E665" s="182" t="s">
        <v>65</v>
      </c>
      <c r="F665" s="182"/>
      <c r="G665" s="182" t="s">
        <v>744</v>
      </c>
      <c r="H665" s="182" t="s">
        <v>69</v>
      </c>
      <c r="I665" s="239" t="s">
        <v>745</v>
      </c>
      <c r="J665" s="239" t="s">
        <v>0</v>
      </c>
    </row>
    <row r="666" spans="1:10" ht="71.25" x14ac:dyDescent="0.25">
      <c r="A666" s="183" t="s">
        <v>58</v>
      </c>
      <c r="B666" s="183" t="s">
        <v>1155</v>
      </c>
      <c r="C666" s="183" t="s">
        <v>59</v>
      </c>
      <c r="D666" s="183" t="s">
        <v>1156</v>
      </c>
      <c r="E666" s="183" t="s">
        <v>1157</v>
      </c>
      <c r="F666" s="183"/>
      <c r="G666" s="183" t="s">
        <v>217</v>
      </c>
      <c r="H666" s="184">
        <v>1</v>
      </c>
      <c r="I666" s="240">
        <v>20.92</v>
      </c>
      <c r="J666" s="240">
        <v>20.92</v>
      </c>
    </row>
    <row r="667" spans="1:10" ht="85.5" x14ac:dyDescent="0.25">
      <c r="A667" s="185" t="s">
        <v>119</v>
      </c>
      <c r="B667" s="185" t="s">
        <v>1158</v>
      </c>
      <c r="C667" s="185" t="s">
        <v>59</v>
      </c>
      <c r="D667" s="185" t="s">
        <v>1159</v>
      </c>
      <c r="E667" s="185" t="s">
        <v>821</v>
      </c>
      <c r="F667" s="185"/>
      <c r="G667" s="185" t="s">
        <v>191</v>
      </c>
      <c r="H667" s="186">
        <v>3.39E-2</v>
      </c>
      <c r="I667" s="241">
        <v>433.36</v>
      </c>
      <c r="J667" s="241">
        <v>14.69</v>
      </c>
    </row>
    <row r="668" spans="1:10" ht="28.5" x14ac:dyDescent="0.25">
      <c r="A668" s="185" t="s">
        <v>119</v>
      </c>
      <c r="B668" s="185" t="s">
        <v>894</v>
      </c>
      <c r="C668" s="185" t="s">
        <v>59</v>
      </c>
      <c r="D668" s="185" t="s">
        <v>126</v>
      </c>
      <c r="E668" s="185" t="s">
        <v>754</v>
      </c>
      <c r="F668" s="185"/>
      <c r="G668" s="185" t="s">
        <v>60</v>
      </c>
      <c r="H668" s="186">
        <v>0.16309999999999999</v>
      </c>
      <c r="I668" s="241">
        <v>32.15</v>
      </c>
      <c r="J668" s="241">
        <v>5.24</v>
      </c>
    </row>
    <row r="669" spans="1:10" ht="28.5" x14ac:dyDescent="0.25">
      <c r="A669" s="185" t="s">
        <v>119</v>
      </c>
      <c r="B669" s="185" t="s">
        <v>769</v>
      </c>
      <c r="C669" s="185" t="s">
        <v>59</v>
      </c>
      <c r="D669" s="185" t="s">
        <v>115</v>
      </c>
      <c r="E669" s="185" t="s">
        <v>754</v>
      </c>
      <c r="F669" s="185"/>
      <c r="G669" s="185" t="s">
        <v>60</v>
      </c>
      <c r="H669" s="186">
        <v>4.4400000000000002E-2</v>
      </c>
      <c r="I669" s="241">
        <v>22.42</v>
      </c>
      <c r="J669" s="241">
        <v>0.99</v>
      </c>
    </row>
    <row r="670" spans="1:10" x14ac:dyDescent="0.25">
      <c r="A670" s="187"/>
      <c r="B670" s="187"/>
      <c r="C670" s="187"/>
      <c r="D670" s="187"/>
      <c r="E670" s="187" t="s">
        <v>756</v>
      </c>
      <c r="F670" s="188">
        <v>6.38</v>
      </c>
      <c r="G670" s="187" t="s">
        <v>757</v>
      </c>
      <c r="H670" s="188">
        <v>0</v>
      </c>
      <c r="I670" s="242" t="s">
        <v>758</v>
      </c>
      <c r="J670" s="242">
        <v>6.38</v>
      </c>
    </row>
    <row r="671" spans="1:10" x14ac:dyDescent="0.25">
      <c r="A671" s="187"/>
      <c r="B671" s="187"/>
      <c r="C671" s="187"/>
      <c r="D671" s="187"/>
      <c r="E671" s="187" t="s">
        <v>759</v>
      </c>
      <c r="F671" s="188">
        <v>0</v>
      </c>
      <c r="G671" s="187"/>
      <c r="H671" s="187" t="s">
        <v>760</v>
      </c>
      <c r="I671" s="242"/>
      <c r="J671" s="242">
        <v>20.92</v>
      </c>
    </row>
    <row r="672" spans="1:10" x14ac:dyDescent="0.25">
      <c r="A672" s="182"/>
      <c r="B672" s="182"/>
      <c r="C672" s="182"/>
      <c r="D672" s="182"/>
      <c r="E672" s="182"/>
      <c r="F672" s="182"/>
      <c r="G672" s="182" t="s">
        <v>761</v>
      </c>
      <c r="H672" s="189" t="s">
        <v>1148</v>
      </c>
      <c r="I672" s="239" t="s">
        <v>763</v>
      </c>
      <c r="J672" s="239">
        <v>9263.7900000000009</v>
      </c>
    </row>
    <row r="673" spans="1:10" x14ac:dyDescent="0.25">
      <c r="A673" s="183"/>
      <c r="B673" s="183"/>
      <c r="C673" s="183"/>
      <c r="D673" s="183"/>
      <c r="E673" s="183"/>
      <c r="F673" s="183"/>
      <c r="G673" s="183"/>
      <c r="H673" s="183"/>
      <c r="I673" s="240"/>
      <c r="J673" s="240"/>
    </row>
    <row r="674" spans="1:10" x14ac:dyDescent="0.25">
      <c r="A674" s="182" t="s">
        <v>1160</v>
      </c>
      <c r="B674" s="182" t="s">
        <v>66</v>
      </c>
      <c r="C674" s="182" t="s">
        <v>64</v>
      </c>
      <c r="D674" s="182" t="s">
        <v>67</v>
      </c>
      <c r="E674" s="182" t="s">
        <v>65</v>
      </c>
      <c r="F674" s="182"/>
      <c r="G674" s="182" t="s">
        <v>744</v>
      </c>
      <c r="H674" s="182" t="s">
        <v>69</v>
      </c>
      <c r="I674" s="239" t="s">
        <v>745</v>
      </c>
      <c r="J674" s="239" t="s">
        <v>0</v>
      </c>
    </row>
    <row r="675" spans="1:10" ht="71.25" x14ac:dyDescent="0.25">
      <c r="A675" s="183" t="s">
        <v>58</v>
      </c>
      <c r="B675" s="183" t="s">
        <v>1161</v>
      </c>
      <c r="C675" s="183" t="s">
        <v>59</v>
      </c>
      <c r="D675" s="183" t="s">
        <v>1162</v>
      </c>
      <c r="E675" s="183" t="s">
        <v>514</v>
      </c>
      <c r="F675" s="183"/>
      <c r="G675" s="183" t="s">
        <v>217</v>
      </c>
      <c r="H675" s="184">
        <v>1</v>
      </c>
      <c r="I675" s="240">
        <v>58.35</v>
      </c>
      <c r="J675" s="240">
        <v>58.35</v>
      </c>
    </row>
    <row r="676" spans="1:10" ht="28.5" x14ac:dyDescent="0.25">
      <c r="A676" s="185" t="s">
        <v>119</v>
      </c>
      <c r="B676" s="185" t="s">
        <v>894</v>
      </c>
      <c r="C676" s="185" t="s">
        <v>59</v>
      </c>
      <c r="D676" s="185" t="s">
        <v>126</v>
      </c>
      <c r="E676" s="185" t="s">
        <v>754</v>
      </c>
      <c r="F676" s="185"/>
      <c r="G676" s="185" t="s">
        <v>60</v>
      </c>
      <c r="H676" s="186">
        <v>0.41799999999999998</v>
      </c>
      <c r="I676" s="241">
        <v>32.15</v>
      </c>
      <c r="J676" s="241">
        <v>13.43</v>
      </c>
    </row>
    <row r="677" spans="1:10" ht="28.5" x14ac:dyDescent="0.25">
      <c r="A677" s="185" t="s">
        <v>119</v>
      </c>
      <c r="B677" s="185" t="s">
        <v>769</v>
      </c>
      <c r="C677" s="185" t="s">
        <v>59</v>
      </c>
      <c r="D677" s="185" t="s">
        <v>115</v>
      </c>
      <c r="E677" s="185" t="s">
        <v>754</v>
      </c>
      <c r="F677" s="185"/>
      <c r="G677" s="185" t="s">
        <v>60</v>
      </c>
      <c r="H677" s="186">
        <v>0.20899999999999999</v>
      </c>
      <c r="I677" s="241">
        <v>22.42</v>
      </c>
      <c r="J677" s="241">
        <v>4.68</v>
      </c>
    </row>
    <row r="678" spans="1:10" ht="85.5" x14ac:dyDescent="0.25">
      <c r="A678" s="185" t="s">
        <v>119</v>
      </c>
      <c r="B678" s="185" t="s">
        <v>1163</v>
      </c>
      <c r="C678" s="185" t="s">
        <v>59</v>
      </c>
      <c r="D678" s="185" t="s">
        <v>1164</v>
      </c>
      <c r="E678" s="185" t="s">
        <v>1073</v>
      </c>
      <c r="F678" s="185"/>
      <c r="G678" s="185" t="s">
        <v>191</v>
      </c>
      <c r="H678" s="186">
        <v>5.2999999999999999E-2</v>
      </c>
      <c r="I678" s="241">
        <v>709.26</v>
      </c>
      <c r="J678" s="241">
        <v>37.590000000000003</v>
      </c>
    </row>
    <row r="679" spans="1:10" ht="28.5" x14ac:dyDescent="0.25">
      <c r="A679" s="191" t="s">
        <v>62</v>
      </c>
      <c r="B679" s="191" t="s">
        <v>911</v>
      </c>
      <c r="C679" s="191" t="s">
        <v>59</v>
      </c>
      <c r="D679" s="191" t="s">
        <v>912</v>
      </c>
      <c r="E679" s="191" t="s">
        <v>120</v>
      </c>
      <c r="F679" s="191"/>
      <c r="G679" s="191" t="s">
        <v>121</v>
      </c>
      <c r="H679" s="192">
        <v>0.5</v>
      </c>
      <c r="I679" s="244">
        <v>0.74</v>
      </c>
      <c r="J679" s="244">
        <v>0.37</v>
      </c>
    </row>
    <row r="680" spans="1:10" ht="42.75" x14ac:dyDescent="0.25">
      <c r="A680" s="191" t="s">
        <v>62</v>
      </c>
      <c r="B680" s="191" t="s">
        <v>1165</v>
      </c>
      <c r="C680" s="191" t="s">
        <v>59</v>
      </c>
      <c r="D680" s="191" t="s">
        <v>1166</v>
      </c>
      <c r="E680" s="191" t="s">
        <v>120</v>
      </c>
      <c r="F680" s="191"/>
      <c r="G680" s="191" t="s">
        <v>116</v>
      </c>
      <c r="H680" s="192">
        <v>1.67</v>
      </c>
      <c r="I680" s="244">
        <v>1.37</v>
      </c>
      <c r="J680" s="244">
        <v>2.2799999999999998</v>
      </c>
    </row>
    <row r="681" spans="1:10" x14ac:dyDescent="0.25">
      <c r="A681" s="187"/>
      <c r="B681" s="187"/>
      <c r="C681" s="187"/>
      <c r="D681" s="187"/>
      <c r="E681" s="187" t="s">
        <v>756</v>
      </c>
      <c r="F681" s="188">
        <v>16.760000000000002</v>
      </c>
      <c r="G681" s="187" t="s">
        <v>757</v>
      </c>
      <c r="H681" s="188">
        <v>0</v>
      </c>
      <c r="I681" s="242" t="s">
        <v>758</v>
      </c>
      <c r="J681" s="242">
        <v>16.760000000000002</v>
      </c>
    </row>
    <row r="682" spans="1:10" x14ac:dyDescent="0.25">
      <c r="A682" s="187"/>
      <c r="B682" s="187"/>
      <c r="C682" s="187"/>
      <c r="D682" s="187"/>
      <c r="E682" s="187" t="s">
        <v>759</v>
      </c>
      <c r="F682" s="188">
        <v>0</v>
      </c>
      <c r="G682" s="187"/>
      <c r="H682" s="187" t="s">
        <v>760</v>
      </c>
      <c r="I682" s="242"/>
      <c r="J682" s="242">
        <v>58.35</v>
      </c>
    </row>
    <row r="683" spans="1:10" x14ac:dyDescent="0.25">
      <c r="A683" s="182"/>
      <c r="B683" s="182"/>
      <c r="C683" s="182"/>
      <c r="D683" s="182"/>
      <c r="E683" s="182"/>
      <c r="F683" s="182"/>
      <c r="G683" s="182" t="s">
        <v>761</v>
      </c>
      <c r="H683" s="189" t="s">
        <v>1148</v>
      </c>
      <c r="I683" s="239" t="s">
        <v>763</v>
      </c>
      <c r="J683" s="239">
        <v>25838.54</v>
      </c>
    </row>
    <row r="684" spans="1:10" x14ac:dyDescent="0.25">
      <c r="A684" s="183"/>
      <c r="B684" s="183"/>
      <c r="C684" s="183"/>
      <c r="D684" s="183"/>
      <c r="E684" s="183"/>
      <c r="F684" s="183"/>
      <c r="G684" s="183"/>
      <c r="H684" s="183"/>
      <c r="I684" s="240"/>
      <c r="J684" s="240"/>
    </row>
    <row r="685" spans="1:10" x14ac:dyDescent="0.25">
      <c r="A685" s="182" t="s">
        <v>1167</v>
      </c>
      <c r="B685" s="182" t="s">
        <v>66</v>
      </c>
      <c r="C685" s="182" t="s">
        <v>64</v>
      </c>
      <c r="D685" s="182" t="s">
        <v>67</v>
      </c>
      <c r="E685" s="182" t="s">
        <v>65</v>
      </c>
      <c r="F685" s="182"/>
      <c r="G685" s="182" t="s">
        <v>744</v>
      </c>
      <c r="H685" s="182" t="s">
        <v>69</v>
      </c>
      <c r="I685" s="239" t="s">
        <v>745</v>
      </c>
      <c r="J685" s="239" t="s">
        <v>0</v>
      </c>
    </row>
    <row r="686" spans="1:10" ht="85.5" x14ac:dyDescent="0.25">
      <c r="A686" s="183" t="s">
        <v>58</v>
      </c>
      <c r="B686" s="183" t="s">
        <v>1168</v>
      </c>
      <c r="C686" s="183" t="s">
        <v>59</v>
      </c>
      <c r="D686" s="183" t="s">
        <v>1169</v>
      </c>
      <c r="E686" s="183" t="s">
        <v>1170</v>
      </c>
      <c r="F686" s="183"/>
      <c r="G686" s="183" t="s">
        <v>217</v>
      </c>
      <c r="H686" s="184">
        <v>1</v>
      </c>
      <c r="I686" s="240">
        <v>138.57</v>
      </c>
      <c r="J686" s="240">
        <v>138.57</v>
      </c>
    </row>
    <row r="687" spans="1:10" ht="28.5" x14ac:dyDescent="0.25">
      <c r="A687" s="185" t="s">
        <v>119</v>
      </c>
      <c r="B687" s="185" t="s">
        <v>769</v>
      </c>
      <c r="C687" s="185" t="s">
        <v>59</v>
      </c>
      <c r="D687" s="185" t="s">
        <v>115</v>
      </c>
      <c r="E687" s="185" t="s">
        <v>754</v>
      </c>
      <c r="F687" s="185"/>
      <c r="G687" s="185" t="s">
        <v>60</v>
      </c>
      <c r="H687" s="186">
        <v>0.249</v>
      </c>
      <c r="I687" s="241">
        <v>22.42</v>
      </c>
      <c r="J687" s="241">
        <v>5.58</v>
      </c>
    </row>
    <row r="688" spans="1:10" ht="42.75" x14ac:dyDescent="0.25">
      <c r="A688" s="185" t="s">
        <v>119</v>
      </c>
      <c r="B688" s="185" t="s">
        <v>1171</v>
      </c>
      <c r="C688" s="185" t="s">
        <v>59</v>
      </c>
      <c r="D688" s="185" t="s">
        <v>1172</v>
      </c>
      <c r="E688" s="185" t="s">
        <v>754</v>
      </c>
      <c r="F688" s="185"/>
      <c r="G688" s="185" t="s">
        <v>60</v>
      </c>
      <c r="H688" s="186">
        <v>1.1135999999999999</v>
      </c>
      <c r="I688" s="241">
        <v>32.67</v>
      </c>
      <c r="J688" s="241">
        <v>36.380000000000003</v>
      </c>
    </row>
    <row r="689" spans="1:10" ht="71.25" x14ac:dyDescent="0.25">
      <c r="A689" s="191" t="s">
        <v>62</v>
      </c>
      <c r="B689" s="191" t="s">
        <v>1173</v>
      </c>
      <c r="C689" s="191" t="s">
        <v>59</v>
      </c>
      <c r="D689" s="191" t="s">
        <v>1174</v>
      </c>
      <c r="E689" s="191" t="s">
        <v>120</v>
      </c>
      <c r="F689" s="191"/>
      <c r="G689" s="191" t="s">
        <v>217</v>
      </c>
      <c r="H689" s="192">
        <v>1.1326400000000001</v>
      </c>
      <c r="I689" s="244">
        <v>64.900000000000006</v>
      </c>
      <c r="J689" s="244">
        <v>73.5</v>
      </c>
    </row>
    <row r="690" spans="1:10" ht="28.5" x14ac:dyDescent="0.25">
      <c r="A690" s="191" t="s">
        <v>62</v>
      </c>
      <c r="B690" s="191" t="s">
        <v>1175</v>
      </c>
      <c r="C690" s="191" t="s">
        <v>59</v>
      </c>
      <c r="D690" s="191" t="s">
        <v>1176</v>
      </c>
      <c r="E690" s="191" t="s">
        <v>120</v>
      </c>
      <c r="F690" s="191"/>
      <c r="G690" s="191" t="s">
        <v>121</v>
      </c>
      <c r="H690" s="192">
        <v>0.14099999999999999</v>
      </c>
      <c r="I690" s="244">
        <v>4.6900000000000004</v>
      </c>
      <c r="J690" s="244">
        <v>0.66</v>
      </c>
    </row>
    <row r="691" spans="1:10" x14ac:dyDescent="0.25">
      <c r="A691" s="191" t="s">
        <v>62</v>
      </c>
      <c r="B691" s="191" t="s">
        <v>1177</v>
      </c>
      <c r="C691" s="191" t="s">
        <v>59</v>
      </c>
      <c r="D691" s="191" t="s">
        <v>1178</v>
      </c>
      <c r="E691" s="191" t="s">
        <v>120</v>
      </c>
      <c r="F691" s="191"/>
      <c r="G691" s="191" t="s">
        <v>121</v>
      </c>
      <c r="H691" s="192">
        <v>9.1300000000000008</v>
      </c>
      <c r="I691" s="244">
        <v>2.46</v>
      </c>
      <c r="J691" s="244">
        <v>22.45</v>
      </c>
    </row>
    <row r="692" spans="1:10" x14ac:dyDescent="0.25">
      <c r="A692" s="187"/>
      <c r="B692" s="187"/>
      <c r="C692" s="187"/>
      <c r="D692" s="187"/>
      <c r="E692" s="187" t="s">
        <v>756</v>
      </c>
      <c r="F692" s="188">
        <v>31.74</v>
      </c>
      <c r="G692" s="187" t="s">
        <v>757</v>
      </c>
      <c r="H692" s="188">
        <v>0</v>
      </c>
      <c r="I692" s="242" t="s">
        <v>758</v>
      </c>
      <c r="J692" s="242">
        <v>31.74</v>
      </c>
    </row>
    <row r="693" spans="1:10" x14ac:dyDescent="0.25">
      <c r="A693" s="187"/>
      <c r="B693" s="187"/>
      <c r="C693" s="187"/>
      <c r="D693" s="187"/>
      <c r="E693" s="187" t="s">
        <v>759</v>
      </c>
      <c r="F693" s="188">
        <v>0</v>
      </c>
      <c r="G693" s="187"/>
      <c r="H693" s="187" t="s">
        <v>760</v>
      </c>
      <c r="I693" s="242"/>
      <c r="J693" s="242">
        <v>138.57</v>
      </c>
    </row>
    <row r="694" spans="1:10" x14ac:dyDescent="0.25">
      <c r="A694" s="182"/>
      <c r="B694" s="182"/>
      <c r="C694" s="182"/>
      <c r="D694" s="182"/>
      <c r="E694" s="182"/>
      <c r="F694" s="182"/>
      <c r="G694" s="182" t="s">
        <v>761</v>
      </c>
      <c r="H694" s="189" t="s">
        <v>1179</v>
      </c>
      <c r="I694" s="239" t="s">
        <v>763</v>
      </c>
      <c r="J694" s="239">
        <v>2070.23</v>
      </c>
    </row>
    <row r="695" spans="1:10" x14ac:dyDescent="0.25">
      <c r="A695" s="183"/>
      <c r="B695" s="183"/>
      <c r="C695" s="183"/>
      <c r="D695" s="183"/>
      <c r="E695" s="183"/>
      <c r="F695" s="183"/>
      <c r="G695" s="183"/>
      <c r="H695" s="183"/>
      <c r="I695" s="240"/>
      <c r="J695" s="240"/>
    </row>
    <row r="696" spans="1:10" x14ac:dyDescent="0.25">
      <c r="A696" s="182" t="s">
        <v>1180</v>
      </c>
      <c r="B696" s="182" t="s">
        <v>66</v>
      </c>
      <c r="C696" s="182" t="s">
        <v>64</v>
      </c>
      <c r="D696" s="182" t="s">
        <v>67</v>
      </c>
      <c r="E696" s="182" t="s">
        <v>65</v>
      </c>
      <c r="F696" s="182"/>
      <c r="G696" s="182" t="s">
        <v>744</v>
      </c>
      <c r="H696" s="182" t="s">
        <v>69</v>
      </c>
      <c r="I696" s="239" t="s">
        <v>745</v>
      </c>
      <c r="J696" s="239" t="s">
        <v>0</v>
      </c>
    </row>
    <row r="697" spans="1:10" ht="85.5" x14ac:dyDescent="0.25">
      <c r="A697" s="183" t="s">
        <v>58</v>
      </c>
      <c r="B697" s="183" t="s">
        <v>1181</v>
      </c>
      <c r="C697" s="183" t="s">
        <v>59</v>
      </c>
      <c r="D697" s="183" t="s">
        <v>1182</v>
      </c>
      <c r="E697" s="183" t="s">
        <v>1170</v>
      </c>
      <c r="F697" s="183"/>
      <c r="G697" s="183" t="s">
        <v>217</v>
      </c>
      <c r="H697" s="184">
        <v>1</v>
      </c>
      <c r="I697" s="240">
        <v>124.49</v>
      </c>
      <c r="J697" s="240">
        <v>124.49</v>
      </c>
    </row>
    <row r="698" spans="1:10" ht="42.75" x14ac:dyDescent="0.25">
      <c r="A698" s="185" t="s">
        <v>119</v>
      </c>
      <c r="B698" s="185" t="s">
        <v>1171</v>
      </c>
      <c r="C698" s="185" t="s">
        <v>59</v>
      </c>
      <c r="D698" s="185" t="s">
        <v>1172</v>
      </c>
      <c r="E698" s="185" t="s">
        <v>754</v>
      </c>
      <c r="F698" s="185"/>
      <c r="G698" s="185" t="s">
        <v>60</v>
      </c>
      <c r="H698" s="186">
        <v>0.80379999999999996</v>
      </c>
      <c r="I698" s="241">
        <v>32.67</v>
      </c>
      <c r="J698" s="241">
        <v>26.26</v>
      </c>
    </row>
    <row r="699" spans="1:10" ht="28.5" x14ac:dyDescent="0.25">
      <c r="A699" s="185" t="s">
        <v>119</v>
      </c>
      <c r="B699" s="185" t="s">
        <v>769</v>
      </c>
      <c r="C699" s="185" t="s">
        <v>59</v>
      </c>
      <c r="D699" s="185" t="s">
        <v>115</v>
      </c>
      <c r="E699" s="185" t="s">
        <v>754</v>
      </c>
      <c r="F699" s="185"/>
      <c r="G699" s="185" t="s">
        <v>60</v>
      </c>
      <c r="H699" s="186">
        <v>0.2064</v>
      </c>
      <c r="I699" s="241">
        <v>22.42</v>
      </c>
      <c r="J699" s="241">
        <v>4.62</v>
      </c>
    </row>
    <row r="700" spans="1:10" ht="28.5" x14ac:dyDescent="0.25">
      <c r="A700" s="191" t="s">
        <v>62</v>
      </c>
      <c r="B700" s="191" t="s">
        <v>1175</v>
      </c>
      <c r="C700" s="191" t="s">
        <v>59</v>
      </c>
      <c r="D700" s="191" t="s">
        <v>1176</v>
      </c>
      <c r="E700" s="191" t="s">
        <v>120</v>
      </c>
      <c r="F700" s="191"/>
      <c r="G700" s="191" t="s">
        <v>121</v>
      </c>
      <c r="H700" s="192">
        <v>0.14099999999999999</v>
      </c>
      <c r="I700" s="244">
        <v>4.6900000000000004</v>
      </c>
      <c r="J700" s="244">
        <v>0.66</v>
      </c>
    </row>
    <row r="701" spans="1:10" ht="71.25" x14ac:dyDescent="0.25">
      <c r="A701" s="191" t="s">
        <v>62</v>
      </c>
      <c r="B701" s="191" t="s">
        <v>1173</v>
      </c>
      <c r="C701" s="191" t="s">
        <v>59</v>
      </c>
      <c r="D701" s="191" t="s">
        <v>1174</v>
      </c>
      <c r="E701" s="191" t="s">
        <v>120</v>
      </c>
      <c r="F701" s="191"/>
      <c r="G701" s="191" t="s">
        <v>217</v>
      </c>
      <c r="H701" s="192">
        <v>1.0864</v>
      </c>
      <c r="I701" s="244">
        <v>64.900000000000006</v>
      </c>
      <c r="J701" s="244">
        <v>70.5</v>
      </c>
    </row>
    <row r="702" spans="1:10" x14ac:dyDescent="0.25">
      <c r="A702" s="191" t="s">
        <v>62</v>
      </c>
      <c r="B702" s="191" t="s">
        <v>1177</v>
      </c>
      <c r="C702" s="191" t="s">
        <v>59</v>
      </c>
      <c r="D702" s="191" t="s">
        <v>1178</v>
      </c>
      <c r="E702" s="191" t="s">
        <v>120</v>
      </c>
      <c r="F702" s="191"/>
      <c r="G702" s="191" t="s">
        <v>121</v>
      </c>
      <c r="H702" s="192">
        <v>9.1300000000000008</v>
      </c>
      <c r="I702" s="244">
        <v>2.46</v>
      </c>
      <c r="J702" s="244">
        <v>22.45</v>
      </c>
    </row>
    <row r="703" spans="1:10" x14ac:dyDescent="0.25">
      <c r="A703" s="187"/>
      <c r="B703" s="187"/>
      <c r="C703" s="187"/>
      <c r="D703" s="187"/>
      <c r="E703" s="187" t="s">
        <v>756</v>
      </c>
      <c r="F703" s="188">
        <v>23.31</v>
      </c>
      <c r="G703" s="187" t="s">
        <v>757</v>
      </c>
      <c r="H703" s="188">
        <v>0</v>
      </c>
      <c r="I703" s="242" t="s">
        <v>758</v>
      </c>
      <c r="J703" s="242">
        <v>23.31</v>
      </c>
    </row>
    <row r="704" spans="1:10" x14ac:dyDescent="0.25">
      <c r="A704" s="187"/>
      <c r="B704" s="187"/>
      <c r="C704" s="187"/>
      <c r="D704" s="187"/>
      <c r="E704" s="187" t="s">
        <v>759</v>
      </c>
      <c r="F704" s="188">
        <v>0</v>
      </c>
      <c r="G704" s="187"/>
      <c r="H704" s="187" t="s">
        <v>760</v>
      </c>
      <c r="I704" s="242"/>
      <c r="J704" s="242">
        <v>124.49</v>
      </c>
    </row>
    <row r="705" spans="1:10" x14ac:dyDescent="0.25">
      <c r="A705" s="182"/>
      <c r="B705" s="182"/>
      <c r="C705" s="182"/>
      <c r="D705" s="182"/>
      <c r="E705" s="182"/>
      <c r="F705" s="182"/>
      <c r="G705" s="182" t="s">
        <v>761</v>
      </c>
      <c r="H705" s="189" t="s">
        <v>1183</v>
      </c>
      <c r="I705" s="239" t="s">
        <v>763</v>
      </c>
      <c r="J705" s="239">
        <v>995.92</v>
      </c>
    </row>
    <row r="706" spans="1:10" x14ac:dyDescent="0.25">
      <c r="A706" s="183"/>
      <c r="B706" s="183"/>
      <c r="C706" s="183"/>
      <c r="D706" s="183"/>
      <c r="E706" s="183"/>
      <c r="F706" s="183"/>
      <c r="G706" s="183"/>
      <c r="H706" s="183"/>
      <c r="I706" s="240"/>
      <c r="J706" s="240"/>
    </row>
    <row r="707" spans="1:10" x14ac:dyDescent="0.25">
      <c r="A707" s="182" t="s">
        <v>1184</v>
      </c>
      <c r="B707" s="182" t="s">
        <v>66</v>
      </c>
      <c r="C707" s="182" t="s">
        <v>64</v>
      </c>
      <c r="D707" s="182" t="s">
        <v>67</v>
      </c>
      <c r="E707" s="182" t="s">
        <v>65</v>
      </c>
      <c r="F707" s="182"/>
      <c r="G707" s="182" t="s">
        <v>744</v>
      </c>
      <c r="H707" s="182" t="s">
        <v>69</v>
      </c>
      <c r="I707" s="239" t="s">
        <v>745</v>
      </c>
      <c r="J707" s="239" t="s">
        <v>0</v>
      </c>
    </row>
    <row r="708" spans="1:10" ht="85.5" x14ac:dyDescent="0.25">
      <c r="A708" s="183" t="s">
        <v>58</v>
      </c>
      <c r="B708" s="183" t="s">
        <v>1185</v>
      </c>
      <c r="C708" s="183" t="s">
        <v>59</v>
      </c>
      <c r="D708" s="183" t="s">
        <v>1186</v>
      </c>
      <c r="E708" s="183" t="s">
        <v>1170</v>
      </c>
      <c r="F708" s="183"/>
      <c r="G708" s="183" t="s">
        <v>217</v>
      </c>
      <c r="H708" s="184">
        <v>1</v>
      </c>
      <c r="I708" s="240">
        <v>113.22</v>
      </c>
      <c r="J708" s="240">
        <v>113.22</v>
      </c>
    </row>
    <row r="709" spans="1:10" ht="28.5" x14ac:dyDescent="0.25">
      <c r="A709" s="185" t="s">
        <v>119</v>
      </c>
      <c r="B709" s="185" t="s">
        <v>769</v>
      </c>
      <c r="C709" s="185" t="s">
        <v>59</v>
      </c>
      <c r="D709" s="185" t="s">
        <v>115</v>
      </c>
      <c r="E709" s="185" t="s">
        <v>754</v>
      </c>
      <c r="F709" s="185"/>
      <c r="G709" s="185" t="s">
        <v>60</v>
      </c>
      <c r="H709" s="186">
        <v>0.16739999999999999</v>
      </c>
      <c r="I709" s="241">
        <v>22.42</v>
      </c>
      <c r="J709" s="241">
        <v>3.75</v>
      </c>
    </row>
    <row r="710" spans="1:10" ht="42.75" x14ac:dyDescent="0.25">
      <c r="A710" s="185" t="s">
        <v>119</v>
      </c>
      <c r="B710" s="185" t="s">
        <v>1171</v>
      </c>
      <c r="C710" s="185" t="s">
        <v>59</v>
      </c>
      <c r="D710" s="185" t="s">
        <v>1172</v>
      </c>
      <c r="E710" s="185" t="s">
        <v>754</v>
      </c>
      <c r="F710" s="185"/>
      <c r="G710" s="185" t="s">
        <v>60</v>
      </c>
      <c r="H710" s="186">
        <v>0.52029999999999998</v>
      </c>
      <c r="I710" s="241">
        <v>32.67</v>
      </c>
      <c r="J710" s="241">
        <v>16.989999999999998</v>
      </c>
    </row>
    <row r="711" spans="1:10" ht="71.25" x14ac:dyDescent="0.25">
      <c r="A711" s="191" t="s">
        <v>62</v>
      </c>
      <c r="B711" s="191" t="s">
        <v>1173</v>
      </c>
      <c r="C711" s="191" t="s">
        <v>59</v>
      </c>
      <c r="D711" s="191" t="s">
        <v>1174</v>
      </c>
      <c r="E711" s="191" t="s">
        <v>120</v>
      </c>
      <c r="F711" s="191"/>
      <c r="G711" s="191" t="s">
        <v>217</v>
      </c>
      <c r="H711" s="192">
        <v>1.069</v>
      </c>
      <c r="I711" s="244">
        <v>64.900000000000006</v>
      </c>
      <c r="J711" s="244">
        <v>69.37</v>
      </c>
    </row>
    <row r="712" spans="1:10" ht="28.5" x14ac:dyDescent="0.25">
      <c r="A712" s="191" t="s">
        <v>62</v>
      </c>
      <c r="B712" s="191" t="s">
        <v>1175</v>
      </c>
      <c r="C712" s="191" t="s">
        <v>59</v>
      </c>
      <c r="D712" s="191" t="s">
        <v>1176</v>
      </c>
      <c r="E712" s="191" t="s">
        <v>120</v>
      </c>
      <c r="F712" s="191"/>
      <c r="G712" s="191" t="s">
        <v>121</v>
      </c>
      <c r="H712" s="192">
        <v>0.14099999999999999</v>
      </c>
      <c r="I712" s="244">
        <v>4.6900000000000004</v>
      </c>
      <c r="J712" s="244">
        <v>0.66</v>
      </c>
    </row>
    <row r="713" spans="1:10" x14ac:dyDescent="0.25">
      <c r="A713" s="191" t="s">
        <v>62</v>
      </c>
      <c r="B713" s="191" t="s">
        <v>1177</v>
      </c>
      <c r="C713" s="191" t="s">
        <v>59</v>
      </c>
      <c r="D713" s="191" t="s">
        <v>1178</v>
      </c>
      <c r="E713" s="191" t="s">
        <v>120</v>
      </c>
      <c r="F713" s="191"/>
      <c r="G713" s="191" t="s">
        <v>121</v>
      </c>
      <c r="H713" s="192">
        <v>9.1300000000000008</v>
      </c>
      <c r="I713" s="244">
        <v>2.46</v>
      </c>
      <c r="J713" s="244">
        <v>22.45</v>
      </c>
    </row>
    <row r="714" spans="1:10" x14ac:dyDescent="0.25">
      <c r="A714" s="187"/>
      <c r="B714" s="187"/>
      <c r="C714" s="187"/>
      <c r="D714" s="187"/>
      <c r="E714" s="187" t="s">
        <v>756</v>
      </c>
      <c r="F714" s="188">
        <v>15.6</v>
      </c>
      <c r="G714" s="187" t="s">
        <v>757</v>
      </c>
      <c r="H714" s="188">
        <v>0</v>
      </c>
      <c r="I714" s="242" t="s">
        <v>758</v>
      </c>
      <c r="J714" s="242">
        <v>15.6</v>
      </c>
    </row>
    <row r="715" spans="1:10" x14ac:dyDescent="0.25">
      <c r="A715" s="187"/>
      <c r="B715" s="187"/>
      <c r="C715" s="187"/>
      <c r="D715" s="187"/>
      <c r="E715" s="187" t="s">
        <v>759</v>
      </c>
      <c r="F715" s="188">
        <v>0</v>
      </c>
      <c r="G715" s="187"/>
      <c r="H715" s="187" t="s">
        <v>760</v>
      </c>
      <c r="I715" s="242"/>
      <c r="J715" s="242">
        <v>113.22</v>
      </c>
    </row>
    <row r="716" spans="1:10" x14ac:dyDescent="0.25">
      <c r="A716" s="182"/>
      <c r="B716" s="182"/>
      <c r="C716" s="182"/>
      <c r="D716" s="182"/>
      <c r="E716" s="182"/>
      <c r="F716" s="182"/>
      <c r="G716" s="182" t="s">
        <v>761</v>
      </c>
      <c r="H716" s="189" t="s">
        <v>1187</v>
      </c>
      <c r="I716" s="239" t="s">
        <v>763</v>
      </c>
      <c r="J716" s="239">
        <v>47538.81</v>
      </c>
    </row>
    <row r="717" spans="1:10" x14ac:dyDescent="0.25">
      <c r="A717" s="183"/>
      <c r="B717" s="183"/>
      <c r="C717" s="183"/>
      <c r="D717" s="183"/>
      <c r="E717" s="183"/>
      <c r="F717" s="183"/>
      <c r="G717" s="183"/>
      <c r="H717" s="183"/>
      <c r="I717" s="240"/>
      <c r="J717" s="240"/>
    </row>
    <row r="718" spans="1:10" x14ac:dyDescent="0.25">
      <c r="A718" s="182" t="s">
        <v>1188</v>
      </c>
      <c r="B718" s="182" t="s">
        <v>66</v>
      </c>
      <c r="C718" s="182" t="s">
        <v>64</v>
      </c>
      <c r="D718" s="182" t="s">
        <v>67</v>
      </c>
      <c r="E718" s="182" t="s">
        <v>65</v>
      </c>
      <c r="F718" s="182"/>
      <c r="G718" s="182" t="s">
        <v>744</v>
      </c>
      <c r="H718" s="182" t="s">
        <v>69</v>
      </c>
      <c r="I718" s="239" t="s">
        <v>745</v>
      </c>
      <c r="J718" s="239" t="s">
        <v>0</v>
      </c>
    </row>
    <row r="719" spans="1:10" ht="57" x14ac:dyDescent="0.25">
      <c r="A719" s="183" t="s">
        <v>58</v>
      </c>
      <c r="B719" s="183" t="s">
        <v>1189</v>
      </c>
      <c r="C719" s="183" t="s">
        <v>59</v>
      </c>
      <c r="D719" s="183" t="s">
        <v>1190</v>
      </c>
      <c r="E719" s="183" t="s">
        <v>1170</v>
      </c>
      <c r="F719" s="183"/>
      <c r="G719" s="183" t="s">
        <v>116</v>
      </c>
      <c r="H719" s="184">
        <v>1</v>
      </c>
      <c r="I719" s="240">
        <v>11.85</v>
      </c>
      <c r="J719" s="240">
        <v>11.85</v>
      </c>
    </row>
    <row r="720" spans="1:10" ht="28.5" x14ac:dyDescent="0.25">
      <c r="A720" s="185" t="s">
        <v>119</v>
      </c>
      <c r="B720" s="185" t="s">
        <v>769</v>
      </c>
      <c r="C720" s="185" t="s">
        <v>59</v>
      </c>
      <c r="D720" s="185" t="s">
        <v>115</v>
      </c>
      <c r="E720" s="185" t="s">
        <v>754</v>
      </c>
      <c r="F720" s="185"/>
      <c r="G720" s="185" t="s">
        <v>60</v>
      </c>
      <c r="H720" s="186">
        <v>3.2599999999999997E-2</v>
      </c>
      <c r="I720" s="241">
        <v>22.42</v>
      </c>
      <c r="J720" s="241">
        <v>0.73</v>
      </c>
    </row>
    <row r="721" spans="1:10" ht="42.75" x14ac:dyDescent="0.25">
      <c r="A721" s="185" t="s">
        <v>119</v>
      </c>
      <c r="B721" s="185" t="s">
        <v>1171</v>
      </c>
      <c r="C721" s="185" t="s">
        <v>59</v>
      </c>
      <c r="D721" s="185" t="s">
        <v>1172</v>
      </c>
      <c r="E721" s="185" t="s">
        <v>754</v>
      </c>
      <c r="F721" s="185"/>
      <c r="G721" s="185" t="s">
        <v>60</v>
      </c>
      <c r="H721" s="186">
        <v>8.7099999999999997E-2</v>
      </c>
      <c r="I721" s="241">
        <v>32.67</v>
      </c>
      <c r="J721" s="241">
        <v>2.84</v>
      </c>
    </row>
    <row r="722" spans="1:10" ht="28.5" x14ac:dyDescent="0.25">
      <c r="A722" s="191" t="s">
        <v>62</v>
      </c>
      <c r="B722" s="191" t="s">
        <v>1175</v>
      </c>
      <c r="C722" s="191" t="s">
        <v>59</v>
      </c>
      <c r="D722" s="191" t="s">
        <v>1176</v>
      </c>
      <c r="E722" s="191" t="s">
        <v>120</v>
      </c>
      <c r="F722" s="191"/>
      <c r="G722" s="191" t="s">
        <v>121</v>
      </c>
      <c r="H722" s="192">
        <v>8.8999999999999996E-2</v>
      </c>
      <c r="I722" s="244">
        <v>4.6900000000000004</v>
      </c>
      <c r="J722" s="244">
        <v>0.41</v>
      </c>
    </row>
    <row r="723" spans="1:10" ht="57" x14ac:dyDescent="0.25">
      <c r="A723" s="191" t="s">
        <v>62</v>
      </c>
      <c r="B723" s="191" t="s">
        <v>1191</v>
      </c>
      <c r="C723" s="191" t="s">
        <v>59</v>
      </c>
      <c r="D723" s="191" t="s">
        <v>1192</v>
      </c>
      <c r="E723" s="191" t="s">
        <v>120</v>
      </c>
      <c r="F723" s="191"/>
      <c r="G723" s="191" t="s">
        <v>217</v>
      </c>
      <c r="H723" s="192">
        <v>0.1875</v>
      </c>
      <c r="I723" s="244">
        <v>39.299999999999997</v>
      </c>
      <c r="J723" s="244">
        <v>7.36</v>
      </c>
    </row>
    <row r="724" spans="1:10" ht="28.5" x14ac:dyDescent="0.25">
      <c r="A724" s="191" t="s">
        <v>62</v>
      </c>
      <c r="B724" s="191" t="s">
        <v>1193</v>
      </c>
      <c r="C724" s="191" t="s">
        <v>59</v>
      </c>
      <c r="D724" s="191" t="s">
        <v>1194</v>
      </c>
      <c r="E724" s="191" t="s">
        <v>120</v>
      </c>
      <c r="F724" s="191"/>
      <c r="G724" s="191" t="s">
        <v>121</v>
      </c>
      <c r="H724" s="192">
        <v>0.63919999999999999</v>
      </c>
      <c r="I724" s="244">
        <v>0.8</v>
      </c>
      <c r="J724" s="244">
        <v>0.51</v>
      </c>
    </row>
    <row r="725" spans="1:10" x14ac:dyDescent="0.25">
      <c r="A725" s="187"/>
      <c r="B725" s="187"/>
      <c r="C725" s="187"/>
      <c r="D725" s="187"/>
      <c r="E725" s="187" t="s">
        <v>756</v>
      </c>
      <c r="F725" s="188">
        <v>2.67</v>
      </c>
      <c r="G725" s="187" t="s">
        <v>757</v>
      </c>
      <c r="H725" s="188">
        <v>0</v>
      </c>
      <c r="I725" s="242" t="s">
        <v>758</v>
      </c>
      <c r="J725" s="242">
        <v>2.67</v>
      </c>
    </row>
    <row r="726" spans="1:10" x14ac:dyDescent="0.25">
      <c r="A726" s="187"/>
      <c r="B726" s="187"/>
      <c r="C726" s="187"/>
      <c r="D726" s="187"/>
      <c r="E726" s="187" t="s">
        <v>759</v>
      </c>
      <c r="F726" s="188">
        <v>0</v>
      </c>
      <c r="G726" s="187"/>
      <c r="H726" s="187" t="s">
        <v>760</v>
      </c>
      <c r="I726" s="242"/>
      <c r="J726" s="242">
        <v>11.85</v>
      </c>
    </row>
    <row r="727" spans="1:10" x14ac:dyDescent="0.25">
      <c r="A727" s="182"/>
      <c r="B727" s="182"/>
      <c r="C727" s="182"/>
      <c r="D727" s="182"/>
      <c r="E727" s="182"/>
      <c r="F727" s="182"/>
      <c r="G727" s="182" t="s">
        <v>761</v>
      </c>
      <c r="H727" s="189" t="s">
        <v>1195</v>
      </c>
      <c r="I727" s="239" t="s">
        <v>763</v>
      </c>
      <c r="J727" s="239">
        <v>4154.13</v>
      </c>
    </row>
    <row r="728" spans="1:10" x14ac:dyDescent="0.25">
      <c r="A728" s="183"/>
      <c r="B728" s="183"/>
      <c r="C728" s="183"/>
      <c r="D728" s="183"/>
      <c r="E728" s="183"/>
      <c r="F728" s="183"/>
      <c r="G728" s="183"/>
      <c r="H728" s="183"/>
      <c r="I728" s="240"/>
      <c r="J728" s="240"/>
    </row>
    <row r="729" spans="1:10" x14ac:dyDescent="0.25">
      <c r="A729" s="190" t="s">
        <v>1196</v>
      </c>
      <c r="B729" s="190"/>
      <c r="C729" s="190"/>
      <c r="D729" s="190" t="s">
        <v>275</v>
      </c>
      <c r="E729" s="190"/>
      <c r="F729" s="190"/>
      <c r="G729" s="190"/>
      <c r="H729" s="190"/>
      <c r="I729" s="243"/>
      <c r="J729" s="243">
        <v>11059.42</v>
      </c>
    </row>
    <row r="730" spans="1:10" x14ac:dyDescent="0.25">
      <c r="A730" s="182" t="s">
        <v>1197</v>
      </c>
      <c r="B730" s="182" t="s">
        <v>66</v>
      </c>
      <c r="C730" s="182" t="s">
        <v>64</v>
      </c>
      <c r="D730" s="182" t="s">
        <v>67</v>
      </c>
      <c r="E730" s="182" t="s">
        <v>65</v>
      </c>
      <c r="F730" s="182"/>
      <c r="G730" s="182" t="s">
        <v>744</v>
      </c>
      <c r="H730" s="182" t="s">
        <v>69</v>
      </c>
      <c r="I730" s="239" t="s">
        <v>745</v>
      </c>
      <c r="J730" s="239" t="s">
        <v>0</v>
      </c>
    </row>
    <row r="731" spans="1:10" ht="57" x14ac:dyDescent="0.25">
      <c r="A731" s="183" t="s">
        <v>58</v>
      </c>
      <c r="B731" s="183" t="s">
        <v>1198</v>
      </c>
      <c r="C731" s="183" t="s">
        <v>59</v>
      </c>
      <c r="D731" s="183" t="s">
        <v>1199</v>
      </c>
      <c r="E731" s="183" t="s">
        <v>1200</v>
      </c>
      <c r="F731" s="183"/>
      <c r="G731" s="183" t="s">
        <v>217</v>
      </c>
      <c r="H731" s="184">
        <v>1</v>
      </c>
      <c r="I731" s="240">
        <v>39.369999999999997</v>
      </c>
      <c r="J731" s="240">
        <v>39.369999999999997</v>
      </c>
    </row>
    <row r="732" spans="1:10" ht="28.5" x14ac:dyDescent="0.25">
      <c r="A732" s="185" t="s">
        <v>119</v>
      </c>
      <c r="B732" s="185" t="s">
        <v>1201</v>
      </c>
      <c r="C732" s="185" t="s">
        <v>59</v>
      </c>
      <c r="D732" s="185" t="s">
        <v>1202</v>
      </c>
      <c r="E732" s="185" t="s">
        <v>754</v>
      </c>
      <c r="F732" s="185"/>
      <c r="G732" s="185" t="s">
        <v>60</v>
      </c>
      <c r="H732" s="186">
        <v>0.4299</v>
      </c>
      <c r="I732" s="241">
        <v>32.15</v>
      </c>
      <c r="J732" s="241">
        <v>13.82</v>
      </c>
    </row>
    <row r="733" spans="1:10" ht="28.5" x14ac:dyDescent="0.25">
      <c r="A733" s="185" t="s">
        <v>119</v>
      </c>
      <c r="B733" s="185" t="s">
        <v>1203</v>
      </c>
      <c r="C733" s="185" t="s">
        <v>59</v>
      </c>
      <c r="D733" s="185" t="s">
        <v>210</v>
      </c>
      <c r="E733" s="185" t="s">
        <v>754</v>
      </c>
      <c r="F733" s="185"/>
      <c r="G733" s="185" t="s">
        <v>60</v>
      </c>
      <c r="H733" s="186">
        <v>9.69E-2</v>
      </c>
      <c r="I733" s="241">
        <v>23.03</v>
      </c>
      <c r="J733" s="241">
        <v>2.23</v>
      </c>
    </row>
    <row r="734" spans="1:10" ht="114" x14ac:dyDescent="0.25">
      <c r="A734" s="191" t="s">
        <v>62</v>
      </c>
      <c r="B734" s="191" t="s">
        <v>1204</v>
      </c>
      <c r="C734" s="191" t="s">
        <v>59</v>
      </c>
      <c r="D734" s="191" t="s">
        <v>1205</v>
      </c>
      <c r="E734" s="191" t="s">
        <v>120</v>
      </c>
      <c r="F734" s="191"/>
      <c r="G734" s="191" t="s">
        <v>121</v>
      </c>
      <c r="H734" s="192">
        <v>1.5</v>
      </c>
      <c r="I734" s="244">
        <v>15.55</v>
      </c>
      <c r="J734" s="244">
        <v>23.32</v>
      </c>
    </row>
    <row r="735" spans="1:10" x14ac:dyDescent="0.25">
      <c r="A735" s="187"/>
      <c r="B735" s="187"/>
      <c r="C735" s="187"/>
      <c r="D735" s="187"/>
      <c r="E735" s="187" t="s">
        <v>756</v>
      </c>
      <c r="F735" s="188">
        <v>12.1</v>
      </c>
      <c r="G735" s="187" t="s">
        <v>757</v>
      </c>
      <c r="H735" s="188">
        <v>0</v>
      </c>
      <c r="I735" s="242" t="s">
        <v>758</v>
      </c>
      <c r="J735" s="242">
        <v>12.1</v>
      </c>
    </row>
    <row r="736" spans="1:10" x14ac:dyDescent="0.25">
      <c r="A736" s="187"/>
      <c r="B736" s="187"/>
      <c r="C736" s="187"/>
      <c r="D736" s="187"/>
      <c r="E736" s="187" t="s">
        <v>759</v>
      </c>
      <c r="F736" s="188">
        <v>0</v>
      </c>
      <c r="G736" s="187"/>
      <c r="H736" s="187" t="s">
        <v>760</v>
      </c>
      <c r="I736" s="242"/>
      <c r="J736" s="242">
        <v>39.369999999999997</v>
      </c>
    </row>
    <row r="737" spans="1:10" x14ac:dyDescent="0.25">
      <c r="A737" s="182"/>
      <c r="B737" s="182"/>
      <c r="C737" s="182"/>
      <c r="D737" s="182"/>
      <c r="E737" s="182"/>
      <c r="F737" s="182"/>
      <c r="G737" s="182" t="s">
        <v>761</v>
      </c>
      <c r="H737" s="189" t="s">
        <v>1206</v>
      </c>
      <c r="I737" s="239" t="s">
        <v>763</v>
      </c>
      <c r="J737" s="239">
        <v>11059.42</v>
      </c>
    </row>
    <row r="738" spans="1:10" x14ac:dyDescent="0.25">
      <c r="A738" s="183"/>
      <c r="B738" s="183"/>
      <c r="C738" s="183"/>
      <c r="D738" s="183"/>
      <c r="E738" s="183"/>
      <c r="F738" s="183"/>
      <c r="G738" s="183"/>
      <c r="H738" s="183"/>
      <c r="I738" s="240"/>
      <c r="J738" s="240"/>
    </row>
    <row r="739" spans="1:10" x14ac:dyDescent="0.25">
      <c r="A739" s="190" t="s">
        <v>1207</v>
      </c>
      <c r="B739" s="190"/>
      <c r="C739" s="190"/>
      <c r="D739" s="190" t="s">
        <v>273</v>
      </c>
      <c r="E739" s="190"/>
      <c r="F739" s="190"/>
      <c r="G739" s="190"/>
      <c r="H739" s="190"/>
      <c r="I739" s="243"/>
      <c r="J739" s="243">
        <v>49498.9</v>
      </c>
    </row>
    <row r="740" spans="1:10" x14ac:dyDescent="0.25">
      <c r="A740" s="190" t="s">
        <v>1208</v>
      </c>
      <c r="B740" s="190"/>
      <c r="C740" s="190"/>
      <c r="D740" s="190" t="s">
        <v>405</v>
      </c>
      <c r="E740" s="190"/>
      <c r="F740" s="190"/>
      <c r="G740" s="190"/>
      <c r="H740" s="190"/>
      <c r="I740" s="243"/>
      <c r="J740" s="243">
        <v>20187</v>
      </c>
    </row>
    <row r="741" spans="1:10" x14ac:dyDescent="0.25">
      <c r="A741" s="182" t="s">
        <v>1209</v>
      </c>
      <c r="B741" s="182" t="s">
        <v>66</v>
      </c>
      <c r="C741" s="182" t="s">
        <v>64</v>
      </c>
      <c r="D741" s="182" t="s">
        <v>67</v>
      </c>
      <c r="E741" s="182" t="s">
        <v>65</v>
      </c>
      <c r="F741" s="182"/>
      <c r="G741" s="182" t="s">
        <v>744</v>
      </c>
      <c r="H741" s="182" t="s">
        <v>69</v>
      </c>
      <c r="I741" s="239" t="s">
        <v>745</v>
      </c>
      <c r="J741" s="239" t="s">
        <v>0</v>
      </c>
    </row>
    <row r="742" spans="1:10" ht="171" x14ac:dyDescent="0.25">
      <c r="A742" s="183" t="s">
        <v>58</v>
      </c>
      <c r="B742" s="183" t="s">
        <v>1210</v>
      </c>
      <c r="C742" s="183" t="s">
        <v>59</v>
      </c>
      <c r="D742" s="183" t="s">
        <v>1211</v>
      </c>
      <c r="E742" s="183" t="s">
        <v>1212</v>
      </c>
      <c r="F742" s="183"/>
      <c r="G742" s="183" t="s">
        <v>217</v>
      </c>
      <c r="H742" s="184">
        <v>1</v>
      </c>
      <c r="I742" s="240">
        <v>632.16999999999996</v>
      </c>
      <c r="J742" s="240">
        <v>632.16999999999996</v>
      </c>
    </row>
    <row r="743" spans="1:10" ht="28.5" x14ac:dyDescent="0.25">
      <c r="A743" s="185" t="s">
        <v>119</v>
      </c>
      <c r="B743" s="185" t="s">
        <v>894</v>
      </c>
      <c r="C743" s="185" t="s">
        <v>59</v>
      </c>
      <c r="D743" s="185" t="s">
        <v>126</v>
      </c>
      <c r="E743" s="185" t="s">
        <v>754</v>
      </c>
      <c r="F743" s="185"/>
      <c r="G743" s="185" t="s">
        <v>60</v>
      </c>
      <c r="H743" s="186">
        <v>1.3739344</v>
      </c>
      <c r="I743" s="241">
        <v>32.15</v>
      </c>
      <c r="J743" s="241">
        <v>44.17</v>
      </c>
    </row>
    <row r="744" spans="1:10" ht="28.5" x14ac:dyDescent="0.25">
      <c r="A744" s="185" t="s">
        <v>119</v>
      </c>
      <c r="B744" s="185" t="s">
        <v>769</v>
      </c>
      <c r="C744" s="185" t="s">
        <v>59</v>
      </c>
      <c r="D744" s="185" t="s">
        <v>115</v>
      </c>
      <c r="E744" s="185" t="s">
        <v>754</v>
      </c>
      <c r="F744" s="185"/>
      <c r="G744" s="185" t="s">
        <v>60</v>
      </c>
      <c r="H744" s="186">
        <v>0.6869672</v>
      </c>
      <c r="I744" s="241">
        <v>22.42</v>
      </c>
      <c r="J744" s="241">
        <v>15.4</v>
      </c>
    </row>
    <row r="745" spans="1:10" ht="57" x14ac:dyDescent="0.25">
      <c r="A745" s="185" t="s">
        <v>119</v>
      </c>
      <c r="B745" s="185" t="s">
        <v>1213</v>
      </c>
      <c r="C745" s="185" t="s">
        <v>59</v>
      </c>
      <c r="D745" s="185" t="s">
        <v>1214</v>
      </c>
      <c r="E745" s="185" t="s">
        <v>1073</v>
      </c>
      <c r="F745" s="185"/>
      <c r="G745" s="185" t="s">
        <v>191</v>
      </c>
      <c r="H745" s="186">
        <v>8.0000000000000002E-3</v>
      </c>
      <c r="I745" s="241">
        <v>710.02</v>
      </c>
      <c r="J745" s="241">
        <v>5.68</v>
      </c>
    </row>
    <row r="746" spans="1:10" ht="85.5" x14ac:dyDescent="0.25">
      <c r="A746" s="191" t="s">
        <v>62</v>
      </c>
      <c r="B746" s="191" t="s">
        <v>1215</v>
      </c>
      <c r="C746" s="191" t="s">
        <v>59</v>
      </c>
      <c r="D746" s="191" t="s">
        <v>1216</v>
      </c>
      <c r="E746" s="191" t="s">
        <v>120</v>
      </c>
      <c r="F746" s="191"/>
      <c r="G746" s="191" t="s">
        <v>61</v>
      </c>
      <c r="H746" s="192">
        <v>0.55579999999999996</v>
      </c>
      <c r="I746" s="244">
        <v>1020.01</v>
      </c>
      <c r="J746" s="244">
        <v>566.91999999999996</v>
      </c>
    </row>
    <row r="747" spans="1:10" x14ac:dyDescent="0.25">
      <c r="A747" s="187"/>
      <c r="B747" s="187"/>
      <c r="C747" s="187"/>
      <c r="D747" s="187"/>
      <c r="E747" s="187" t="s">
        <v>756</v>
      </c>
      <c r="F747" s="188">
        <v>45.17</v>
      </c>
      <c r="G747" s="187" t="s">
        <v>757</v>
      </c>
      <c r="H747" s="188">
        <v>0</v>
      </c>
      <c r="I747" s="242" t="s">
        <v>758</v>
      </c>
      <c r="J747" s="242">
        <v>45.17</v>
      </c>
    </row>
    <row r="748" spans="1:10" x14ac:dyDescent="0.25">
      <c r="A748" s="187"/>
      <c r="B748" s="187"/>
      <c r="C748" s="187"/>
      <c r="D748" s="187"/>
      <c r="E748" s="187" t="s">
        <v>759</v>
      </c>
      <c r="F748" s="188">
        <v>0</v>
      </c>
      <c r="G748" s="187"/>
      <c r="H748" s="187" t="s">
        <v>760</v>
      </c>
      <c r="I748" s="242"/>
      <c r="J748" s="242">
        <v>632.16999999999996</v>
      </c>
    </row>
    <row r="749" spans="1:10" x14ac:dyDescent="0.25">
      <c r="A749" s="182"/>
      <c r="B749" s="182"/>
      <c r="C749" s="182"/>
      <c r="D749" s="182"/>
      <c r="E749" s="182"/>
      <c r="F749" s="182"/>
      <c r="G749" s="182" t="s">
        <v>761</v>
      </c>
      <c r="H749" s="189" t="s">
        <v>1217</v>
      </c>
      <c r="I749" s="239" t="s">
        <v>763</v>
      </c>
      <c r="J749" s="239">
        <v>12801.44</v>
      </c>
    </row>
    <row r="750" spans="1:10" x14ac:dyDescent="0.25">
      <c r="A750" s="183"/>
      <c r="B750" s="183"/>
      <c r="C750" s="183"/>
      <c r="D750" s="183"/>
      <c r="E750" s="183"/>
      <c r="F750" s="183"/>
      <c r="G750" s="183"/>
      <c r="H750" s="183"/>
      <c r="I750" s="240"/>
      <c r="J750" s="240"/>
    </row>
    <row r="751" spans="1:10" x14ac:dyDescent="0.25">
      <c r="A751" s="182" t="s">
        <v>1218</v>
      </c>
      <c r="B751" s="182" t="s">
        <v>66</v>
      </c>
      <c r="C751" s="182" t="s">
        <v>64</v>
      </c>
      <c r="D751" s="182" t="s">
        <v>67</v>
      </c>
      <c r="E751" s="182" t="s">
        <v>65</v>
      </c>
      <c r="F751" s="182"/>
      <c r="G751" s="182" t="s">
        <v>744</v>
      </c>
      <c r="H751" s="182" t="s">
        <v>69</v>
      </c>
      <c r="I751" s="239" t="s">
        <v>745</v>
      </c>
      <c r="J751" s="239" t="s">
        <v>0</v>
      </c>
    </row>
    <row r="752" spans="1:10" ht="185.25" x14ac:dyDescent="0.25">
      <c r="A752" s="183" t="s">
        <v>58</v>
      </c>
      <c r="B752" s="183" t="s">
        <v>1219</v>
      </c>
      <c r="C752" s="183" t="s">
        <v>59</v>
      </c>
      <c r="D752" s="183" t="s">
        <v>1220</v>
      </c>
      <c r="E752" s="183" t="s">
        <v>1212</v>
      </c>
      <c r="F752" s="183"/>
      <c r="G752" s="183" t="s">
        <v>217</v>
      </c>
      <c r="H752" s="184">
        <v>1</v>
      </c>
      <c r="I752" s="240">
        <v>749</v>
      </c>
      <c r="J752" s="240">
        <v>749</v>
      </c>
    </row>
    <row r="753" spans="1:10" ht="28.5" x14ac:dyDescent="0.25">
      <c r="A753" s="185" t="s">
        <v>119</v>
      </c>
      <c r="B753" s="185" t="s">
        <v>769</v>
      </c>
      <c r="C753" s="185" t="s">
        <v>59</v>
      </c>
      <c r="D753" s="185" t="s">
        <v>115</v>
      </c>
      <c r="E753" s="185" t="s">
        <v>754</v>
      </c>
      <c r="F753" s="185"/>
      <c r="G753" s="185" t="s">
        <v>60</v>
      </c>
      <c r="H753" s="186">
        <v>2.5489320000000002</v>
      </c>
      <c r="I753" s="241">
        <v>22.42</v>
      </c>
      <c r="J753" s="241">
        <v>57.14</v>
      </c>
    </row>
    <row r="754" spans="1:10" ht="57" x14ac:dyDescent="0.25">
      <c r="A754" s="185" t="s">
        <v>119</v>
      </c>
      <c r="B754" s="185" t="s">
        <v>1213</v>
      </c>
      <c r="C754" s="185" t="s">
        <v>59</v>
      </c>
      <c r="D754" s="185" t="s">
        <v>1214</v>
      </c>
      <c r="E754" s="185" t="s">
        <v>1073</v>
      </c>
      <c r="F754" s="185"/>
      <c r="G754" s="185" t="s">
        <v>191</v>
      </c>
      <c r="H754" s="186">
        <v>2.1000000000000001E-2</v>
      </c>
      <c r="I754" s="241">
        <v>710.02</v>
      </c>
      <c r="J754" s="241">
        <v>14.91</v>
      </c>
    </row>
    <row r="755" spans="1:10" ht="28.5" x14ac:dyDescent="0.25">
      <c r="A755" s="185" t="s">
        <v>119</v>
      </c>
      <c r="B755" s="185" t="s">
        <v>894</v>
      </c>
      <c r="C755" s="185" t="s">
        <v>59</v>
      </c>
      <c r="D755" s="185" t="s">
        <v>126</v>
      </c>
      <c r="E755" s="185" t="s">
        <v>754</v>
      </c>
      <c r="F755" s="185"/>
      <c r="G755" s="185" t="s">
        <v>60</v>
      </c>
      <c r="H755" s="186">
        <v>5.0978640000000004</v>
      </c>
      <c r="I755" s="241">
        <v>32.15</v>
      </c>
      <c r="J755" s="241">
        <v>163.89</v>
      </c>
    </row>
    <row r="756" spans="1:10" ht="42.75" x14ac:dyDescent="0.25">
      <c r="A756" s="191" t="s">
        <v>62</v>
      </c>
      <c r="B756" s="191" t="s">
        <v>1221</v>
      </c>
      <c r="C756" s="191" t="s">
        <v>59</v>
      </c>
      <c r="D756" s="191" t="s">
        <v>1222</v>
      </c>
      <c r="E756" s="191" t="s">
        <v>120</v>
      </c>
      <c r="F756" s="191"/>
      <c r="G756" s="191" t="s">
        <v>61</v>
      </c>
      <c r="H756" s="192">
        <v>2.778</v>
      </c>
      <c r="I756" s="244">
        <v>184.69</v>
      </c>
      <c r="J756" s="244">
        <v>513.05999999999995</v>
      </c>
    </row>
    <row r="757" spans="1:10" x14ac:dyDescent="0.25">
      <c r="A757" s="187"/>
      <c r="B757" s="187"/>
      <c r="C757" s="187"/>
      <c r="D757" s="187"/>
      <c r="E757" s="187" t="s">
        <v>756</v>
      </c>
      <c r="F757" s="188">
        <v>166.53</v>
      </c>
      <c r="G757" s="187" t="s">
        <v>757</v>
      </c>
      <c r="H757" s="188">
        <v>0</v>
      </c>
      <c r="I757" s="242" t="s">
        <v>758</v>
      </c>
      <c r="J757" s="242">
        <v>166.53</v>
      </c>
    </row>
    <row r="758" spans="1:10" x14ac:dyDescent="0.25">
      <c r="A758" s="187"/>
      <c r="B758" s="187"/>
      <c r="C758" s="187"/>
      <c r="D758" s="187"/>
      <c r="E758" s="187" t="s">
        <v>759</v>
      </c>
      <c r="F758" s="188">
        <v>0</v>
      </c>
      <c r="G758" s="187"/>
      <c r="H758" s="187" t="s">
        <v>760</v>
      </c>
      <c r="I758" s="242"/>
      <c r="J758" s="242">
        <v>749</v>
      </c>
    </row>
    <row r="759" spans="1:10" x14ac:dyDescent="0.25">
      <c r="A759" s="182"/>
      <c r="B759" s="182"/>
      <c r="C759" s="182"/>
      <c r="D759" s="182"/>
      <c r="E759" s="182"/>
      <c r="F759" s="182"/>
      <c r="G759" s="182" t="s">
        <v>761</v>
      </c>
      <c r="H759" s="189" t="s">
        <v>1223</v>
      </c>
      <c r="I759" s="239" t="s">
        <v>763</v>
      </c>
      <c r="J759" s="239">
        <v>539.28</v>
      </c>
    </row>
    <row r="760" spans="1:10" x14ac:dyDescent="0.25">
      <c r="A760" s="183"/>
      <c r="B760" s="183"/>
      <c r="C760" s="183"/>
      <c r="D760" s="183"/>
      <c r="E760" s="183"/>
      <c r="F760" s="183"/>
      <c r="G760" s="183"/>
      <c r="H760" s="183"/>
      <c r="I760" s="240"/>
      <c r="J760" s="240"/>
    </row>
    <row r="761" spans="1:10" x14ac:dyDescent="0.25">
      <c r="A761" s="182" t="s">
        <v>1224</v>
      </c>
      <c r="B761" s="182" t="s">
        <v>66</v>
      </c>
      <c r="C761" s="182" t="s">
        <v>64</v>
      </c>
      <c r="D761" s="182" t="s">
        <v>67</v>
      </c>
      <c r="E761" s="182" t="s">
        <v>65</v>
      </c>
      <c r="F761" s="182"/>
      <c r="G761" s="182" t="s">
        <v>744</v>
      </c>
      <c r="H761" s="182" t="s">
        <v>69</v>
      </c>
      <c r="I761" s="239" t="s">
        <v>745</v>
      </c>
      <c r="J761" s="239" t="s">
        <v>0</v>
      </c>
    </row>
    <row r="762" spans="1:10" ht="57" x14ac:dyDescent="0.25">
      <c r="A762" s="183" t="s">
        <v>58</v>
      </c>
      <c r="B762" s="183" t="s">
        <v>1225</v>
      </c>
      <c r="C762" s="183" t="s">
        <v>59</v>
      </c>
      <c r="D762" s="183" t="s">
        <v>1226</v>
      </c>
      <c r="E762" s="183" t="s">
        <v>1227</v>
      </c>
      <c r="F762" s="183"/>
      <c r="G762" s="183" t="s">
        <v>217</v>
      </c>
      <c r="H762" s="184">
        <v>1</v>
      </c>
      <c r="I762" s="240">
        <v>326.48</v>
      </c>
      <c r="J762" s="240">
        <v>326.48</v>
      </c>
    </row>
    <row r="763" spans="1:10" ht="28.5" x14ac:dyDescent="0.25">
      <c r="A763" s="185" t="s">
        <v>119</v>
      </c>
      <c r="B763" s="185" t="s">
        <v>769</v>
      </c>
      <c r="C763" s="185" t="s">
        <v>59</v>
      </c>
      <c r="D763" s="185" t="s">
        <v>115</v>
      </c>
      <c r="E763" s="185" t="s">
        <v>754</v>
      </c>
      <c r="F763" s="185"/>
      <c r="G763" s="185" t="s">
        <v>60</v>
      </c>
      <c r="H763" s="186">
        <v>1.3779999999999999</v>
      </c>
      <c r="I763" s="241">
        <v>22.42</v>
      </c>
      <c r="J763" s="241">
        <v>30.89</v>
      </c>
    </row>
    <row r="764" spans="1:10" ht="28.5" x14ac:dyDescent="0.25">
      <c r="A764" s="185" t="s">
        <v>119</v>
      </c>
      <c r="B764" s="185" t="s">
        <v>1228</v>
      </c>
      <c r="C764" s="185" t="s">
        <v>59</v>
      </c>
      <c r="D764" s="185" t="s">
        <v>1229</v>
      </c>
      <c r="E764" s="185" t="s">
        <v>754</v>
      </c>
      <c r="F764" s="185"/>
      <c r="G764" s="185" t="s">
        <v>60</v>
      </c>
      <c r="H764" s="186">
        <v>1.4179999999999999</v>
      </c>
      <c r="I764" s="241">
        <v>28.6</v>
      </c>
      <c r="J764" s="241">
        <v>40.549999999999997</v>
      </c>
    </row>
    <row r="765" spans="1:10" ht="71.25" x14ac:dyDescent="0.25">
      <c r="A765" s="191" t="s">
        <v>62</v>
      </c>
      <c r="B765" s="191" t="s">
        <v>1230</v>
      </c>
      <c r="C765" s="191" t="s">
        <v>59</v>
      </c>
      <c r="D765" s="191" t="s">
        <v>1231</v>
      </c>
      <c r="E765" s="191" t="s">
        <v>120</v>
      </c>
      <c r="F765" s="191"/>
      <c r="G765" s="191" t="s">
        <v>61</v>
      </c>
      <c r="H765" s="192">
        <v>1.7050000000000001</v>
      </c>
      <c r="I765" s="244">
        <v>0.26</v>
      </c>
      <c r="J765" s="244">
        <v>0.44</v>
      </c>
    </row>
    <row r="766" spans="1:10" x14ac:dyDescent="0.25">
      <c r="A766" s="191" t="s">
        <v>62</v>
      </c>
      <c r="B766" s="191" t="s">
        <v>1232</v>
      </c>
      <c r="C766" s="191" t="s">
        <v>59</v>
      </c>
      <c r="D766" s="191" t="s">
        <v>1233</v>
      </c>
      <c r="E766" s="191" t="s">
        <v>120</v>
      </c>
      <c r="F766" s="191"/>
      <c r="G766" s="191" t="s">
        <v>121</v>
      </c>
      <c r="H766" s="192">
        <v>0.748</v>
      </c>
      <c r="I766" s="244">
        <v>43.16</v>
      </c>
      <c r="J766" s="244">
        <v>32.28</v>
      </c>
    </row>
    <row r="767" spans="1:10" ht="28.5" x14ac:dyDescent="0.25">
      <c r="A767" s="191" t="s">
        <v>62</v>
      </c>
      <c r="B767" s="191" t="s">
        <v>1234</v>
      </c>
      <c r="C767" s="191" t="s">
        <v>59</v>
      </c>
      <c r="D767" s="191" t="s">
        <v>1235</v>
      </c>
      <c r="E767" s="191" t="s">
        <v>120</v>
      </c>
      <c r="F767" s="191"/>
      <c r="G767" s="191" t="s">
        <v>217</v>
      </c>
      <c r="H767" s="192">
        <v>1</v>
      </c>
      <c r="I767" s="244">
        <v>208.94</v>
      </c>
      <c r="J767" s="244">
        <v>208.94</v>
      </c>
    </row>
    <row r="768" spans="1:10" ht="28.5" x14ac:dyDescent="0.25">
      <c r="A768" s="191" t="s">
        <v>62</v>
      </c>
      <c r="B768" s="191" t="s">
        <v>1236</v>
      </c>
      <c r="C768" s="191" t="s">
        <v>59</v>
      </c>
      <c r="D768" s="191" t="s">
        <v>1237</v>
      </c>
      <c r="E768" s="191" t="s">
        <v>120</v>
      </c>
      <c r="F768" s="191"/>
      <c r="G768" s="191" t="s">
        <v>61</v>
      </c>
      <c r="H768" s="192">
        <v>0.309</v>
      </c>
      <c r="I768" s="244">
        <v>23.07</v>
      </c>
      <c r="J768" s="244">
        <v>7.12</v>
      </c>
    </row>
    <row r="769" spans="1:10" ht="71.25" x14ac:dyDescent="0.25">
      <c r="A769" s="191" t="s">
        <v>62</v>
      </c>
      <c r="B769" s="191" t="s">
        <v>1238</v>
      </c>
      <c r="C769" s="191" t="s">
        <v>59</v>
      </c>
      <c r="D769" s="191" t="s">
        <v>1239</v>
      </c>
      <c r="E769" s="191" t="s">
        <v>120</v>
      </c>
      <c r="F769" s="191"/>
      <c r="G769" s="191" t="s">
        <v>116</v>
      </c>
      <c r="H769" s="192">
        <v>2.3220000000000001</v>
      </c>
      <c r="I769" s="244">
        <v>2.7</v>
      </c>
      <c r="J769" s="244">
        <v>6.26</v>
      </c>
    </row>
    <row r="770" spans="1:10" x14ac:dyDescent="0.25">
      <c r="A770" s="187"/>
      <c r="B770" s="187"/>
      <c r="C770" s="187"/>
      <c r="D770" s="187"/>
      <c r="E770" s="187" t="s">
        <v>756</v>
      </c>
      <c r="F770" s="188">
        <v>50.57</v>
      </c>
      <c r="G770" s="187" t="s">
        <v>757</v>
      </c>
      <c r="H770" s="188">
        <v>0</v>
      </c>
      <c r="I770" s="242" t="s">
        <v>758</v>
      </c>
      <c r="J770" s="242">
        <v>50.57</v>
      </c>
    </row>
    <row r="771" spans="1:10" x14ac:dyDescent="0.25">
      <c r="A771" s="187"/>
      <c r="B771" s="187"/>
      <c r="C771" s="187"/>
      <c r="D771" s="187"/>
      <c r="E771" s="187" t="s">
        <v>759</v>
      </c>
      <c r="F771" s="188">
        <v>0</v>
      </c>
      <c r="G771" s="187"/>
      <c r="H771" s="187" t="s">
        <v>760</v>
      </c>
      <c r="I771" s="242"/>
      <c r="J771" s="242">
        <v>326.48</v>
      </c>
    </row>
    <row r="772" spans="1:10" x14ac:dyDescent="0.25">
      <c r="A772" s="182"/>
      <c r="B772" s="182"/>
      <c r="C772" s="182"/>
      <c r="D772" s="182"/>
      <c r="E772" s="182"/>
      <c r="F772" s="182"/>
      <c r="G772" s="182" t="s">
        <v>761</v>
      </c>
      <c r="H772" s="189" t="s">
        <v>1240</v>
      </c>
      <c r="I772" s="239" t="s">
        <v>763</v>
      </c>
      <c r="J772" s="239">
        <v>6846.28</v>
      </c>
    </row>
    <row r="773" spans="1:10" x14ac:dyDescent="0.25">
      <c r="A773" s="183"/>
      <c r="B773" s="183"/>
      <c r="C773" s="183"/>
      <c r="D773" s="183"/>
      <c r="E773" s="183"/>
      <c r="F773" s="183"/>
      <c r="G773" s="183"/>
      <c r="H773" s="183"/>
      <c r="I773" s="240"/>
      <c r="J773" s="240"/>
    </row>
    <row r="774" spans="1:10" x14ac:dyDescent="0.25">
      <c r="A774" s="190" t="s">
        <v>1241</v>
      </c>
      <c r="B774" s="190"/>
      <c r="C774" s="190"/>
      <c r="D774" s="190" t="s">
        <v>408</v>
      </c>
      <c r="E774" s="190"/>
      <c r="F774" s="190"/>
      <c r="G774" s="190"/>
      <c r="H774" s="190"/>
      <c r="I774" s="243"/>
      <c r="J774" s="243">
        <v>29311.9</v>
      </c>
    </row>
    <row r="775" spans="1:10" x14ac:dyDescent="0.25">
      <c r="A775" s="182" t="s">
        <v>1242</v>
      </c>
      <c r="B775" s="182" t="s">
        <v>66</v>
      </c>
      <c r="C775" s="182" t="s">
        <v>64</v>
      </c>
      <c r="D775" s="182" t="s">
        <v>67</v>
      </c>
      <c r="E775" s="182" t="s">
        <v>65</v>
      </c>
      <c r="F775" s="182"/>
      <c r="G775" s="182" t="s">
        <v>744</v>
      </c>
      <c r="H775" s="182" t="s">
        <v>69</v>
      </c>
      <c r="I775" s="239" t="s">
        <v>745</v>
      </c>
      <c r="J775" s="239" t="s">
        <v>0</v>
      </c>
    </row>
    <row r="776" spans="1:10" ht="142.5" x14ac:dyDescent="0.25">
      <c r="A776" s="183" t="s">
        <v>58</v>
      </c>
      <c r="B776" s="183" t="s">
        <v>1243</v>
      </c>
      <c r="C776" s="183" t="s">
        <v>59</v>
      </c>
      <c r="D776" s="183" t="s">
        <v>1244</v>
      </c>
      <c r="E776" s="183" t="s">
        <v>1245</v>
      </c>
      <c r="F776" s="183"/>
      <c r="G776" s="183" t="s">
        <v>61</v>
      </c>
      <c r="H776" s="184">
        <v>1</v>
      </c>
      <c r="I776" s="240">
        <v>1187.3900000000001</v>
      </c>
      <c r="J776" s="240">
        <v>1187.3900000000001</v>
      </c>
    </row>
    <row r="777" spans="1:10" ht="57" x14ac:dyDescent="0.25">
      <c r="A777" s="185" t="s">
        <v>119</v>
      </c>
      <c r="B777" s="185" t="s">
        <v>1246</v>
      </c>
      <c r="C777" s="185" t="s">
        <v>59</v>
      </c>
      <c r="D777" s="185" t="s">
        <v>1247</v>
      </c>
      <c r="E777" s="185" t="s">
        <v>1245</v>
      </c>
      <c r="F777" s="185"/>
      <c r="G777" s="185" t="s">
        <v>116</v>
      </c>
      <c r="H777" s="186">
        <v>10.199999999999999</v>
      </c>
      <c r="I777" s="241">
        <v>10.93</v>
      </c>
      <c r="J777" s="241">
        <v>111.48</v>
      </c>
    </row>
    <row r="778" spans="1:10" ht="71.25" x14ac:dyDescent="0.25">
      <c r="A778" s="185" t="s">
        <v>119</v>
      </c>
      <c r="B778" s="185" t="s">
        <v>1248</v>
      </c>
      <c r="C778" s="185" t="s">
        <v>59</v>
      </c>
      <c r="D778" s="185" t="s">
        <v>1249</v>
      </c>
      <c r="E778" s="185" t="s">
        <v>1245</v>
      </c>
      <c r="F778" s="185"/>
      <c r="G778" s="185" t="s">
        <v>61</v>
      </c>
      <c r="H778" s="186">
        <v>1</v>
      </c>
      <c r="I778" s="241">
        <v>406.82</v>
      </c>
      <c r="J778" s="241">
        <v>406.82</v>
      </c>
    </row>
    <row r="779" spans="1:10" ht="85.5" x14ac:dyDescent="0.25">
      <c r="A779" s="185" t="s">
        <v>119</v>
      </c>
      <c r="B779" s="185" t="s">
        <v>1250</v>
      </c>
      <c r="C779" s="185" t="s">
        <v>59</v>
      </c>
      <c r="D779" s="185" t="s">
        <v>1251</v>
      </c>
      <c r="E779" s="185" t="s">
        <v>1245</v>
      </c>
      <c r="F779" s="185"/>
      <c r="G779" s="185" t="s">
        <v>61</v>
      </c>
      <c r="H779" s="186">
        <v>1</v>
      </c>
      <c r="I779" s="241">
        <v>458.35</v>
      </c>
      <c r="J779" s="241">
        <v>458.35</v>
      </c>
    </row>
    <row r="780" spans="1:10" ht="85.5" x14ac:dyDescent="0.25">
      <c r="A780" s="185" t="s">
        <v>119</v>
      </c>
      <c r="B780" s="185" t="s">
        <v>1252</v>
      </c>
      <c r="C780" s="185" t="s">
        <v>59</v>
      </c>
      <c r="D780" s="185" t="s">
        <v>1253</v>
      </c>
      <c r="E780" s="185" t="s">
        <v>1245</v>
      </c>
      <c r="F780" s="185"/>
      <c r="G780" s="185" t="s">
        <v>61</v>
      </c>
      <c r="H780" s="186">
        <v>1</v>
      </c>
      <c r="I780" s="241">
        <v>210.74</v>
      </c>
      <c r="J780" s="241">
        <v>210.74</v>
      </c>
    </row>
    <row r="781" spans="1:10" x14ac:dyDescent="0.25">
      <c r="A781" s="187"/>
      <c r="B781" s="187"/>
      <c r="C781" s="187"/>
      <c r="D781" s="187"/>
      <c r="E781" s="187" t="s">
        <v>756</v>
      </c>
      <c r="F781" s="188">
        <v>249.91</v>
      </c>
      <c r="G781" s="187" t="s">
        <v>757</v>
      </c>
      <c r="H781" s="188">
        <v>0</v>
      </c>
      <c r="I781" s="242" t="s">
        <v>758</v>
      </c>
      <c r="J781" s="242">
        <v>249.91</v>
      </c>
    </row>
    <row r="782" spans="1:10" x14ac:dyDescent="0.25">
      <c r="A782" s="187"/>
      <c r="B782" s="187"/>
      <c r="C782" s="187"/>
      <c r="D782" s="187"/>
      <c r="E782" s="187" t="s">
        <v>759</v>
      </c>
      <c r="F782" s="188">
        <v>0</v>
      </c>
      <c r="G782" s="187"/>
      <c r="H782" s="187" t="s">
        <v>760</v>
      </c>
      <c r="I782" s="242"/>
      <c r="J782" s="242">
        <v>1187.3900000000001</v>
      </c>
    </row>
    <row r="783" spans="1:10" x14ac:dyDescent="0.25">
      <c r="A783" s="182"/>
      <c r="B783" s="182"/>
      <c r="C783" s="182"/>
      <c r="D783" s="182"/>
      <c r="E783" s="182"/>
      <c r="F783" s="182"/>
      <c r="G783" s="182" t="s">
        <v>761</v>
      </c>
      <c r="H783" s="189" t="s">
        <v>1254</v>
      </c>
      <c r="I783" s="239" t="s">
        <v>763</v>
      </c>
      <c r="J783" s="239">
        <v>14248.68</v>
      </c>
    </row>
    <row r="784" spans="1:10" x14ac:dyDescent="0.25">
      <c r="A784" s="183"/>
      <c r="B784" s="183"/>
      <c r="C784" s="183"/>
      <c r="D784" s="183"/>
      <c r="E784" s="183"/>
      <c r="F784" s="183"/>
      <c r="G784" s="183"/>
      <c r="H784" s="183"/>
      <c r="I784" s="240"/>
      <c r="J784" s="240"/>
    </row>
    <row r="785" spans="1:10" x14ac:dyDescent="0.25">
      <c r="A785" s="182" t="s">
        <v>1255</v>
      </c>
      <c r="B785" s="182" t="s">
        <v>66</v>
      </c>
      <c r="C785" s="182" t="s">
        <v>64</v>
      </c>
      <c r="D785" s="182" t="s">
        <v>67</v>
      </c>
      <c r="E785" s="182" t="s">
        <v>65</v>
      </c>
      <c r="F785" s="182"/>
      <c r="G785" s="182" t="s">
        <v>744</v>
      </c>
      <c r="H785" s="182" t="s">
        <v>69</v>
      </c>
      <c r="I785" s="239" t="s">
        <v>745</v>
      </c>
      <c r="J785" s="239" t="s">
        <v>0</v>
      </c>
    </row>
    <row r="786" spans="1:10" ht="142.5" x14ac:dyDescent="0.25">
      <c r="A786" s="183" t="s">
        <v>58</v>
      </c>
      <c r="B786" s="183" t="s">
        <v>1256</v>
      </c>
      <c r="C786" s="183" t="s">
        <v>59</v>
      </c>
      <c r="D786" s="183" t="s">
        <v>1257</v>
      </c>
      <c r="E786" s="183" t="s">
        <v>1245</v>
      </c>
      <c r="F786" s="183"/>
      <c r="G786" s="183" t="s">
        <v>61</v>
      </c>
      <c r="H786" s="184">
        <v>1</v>
      </c>
      <c r="I786" s="240">
        <v>1104.9100000000001</v>
      </c>
      <c r="J786" s="240">
        <v>1104.9100000000001</v>
      </c>
    </row>
    <row r="787" spans="1:10" ht="71.25" x14ac:dyDescent="0.25">
      <c r="A787" s="185" t="s">
        <v>119</v>
      </c>
      <c r="B787" s="185" t="s">
        <v>1248</v>
      </c>
      <c r="C787" s="185" t="s">
        <v>59</v>
      </c>
      <c r="D787" s="185" t="s">
        <v>1249</v>
      </c>
      <c r="E787" s="185" t="s">
        <v>1245</v>
      </c>
      <c r="F787" s="185"/>
      <c r="G787" s="185" t="s">
        <v>61</v>
      </c>
      <c r="H787" s="186">
        <v>1</v>
      </c>
      <c r="I787" s="241">
        <v>406.82</v>
      </c>
      <c r="J787" s="241">
        <v>406.82</v>
      </c>
    </row>
    <row r="788" spans="1:10" ht="85.5" x14ac:dyDescent="0.25">
      <c r="A788" s="185" t="s">
        <v>119</v>
      </c>
      <c r="B788" s="185" t="s">
        <v>1252</v>
      </c>
      <c r="C788" s="185" t="s">
        <v>59</v>
      </c>
      <c r="D788" s="185" t="s">
        <v>1253</v>
      </c>
      <c r="E788" s="185" t="s">
        <v>1245</v>
      </c>
      <c r="F788" s="185"/>
      <c r="G788" s="185" t="s">
        <v>61</v>
      </c>
      <c r="H788" s="186">
        <v>1</v>
      </c>
      <c r="I788" s="241">
        <v>210.74</v>
      </c>
      <c r="J788" s="241">
        <v>210.74</v>
      </c>
    </row>
    <row r="789" spans="1:10" ht="57" x14ac:dyDescent="0.25">
      <c r="A789" s="185" t="s">
        <v>119</v>
      </c>
      <c r="B789" s="185" t="s">
        <v>1246</v>
      </c>
      <c r="C789" s="185" t="s">
        <v>59</v>
      </c>
      <c r="D789" s="185" t="s">
        <v>1247</v>
      </c>
      <c r="E789" s="185" t="s">
        <v>1245</v>
      </c>
      <c r="F789" s="185"/>
      <c r="G789" s="185" t="s">
        <v>116</v>
      </c>
      <c r="H789" s="186">
        <v>10</v>
      </c>
      <c r="I789" s="241">
        <v>10.93</v>
      </c>
      <c r="J789" s="241">
        <v>109.3</v>
      </c>
    </row>
    <row r="790" spans="1:10" ht="85.5" x14ac:dyDescent="0.25">
      <c r="A790" s="185" t="s">
        <v>119</v>
      </c>
      <c r="B790" s="185" t="s">
        <v>1258</v>
      </c>
      <c r="C790" s="185" t="s">
        <v>59</v>
      </c>
      <c r="D790" s="185" t="s">
        <v>1259</v>
      </c>
      <c r="E790" s="185" t="s">
        <v>1245</v>
      </c>
      <c r="F790" s="185"/>
      <c r="G790" s="185" t="s">
        <v>61</v>
      </c>
      <c r="H790" s="186">
        <v>1</v>
      </c>
      <c r="I790" s="241">
        <v>378.05</v>
      </c>
      <c r="J790" s="241">
        <v>378.05</v>
      </c>
    </row>
    <row r="791" spans="1:10" x14ac:dyDescent="0.25">
      <c r="A791" s="187"/>
      <c r="B791" s="187"/>
      <c r="C791" s="187"/>
      <c r="D791" s="187"/>
      <c r="E791" s="187" t="s">
        <v>756</v>
      </c>
      <c r="F791" s="188">
        <v>245.46</v>
      </c>
      <c r="G791" s="187" t="s">
        <v>757</v>
      </c>
      <c r="H791" s="188">
        <v>0</v>
      </c>
      <c r="I791" s="242" t="s">
        <v>758</v>
      </c>
      <c r="J791" s="242">
        <v>245.46</v>
      </c>
    </row>
    <row r="792" spans="1:10" x14ac:dyDescent="0.25">
      <c r="A792" s="187"/>
      <c r="B792" s="187"/>
      <c r="C792" s="187"/>
      <c r="D792" s="187"/>
      <c r="E792" s="187" t="s">
        <v>759</v>
      </c>
      <c r="F792" s="188">
        <v>0</v>
      </c>
      <c r="G792" s="187"/>
      <c r="H792" s="187" t="s">
        <v>760</v>
      </c>
      <c r="I792" s="242"/>
      <c r="J792" s="242">
        <v>1104.9100000000001</v>
      </c>
    </row>
    <row r="793" spans="1:10" x14ac:dyDescent="0.25">
      <c r="A793" s="182"/>
      <c r="B793" s="182"/>
      <c r="C793" s="182"/>
      <c r="D793" s="182"/>
      <c r="E793" s="182"/>
      <c r="F793" s="182"/>
      <c r="G793" s="182" t="s">
        <v>761</v>
      </c>
      <c r="H793" s="189" t="s">
        <v>1260</v>
      </c>
      <c r="I793" s="239" t="s">
        <v>763</v>
      </c>
      <c r="J793" s="239">
        <v>3314.73</v>
      </c>
    </row>
    <row r="794" spans="1:10" x14ac:dyDescent="0.25">
      <c r="A794" s="183"/>
      <c r="B794" s="183"/>
      <c r="C794" s="183"/>
      <c r="D794" s="183"/>
      <c r="E794" s="183"/>
      <c r="F794" s="183"/>
      <c r="G794" s="183"/>
      <c r="H794" s="183"/>
      <c r="I794" s="240"/>
      <c r="J794" s="240"/>
    </row>
    <row r="795" spans="1:10" x14ac:dyDescent="0.25">
      <c r="A795" s="182" t="s">
        <v>1261</v>
      </c>
      <c r="B795" s="182" t="s">
        <v>66</v>
      </c>
      <c r="C795" s="182" t="s">
        <v>64</v>
      </c>
      <c r="D795" s="182" t="s">
        <v>67</v>
      </c>
      <c r="E795" s="182" t="s">
        <v>65</v>
      </c>
      <c r="F795" s="182"/>
      <c r="G795" s="182" t="s">
        <v>744</v>
      </c>
      <c r="H795" s="182" t="s">
        <v>69</v>
      </c>
      <c r="I795" s="239" t="s">
        <v>745</v>
      </c>
      <c r="J795" s="239" t="s">
        <v>0</v>
      </c>
    </row>
    <row r="796" spans="1:10" ht="57" x14ac:dyDescent="0.25">
      <c r="A796" s="183" t="s">
        <v>58</v>
      </c>
      <c r="B796" s="183" t="s">
        <v>1262</v>
      </c>
      <c r="C796" s="183" t="s">
        <v>785</v>
      </c>
      <c r="D796" s="183" t="s">
        <v>1263</v>
      </c>
      <c r="E796" s="183">
        <v>1805</v>
      </c>
      <c r="F796" s="183"/>
      <c r="G796" s="183" t="s">
        <v>217</v>
      </c>
      <c r="H796" s="184">
        <v>1</v>
      </c>
      <c r="I796" s="240">
        <v>318.5</v>
      </c>
      <c r="J796" s="240">
        <v>318.5</v>
      </c>
    </row>
    <row r="797" spans="1:10" ht="28.5" x14ac:dyDescent="0.25">
      <c r="A797" s="191" t="s">
        <v>62</v>
      </c>
      <c r="B797" s="191" t="s">
        <v>1264</v>
      </c>
      <c r="C797" s="191" t="s">
        <v>785</v>
      </c>
      <c r="D797" s="191" t="s">
        <v>1265</v>
      </c>
      <c r="E797" s="191" t="s">
        <v>120</v>
      </c>
      <c r="F797" s="191"/>
      <c r="G797" s="191" t="s">
        <v>129</v>
      </c>
      <c r="H797" s="192">
        <v>5.8400000000000001E-2</v>
      </c>
      <c r="I797" s="244">
        <v>11.8</v>
      </c>
      <c r="J797" s="244">
        <v>0.68</v>
      </c>
    </row>
    <row r="798" spans="1:10" ht="28.5" x14ac:dyDescent="0.25">
      <c r="A798" s="191" t="s">
        <v>62</v>
      </c>
      <c r="B798" s="191" t="s">
        <v>1266</v>
      </c>
      <c r="C798" s="191" t="s">
        <v>785</v>
      </c>
      <c r="D798" s="191" t="s">
        <v>1267</v>
      </c>
      <c r="E798" s="191" t="s">
        <v>120</v>
      </c>
      <c r="F798" s="191"/>
      <c r="G798" s="191" t="s">
        <v>129</v>
      </c>
      <c r="H798" s="192">
        <v>0.56820000000000004</v>
      </c>
      <c r="I798" s="244">
        <v>8.94</v>
      </c>
      <c r="J798" s="244">
        <v>5.07</v>
      </c>
    </row>
    <row r="799" spans="1:10" ht="57" x14ac:dyDescent="0.25">
      <c r="A799" s="191" t="s">
        <v>62</v>
      </c>
      <c r="B799" s="191" t="s">
        <v>1268</v>
      </c>
      <c r="C799" s="191" t="s">
        <v>785</v>
      </c>
      <c r="D799" s="191" t="s">
        <v>1269</v>
      </c>
      <c r="E799" s="191" t="s">
        <v>120</v>
      </c>
      <c r="F799" s="191"/>
      <c r="G799" s="191" t="s">
        <v>129</v>
      </c>
      <c r="H799" s="192">
        <v>0.14199999999999999</v>
      </c>
      <c r="I799" s="244">
        <v>126.45</v>
      </c>
      <c r="J799" s="244">
        <v>17.95</v>
      </c>
    </row>
    <row r="800" spans="1:10" ht="28.5" x14ac:dyDescent="0.25">
      <c r="A800" s="191" t="s">
        <v>62</v>
      </c>
      <c r="B800" s="191" t="s">
        <v>1270</v>
      </c>
      <c r="C800" s="191" t="s">
        <v>785</v>
      </c>
      <c r="D800" s="191" t="s">
        <v>1271</v>
      </c>
      <c r="E800" s="191" t="s">
        <v>120</v>
      </c>
      <c r="F800" s="191"/>
      <c r="G800" s="191" t="s">
        <v>183</v>
      </c>
      <c r="H800" s="192">
        <v>1.84E-2</v>
      </c>
      <c r="I800" s="244">
        <v>28.9</v>
      </c>
      <c r="J800" s="244">
        <v>0.53</v>
      </c>
    </row>
    <row r="801" spans="1:10" ht="28.5" x14ac:dyDescent="0.25">
      <c r="A801" s="191" t="s">
        <v>62</v>
      </c>
      <c r="B801" s="191" t="s">
        <v>1272</v>
      </c>
      <c r="C801" s="191" t="s">
        <v>785</v>
      </c>
      <c r="D801" s="191" t="s">
        <v>1273</v>
      </c>
      <c r="E801" s="191" t="s">
        <v>120</v>
      </c>
      <c r="F801" s="191"/>
      <c r="G801" s="191" t="s">
        <v>129</v>
      </c>
      <c r="H801" s="192">
        <v>0.29759999999999998</v>
      </c>
      <c r="I801" s="244">
        <v>3.87</v>
      </c>
      <c r="J801" s="244">
        <v>1.1499999999999999</v>
      </c>
    </row>
    <row r="802" spans="1:10" ht="28.5" x14ac:dyDescent="0.25">
      <c r="A802" s="191" t="s">
        <v>62</v>
      </c>
      <c r="B802" s="191" t="s">
        <v>1274</v>
      </c>
      <c r="C802" s="191" t="s">
        <v>785</v>
      </c>
      <c r="D802" s="191" t="s">
        <v>1275</v>
      </c>
      <c r="E802" s="191" t="s">
        <v>120</v>
      </c>
      <c r="F802" s="191"/>
      <c r="G802" s="191" t="s">
        <v>129</v>
      </c>
      <c r="H802" s="192">
        <v>1</v>
      </c>
      <c r="I802" s="244">
        <v>71.37</v>
      </c>
      <c r="J802" s="244">
        <v>71.37</v>
      </c>
    </row>
    <row r="803" spans="1:10" ht="28.5" x14ac:dyDescent="0.25">
      <c r="A803" s="191" t="s">
        <v>62</v>
      </c>
      <c r="B803" s="191" t="s">
        <v>1276</v>
      </c>
      <c r="C803" s="191" t="s">
        <v>785</v>
      </c>
      <c r="D803" s="191" t="s">
        <v>1277</v>
      </c>
      <c r="E803" s="191" t="s">
        <v>124</v>
      </c>
      <c r="F803" s="191"/>
      <c r="G803" s="191" t="s">
        <v>60</v>
      </c>
      <c r="H803" s="192">
        <v>1.3187</v>
      </c>
      <c r="I803" s="244">
        <v>29.14</v>
      </c>
      <c r="J803" s="244">
        <v>38.42</v>
      </c>
    </row>
    <row r="804" spans="1:10" ht="28.5" x14ac:dyDescent="0.25">
      <c r="A804" s="191" t="s">
        <v>62</v>
      </c>
      <c r="B804" s="191" t="s">
        <v>1278</v>
      </c>
      <c r="C804" s="191" t="s">
        <v>785</v>
      </c>
      <c r="D804" s="191" t="s">
        <v>1279</v>
      </c>
      <c r="E804" s="191" t="s">
        <v>120</v>
      </c>
      <c r="F804" s="191"/>
      <c r="G804" s="191" t="s">
        <v>129</v>
      </c>
      <c r="H804" s="192">
        <v>5.9499999999999997E-2</v>
      </c>
      <c r="I804" s="244">
        <v>13.6</v>
      </c>
      <c r="J804" s="244">
        <v>0.8</v>
      </c>
    </row>
    <row r="805" spans="1:10" ht="28.5" x14ac:dyDescent="0.25">
      <c r="A805" s="191" t="s">
        <v>62</v>
      </c>
      <c r="B805" s="191" t="s">
        <v>1280</v>
      </c>
      <c r="C805" s="191" t="s">
        <v>785</v>
      </c>
      <c r="D805" s="191" t="s">
        <v>1281</v>
      </c>
      <c r="E805" s="191" t="s">
        <v>120</v>
      </c>
      <c r="F805" s="191"/>
      <c r="G805" s="191" t="s">
        <v>183</v>
      </c>
      <c r="H805" s="192">
        <v>14.9176</v>
      </c>
      <c r="I805" s="244">
        <v>8.84</v>
      </c>
      <c r="J805" s="244">
        <v>131.87</v>
      </c>
    </row>
    <row r="806" spans="1:10" ht="28.5" x14ac:dyDescent="0.25">
      <c r="A806" s="191" t="s">
        <v>62</v>
      </c>
      <c r="B806" s="191" t="s">
        <v>1282</v>
      </c>
      <c r="C806" s="191" t="s">
        <v>785</v>
      </c>
      <c r="D806" s="191" t="s">
        <v>1283</v>
      </c>
      <c r="E806" s="191" t="s">
        <v>120</v>
      </c>
      <c r="F806" s="191"/>
      <c r="G806" s="191" t="s">
        <v>183</v>
      </c>
      <c r="H806" s="192">
        <v>0.23810000000000001</v>
      </c>
      <c r="I806" s="244">
        <v>35.78</v>
      </c>
      <c r="J806" s="244">
        <v>8.51</v>
      </c>
    </row>
    <row r="807" spans="1:10" ht="28.5" x14ac:dyDescent="0.25">
      <c r="A807" s="191" t="s">
        <v>62</v>
      </c>
      <c r="B807" s="191" t="s">
        <v>1284</v>
      </c>
      <c r="C807" s="191" t="s">
        <v>785</v>
      </c>
      <c r="D807" s="191" t="s">
        <v>184</v>
      </c>
      <c r="E807" s="191" t="s">
        <v>120</v>
      </c>
      <c r="F807" s="191"/>
      <c r="G807" s="191" t="s">
        <v>183</v>
      </c>
      <c r="H807" s="192">
        <v>5</v>
      </c>
      <c r="I807" s="244">
        <v>0.63</v>
      </c>
      <c r="J807" s="244">
        <v>3.15</v>
      </c>
    </row>
    <row r="808" spans="1:10" ht="28.5" x14ac:dyDescent="0.25">
      <c r="A808" s="191" t="s">
        <v>62</v>
      </c>
      <c r="B808" s="191" t="s">
        <v>1285</v>
      </c>
      <c r="C808" s="191" t="s">
        <v>785</v>
      </c>
      <c r="D808" s="191" t="s">
        <v>1286</v>
      </c>
      <c r="E808" s="191" t="s">
        <v>120</v>
      </c>
      <c r="F808" s="191"/>
      <c r="G808" s="191" t="s">
        <v>191</v>
      </c>
      <c r="H808" s="192">
        <v>1.43E-2</v>
      </c>
      <c r="I808" s="244">
        <v>169.62</v>
      </c>
      <c r="J808" s="244">
        <v>2.42</v>
      </c>
    </row>
    <row r="809" spans="1:10" ht="28.5" x14ac:dyDescent="0.25">
      <c r="A809" s="191" t="s">
        <v>62</v>
      </c>
      <c r="B809" s="191" t="s">
        <v>799</v>
      </c>
      <c r="C809" s="191" t="s">
        <v>785</v>
      </c>
      <c r="D809" s="191" t="s">
        <v>188</v>
      </c>
      <c r="E809" s="191" t="s">
        <v>124</v>
      </c>
      <c r="F809" s="191"/>
      <c r="G809" s="191" t="s">
        <v>60</v>
      </c>
      <c r="H809" s="192">
        <v>1.2222999999999999</v>
      </c>
      <c r="I809" s="244">
        <v>20.21</v>
      </c>
      <c r="J809" s="244">
        <v>24.7</v>
      </c>
    </row>
    <row r="810" spans="1:10" ht="28.5" x14ac:dyDescent="0.25">
      <c r="A810" s="191" t="s">
        <v>62</v>
      </c>
      <c r="B810" s="191" t="s">
        <v>1287</v>
      </c>
      <c r="C810" s="191" t="s">
        <v>785</v>
      </c>
      <c r="D810" s="191" t="s">
        <v>1288</v>
      </c>
      <c r="E810" s="191" t="s">
        <v>120</v>
      </c>
      <c r="F810" s="191"/>
      <c r="G810" s="191" t="s">
        <v>129</v>
      </c>
      <c r="H810" s="192">
        <v>0.56820000000000004</v>
      </c>
      <c r="I810" s="244">
        <v>10.02</v>
      </c>
      <c r="J810" s="244">
        <v>5.69</v>
      </c>
    </row>
    <row r="811" spans="1:10" ht="42.75" x14ac:dyDescent="0.25">
      <c r="A811" s="191" t="s">
        <v>62</v>
      </c>
      <c r="B811" s="191" t="s">
        <v>1289</v>
      </c>
      <c r="C811" s="191" t="s">
        <v>785</v>
      </c>
      <c r="D811" s="191" t="s">
        <v>1290</v>
      </c>
      <c r="E811" s="191" t="s">
        <v>120</v>
      </c>
      <c r="F811" s="191"/>
      <c r="G811" s="191" t="s">
        <v>129</v>
      </c>
      <c r="H811" s="192">
        <v>0.56820000000000004</v>
      </c>
      <c r="I811" s="244">
        <v>10.9</v>
      </c>
      <c r="J811" s="244">
        <v>6.19</v>
      </c>
    </row>
    <row r="812" spans="1:10" x14ac:dyDescent="0.25">
      <c r="A812" s="187"/>
      <c r="B812" s="187"/>
      <c r="C812" s="187"/>
      <c r="D812" s="187"/>
      <c r="E812" s="187" t="s">
        <v>756</v>
      </c>
      <c r="F812" s="188">
        <v>63.12</v>
      </c>
      <c r="G812" s="187" t="s">
        <v>757</v>
      </c>
      <c r="H812" s="188">
        <v>0</v>
      </c>
      <c r="I812" s="242" t="s">
        <v>758</v>
      </c>
      <c r="J812" s="242">
        <v>63.12</v>
      </c>
    </row>
    <row r="813" spans="1:10" x14ac:dyDescent="0.25">
      <c r="A813" s="187"/>
      <c r="B813" s="187"/>
      <c r="C813" s="187"/>
      <c r="D813" s="187"/>
      <c r="E813" s="187" t="s">
        <v>759</v>
      </c>
      <c r="F813" s="188">
        <v>0</v>
      </c>
      <c r="G813" s="187"/>
      <c r="H813" s="187" t="s">
        <v>760</v>
      </c>
      <c r="I813" s="242"/>
      <c r="J813" s="242">
        <v>318.5</v>
      </c>
    </row>
    <row r="814" spans="1:10" x14ac:dyDescent="0.25">
      <c r="A814" s="182"/>
      <c r="B814" s="182"/>
      <c r="C814" s="182"/>
      <c r="D814" s="182"/>
      <c r="E814" s="182"/>
      <c r="F814" s="182"/>
      <c r="G814" s="182" t="s">
        <v>761</v>
      </c>
      <c r="H814" s="189" t="s">
        <v>1291</v>
      </c>
      <c r="I814" s="239" t="s">
        <v>763</v>
      </c>
      <c r="J814" s="239">
        <v>4315.67</v>
      </c>
    </row>
    <row r="815" spans="1:10" x14ac:dyDescent="0.25">
      <c r="A815" s="183"/>
      <c r="B815" s="183"/>
      <c r="C815" s="183"/>
      <c r="D815" s="183"/>
      <c r="E815" s="183"/>
      <c r="F815" s="183"/>
      <c r="G815" s="183"/>
      <c r="H815" s="183"/>
      <c r="I815" s="240"/>
      <c r="J815" s="240"/>
    </row>
    <row r="816" spans="1:10" x14ac:dyDescent="0.25">
      <c r="A816" s="182" t="s">
        <v>1292</v>
      </c>
      <c r="B816" s="182" t="s">
        <v>66</v>
      </c>
      <c r="C816" s="182" t="s">
        <v>64</v>
      </c>
      <c r="D816" s="182" t="s">
        <v>67</v>
      </c>
      <c r="E816" s="182" t="s">
        <v>65</v>
      </c>
      <c r="F816" s="182"/>
      <c r="G816" s="182" t="s">
        <v>744</v>
      </c>
      <c r="H816" s="182" t="s">
        <v>69</v>
      </c>
      <c r="I816" s="239" t="s">
        <v>745</v>
      </c>
      <c r="J816" s="239" t="s">
        <v>0</v>
      </c>
    </row>
    <row r="817" spans="1:10" ht="99.75" x14ac:dyDescent="0.25">
      <c r="A817" s="183" t="s">
        <v>58</v>
      </c>
      <c r="B817" s="183" t="s">
        <v>1293</v>
      </c>
      <c r="C817" s="183" t="s">
        <v>165</v>
      </c>
      <c r="D817" s="183" t="s">
        <v>1294</v>
      </c>
      <c r="E817" s="183" t="s">
        <v>1245</v>
      </c>
      <c r="F817" s="183"/>
      <c r="G817" s="183" t="s">
        <v>217</v>
      </c>
      <c r="H817" s="184">
        <v>1</v>
      </c>
      <c r="I817" s="240">
        <v>500.45</v>
      </c>
      <c r="J817" s="240">
        <v>500.45</v>
      </c>
    </row>
    <row r="818" spans="1:10" ht="28.5" x14ac:dyDescent="0.25">
      <c r="A818" s="185" t="s">
        <v>119</v>
      </c>
      <c r="B818" s="185" t="s">
        <v>894</v>
      </c>
      <c r="C818" s="185" t="s">
        <v>59</v>
      </c>
      <c r="D818" s="185" t="s">
        <v>126</v>
      </c>
      <c r="E818" s="185" t="s">
        <v>754</v>
      </c>
      <c r="F818" s="185"/>
      <c r="G818" s="185" t="s">
        <v>60</v>
      </c>
      <c r="H818" s="186">
        <v>0.28199999999999997</v>
      </c>
      <c r="I818" s="241">
        <v>32.15</v>
      </c>
      <c r="J818" s="241">
        <v>9.06</v>
      </c>
    </row>
    <row r="819" spans="1:10" ht="28.5" x14ac:dyDescent="0.25">
      <c r="A819" s="185" t="s">
        <v>119</v>
      </c>
      <c r="B819" s="185" t="s">
        <v>769</v>
      </c>
      <c r="C819" s="185" t="s">
        <v>59</v>
      </c>
      <c r="D819" s="185" t="s">
        <v>115</v>
      </c>
      <c r="E819" s="185" t="s">
        <v>754</v>
      </c>
      <c r="F819" s="185"/>
      <c r="G819" s="185" t="s">
        <v>60</v>
      </c>
      <c r="H819" s="186">
        <v>0.14099999999999999</v>
      </c>
      <c r="I819" s="241">
        <v>22.42</v>
      </c>
      <c r="J819" s="241">
        <v>3.16</v>
      </c>
    </row>
    <row r="820" spans="1:10" ht="71.25" x14ac:dyDescent="0.25">
      <c r="A820" s="191" t="s">
        <v>62</v>
      </c>
      <c r="B820" s="191" t="s">
        <v>1295</v>
      </c>
      <c r="C820" s="191" t="s">
        <v>59</v>
      </c>
      <c r="D820" s="191" t="s">
        <v>1296</v>
      </c>
      <c r="E820" s="191" t="s">
        <v>120</v>
      </c>
      <c r="F820" s="191"/>
      <c r="G820" s="191" t="s">
        <v>61</v>
      </c>
      <c r="H820" s="192">
        <v>4.72</v>
      </c>
      <c r="I820" s="244">
        <v>0.79</v>
      </c>
      <c r="J820" s="244">
        <v>3.72</v>
      </c>
    </row>
    <row r="821" spans="1:10" ht="85.5" x14ac:dyDescent="0.25">
      <c r="A821" s="191" t="s">
        <v>62</v>
      </c>
      <c r="B821" s="191" t="s">
        <v>1297</v>
      </c>
      <c r="C821" s="191" t="s">
        <v>59</v>
      </c>
      <c r="D821" s="191" t="s">
        <v>1298</v>
      </c>
      <c r="E821" s="191" t="s">
        <v>120</v>
      </c>
      <c r="F821" s="191"/>
      <c r="G821" s="191" t="s">
        <v>116</v>
      </c>
      <c r="H821" s="192">
        <v>2.202</v>
      </c>
      <c r="I821" s="244">
        <v>27.85</v>
      </c>
      <c r="J821" s="244">
        <v>61.32</v>
      </c>
    </row>
    <row r="822" spans="1:10" ht="57" x14ac:dyDescent="0.25">
      <c r="A822" s="191" t="s">
        <v>62</v>
      </c>
      <c r="B822" s="191" t="s">
        <v>1299</v>
      </c>
      <c r="C822" s="191" t="s">
        <v>59</v>
      </c>
      <c r="D822" s="191" t="s">
        <v>1300</v>
      </c>
      <c r="E822" s="191" t="s">
        <v>120</v>
      </c>
      <c r="F822" s="191"/>
      <c r="G822" s="191" t="s">
        <v>1301</v>
      </c>
      <c r="H822" s="192">
        <v>6.3700000000000007E-2</v>
      </c>
      <c r="I822" s="244">
        <v>34.909999999999997</v>
      </c>
      <c r="J822" s="244">
        <v>2.2200000000000002</v>
      </c>
    </row>
    <row r="823" spans="1:10" ht="99.75" x14ac:dyDescent="0.25">
      <c r="A823" s="191" t="s">
        <v>62</v>
      </c>
      <c r="B823" s="191" t="s">
        <v>1302</v>
      </c>
      <c r="C823" s="191" t="s">
        <v>59</v>
      </c>
      <c r="D823" s="191" t="s">
        <v>1303</v>
      </c>
      <c r="E823" s="191" t="s">
        <v>120</v>
      </c>
      <c r="F823" s="191"/>
      <c r="G823" s="191" t="s">
        <v>217</v>
      </c>
      <c r="H823" s="192">
        <v>1</v>
      </c>
      <c r="I823" s="244">
        <v>420.97</v>
      </c>
      <c r="J823" s="244">
        <v>420.97</v>
      </c>
    </row>
    <row r="824" spans="1:10" x14ac:dyDescent="0.25">
      <c r="A824" s="187"/>
      <c r="B824" s="187"/>
      <c r="C824" s="187"/>
      <c r="D824" s="187"/>
      <c r="E824" s="187" t="s">
        <v>756</v>
      </c>
      <c r="F824" s="188">
        <v>9.0500000000000007</v>
      </c>
      <c r="G824" s="187" t="s">
        <v>757</v>
      </c>
      <c r="H824" s="188">
        <v>0</v>
      </c>
      <c r="I824" s="242" t="s">
        <v>758</v>
      </c>
      <c r="J824" s="242">
        <v>9.0500000000000007</v>
      </c>
    </row>
    <row r="825" spans="1:10" x14ac:dyDescent="0.25">
      <c r="A825" s="187"/>
      <c r="B825" s="187"/>
      <c r="C825" s="187"/>
      <c r="D825" s="187"/>
      <c r="E825" s="187" t="s">
        <v>759</v>
      </c>
      <c r="F825" s="188">
        <v>0</v>
      </c>
      <c r="G825" s="187"/>
      <c r="H825" s="187" t="s">
        <v>760</v>
      </c>
      <c r="I825" s="242"/>
      <c r="J825" s="242">
        <v>500.45</v>
      </c>
    </row>
    <row r="826" spans="1:10" x14ac:dyDescent="0.25">
      <c r="A826" s="182"/>
      <c r="B826" s="182"/>
      <c r="C826" s="182"/>
      <c r="D826" s="182"/>
      <c r="E826" s="182"/>
      <c r="F826" s="182"/>
      <c r="G826" s="182" t="s">
        <v>761</v>
      </c>
      <c r="H826" s="189" t="s">
        <v>1304</v>
      </c>
      <c r="I826" s="239" t="s">
        <v>763</v>
      </c>
      <c r="J826" s="239">
        <v>1576.41</v>
      </c>
    </row>
    <row r="827" spans="1:10" x14ac:dyDescent="0.25">
      <c r="A827" s="183"/>
      <c r="B827" s="183"/>
      <c r="C827" s="183"/>
      <c r="D827" s="183"/>
      <c r="E827" s="183"/>
      <c r="F827" s="183"/>
      <c r="G827" s="183"/>
      <c r="H827" s="183"/>
      <c r="I827" s="240"/>
      <c r="J827" s="240"/>
    </row>
    <row r="828" spans="1:10" x14ac:dyDescent="0.25">
      <c r="A828" s="182" t="s">
        <v>1305</v>
      </c>
      <c r="B828" s="182" t="s">
        <v>66</v>
      </c>
      <c r="C828" s="182" t="s">
        <v>64</v>
      </c>
      <c r="D828" s="182" t="s">
        <v>67</v>
      </c>
      <c r="E828" s="182" t="s">
        <v>65</v>
      </c>
      <c r="F828" s="182"/>
      <c r="G828" s="182" t="s">
        <v>744</v>
      </c>
      <c r="H828" s="182" t="s">
        <v>69</v>
      </c>
      <c r="I828" s="239" t="s">
        <v>745</v>
      </c>
      <c r="J828" s="239" t="s">
        <v>0</v>
      </c>
    </row>
    <row r="829" spans="1:10" ht="28.5" x14ac:dyDescent="0.25">
      <c r="A829" s="183" t="s">
        <v>58</v>
      </c>
      <c r="B829" s="183" t="s">
        <v>1306</v>
      </c>
      <c r="C829" s="183" t="s">
        <v>785</v>
      </c>
      <c r="D829" s="183" t="s">
        <v>1307</v>
      </c>
      <c r="E829" s="183">
        <v>1803</v>
      </c>
      <c r="F829" s="183"/>
      <c r="G829" s="183" t="s">
        <v>217</v>
      </c>
      <c r="H829" s="184">
        <v>1</v>
      </c>
      <c r="I829" s="240">
        <v>495.28</v>
      </c>
      <c r="J829" s="240">
        <v>495.28</v>
      </c>
    </row>
    <row r="830" spans="1:10" ht="42.75" x14ac:dyDescent="0.25">
      <c r="A830" s="191" t="s">
        <v>62</v>
      </c>
      <c r="B830" s="191" t="s">
        <v>1308</v>
      </c>
      <c r="C830" s="191" t="s">
        <v>785</v>
      </c>
      <c r="D830" s="191" t="s">
        <v>1309</v>
      </c>
      <c r="E830" s="191" t="s">
        <v>120</v>
      </c>
      <c r="F830" s="191"/>
      <c r="G830" s="191" t="s">
        <v>129</v>
      </c>
      <c r="H830" s="192">
        <v>0.37040000000000001</v>
      </c>
      <c r="I830" s="244">
        <v>8.89</v>
      </c>
      <c r="J830" s="244">
        <v>3.29</v>
      </c>
    </row>
    <row r="831" spans="1:10" ht="28.5" x14ac:dyDescent="0.25">
      <c r="A831" s="191" t="s">
        <v>62</v>
      </c>
      <c r="B831" s="191" t="s">
        <v>1310</v>
      </c>
      <c r="C831" s="191" t="s">
        <v>785</v>
      </c>
      <c r="D831" s="191" t="s">
        <v>1311</v>
      </c>
      <c r="E831" s="191" t="s">
        <v>120</v>
      </c>
      <c r="F831" s="191"/>
      <c r="G831" s="191" t="s">
        <v>129</v>
      </c>
      <c r="H831" s="192">
        <v>0.74070000000000003</v>
      </c>
      <c r="I831" s="244">
        <v>26.96</v>
      </c>
      <c r="J831" s="244">
        <v>19.96</v>
      </c>
    </row>
    <row r="832" spans="1:10" ht="28.5" x14ac:dyDescent="0.25">
      <c r="A832" s="191" t="s">
        <v>62</v>
      </c>
      <c r="B832" s="191" t="s">
        <v>1312</v>
      </c>
      <c r="C832" s="191" t="s">
        <v>785</v>
      </c>
      <c r="D832" s="191" t="s">
        <v>1313</v>
      </c>
      <c r="E832" s="191" t="s">
        <v>120</v>
      </c>
      <c r="F832" s="191"/>
      <c r="G832" s="191" t="s">
        <v>183</v>
      </c>
      <c r="H832" s="192">
        <v>14.4063</v>
      </c>
      <c r="I832" s="244">
        <v>11.98</v>
      </c>
      <c r="J832" s="244">
        <v>172.58</v>
      </c>
    </row>
    <row r="833" spans="1:10" ht="28.5" x14ac:dyDescent="0.25">
      <c r="A833" s="191" t="s">
        <v>62</v>
      </c>
      <c r="B833" s="191" t="s">
        <v>1314</v>
      </c>
      <c r="C833" s="191" t="s">
        <v>785</v>
      </c>
      <c r="D833" s="191" t="s">
        <v>1315</v>
      </c>
      <c r="E833" s="191" t="s">
        <v>120</v>
      </c>
      <c r="F833" s="191"/>
      <c r="G833" s="191" t="s">
        <v>183</v>
      </c>
      <c r="H833" s="192">
        <v>1.8073999999999999</v>
      </c>
      <c r="I833" s="244">
        <v>9.93</v>
      </c>
      <c r="J833" s="244">
        <v>17.940000000000001</v>
      </c>
    </row>
    <row r="834" spans="1:10" ht="28.5" x14ac:dyDescent="0.25">
      <c r="A834" s="191" t="s">
        <v>62</v>
      </c>
      <c r="B834" s="191" t="s">
        <v>1272</v>
      </c>
      <c r="C834" s="191" t="s">
        <v>785</v>
      </c>
      <c r="D834" s="191" t="s">
        <v>1273</v>
      </c>
      <c r="E834" s="191" t="s">
        <v>120</v>
      </c>
      <c r="F834" s="191"/>
      <c r="G834" s="191" t="s">
        <v>129</v>
      </c>
      <c r="H834" s="192">
        <v>0.29759999999999998</v>
      </c>
      <c r="I834" s="244">
        <v>3.87</v>
      </c>
      <c r="J834" s="244">
        <v>1.1499999999999999</v>
      </c>
    </row>
    <row r="835" spans="1:10" ht="28.5" x14ac:dyDescent="0.25">
      <c r="A835" s="191" t="s">
        <v>62</v>
      </c>
      <c r="B835" s="191" t="s">
        <v>1270</v>
      </c>
      <c r="C835" s="191" t="s">
        <v>785</v>
      </c>
      <c r="D835" s="191" t="s">
        <v>1271</v>
      </c>
      <c r="E835" s="191" t="s">
        <v>120</v>
      </c>
      <c r="F835" s="191"/>
      <c r="G835" s="191" t="s">
        <v>183</v>
      </c>
      <c r="H835" s="192">
        <v>0.1409</v>
      </c>
      <c r="I835" s="244">
        <v>28.9</v>
      </c>
      <c r="J835" s="244">
        <v>4.07</v>
      </c>
    </row>
    <row r="836" spans="1:10" ht="28.5" x14ac:dyDescent="0.25">
      <c r="A836" s="191" t="s">
        <v>62</v>
      </c>
      <c r="B836" s="191" t="s">
        <v>799</v>
      </c>
      <c r="C836" s="191" t="s">
        <v>785</v>
      </c>
      <c r="D836" s="191" t="s">
        <v>188</v>
      </c>
      <c r="E836" s="191" t="s">
        <v>124</v>
      </c>
      <c r="F836" s="191"/>
      <c r="G836" s="191" t="s">
        <v>60</v>
      </c>
      <c r="H836" s="192">
        <v>1.2831999999999999</v>
      </c>
      <c r="I836" s="244">
        <v>20.21</v>
      </c>
      <c r="J836" s="244">
        <v>25.93</v>
      </c>
    </row>
    <row r="837" spans="1:10" ht="28.5" x14ac:dyDescent="0.25">
      <c r="A837" s="191" t="s">
        <v>62</v>
      </c>
      <c r="B837" s="191" t="s">
        <v>1264</v>
      </c>
      <c r="C837" s="191" t="s">
        <v>785</v>
      </c>
      <c r="D837" s="191" t="s">
        <v>1265</v>
      </c>
      <c r="E837" s="191" t="s">
        <v>120</v>
      </c>
      <c r="F837" s="191"/>
      <c r="G837" s="191" t="s">
        <v>129</v>
      </c>
      <c r="H837" s="192">
        <v>3.32E-2</v>
      </c>
      <c r="I837" s="244">
        <v>11.8</v>
      </c>
      <c r="J837" s="244">
        <v>0.39</v>
      </c>
    </row>
    <row r="838" spans="1:10" ht="28.5" x14ac:dyDescent="0.25">
      <c r="A838" s="191" t="s">
        <v>62</v>
      </c>
      <c r="B838" s="191" t="s">
        <v>1282</v>
      </c>
      <c r="C838" s="191" t="s">
        <v>785</v>
      </c>
      <c r="D838" s="191" t="s">
        <v>1283</v>
      </c>
      <c r="E838" s="191" t="s">
        <v>120</v>
      </c>
      <c r="F838" s="191"/>
      <c r="G838" s="191" t="s">
        <v>183</v>
      </c>
      <c r="H838" s="192">
        <v>0.23810000000000001</v>
      </c>
      <c r="I838" s="244">
        <v>35.78</v>
      </c>
      <c r="J838" s="244">
        <v>8.51</v>
      </c>
    </row>
    <row r="839" spans="1:10" ht="28.5" x14ac:dyDescent="0.25">
      <c r="A839" s="191" t="s">
        <v>62</v>
      </c>
      <c r="B839" s="191" t="s">
        <v>1316</v>
      </c>
      <c r="C839" s="191" t="s">
        <v>785</v>
      </c>
      <c r="D839" s="191" t="s">
        <v>1275</v>
      </c>
      <c r="E839" s="191" t="s">
        <v>120</v>
      </c>
      <c r="F839" s="191"/>
      <c r="G839" s="191" t="s">
        <v>129</v>
      </c>
      <c r="H839" s="192">
        <v>1</v>
      </c>
      <c r="I839" s="244">
        <v>122.48</v>
      </c>
      <c r="J839" s="244">
        <v>122.48</v>
      </c>
    </row>
    <row r="840" spans="1:10" ht="28.5" x14ac:dyDescent="0.25">
      <c r="A840" s="191" t="s">
        <v>62</v>
      </c>
      <c r="B840" s="191" t="s">
        <v>1317</v>
      </c>
      <c r="C840" s="191" t="s">
        <v>785</v>
      </c>
      <c r="D840" s="191" t="s">
        <v>1318</v>
      </c>
      <c r="E840" s="191" t="s">
        <v>120</v>
      </c>
      <c r="F840" s="191"/>
      <c r="G840" s="191" t="s">
        <v>129</v>
      </c>
      <c r="H840" s="192">
        <v>0.37040000000000001</v>
      </c>
      <c r="I840" s="244">
        <v>24.52</v>
      </c>
      <c r="J840" s="244">
        <v>9.08</v>
      </c>
    </row>
    <row r="841" spans="1:10" ht="28.5" x14ac:dyDescent="0.25">
      <c r="A841" s="191" t="s">
        <v>62</v>
      </c>
      <c r="B841" s="191" t="s">
        <v>1278</v>
      </c>
      <c r="C841" s="191" t="s">
        <v>785</v>
      </c>
      <c r="D841" s="191" t="s">
        <v>1279</v>
      </c>
      <c r="E841" s="191" t="s">
        <v>120</v>
      </c>
      <c r="F841" s="191"/>
      <c r="G841" s="191" t="s">
        <v>129</v>
      </c>
      <c r="H841" s="192">
        <v>5.9499999999999997E-2</v>
      </c>
      <c r="I841" s="244">
        <v>13.6</v>
      </c>
      <c r="J841" s="244">
        <v>0.8</v>
      </c>
    </row>
    <row r="842" spans="1:10" ht="28.5" x14ac:dyDescent="0.25">
      <c r="A842" s="191" t="s">
        <v>62</v>
      </c>
      <c r="B842" s="191" t="s">
        <v>1319</v>
      </c>
      <c r="C842" s="191" t="s">
        <v>785</v>
      </c>
      <c r="D842" s="191" t="s">
        <v>1320</v>
      </c>
      <c r="E842" s="191" t="s">
        <v>120</v>
      </c>
      <c r="F842" s="191"/>
      <c r="G842" s="191" t="s">
        <v>183</v>
      </c>
      <c r="H842" s="192">
        <v>8.5</v>
      </c>
      <c r="I842" s="244">
        <v>8.73</v>
      </c>
      <c r="J842" s="244">
        <v>74.2</v>
      </c>
    </row>
    <row r="843" spans="1:10" ht="28.5" x14ac:dyDescent="0.25">
      <c r="A843" s="191" t="s">
        <v>62</v>
      </c>
      <c r="B843" s="191" t="s">
        <v>1276</v>
      </c>
      <c r="C843" s="191" t="s">
        <v>785</v>
      </c>
      <c r="D843" s="191" t="s">
        <v>1277</v>
      </c>
      <c r="E843" s="191" t="s">
        <v>124</v>
      </c>
      <c r="F843" s="191"/>
      <c r="G843" s="191" t="s">
        <v>60</v>
      </c>
      <c r="H843" s="192">
        <v>1.1979</v>
      </c>
      <c r="I843" s="244">
        <v>29.14</v>
      </c>
      <c r="J843" s="244">
        <v>34.9</v>
      </c>
    </row>
    <row r="844" spans="1:10" x14ac:dyDescent="0.25">
      <c r="A844" s="187"/>
      <c r="B844" s="187"/>
      <c r="C844" s="187"/>
      <c r="D844" s="187"/>
      <c r="E844" s="187" t="s">
        <v>756</v>
      </c>
      <c r="F844" s="188">
        <v>60.83</v>
      </c>
      <c r="G844" s="187" t="s">
        <v>757</v>
      </c>
      <c r="H844" s="188">
        <v>0</v>
      </c>
      <c r="I844" s="242" t="s">
        <v>758</v>
      </c>
      <c r="J844" s="242">
        <v>60.83</v>
      </c>
    </row>
    <row r="845" spans="1:10" x14ac:dyDescent="0.25">
      <c r="A845" s="187"/>
      <c r="B845" s="187"/>
      <c r="C845" s="187"/>
      <c r="D845" s="187"/>
      <c r="E845" s="187" t="s">
        <v>759</v>
      </c>
      <c r="F845" s="188">
        <v>0</v>
      </c>
      <c r="G845" s="187"/>
      <c r="H845" s="187" t="s">
        <v>760</v>
      </c>
      <c r="I845" s="242"/>
      <c r="J845" s="242">
        <v>495.28</v>
      </c>
    </row>
    <row r="846" spans="1:10" x14ac:dyDescent="0.25">
      <c r="A846" s="182"/>
      <c r="B846" s="182"/>
      <c r="C846" s="182"/>
      <c r="D846" s="182"/>
      <c r="E846" s="182"/>
      <c r="F846" s="182"/>
      <c r="G846" s="182" t="s">
        <v>761</v>
      </c>
      <c r="H846" s="189" t="s">
        <v>1321</v>
      </c>
      <c r="I846" s="239" t="s">
        <v>763</v>
      </c>
      <c r="J846" s="239">
        <v>3328.28</v>
      </c>
    </row>
    <row r="847" spans="1:10" x14ac:dyDescent="0.25">
      <c r="A847" s="183"/>
      <c r="B847" s="183"/>
      <c r="C847" s="183"/>
      <c r="D847" s="183"/>
      <c r="E847" s="183"/>
      <c r="F847" s="183"/>
      <c r="G847" s="183"/>
      <c r="H847" s="183"/>
      <c r="I847" s="240"/>
      <c r="J847" s="240"/>
    </row>
    <row r="848" spans="1:10" x14ac:dyDescent="0.25">
      <c r="A848" s="182" t="s">
        <v>1322</v>
      </c>
      <c r="B848" s="182" t="s">
        <v>66</v>
      </c>
      <c r="C848" s="182" t="s">
        <v>64</v>
      </c>
      <c r="D848" s="182" t="s">
        <v>67</v>
      </c>
      <c r="E848" s="182" t="s">
        <v>65</v>
      </c>
      <c r="F848" s="182"/>
      <c r="G848" s="182" t="s">
        <v>744</v>
      </c>
      <c r="H848" s="182" t="s">
        <v>69</v>
      </c>
      <c r="I848" s="239" t="s">
        <v>745</v>
      </c>
      <c r="J848" s="239" t="s">
        <v>0</v>
      </c>
    </row>
    <row r="849" spans="1:10" ht="42.75" x14ac:dyDescent="0.25">
      <c r="A849" s="183" t="s">
        <v>58</v>
      </c>
      <c r="B849" s="183" t="s">
        <v>1323</v>
      </c>
      <c r="C849" s="183" t="s">
        <v>165</v>
      </c>
      <c r="D849" s="183" t="s">
        <v>1324</v>
      </c>
      <c r="E849" s="183" t="s">
        <v>1325</v>
      </c>
      <c r="F849" s="183"/>
      <c r="G849" s="183" t="s">
        <v>217</v>
      </c>
      <c r="H849" s="184">
        <v>1</v>
      </c>
      <c r="I849" s="240">
        <v>1094.43</v>
      </c>
      <c r="J849" s="240">
        <v>1094.43</v>
      </c>
    </row>
    <row r="850" spans="1:10" ht="71.25" x14ac:dyDescent="0.25">
      <c r="A850" s="185" t="s">
        <v>119</v>
      </c>
      <c r="B850" s="185" t="s">
        <v>1326</v>
      </c>
      <c r="C850" s="185" t="s">
        <v>59</v>
      </c>
      <c r="D850" s="185" t="s">
        <v>1327</v>
      </c>
      <c r="E850" s="185" t="s">
        <v>1073</v>
      </c>
      <c r="F850" s="185"/>
      <c r="G850" s="185" t="s">
        <v>191</v>
      </c>
      <c r="H850" s="186">
        <v>6.0000000000000001E-3</v>
      </c>
      <c r="I850" s="241">
        <v>723.3</v>
      </c>
      <c r="J850" s="241">
        <v>4.33</v>
      </c>
    </row>
    <row r="851" spans="1:10" ht="28.5" x14ac:dyDescent="0.25">
      <c r="A851" s="185" t="s">
        <v>119</v>
      </c>
      <c r="B851" s="185" t="s">
        <v>769</v>
      </c>
      <c r="C851" s="185" t="s">
        <v>59</v>
      </c>
      <c r="D851" s="185" t="s">
        <v>115</v>
      </c>
      <c r="E851" s="185" t="s">
        <v>754</v>
      </c>
      <c r="F851" s="185"/>
      <c r="G851" s="185" t="s">
        <v>60</v>
      </c>
      <c r="H851" s="186">
        <v>0.68</v>
      </c>
      <c r="I851" s="241">
        <v>22.42</v>
      </c>
      <c r="J851" s="241">
        <v>15.24</v>
      </c>
    </row>
    <row r="852" spans="1:10" ht="28.5" x14ac:dyDescent="0.25">
      <c r="A852" s="185" t="s">
        <v>119</v>
      </c>
      <c r="B852" s="185" t="s">
        <v>894</v>
      </c>
      <c r="C852" s="185" t="s">
        <v>59</v>
      </c>
      <c r="D852" s="185" t="s">
        <v>126</v>
      </c>
      <c r="E852" s="185" t="s">
        <v>754</v>
      </c>
      <c r="F852" s="185"/>
      <c r="G852" s="185" t="s">
        <v>60</v>
      </c>
      <c r="H852" s="186">
        <v>0.68</v>
      </c>
      <c r="I852" s="241">
        <v>32.15</v>
      </c>
      <c r="J852" s="241">
        <v>21.86</v>
      </c>
    </row>
    <row r="853" spans="1:10" ht="42.75" x14ac:dyDescent="0.25">
      <c r="A853" s="185" t="s">
        <v>119</v>
      </c>
      <c r="B853" s="185" t="s">
        <v>1328</v>
      </c>
      <c r="C853" s="185" t="s">
        <v>59</v>
      </c>
      <c r="D853" s="185" t="s">
        <v>1329</v>
      </c>
      <c r="E853" s="185" t="s">
        <v>754</v>
      </c>
      <c r="F853" s="185"/>
      <c r="G853" s="185" t="s">
        <v>60</v>
      </c>
      <c r="H853" s="186">
        <v>1</v>
      </c>
      <c r="I853" s="241">
        <v>30.33</v>
      </c>
      <c r="J853" s="241">
        <v>30.33</v>
      </c>
    </row>
    <row r="854" spans="1:10" ht="42.75" x14ac:dyDescent="0.25">
      <c r="A854" s="185" t="s">
        <v>119</v>
      </c>
      <c r="B854" s="185" t="s">
        <v>822</v>
      </c>
      <c r="C854" s="185" t="s">
        <v>59</v>
      </c>
      <c r="D854" s="185" t="s">
        <v>206</v>
      </c>
      <c r="E854" s="185" t="s">
        <v>754</v>
      </c>
      <c r="F854" s="185"/>
      <c r="G854" s="185" t="s">
        <v>60</v>
      </c>
      <c r="H854" s="186">
        <v>1</v>
      </c>
      <c r="I854" s="241">
        <v>22.54</v>
      </c>
      <c r="J854" s="241">
        <v>22.54</v>
      </c>
    </row>
    <row r="855" spans="1:10" ht="71.25" x14ac:dyDescent="0.25">
      <c r="A855" s="191" t="s">
        <v>62</v>
      </c>
      <c r="B855" s="191" t="s">
        <v>1330</v>
      </c>
      <c r="C855" s="191" t="s">
        <v>59</v>
      </c>
      <c r="D855" s="191" t="s">
        <v>1331</v>
      </c>
      <c r="E855" s="191" t="s">
        <v>120</v>
      </c>
      <c r="F855" s="191"/>
      <c r="G855" s="191" t="s">
        <v>217</v>
      </c>
      <c r="H855" s="192">
        <v>1</v>
      </c>
      <c r="I855" s="244">
        <v>788.56</v>
      </c>
      <c r="J855" s="244">
        <v>788.56</v>
      </c>
    </row>
    <row r="856" spans="1:10" ht="28.5" x14ac:dyDescent="0.25">
      <c r="A856" s="191" t="s">
        <v>62</v>
      </c>
      <c r="B856" s="191" t="s">
        <v>1332</v>
      </c>
      <c r="C856" s="191" t="s">
        <v>59</v>
      </c>
      <c r="D856" s="191" t="s">
        <v>1333</v>
      </c>
      <c r="E856" s="191" t="s">
        <v>120</v>
      </c>
      <c r="F856" s="191"/>
      <c r="G856" s="191" t="s">
        <v>121</v>
      </c>
      <c r="H856" s="192">
        <v>0.15</v>
      </c>
      <c r="I856" s="244">
        <v>21.63</v>
      </c>
      <c r="J856" s="244">
        <v>3.24</v>
      </c>
    </row>
    <row r="857" spans="1:10" ht="142.5" x14ac:dyDescent="0.25">
      <c r="A857" s="191" t="s">
        <v>62</v>
      </c>
      <c r="B857" s="191" t="s">
        <v>1334</v>
      </c>
      <c r="C857" s="191" t="s">
        <v>59</v>
      </c>
      <c r="D857" s="191" t="s">
        <v>1335</v>
      </c>
      <c r="E857" s="191" t="s">
        <v>120</v>
      </c>
      <c r="F857" s="191"/>
      <c r="G857" s="191" t="s">
        <v>1336</v>
      </c>
      <c r="H857" s="192">
        <v>0.55000000000000004</v>
      </c>
      <c r="I857" s="244">
        <v>252.4</v>
      </c>
      <c r="J857" s="244">
        <v>138.82</v>
      </c>
    </row>
    <row r="858" spans="1:10" ht="71.25" x14ac:dyDescent="0.25">
      <c r="A858" s="191" t="s">
        <v>62</v>
      </c>
      <c r="B858" s="191" t="s">
        <v>1337</v>
      </c>
      <c r="C858" s="191" t="s">
        <v>59</v>
      </c>
      <c r="D858" s="191" t="s">
        <v>1338</v>
      </c>
      <c r="E858" s="191" t="s">
        <v>120</v>
      </c>
      <c r="F858" s="191"/>
      <c r="G858" s="191" t="s">
        <v>116</v>
      </c>
      <c r="H858" s="192">
        <v>0.1071</v>
      </c>
      <c r="I858" s="244">
        <v>38.06</v>
      </c>
      <c r="J858" s="244">
        <v>4.07</v>
      </c>
    </row>
    <row r="859" spans="1:10" ht="71.25" x14ac:dyDescent="0.25">
      <c r="A859" s="191" t="s">
        <v>62</v>
      </c>
      <c r="B859" s="191" t="s">
        <v>1339</v>
      </c>
      <c r="C859" s="191" t="s">
        <v>59</v>
      </c>
      <c r="D859" s="191" t="s">
        <v>1340</v>
      </c>
      <c r="E859" s="191" t="s">
        <v>120</v>
      </c>
      <c r="F859" s="191"/>
      <c r="G859" s="191" t="s">
        <v>61</v>
      </c>
      <c r="H859" s="192">
        <v>2</v>
      </c>
      <c r="I859" s="244">
        <v>6.62</v>
      </c>
      <c r="J859" s="244">
        <v>13.24</v>
      </c>
    </row>
    <row r="860" spans="1:10" ht="57" x14ac:dyDescent="0.25">
      <c r="A860" s="191" t="s">
        <v>62</v>
      </c>
      <c r="B860" s="191" t="s">
        <v>1341</v>
      </c>
      <c r="C860" s="191" t="s">
        <v>59</v>
      </c>
      <c r="D860" s="191" t="s">
        <v>1342</v>
      </c>
      <c r="E860" s="191" t="s">
        <v>120</v>
      </c>
      <c r="F860" s="191"/>
      <c r="G860" s="191" t="s">
        <v>116</v>
      </c>
      <c r="H860" s="192">
        <v>1.2</v>
      </c>
      <c r="I860" s="244">
        <v>9.39</v>
      </c>
      <c r="J860" s="244">
        <v>11.26</v>
      </c>
    </row>
    <row r="861" spans="1:10" ht="99.75" x14ac:dyDescent="0.25">
      <c r="A861" s="191" t="s">
        <v>62</v>
      </c>
      <c r="B861" s="191" t="s">
        <v>1343</v>
      </c>
      <c r="C861" s="191" t="s">
        <v>59</v>
      </c>
      <c r="D861" s="191" t="s">
        <v>1344</v>
      </c>
      <c r="E861" s="191" t="s">
        <v>120</v>
      </c>
      <c r="F861" s="191"/>
      <c r="G861" s="191" t="s">
        <v>116</v>
      </c>
      <c r="H861" s="192">
        <v>5.96</v>
      </c>
      <c r="I861" s="244">
        <v>6.87</v>
      </c>
      <c r="J861" s="244">
        <v>40.94</v>
      </c>
    </row>
    <row r="862" spans="1:10" x14ac:dyDescent="0.25">
      <c r="A862" s="187"/>
      <c r="B862" s="187"/>
      <c r="C862" s="187"/>
      <c r="D862" s="187"/>
      <c r="E862" s="187" t="s">
        <v>756</v>
      </c>
      <c r="F862" s="188">
        <v>66.03</v>
      </c>
      <c r="G862" s="187" t="s">
        <v>757</v>
      </c>
      <c r="H862" s="188">
        <v>0</v>
      </c>
      <c r="I862" s="242" t="s">
        <v>758</v>
      </c>
      <c r="J862" s="242">
        <v>66.03</v>
      </c>
    </row>
    <row r="863" spans="1:10" x14ac:dyDescent="0.25">
      <c r="A863" s="187"/>
      <c r="B863" s="187"/>
      <c r="C863" s="187"/>
      <c r="D863" s="187"/>
      <c r="E863" s="187" t="s">
        <v>759</v>
      </c>
      <c r="F863" s="188">
        <v>0</v>
      </c>
      <c r="G863" s="187"/>
      <c r="H863" s="187" t="s">
        <v>760</v>
      </c>
      <c r="I863" s="242"/>
      <c r="J863" s="242">
        <v>1094.43</v>
      </c>
    </row>
    <row r="864" spans="1:10" x14ac:dyDescent="0.25">
      <c r="A864" s="182"/>
      <c r="B864" s="182"/>
      <c r="C864" s="182"/>
      <c r="D864" s="182"/>
      <c r="E864" s="182"/>
      <c r="F864" s="182"/>
      <c r="G864" s="182" t="s">
        <v>761</v>
      </c>
      <c r="H864" s="189" t="s">
        <v>1345</v>
      </c>
      <c r="I864" s="239" t="s">
        <v>763</v>
      </c>
      <c r="J864" s="239">
        <v>2528.13</v>
      </c>
    </row>
    <row r="865" spans="1:10" x14ac:dyDescent="0.25">
      <c r="A865" s="183"/>
      <c r="B865" s="183"/>
      <c r="C865" s="183"/>
      <c r="D865" s="183"/>
      <c r="E865" s="183"/>
      <c r="F865" s="183"/>
      <c r="G865" s="183"/>
      <c r="H865" s="183"/>
      <c r="I865" s="240"/>
      <c r="J865" s="240"/>
    </row>
    <row r="866" spans="1:10" x14ac:dyDescent="0.25">
      <c r="A866" s="190" t="s">
        <v>1346</v>
      </c>
      <c r="B866" s="190"/>
      <c r="C866" s="190"/>
      <c r="D866" s="190" t="s">
        <v>605</v>
      </c>
      <c r="E866" s="190"/>
      <c r="F866" s="190"/>
      <c r="G866" s="190"/>
      <c r="H866" s="190"/>
      <c r="I866" s="243"/>
      <c r="J866" s="243">
        <v>53827.49</v>
      </c>
    </row>
    <row r="867" spans="1:10" x14ac:dyDescent="0.25">
      <c r="A867" s="182" t="s">
        <v>1347</v>
      </c>
      <c r="B867" s="182" t="s">
        <v>66</v>
      </c>
      <c r="C867" s="182" t="s">
        <v>64</v>
      </c>
      <c r="D867" s="182" t="s">
        <v>67</v>
      </c>
      <c r="E867" s="182" t="s">
        <v>65</v>
      </c>
      <c r="F867" s="182"/>
      <c r="G867" s="182" t="s">
        <v>744</v>
      </c>
      <c r="H867" s="182" t="s">
        <v>69</v>
      </c>
      <c r="I867" s="239" t="s">
        <v>745</v>
      </c>
      <c r="J867" s="239" t="s">
        <v>0</v>
      </c>
    </row>
    <row r="868" spans="1:10" ht="42.75" x14ac:dyDescent="0.25">
      <c r="A868" s="183" t="s">
        <v>58</v>
      </c>
      <c r="B868" s="183" t="s">
        <v>1348</v>
      </c>
      <c r="C868" s="183" t="s">
        <v>59</v>
      </c>
      <c r="D868" s="183" t="s">
        <v>1349</v>
      </c>
      <c r="E868" s="183" t="s">
        <v>1350</v>
      </c>
      <c r="F868" s="183"/>
      <c r="G868" s="183" t="s">
        <v>217</v>
      </c>
      <c r="H868" s="184">
        <v>1</v>
      </c>
      <c r="I868" s="240">
        <v>4.76</v>
      </c>
      <c r="J868" s="240">
        <v>4.76</v>
      </c>
    </row>
    <row r="869" spans="1:10" ht="28.5" x14ac:dyDescent="0.25">
      <c r="A869" s="185" t="s">
        <v>119</v>
      </c>
      <c r="B869" s="185" t="s">
        <v>769</v>
      </c>
      <c r="C869" s="185" t="s">
        <v>59</v>
      </c>
      <c r="D869" s="185" t="s">
        <v>115</v>
      </c>
      <c r="E869" s="185" t="s">
        <v>754</v>
      </c>
      <c r="F869" s="185"/>
      <c r="G869" s="185" t="s">
        <v>60</v>
      </c>
      <c r="H869" s="186">
        <v>2.2200000000000001E-2</v>
      </c>
      <c r="I869" s="241">
        <v>22.42</v>
      </c>
      <c r="J869" s="241">
        <v>0.49</v>
      </c>
    </row>
    <row r="870" spans="1:10" ht="28.5" x14ac:dyDescent="0.25">
      <c r="A870" s="185" t="s">
        <v>119</v>
      </c>
      <c r="B870" s="185" t="s">
        <v>1351</v>
      </c>
      <c r="C870" s="185" t="s">
        <v>59</v>
      </c>
      <c r="D870" s="185" t="s">
        <v>1352</v>
      </c>
      <c r="E870" s="185" t="s">
        <v>754</v>
      </c>
      <c r="F870" s="185"/>
      <c r="G870" s="185" t="s">
        <v>60</v>
      </c>
      <c r="H870" s="186">
        <v>6.6600000000000006E-2</v>
      </c>
      <c r="I870" s="241">
        <v>33.799999999999997</v>
      </c>
      <c r="J870" s="241">
        <v>2.25</v>
      </c>
    </row>
    <row r="871" spans="1:10" ht="28.5" x14ac:dyDescent="0.25">
      <c r="A871" s="191" t="s">
        <v>62</v>
      </c>
      <c r="B871" s="191" t="s">
        <v>1353</v>
      </c>
      <c r="C871" s="191" t="s">
        <v>59</v>
      </c>
      <c r="D871" s="191" t="s">
        <v>1354</v>
      </c>
      <c r="E871" s="191" t="s">
        <v>120</v>
      </c>
      <c r="F871" s="191"/>
      <c r="G871" s="191" t="s">
        <v>127</v>
      </c>
      <c r="H871" s="192">
        <v>0.1666</v>
      </c>
      <c r="I871" s="244">
        <v>12.17</v>
      </c>
      <c r="J871" s="244">
        <v>2.02</v>
      </c>
    </row>
    <row r="872" spans="1:10" x14ac:dyDescent="0.25">
      <c r="A872" s="187"/>
      <c r="B872" s="187"/>
      <c r="C872" s="187"/>
      <c r="D872" s="187"/>
      <c r="E872" s="187" t="s">
        <v>756</v>
      </c>
      <c r="F872" s="188">
        <v>1.96</v>
      </c>
      <c r="G872" s="187" t="s">
        <v>757</v>
      </c>
      <c r="H872" s="188">
        <v>0</v>
      </c>
      <c r="I872" s="242" t="s">
        <v>758</v>
      </c>
      <c r="J872" s="242">
        <v>1.96</v>
      </c>
    </row>
    <row r="873" spans="1:10" x14ac:dyDescent="0.25">
      <c r="A873" s="187"/>
      <c r="B873" s="187"/>
      <c r="C873" s="187"/>
      <c r="D873" s="187"/>
      <c r="E873" s="187" t="s">
        <v>759</v>
      </c>
      <c r="F873" s="188">
        <v>0</v>
      </c>
      <c r="G873" s="187"/>
      <c r="H873" s="187" t="s">
        <v>760</v>
      </c>
      <c r="I873" s="242"/>
      <c r="J873" s="242">
        <v>4.76</v>
      </c>
    </row>
    <row r="874" spans="1:10" x14ac:dyDescent="0.25">
      <c r="A874" s="182"/>
      <c r="B874" s="182"/>
      <c r="C874" s="182"/>
      <c r="D874" s="182"/>
      <c r="E874" s="182"/>
      <c r="F874" s="182"/>
      <c r="G874" s="182" t="s">
        <v>761</v>
      </c>
      <c r="H874" s="189" t="s">
        <v>1110</v>
      </c>
      <c r="I874" s="239" t="s">
        <v>763</v>
      </c>
      <c r="J874" s="239">
        <v>5045.79</v>
      </c>
    </row>
    <row r="875" spans="1:10" x14ac:dyDescent="0.25">
      <c r="A875" s="183"/>
      <c r="B875" s="183"/>
      <c r="C875" s="183"/>
      <c r="D875" s="183"/>
      <c r="E875" s="183"/>
      <c r="F875" s="183"/>
      <c r="G875" s="183"/>
      <c r="H875" s="183"/>
      <c r="I875" s="240"/>
      <c r="J875" s="240"/>
    </row>
    <row r="876" spans="1:10" x14ac:dyDescent="0.25">
      <c r="A876" s="182" t="s">
        <v>1355</v>
      </c>
      <c r="B876" s="182" t="s">
        <v>66</v>
      </c>
      <c r="C876" s="182" t="s">
        <v>64</v>
      </c>
      <c r="D876" s="182" t="s">
        <v>67</v>
      </c>
      <c r="E876" s="182" t="s">
        <v>65</v>
      </c>
      <c r="F876" s="182"/>
      <c r="G876" s="182" t="s">
        <v>744</v>
      </c>
      <c r="H876" s="182" t="s">
        <v>69</v>
      </c>
      <c r="I876" s="239" t="s">
        <v>745</v>
      </c>
      <c r="J876" s="239" t="s">
        <v>0</v>
      </c>
    </row>
    <row r="877" spans="1:10" ht="57" x14ac:dyDescent="0.25">
      <c r="A877" s="183" t="s">
        <v>58</v>
      </c>
      <c r="B877" s="183" t="s">
        <v>1356</v>
      </c>
      <c r="C877" s="183" t="s">
        <v>59</v>
      </c>
      <c r="D877" s="183" t="s">
        <v>1357</v>
      </c>
      <c r="E877" s="183" t="s">
        <v>1358</v>
      </c>
      <c r="F877" s="183"/>
      <c r="G877" s="183" t="s">
        <v>217</v>
      </c>
      <c r="H877" s="184">
        <v>1</v>
      </c>
      <c r="I877" s="240">
        <v>5.69</v>
      </c>
      <c r="J877" s="240">
        <v>5.69</v>
      </c>
    </row>
    <row r="878" spans="1:10" ht="28.5" x14ac:dyDescent="0.25">
      <c r="A878" s="185" t="s">
        <v>119</v>
      </c>
      <c r="B878" s="185" t="s">
        <v>1351</v>
      </c>
      <c r="C878" s="185" t="s">
        <v>59</v>
      </c>
      <c r="D878" s="185" t="s">
        <v>1352</v>
      </c>
      <c r="E878" s="185" t="s">
        <v>754</v>
      </c>
      <c r="F878" s="185"/>
      <c r="G878" s="185" t="s">
        <v>60</v>
      </c>
      <c r="H878" s="186">
        <v>5.6599999999999998E-2</v>
      </c>
      <c r="I878" s="241">
        <v>33.799999999999997</v>
      </c>
      <c r="J878" s="241">
        <v>1.91</v>
      </c>
    </row>
    <row r="879" spans="1:10" ht="28.5" x14ac:dyDescent="0.25">
      <c r="A879" s="185" t="s">
        <v>119</v>
      </c>
      <c r="B879" s="185" t="s">
        <v>769</v>
      </c>
      <c r="C879" s="185" t="s">
        <v>59</v>
      </c>
      <c r="D879" s="185" t="s">
        <v>115</v>
      </c>
      <c r="E879" s="185" t="s">
        <v>754</v>
      </c>
      <c r="F879" s="185"/>
      <c r="G879" s="185" t="s">
        <v>60</v>
      </c>
      <c r="H879" s="186">
        <v>9.1999999999999998E-3</v>
      </c>
      <c r="I879" s="241">
        <v>22.42</v>
      </c>
      <c r="J879" s="241">
        <v>0.2</v>
      </c>
    </row>
    <row r="880" spans="1:10" ht="28.5" x14ac:dyDescent="0.25">
      <c r="A880" s="191" t="s">
        <v>62</v>
      </c>
      <c r="B880" s="191" t="s">
        <v>1353</v>
      </c>
      <c r="C880" s="191" t="s">
        <v>59</v>
      </c>
      <c r="D880" s="191" t="s">
        <v>1354</v>
      </c>
      <c r="E880" s="191" t="s">
        <v>120</v>
      </c>
      <c r="F880" s="191"/>
      <c r="G880" s="191" t="s">
        <v>127</v>
      </c>
      <c r="H880" s="192">
        <v>0.29471999999999998</v>
      </c>
      <c r="I880" s="244">
        <v>12.17</v>
      </c>
      <c r="J880" s="244">
        <v>3.58</v>
      </c>
    </row>
    <row r="881" spans="1:10" x14ac:dyDescent="0.25">
      <c r="A881" s="187"/>
      <c r="B881" s="187"/>
      <c r="C881" s="187"/>
      <c r="D881" s="187"/>
      <c r="E881" s="187" t="s">
        <v>756</v>
      </c>
      <c r="F881" s="188">
        <v>1.51</v>
      </c>
      <c r="G881" s="187" t="s">
        <v>757</v>
      </c>
      <c r="H881" s="188">
        <v>0</v>
      </c>
      <c r="I881" s="242" t="s">
        <v>758</v>
      </c>
      <c r="J881" s="242">
        <v>1.51</v>
      </c>
    </row>
    <row r="882" spans="1:10" x14ac:dyDescent="0.25">
      <c r="A882" s="187"/>
      <c r="B882" s="187"/>
      <c r="C882" s="187"/>
      <c r="D882" s="187"/>
      <c r="E882" s="187" t="s">
        <v>759</v>
      </c>
      <c r="F882" s="188">
        <v>0</v>
      </c>
      <c r="G882" s="187"/>
      <c r="H882" s="187" t="s">
        <v>760</v>
      </c>
      <c r="I882" s="242"/>
      <c r="J882" s="242">
        <v>5.69</v>
      </c>
    </row>
    <row r="883" spans="1:10" x14ac:dyDescent="0.25">
      <c r="A883" s="182"/>
      <c r="B883" s="182"/>
      <c r="C883" s="182"/>
      <c r="D883" s="182"/>
      <c r="E883" s="182"/>
      <c r="F883" s="182"/>
      <c r="G883" s="182" t="s">
        <v>761</v>
      </c>
      <c r="H883" s="189" t="s">
        <v>1359</v>
      </c>
      <c r="I883" s="239" t="s">
        <v>763</v>
      </c>
      <c r="J883" s="239">
        <v>2135.11</v>
      </c>
    </row>
    <row r="884" spans="1:10" x14ac:dyDescent="0.25">
      <c r="A884" s="183"/>
      <c r="B884" s="183"/>
      <c r="C884" s="183"/>
      <c r="D884" s="183"/>
      <c r="E884" s="183"/>
      <c r="F884" s="183"/>
      <c r="G884" s="183"/>
      <c r="H884" s="183"/>
      <c r="I884" s="240"/>
      <c r="J884" s="240"/>
    </row>
    <row r="885" spans="1:10" x14ac:dyDescent="0.25">
      <c r="A885" s="182" t="s">
        <v>1360</v>
      </c>
      <c r="B885" s="182" t="s">
        <v>66</v>
      </c>
      <c r="C885" s="182" t="s">
        <v>64</v>
      </c>
      <c r="D885" s="182" t="s">
        <v>67</v>
      </c>
      <c r="E885" s="182" t="s">
        <v>65</v>
      </c>
      <c r="F885" s="182"/>
      <c r="G885" s="182" t="s">
        <v>744</v>
      </c>
      <c r="H885" s="182" t="s">
        <v>69</v>
      </c>
      <c r="I885" s="239" t="s">
        <v>745</v>
      </c>
      <c r="J885" s="239" t="s">
        <v>0</v>
      </c>
    </row>
    <row r="886" spans="1:10" ht="57" x14ac:dyDescent="0.25">
      <c r="A886" s="183" t="s">
        <v>58</v>
      </c>
      <c r="B886" s="183" t="s">
        <v>1361</v>
      </c>
      <c r="C886" s="183" t="s">
        <v>59</v>
      </c>
      <c r="D886" s="183" t="s">
        <v>1362</v>
      </c>
      <c r="E886" s="183" t="s">
        <v>1350</v>
      </c>
      <c r="F886" s="183"/>
      <c r="G886" s="183" t="s">
        <v>217</v>
      </c>
      <c r="H886" s="184">
        <v>1</v>
      </c>
      <c r="I886" s="240">
        <v>18.440000000000001</v>
      </c>
      <c r="J886" s="240">
        <v>18.440000000000001</v>
      </c>
    </row>
    <row r="887" spans="1:10" ht="28.5" x14ac:dyDescent="0.25">
      <c r="A887" s="185" t="s">
        <v>119</v>
      </c>
      <c r="B887" s="185" t="s">
        <v>1351</v>
      </c>
      <c r="C887" s="185" t="s">
        <v>59</v>
      </c>
      <c r="D887" s="185" t="s">
        <v>1352</v>
      </c>
      <c r="E887" s="185" t="s">
        <v>754</v>
      </c>
      <c r="F887" s="185"/>
      <c r="G887" s="185" t="s">
        <v>60</v>
      </c>
      <c r="H887" s="186">
        <v>0.36099999999999999</v>
      </c>
      <c r="I887" s="241">
        <v>33.799999999999997</v>
      </c>
      <c r="J887" s="241">
        <v>12.2</v>
      </c>
    </row>
    <row r="888" spans="1:10" ht="28.5" x14ac:dyDescent="0.25">
      <c r="A888" s="185" t="s">
        <v>119</v>
      </c>
      <c r="B888" s="185" t="s">
        <v>769</v>
      </c>
      <c r="C888" s="185" t="s">
        <v>59</v>
      </c>
      <c r="D888" s="185" t="s">
        <v>115</v>
      </c>
      <c r="E888" s="185" t="s">
        <v>754</v>
      </c>
      <c r="F888" s="185"/>
      <c r="G888" s="185" t="s">
        <v>60</v>
      </c>
      <c r="H888" s="186">
        <v>0.1203</v>
      </c>
      <c r="I888" s="241">
        <v>22.42</v>
      </c>
      <c r="J888" s="241">
        <v>2.69</v>
      </c>
    </row>
    <row r="889" spans="1:10" ht="42.75" x14ac:dyDescent="0.25">
      <c r="A889" s="191" t="s">
        <v>62</v>
      </c>
      <c r="B889" s="191" t="s">
        <v>1363</v>
      </c>
      <c r="C889" s="191" t="s">
        <v>59</v>
      </c>
      <c r="D889" s="191" t="s">
        <v>1364</v>
      </c>
      <c r="E889" s="191" t="s">
        <v>120</v>
      </c>
      <c r="F889" s="191"/>
      <c r="G889" s="191" t="s">
        <v>61</v>
      </c>
      <c r="H889" s="192">
        <v>8.0199999999999994E-2</v>
      </c>
      <c r="I889" s="244">
        <v>0.88</v>
      </c>
      <c r="J889" s="244">
        <v>7.0000000000000007E-2</v>
      </c>
    </row>
    <row r="890" spans="1:10" ht="42.75" x14ac:dyDescent="0.25">
      <c r="A890" s="191" t="s">
        <v>62</v>
      </c>
      <c r="B890" s="191" t="s">
        <v>1365</v>
      </c>
      <c r="C890" s="191" t="s">
        <v>59</v>
      </c>
      <c r="D890" s="191" t="s">
        <v>1366</v>
      </c>
      <c r="E890" s="191" t="s">
        <v>120</v>
      </c>
      <c r="F890" s="191"/>
      <c r="G890" s="191" t="s">
        <v>121</v>
      </c>
      <c r="H890" s="192">
        <v>1.3389</v>
      </c>
      <c r="I890" s="244">
        <v>2.6</v>
      </c>
      <c r="J890" s="244">
        <v>3.48</v>
      </c>
    </row>
    <row r="891" spans="1:10" x14ac:dyDescent="0.25">
      <c r="A891" s="187"/>
      <c r="B891" s="187"/>
      <c r="C891" s="187"/>
      <c r="D891" s="187"/>
      <c r="E891" s="187" t="s">
        <v>756</v>
      </c>
      <c r="F891" s="188">
        <v>10.63</v>
      </c>
      <c r="G891" s="187" t="s">
        <v>757</v>
      </c>
      <c r="H891" s="188">
        <v>0</v>
      </c>
      <c r="I891" s="242" t="s">
        <v>758</v>
      </c>
      <c r="J891" s="242">
        <v>10.63</v>
      </c>
    </row>
    <row r="892" spans="1:10" x14ac:dyDescent="0.25">
      <c r="A892" s="187"/>
      <c r="B892" s="187"/>
      <c r="C892" s="187"/>
      <c r="D892" s="187"/>
      <c r="E892" s="187" t="s">
        <v>759</v>
      </c>
      <c r="F892" s="188">
        <v>0</v>
      </c>
      <c r="G892" s="187"/>
      <c r="H892" s="187" t="s">
        <v>760</v>
      </c>
      <c r="I892" s="242"/>
      <c r="J892" s="242">
        <v>18.440000000000001</v>
      </c>
    </row>
    <row r="893" spans="1:10" x14ac:dyDescent="0.25">
      <c r="A893" s="182"/>
      <c r="B893" s="182"/>
      <c r="C893" s="182"/>
      <c r="D893" s="182"/>
      <c r="E893" s="182"/>
      <c r="F893" s="182"/>
      <c r="G893" s="182" t="s">
        <v>761</v>
      </c>
      <c r="H893" s="189" t="s">
        <v>1367</v>
      </c>
      <c r="I893" s="239" t="s">
        <v>763</v>
      </c>
      <c r="J893" s="239">
        <v>26466.560000000001</v>
      </c>
    </row>
    <row r="894" spans="1:10" x14ac:dyDescent="0.25">
      <c r="A894" s="183"/>
      <c r="B894" s="183"/>
      <c r="C894" s="183"/>
      <c r="D894" s="183"/>
      <c r="E894" s="183"/>
      <c r="F894" s="183"/>
      <c r="G894" s="183"/>
      <c r="H894" s="183"/>
      <c r="I894" s="240"/>
      <c r="J894" s="240"/>
    </row>
    <row r="895" spans="1:10" x14ac:dyDescent="0.25">
      <c r="A895" s="182" t="s">
        <v>1368</v>
      </c>
      <c r="B895" s="182" t="s">
        <v>66</v>
      </c>
      <c r="C895" s="182" t="s">
        <v>64</v>
      </c>
      <c r="D895" s="182" t="s">
        <v>67</v>
      </c>
      <c r="E895" s="182" t="s">
        <v>65</v>
      </c>
      <c r="F895" s="182"/>
      <c r="G895" s="182" t="s">
        <v>744</v>
      </c>
      <c r="H895" s="182" t="s">
        <v>69</v>
      </c>
      <c r="I895" s="239" t="s">
        <v>745</v>
      </c>
      <c r="J895" s="239" t="s">
        <v>0</v>
      </c>
    </row>
    <row r="896" spans="1:10" ht="57" x14ac:dyDescent="0.25">
      <c r="A896" s="183" t="s">
        <v>58</v>
      </c>
      <c r="B896" s="183" t="s">
        <v>1369</v>
      </c>
      <c r="C896" s="183" t="s">
        <v>59</v>
      </c>
      <c r="D896" s="183" t="s">
        <v>1370</v>
      </c>
      <c r="E896" s="183" t="s">
        <v>1350</v>
      </c>
      <c r="F896" s="183"/>
      <c r="G896" s="183" t="s">
        <v>217</v>
      </c>
      <c r="H896" s="184">
        <v>1</v>
      </c>
      <c r="I896" s="240">
        <v>14.06</v>
      </c>
      <c r="J896" s="240">
        <v>14.06</v>
      </c>
    </row>
    <row r="897" spans="1:10" ht="28.5" x14ac:dyDescent="0.25">
      <c r="A897" s="185" t="s">
        <v>119</v>
      </c>
      <c r="B897" s="185" t="s">
        <v>769</v>
      </c>
      <c r="C897" s="185" t="s">
        <v>59</v>
      </c>
      <c r="D897" s="185" t="s">
        <v>115</v>
      </c>
      <c r="E897" s="185" t="s">
        <v>754</v>
      </c>
      <c r="F897" s="185"/>
      <c r="G897" s="185" t="s">
        <v>60</v>
      </c>
      <c r="H897" s="186">
        <v>5.4399999999999997E-2</v>
      </c>
      <c r="I897" s="241">
        <v>22.42</v>
      </c>
      <c r="J897" s="241">
        <v>1.21</v>
      </c>
    </row>
    <row r="898" spans="1:10" ht="28.5" x14ac:dyDescent="0.25">
      <c r="A898" s="185" t="s">
        <v>119</v>
      </c>
      <c r="B898" s="185" t="s">
        <v>1351</v>
      </c>
      <c r="C898" s="185" t="s">
        <v>59</v>
      </c>
      <c r="D898" s="185" t="s">
        <v>1352</v>
      </c>
      <c r="E898" s="185" t="s">
        <v>754</v>
      </c>
      <c r="F898" s="185"/>
      <c r="G898" s="185" t="s">
        <v>60</v>
      </c>
      <c r="H898" s="186">
        <v>0.16309999999999999</v>
      </c>
      <c r="I898" s="241">
        <v>33.799999999999997</v>
      </c>
      <c r="J898" s="241">
        <v>5.51</v>
      </c>
    </row>
    <row r="899" spans="1:10" ht="28.5" x14ac:dyDescent="0.25">
      <c r="A899" s="191" t="s">
        <v>62</v>
      </c>
      <c r="B899" s="191" t="s">
        <v>829</v>
      </c>
      <c r="C899" s="191" t="s">
        <v>59</v>
      </c>
      <c r="D899" s="191" t="s">
        <v>830</v>
      </c>
      <c r="E899" s="191" t="s">
        <v>120</v>
      </c>
      <c r="F899" s="191"/>
      <c r="G899" s="191" t="s">
        <v>127</v>
      </c>
      <c r="H899" s="192">
        <v>0.22850000000000001</v>
      </c>
      <c r="I899" s="244">
        <v>32.15</v>
      </c>
      <c r="J899" s="244">
        <v>7.34</v>
      </c>
    </row>
    <row r="900" spans="1:10" x14ac:dyDescent="0.25">
      <c r="A900" s="187"/>
      <c r="B900" s="187"/>
      <c r="C900" s="187"/>
      <c r="D900" s="187"/>
      <c r="E900" s="187" t="s">
        <v>756</v>
      </c>
      <c r="F900" s="188">
        <v>4.8</v>
      </c>
      <c r="G900" s="187" t="s">
        <v>757</v>
      </c>
      <c r="H900" s="188">
        <v>0</v>
      </c>
      <c r="I900" s="242" t="s">
        <v>758</v>
      </c>
      <c r="J900" s="242">
        <v>4.8</v>
      </c>
    </row>
    <row r="901" spans="1:10" x14ac:dyDescent="0.25">
      <c r="A901" s="187"/>
      <c r="B901" s="187"/>
      <c r="C901" s="187"/>
      <c r="D901" s="187"/>
      <c r="E901" s="187" t="s">
        <v>759</v>
      </c>
      <c r="F901" s="188">
        <v>0</v>
      </c>
      <c r="G901" s="187"/>
      <c r="H901" s="187" t="s">
        <v>760</v>
      </c>
      <c r="I901" s="242"/>
      <c r="J901" s="242">
        <v>14.06</v>
      </c>
    </row>
    <row r="902" spans="1:10" x14ac:dyDescent="0.25">
      <c r="A902" s="182"/>
      <c r="B902" s="182"/>
      <c r="C902" s="182"/>
      <c r="D902" s="182"/>
      <c r="E902" s="182"/>
      <c r="F902" s="182"/>
      <c r="G902" s="182" t="s">
        <v>761</v>
      </c>
      <c r="H902" s="189" t="s">
        <v>1367</v>
      </c>
      <c r="I902" s="239" t="s">
        <v>763</v>
      </c>
      <c r="J902" s="239">
        <v>20180.03</v>
      </c>
    </row>
    <row r="903" spans="1:10" x14ac:dyDescent="0.25">
      <c r="A903" s="183"/>
      <c r="B903" s="183"/>
      <c r="C903" s="183"/>
      <c r="D903" s="183"/>
      <c r="E903" s="183"/>
      <c r="F903" s="183"/>
      <c r="G903" s="183"/>
      <c r="H903" s="183"/>
      <c r="I903" s="240"/>
      <c r="J903" s="240"/>
    </row>
    <row r="904" spans="1:10" x14ac:dyDescent="0.25">
      <c r="A904" s="190" t="s">
        <v>1371</v>
      </c>
      <c r="B904" s="190"/>
      <c r="C904" s="190"/>
      <c r="D904" s="190" t="s">
        <v>433</v>
      </c>
      <c r="E904" s="190"/>
      <c r="F904" s="190"/>
      <c r="G904" s="190"/>
      <c r="H904" s="190"/>
      <c r="I904" s="243"/>
      <c r="J904" s="243">
        <v>129502.74</v>
      </c>
    </row>
    <row r="905" spans="1:10" x14ac:dyDescent="0.25">
      <c r="A905" s="182" t="s">
        <v>1372</v>
      </c>
      <c r="B905" s="182" t="s">
        <v>66</v>
      </c>
      <c r="C905" s="182" t="s">
        <v>64</v>
      </c>
      <c r="D905" s="182" t="s">
        <v>67</v>
      </c>
      <c r="E905" s="182" t="s">
        <v>65</v>
      </c>
      <c r="F905" s="182"/>
      <c r="G905" s="182" t="s">
        <v>744</v>
      </c>
      <c r="H905" s="182" t="s">
        <v>69</v>
      </c>
      <c r="I905" s="239" t="s">
        <v>745</v>
      </c>
      <c r="J905" s="239" t="s">
        <v>0</v>
      </c>
    </row>
    <row r="906" spans="1:10" ht="57" x14ac:dyDescent="0.25">
      <c r="A906" s="183" t="s">
        <v>58</v>
      </c>
      <c r="B906" s="183" t="s">
        <v>1373</v>
      </c>
      <c r="C906" s="183" t="s">
        <v>59</v>
      </c>
      <c r="D906" s="183" t="s">
        <v>1374</v>
      </c>
      <c r="E906" s="183" t="s">
        <v>1375</v>
      </c>
      <c r="F906" s="183"/>
      <c r="G906" s="183" t="s">
        <v>217</v>
      </c>
      <c r="H906" s="184">
        <v>1</v>
      </c>
      <c r="I906" s="240">
        <v>183.62</v>
      </c>
      <c r="J906" s="240">
        <v>183.62</v>
      </c>
    </row>
    <row r="907" spans="1:10" ht="28.5" x14ac:dyDescent="0.25">
      <c r="A907" s="185" t="s">
        <v>119</v>
      </c>
      <c r="B907" s="185" t="s">
        <v>769</v>
      </c>
      <c r="C907" s="185" t="s">
        <v>59</v>
      </c>
      <c r="D907" s="185" t="s">
        <v>115</v>
      </c>
      <c r="E907" s="185" t="s">
        <v>754</v>
      </c>
      <c r="F907" s="185"/>
      <c r="G907" s="185" t="s">
        <v>60</v>
      </c>
      <c r="H907" s="186">
        <v>6.2E-2</v>
      </c>
      <c r="I907" s="241">
        <v>22.42</v>
      </c>
      <c r="J907" s="241">
        <v>1.39</v>
      </c>
    </row>
    <row r="908" spans="1:10" ht="71.25" x14ac:dyDescent="0.25">
      <c r="A908" s="185" t="s">
        <v>119</v>
      </c>
      <c r="B908" s="185" t="s">
        <v>1376</v>
      </c>
      <c r="C908" s="185" t="s">
        <v>59</v>
      </c>
      <c r="D908" s="185" t="s">
        <v>1377</v>
      </c>
      <c r="E908" s="185" t="s">
        <v>807</v>
      </c>
      <c r="F908" s="185"/>
      <c r="G908" s="185" t="s">
        <v>117</v>
      </c>
      <c r="H908" s="186">
        <v>8.9999999999999998E-4</v>
      </c>
      <c r="I908" s="241">
        <v>20.89</v>
      </c>
      <c r="J908" s="241">
        <v>0.01</v>
      </c>
    </row>
    <row r="909" spans="1:10" ht="57" x14ac:dyDescent="0.25">
      <c r="A909" s="185" t="s">
        <v>119</v>
      </c>
      <c r="B909" s="185" t="s">
        <v>1378</v>
      </c>
      <c r="C909" s="185" t="s">
        <v>59</v>
      </c>
      <c r="D909" s="185" t="s">
        <v>1379</v>
      </c>
      <c r="E909" s="185" t="s">
        <v>807</v>
      </c>
      <c r="F909" s="185"/>
      <c r="G909" s="185" t="s">
        <v>125</v>
      </c>
      <c r="H909" s="186">
        <v>1.1999999999999999E-3</v>
      </c>
      <c r="I909" s="241">
        <v>19.809999999999999</v>
      </c>
      <c r="J909" s="241">
        <v>0.02</v>
      </c>
    </row>
    <row r="910" spans="1:10" ht="28.5" x14ac:dyDescent="0.25">
      <c r="A910" s="185" t="s">
        <v>119</v>
      </c>
      <c r="B910" s="185" t="s">
        <v>1380</v>
      </c>
      <c r="C910" s="185" t="s">
        <v>59</v>
      </c>
      <c r="D910" s="185" t="s">
        <v>1381</v>
      </c>
      <c r="E910" s="185" t="s">
        <v>754</v>
      </c>
      <c r="F910" s="185"/>
      <c r="G910" s="185" t="s">
        <v>60</v>
      </c>
      <c r="H910" s="186">
        <v>5.6000000000000001E-2</v>
      </c>
      <c r="I910" s="241">
        <v>31.4</v>
      </c>
      <c r="J910" s="241">
        <v>1.75</v>
      </c>
    </row>
    <row r="911" spans="1:10" ht="85.5" x14ac:dyDescent="0.25">
      <c r="A911" s="191" t="s">
        <v>62</v>
      </c>
      <c r="B911" s="191" t="s">
        <v>1382</v>
      </c>
      <c r="C911" s="191" t="s">
        <v>59</v>
      </c>
      <c r="D911" s="191" t="s">
        <v>1383</v>
      </c>
      <c r="E911" s="191" t="s">
        <v>120</v>
      </c>
      <c r="F911" s="191"/>
      <c r="G911" s="191" t="s">
        <v>705</v>
      </c>
      <c r="H911" s="192">
        <v>4.1500000000000004</v>
      </c>
      <c r="I911" s="244">
        <v>1.34</v>
      </c>
      <c r="J911" s="244">
        <v>5.56</v>
      </c>
    </row>
    <row r="912" spans="1:10" ht="171" x14ac:dyDescent="0.25">
      <c r="A912" s="191" t="s">
        <v>62</v>
      </c>
      <c r="B912" s="191" t="s">
        <v>1384</v>
      </c>
      <c r="C912" s="191" t="s">
        <v>59</v>
      </c>
      <c r="D912" s="191" t="s">
        <v>1385</v>
      </c>
      <c r="E912" s="191" t="s">
        <v>120</v>
      </c>
      <c r="F912" s="191"/>
      <c r="G912" s="191" t="s">
        <v>217</v>
      </c>
      <c r="H912" s="192">
        <v>1.1459999999999999</v>
      </c>
      <c r="I912" s="244">
        <v>152.61000000000001</v>
      </c>
      <c r="J912" s="244">
        <v>174.89</v>
      </c>
    </row>
    <row r="913" spans="1:10" x14ac:dyDescent="0.25">
      <c r="A913" s="187"/>
      <c r="B913" s="187"/>
      <c r="C913" s="187"/>
      <c r="D913" s="187"/>
      <c r="E913" s="187" t="s">
        <v>756</v>
      </c>
      <c r="F913" s="188">
        <v>2.2999999999999998</v>
      </c>
      <c r="G913" s="187" t="s">
        <v>757</v>
      </c>
      <c r="H913" s="188">
        <v>0</v>
      </c>
      <c r="I913" s="242" t="s">
        <v>758</v>
      </c>
      <c r="J913" s="242">
        <v>2.2999999999999998</v>
      </c>
    </row>
    <row r="914" spans="1:10" x14ac:dyDescent="0.25">
      <c r="A914" s="187"/>
      <c r="B914" s="187"/>
      <c r="C914" s="187"/>
      <c r="D914" s="187"/>
      <c r="E914" s="187" t="s">
        <v>759</v>
      </c>
      <c r="F914" s="188">
        <v>0</v>
      </c>
      <c r="G914" s="187"/>
      <c r="H914" s="187" t="s">
        <v>760</v>
      </c>
      <c r="I914" s="242"/>
      <c r="J914" s="242">
        <v>183.62</v>
      </c>
    </row>
    <row r="915" spans="1:10" x14ac:dyDescent="0.25">
      <c r="A915" s="182"/>
      <c r="B915" s="182"/>
      <c r="C915" s="182"/>
      <c r="D915" s="182"/>
      <c r="E915" s="182"/>
      <c r="F915" s="182"/>
      <c r="G915" s="182" t="s">
        <v>761</v>
      </c>
      <c r="H915" s="189" t="s">
        <v>1386</v>
      </c>
      <c r="I915" s="239" t="s">
        <v>763</v>
      </c>
      <c r="J915" s="239">
        <v>70080.399999999994</v>
      </c>
    </row>
    <row r="916" spans="1:10" x14ac:dyDescent="0.25">
      <c r="A916" s="183"/>
      <c r="B916" s="183"/>
      <c r="C916" s="183"/>
      <c r="D916" s="183"/>
      <c r="E916" s="183"/>
      <c r="F916" s="183"/>
      <c r="G916" s="183"/>
      <c r="H916" s="183"/>
      <c r="I916" s="240"/>
      <c r="J916" s="240"/>
    </row>
    <row r="917" spans="1:10" x14ac:dyDescent="0.25">
      <c r="A917" s="182" t="s">
        <v>1387</v>
      </c>
      <c r="B917" s="182" t="s">
        <v>66</v>
      </c>
      <c r="C917" s="182" t="s">
        <v>64</v>
      </c>
      <c r="D917" s="182" t="s">
        <v>67</v>
      </c>
      <c r="E917" s="182" t="s">
        <v>65</v>
      </c>
      <c r="F917" s="182"/>
      <c r="G917" s="182" t="s">
        <v>744</v>
      </c>
      <c r="H917" s="182" t="s">
        <v>69</v>
      </c>
      <c r="I917" s="239" t="s">
        <v>745</v>
      </c>
      <c r="J917" s="239" t="s">
        <v>0</v>
      </c>
    </row>
    <row r="918" spans="1:10" ht="114" x14ac:dyDescent="0.25">
      <c r="A918" s="183" t="s">
        <v>58</v>
      </c>
      <c r="B918" s="183" t="s">
        <v>1388</v>
      </c>
      <c r="C918" s="183" t="s">
        <v>59</v>
      </c>
      <c r="D918" s="183" t="s">
        <v>1389</v>
      </c>
      <c r="E918" s="183" t="s">
        <v>1390</v>
      </c>
      <c r="F918" s="183"/>
      <c r="G918" s="183" t="s">
        <v>217</v>
      </c>
      <c r="H918" s="184">
        <v>1</v>
      </c>
      <c r="I918" s="240">
        <v>46.47</v>
      </c>
      <c r="J918" s="240">
        <v>46.47</v>
      </c>
    </row>
    <row r="919" spans="1:10" ht="28.5" x14ac:dyDescent="0.25">
      <c r="A919" s="185" t="s">
        <v>119</v>
      </c>
      <c r="B919" s="185" t="s">
        <v>769</v>
      </c>
      <c r="C919" s="185" t="s">
        <v>59</v>
      </c>
      <c r="D919" s="185" t="s">
        <v>115</v>
      </c>
      <c r="E919" s="185" t="s">
        <v>754</v>
      </c>
      <c r="F919" s="185"/>
      <c r="G919" s="185" t="s">
        <v>60</v>
      </c>
      <c r="H919" s="186">
        <v>0.106</v>
      </c>
      <c r="I919" s="241">
        <v>22.42</v>
      </c>
      <c r="J919" s="241">
        <v>2.37</v>
      </c>
    </row>
    <row r="920" spans="1:10" ht="57" x14ac:dyDescent="0.25">
      <c r="A920" s="185" t="s">
        <v>119</v>
      </c>
      <c r="B920" s="185" t="s">
        <v>1378</v>
      </c>
      <c r="C920" s="185" t="s">
        <v>59</v>
      </c>
      <c r="D920" s="185" t="s">
        <v>1379</v>
      </c>
      <c r="E920" s="185" t="s">
        <v>807</v>
      </c>
      <c r="F920" s="185"/>
      <c r="G920" s="185" t="s">
        <v>125</v>
      </c>
      <c r="H920" s="186">
        <v>9.4000000000000004E-3</v>
      </c>
      <c r="I920" s="241">
        <v>19.809999999999999</v>
      </c>
      <c r="J920" s="241">
        <v>0.18</v>
      </c>
    </row>
    <row r="921" spans="1:10" ht="42.75" x14ac:dyDescent="0.25">
      <c r="A921" s="185" t="s">
        <v>119</v>
      </c>
      <c r="B921" s="185" t="s">
        <v>1391</v>
      </c>
      <c r="C921" s="185" t="s">
        <v>59</v>
      </c>
      <c r="D921" s="185" t="s">
        <v>699</v>
      </c>
      <c r="E921" s="185" t="s">
        <v>754</v>
      </c>
      <c r="F921" s="185"/>
      <c r="G921" s="185" t="s">
        <v>60</v>
      </c>
      <c r="H921" s="186">
        <v>0.21299999999999999</v>
      </c>
      <c r="I921" s="241">
        <v>23.81</v>
      </c>
      <c r="J921" s="241">
        <v>5.07</v>
      </c>
    </row>
    <row r="922" spans="1:10" ht="71.25" x14ac:dyDescent="0.25">
      <c r="A922" s="185" t="s">
        <v>119</v>
      </c>
      <c r="B922" s="185" t="s">
        <v>1376</v>
      </c>
      <c r="C922" s="185" t="s">
        <v>59</v>
      </c>
      <c r="D922" s="185" t="s">
        <v>1377</v>
      </c>
      <c r="E922" s="185" t="s">
        <v>807</v>
      </c>
      <c r="F922" s="185"/>
      <c r="G922" s="185" t="s">
        <v>117</v>
      </c>
      <c r="H922" s="186">
        <v>6.7999999999999996E-3</v>
      </c>
      <c r="I922" s="241">
        <v>20.89</v>
      </c>
      <c r="J922" s="241">
        <v>0.14000000000000001</v>
      </c>
    </row>
    <row r="923" spans="1:10" ht="42.75" x14ac:dyDescent="0.25">
      <c r="A923" s="191" t="s">
        <v>62</v>
      </c>
      <c r="B923" s="191" t="s">
        <v>1392</v>
      </c>
      <c r="C923" s="191" t="s">
        <v>59</v>
      </c>
      <c r="D923" s="191" t="s">
        <v>1393</v>
      </c>
      <c r="E923" s="191" t="s">
        <v>120</v>
      </c>
      <c r="F923" s="191"/>
      <c r="G923" s="191" t="s">
        <v>1078</v>
      </c>
      <c r="H923" s="192">
        <v>7.0000000000000001E-3</v>
      </c>
      <c r="I923" s="244">
        <v>171.35</v>
      </c>
      <c r="J923" s="244">
        <v>1.19</v>
      </c>
    </row>
    <row r="924" spans="1:10" ht="57" x14ac:dyDescent="0.25">
      <c r="A924" s="191" t="s">
        <v>62</v>
      </c>
      <c r="B924" s="191" t="s">
        <v>1394</v>
      </c>
      <c r="C924" s="191" t="s">
        <v>59</v>
      </c>
      <c r="D924" s="191" t="s">
        <v>1395</v>
      </c>
      <c r="E924" s="191" t="s">
        <v>120</v>
      </c>
      <c r="F924" s="191"/>
      <c r="G924" s="191" t="s">
        <v>121</v>
      </c>
      <c r="H924" s="192">
        <v>4.3330000000000002</v>
      </c>
      <c r="I924" s="244">
        <v>8.66</v>
      </c>
      <c r="J924" s="244">
        <v>37.520000000000003</v>
      </c>
    </row>
    <row r="925" spans="1:10" x14ac:dyDescent="0.25">
      <c r="A925" s="187"/>
      <c r="B925" s="187"/>
      <c r="C925" s="187"/>
      <c r="D925" s="187"/>
      <c r="E925" s="187" t="s">
        <v>756</v>
      </c>
      <c r="F925" s="188">
        <v>5.51</v>
      </c>
      <c r="G925" s="187" t="s">
        <v>757</v>
      </c>
      <c r="H925" s="188">
        <v>0</v>
      </c>
      <c r="I925" s="242" t="s">
        <v>758</v>
      </c>
      <c r="J925" s="242">
        <v>5.51</v>
      </c>
    </row>
    <row r="926" spans="1:10" x14ac:dyDescent="0.25">
      <c r="A926" s="187"/>
      <c r="B926" s="187"/>
      <c r="C926" s="187"/>
      <c r="D926" s="187"/>
      <c r="E926" s="187" t="s">
        <v>759</v>
      </c>
      <c r="F926" s="188">
        <v>0</v>
      </c>
      <c r="G926" s="187"/>
      <c r="H926" s="187" t="s">
        <v>760</v>
      </c>
      <c r="I926" s="242"/>
      <c r="J926" s="242">
        <v>46.47</v>
      </c>
    </row>
    <row r="927" spans="1:10" x14ac:dyDescent="0.25">
      <c r="A927" s="182"/>
      <c r="B927" s="182"/>
      <c r="C927" s="182"/>
      <c r="D927" s="182"/>
      <c r="E927" s="182"/>
      <c r="F927" s="182"/>
      <c r="G927" s="182" t="s">
        <v>761</v>
      </c>
      <c r="H927" s="189" t="s">
        <v>1386</v>
      </c>
      <c r="I927" s="239" t="s">
        <v>763</v>
      </c>
      <c r="J927" s="239">
        <v>17735.740000000002</v>
      </c>
    </row>
    <row r="928" spans="1:10" x14ac:dyDescent="0.25">
      <c r="A928" s="183"/>
      <c r="B928" s="183"/>
      <c r="C928" s="183"/>
      <c r="D928" s="183"/>
      <c r="E928" s="183"/>
      <c r="F928" s="183"/>
      <c r="G928" s="183"/>
      <c r="H928" s="183"/>
      <c r="I928" s="240"/>
      <c r="J928" s="240"/>
    </row>
    <row r="929" spans="1:10" x14ac:dyDescent="0.25">
      <c r="A929" s="182" t="s">
        <v>1396</v>
      </c>
      <c r="B929" s="182" t="s">
        <v>66</v>
      </c>
      <c r="C929" s="182" t="s">
        <v>64</v>
      </c>
      <c r="D929" s="182" t="s">
        <v>67</v>
      </c>
      <c r="E929" s="182" t="s">
        <v>65</v>
      </c>
      <c r="F929" s="182"/>
      <c r="G929" s="182" t="s">
        <v>744</v>
      </c>
      <c r="H929" s="182" t="s">
        <v>69</v>
      </c>
      <c r="I929" s="239" t="s">
        <v>745</v>
      </c>
      <c r="J929" s="239" t="s">
        <v>0</v>
      </c>
    </row>
    <row r="930" spans="1:10" ht="99.75" x14ac:dyDescent="0.25">
      <c r="A930" s="183" t="s">
        <v>58</v>
      </c>
      <c r="B930" s="183" t="s">
        <v>1397</v>
      </c>
      <c r="C930" s="183" t="s">
        <v>59</v>
      </c>
      <c r="D930" s="183" t="s">
        <v>1398</v>
      </c>
      <c r="E930" s="183" t="s">
        <v>1390</v>
      </c>
      <c r="F930" s="183"/>
      <c r="G930" s="183" t="s">
        <v>61</v>
      </c>
      <c r="H930" s="184">
        <v>1</v>
      </c>
      <c r="I930" s="240">
        <v>949.31</v>
      </c>
      <c r="J930" s="240">
        <v>949.31</v>
      </c>
    </row>
    <row r="931" spans="1:10" ht="85.5" x14ac:dyDescent="0.25">
      <c r="A931" s="185" t="s">
        <v>119</v>
      </c>
      <c r="B931" s="185" t="s">
        <v>1399</v>
      </c>
      <c r="C931" s="185" t="s">
        <v>59</v>
      </c>
      <c r="D931" s="185" t="s">
        <v>1400</v>
      </c>
      <c r="E931" s="185" t="s">
        <v>1390</v>
      </c>
      <c r="F931" s="185"/>
      <c r="G931" s="185" t="s">
        <v>61</v>
      </c>
      <c r="H931" s="186">
        <v>1</v>
      </c>
      <c r="I931" s="241">
        <v>425.11</v>
      </c>
      <c r="J931" s="241">
        <v>425.11</v>
      </c>
    </row>
    <row r="932" spans="1:10" ht="42.75" x14ac:dyDescent="0.25">
      <c r="A932" s="185" t="s">
        <v>119</v>
      </c>
      <c r="B932" s="185" t="s">
        <v>822</v>
      </c>
      <c r="C932" s="185" t="s">
        <v>59</v>
      </c>
      <c r="D932" s="185" t="s">
        <v>206</v>
      </c>
      <c r="E932" s="185" t="s">
        <v>754</v>
      </c>
      <c r="F932" s="185"/>
      <c r="G932" s="185" t="s">
        <v>60</v>
      </c>
      <c r="H932" s="186">
        <v>1.7290000000000001</v>
      </c>
      <c r="I932" s="241">
        <v>22.54</v>
      </c>
      <c r="J932" s="241">
        <v>38.97</v>
      </c>
    </row>
    <row r="933" spans="1:10" ht="28.5" x14ac:dyDescent="0.25">
      <c r="A933" s="185" t="s">
        <v>119</v>
      </c>
      <c r="B933" s="185" t="s">
        <v>773</v>
      </c>
      <c r="C933" s="185" t="s">
        <v>59</v>
      </c>
      <c r="D933" s="185" t="s">
        <v>122</v>
      </c>
      <c r="E933" s="185" t="s">
        <v>754</v>
      </c>
      <c r="F933" s="185"/>
      <c r="G933" s="185" t="s">
        <v>60</v>
      </c>
      <c r="H933" s="186">
        <v>7.4939999999999998</v>
      </c>
      <c r="I933" s="241">
        <v>31.69</v>
      </c>
      <c r="J933" s="241">
        <v>237.48</v>
      </c>
    </row>
    <row r="934" spans="1:10" ht="71.25" x14ac:dyDescent="0.25">
      <c r="A934" s="191" t="s">
        <v>62</v>
      </c>
      <c r="B934" s="191" t="s">
        <v>1401</v>
      </c>
      <c r="C934" s="191" t="s">
        <v>59</v>
      </c>
      <c r="D934" s="191" t="s">
        <v>1402</v>
      </c>
      <c r="E934" s="191" t="s">
        <v>120</v>
      </c>
      <c r="F934" s="191"/>
      <c r="G934" s="191" t="s">
        <v>116</v>
      </c>
      <c r="H934" s="192">
        <v>2</v>
      </c>
      <c r="I934" s="244">
        <v>15.91</v>
      </c>
      <c r="J934" s="244">
        <v>31.82</v>
      </c>
    </row>
    <row r="935" spans="1:10" ht="28.5" x14ac:dyDescent="0.25">
      <c r="A935" s="191" t="s">
        <v>62</v>
      </c>
      <c r="B935" s="191" t="s">
        <v>1403</v>
      </c>
      <c r="C935" s="191" t="s">
        <v>59</v>
      </c>
      <c r="D935" s="191" t="s">
        <v>1404</v>
      </c>
      <c r="E935" s="191" t="s">
        <v>120</v>
      </c>
      <c r="F935" s="191"/>
      <c r="G935" s="191" t="s">
        <v>121</v>
      </c>
      <c r="H935" s="192">
        <v>0.67500000000000004</v>
      </c>
      <c r="I935" s="244">
        <v>20.27</v>
      </c>
      <c r="J935" s="244">
        <v>13.68</v>
      </c>
    </row>
    <row r="936" spans="1:10" ht="71.25" x14ac:dyDescent="0.25">
      <c r="A936" s="191" t="s">
        <v>62</v>
      </c>
      <c r="B936" s="191" t="s">
        <v>1405</v>
      </c>
      <c r="C936" s="191" t="s">
        <v>59</v>
      </c>
      <c r="D936" s="191" t="s">
        <v>1406</v>
      </c>
      <c r="E936" s="191" t="s">
        <v>120</v>
      </c>
      <c r="F936" s="191"/>
      <c r="G936" s="191" t="s">
        <v>61</v>
      </c>
      <c r="H936" s="192">
        <v>1</v>
      </c>
      <c r="I936" s="244">
        <v>22.39</v>
      </c>
      <c r="J936" s="244">
        <v>22.39</v>
      </c>
    </row>
    <row r="937" spans="1:10" ht="71.25" x14ac:dyDescent="0.25">
      <c r="A937" s="191" t="s">
        <v>62</v>
      </c>
      <c r="B937" s="191" t="s">
        <v>1039</v>
      </c>
      <c r="C937" s="191" t="s">
        <v>59</v>
      </c>
      <c r="D937" s="191" t="s">
        <v>172</v>
      </c>
      <c r="E937" s="191" t="s">
        <v>120</v>
      </c>
      <c r="F937" s="191"/>
      <c r="G937" s="191" t="s">
        <v>116</v>
      </c>
      <c r="H937" s="192">
        <v>3</v>
      </c>
      <c r="I937" s="244">
        <v>14.13</v>
      </c>
      <c r="J937" s="244">
        <v>42.39</v>
      </c>
    </row>
    <row r="938" spans="1:10" ht="71.25" x14ac:dyDescent="0.25">
      <c r="A938" s="191" t="s">
        <v>62</v>
      </c>
      <c r="B938" s="191" t="s">
        <v>1407</v>
      </c>
      <c r="C938" s="191" t="s">
        <v>59</v>
      </c>
      <c r="D938" s="191" t="s">
        <v>1408</v>
      </c>
      <c r="E938" s="191" t="s">
        <v>120</v>
      </c>
      <c r="F938" s="191"/>
      <c r="G938" s="191" t="s">
        <v>116</v>
      </c>
      <c r="H938" s="192">
        <v>6.5</v>
      </c>
      <c r="I938" s="244">
        <v>21.15</v>
      </c>
      <c r="J938" s="244">
        <v>137.47</v>
      </c>
    </row>
    <row r="939" spans="1:10" x14ac:dyDescent="0.25">
      <c r="A939" s="187"/>
      <c r="B939" s="187"/>
      <c r="C939" s="187"/>
      <c r="D939" s="187"/>
      <c r="E939" s="187" t="s">
        <v>756</v>
      </c>
      <c r="F939" s="188">
        <v>321.82</v>
      </c>
      <c r="G939" s="187" t="s">
        <v>757</v>
      </c>
      <c r="H939" s="188">
        <v>0</v>
      </c>
      <c r="I939" s="242" t="s">
        <v>758</v>
      </c>
      <c r="J939" s="242">
        <v>321.82</v>
      </c>
    </row>
    <row r="940" spans="1:10" x14ac:dyDescent="0.25">
      <c r="A940" s="187"/>
      <c r="B940" s="187"/>
      <c r="C940" s="187"/>
      <c r="D940" s="187"/>
      <c r="E940" s="187" t="s">
        <v>759</v>
      </c>
      <c r="F940" s="188">
        <v>0</v>
      </c>
      <c r="G940" s="187"/>
      <c r="H940" s="187" t="s">
        <v>760</v>
      </c>
      <c r="I940" s="242"/>
      <c r="J940" s="242">
        <v>949.31</v>
      </c>
    </row>
    <row r="941" spans="1:10" x14ac:dyDescent="0.25">
      <c r="A941" s="182"/>
      <c r="B941" s="182"/>
      <c r="C941" s="182"/>
      <c r="D941" s="182"/>
      <c r="E941" s="182"/>
      <c r="F941" s="182"/>
      <c r="G941" s="182" t="s">
        <v>761</v>
      </c>
      <c r="H941" s="189" t="s">
        <v>1260</v>
      </c>
      <c r="I941" s="239" t="s">
        <v>763</v>
      </c>
      <c r="J941" s="239">
        <v>2847.93</v>
      </c>
    </row>
    <row r="942" spans="1:10" x14ac:dyDescent="0.25">
      <c r="A942" s="183"/>
      <c r="B942" s="183"/>
      <c r="C942" s="183"/>
      <c r="D942" s="183"/>
      <c r="E942" s="183"/>
      <c r="F942" s="183"/>
      <c r="G942" s="183"/>
      <c r="H942" s="183"/>
      <c r="I942" s="240"/>
      <c r="J942" s="240"/>
    </row>
    <row r="943" spans="1:10" x14ac:dyDescent="0.25">
      <c r="A943" s="182" t="s">
        <v>1409</v>
      </c>
      <c r="B943" s="182" t="s">
        <v>66</v>
      </c>
      <c r="C943" s="182" t="s">
        <v>64</v>
      </c>
      <c r="D943" s="182" t="s">
        <v>67</v>
      </c>
      <c r="E943" s="182" t="s">
        <v>65</v>
      </c>
      <c r="F943" s="182"/>
      <c r="G943" s="182" t="s">
        <v>744</v>
      </c>
      <c r="H943" s="182" t="s">
        <v>69</v>
      </c>
      <c r="I943" s="239" t="s">
        <v>745</v>
      </c>
      <c r="J943" s="239" t="s">
        <v>0</v>
      </c>
    </row>
    <row r="944" spans="1:10" ht="99.75" x14ac:dyDescent="0.25">
      <c r="A944" s="183" t="s">
        <v>58</v>
      </c>
      <c r="B944" s="183" t="s">
        <v>1410</v>
      </c>
      <c r="C944" s="183" t="s">
        <v>59</v>
      </c>
      <c r="D944" s="183" t="s">
        <v>1411</v>
      </c>
      <c r="E944" s="183" t="s">
        <v>1390</v>
      </c>
      <c r="F944" s="183"/>
      <c r="G944" s="183" t="s">
        <v>61</v>
      </c>
      <c r="H944" s="184">
        <v>1</v>
      </c>
      <c r="I944" s="240">
        <v>2987.59</v>
      </c>
      <c r="J944" s="240">
        <v>2987.59</v>
      </c>
    </row>
    <row r="945" spans="1:10" ht="28.5" x14ac:dyDescent="0.25">
      <c r="A945" s="185" t="s">
        <v>119</v>
      </c>
      <c r="B945" s="185" t="s">
        <v>773</v>
      </c>
      <c r="C945" s="185" t="s">
        <v>59</v>
      </c>
      <c r="D945" s="185" t="s">
        <v>122</v>
      </c>
      <c r="E945" s="185" t="s">
        <v>754</v>
      </c>
      <c r="F945" s="185"/>
      <c r="G945" s="185" t="s">
        <v>60</v>
      </c>
      <c r="H945" s="186">
        <v>29.975999999999999</v>
      </c>
      <c r="I945" s="241">
        <v>31.69</v>
      </c>
      <c r="J945" s="241">
        <v>949.93</v>
      </c>
    </row>
    <row r="946" spans="1:10" ht="85.5" x14ac:dyDescent="0.25">
      <c r="A946" s="185" t="s">
        <v>119</v>
      </c>
      <c r="B946" s="185" t="s">
        <v>1412</v>
      </c>
      <c r="C946" s="185" t="s">
        <v>59</v>
      </c>
      <c r="D946" s="185" t="s">
        <v>1413</v>
      </c>
      <c r="E946" s="185" t="s">
        <v>1390</v>
      </c>
      <c r="F946" s="185"/>
      <c r="G946" s="185" t="s">
        <v>61</v>
      </c>
      <c r="H946" s="186">
        <v>1</v>
      </c>
      <c r="I946" s="241">
        <v>685.43</v>
      </c>
      <c r="J946" s="241">
        <v>685.43</v>
      </c>
    </row>
    <row r="947" spans="1:10" ht="42.75" x14ac:dyDescent="0.25">
      <c r="A947" s="185" t="s">
        <v>119</v>
      </c>
      <c r="B947" s="185" t="s">
        <v>822</v>
      </c>
      <c r="C947" s="185" t="s">
        <v>59</v>
      </c>
      <c r="D947" s="185" t="s">
        <v>206</v>
      </c>
      <c r="E947" s="185" t="s">
        <v>754</v>
      </c>
      <c r="F947" s="185"/>
      <c r="G947" s="185" t="s">
        <v>60</v>
      </c>
      <c r="H947" s="186">
        <v>6.9180000000000001</v>
      </c>
      <c r="I947" s="241">
        <v>22.54</v>
      </c>
      <c r="J947" s="241">
        <v>155.93</v>
      </c>
    </row>
    <row r="948" spans="1:10" ht="28.5" x14ac:dyDescent="0.25">
      <c r="A948" s="191" t="s">
        <v>62</v>
      </c>
      <c r="B948" s="191" t="s">
        <v>1403</v>
      </c>
      <c r="C948" s="191" t="s">
        <v>59</v>
      </c>
      <c r="D948" s="191" t="s">
        <v>1404</v>
      </c>
      <c r="E948" s="191" t="s">
        <v>120</v>
      </c>
      <c r="F948" s="191"/>
      <c r="G948" s="191" t="s">
        <v>121</v>
      </c>
      <c r="H948" s="192">
        <v>3.3</v>
      </c>
      <c r="I948" s="244">
        <v>20.27</v>
      </c>
      <c r="J948" s="244">
        <v>66.89</v>
      </c>
    </row>
    <row r="949" spans="1:10" ht="71.25" x14ac:dyDescent="0.25">
      <c r="A949" s="191" t="s">
        <v>62</v>
      </c>
      <c r="B949" s="191" t="s">
        <v>1414</v>
      </c>
      <c r="C949" s="191" t="s">
        <v>59</v>
      </c>
      <c r="D949" s="191" t="s">
        <v>1415</v>
      </c>
      <c r="E949" s="191" t="s">
        <v>120</v>
      </c>
      <c r="F949" s="191"/>
      <c r="G949" s="191" t="s">
        <v>61</v>
      </c>
      <c r="H949" s="192">
        <v>8</v>
      </c>
      <c r="I949" s="244">
        <v>18.95</v>
      </c>
      <c r="J949" s="244">
        <v>151.6</v>
      </c>
    </row>
    <row r="950" spans="1:10" ht="71.25" x14ac:dyDescent="0.25">
      <c r="A950" s="191" t="s">
        <v>62</v>
      </c>
      <c r="B950" s="191" t="s">
        <v>1416</v>
      </c>
      <c r="C950" s="191" t="s">
        <v>59</v>
      </c>
      <c r="D950" s="191" t="s">
        <v>1417</v>
      </c>
      <c r="E950" s="191" t="s">
        <v>120</v>
      </c>
      <c r="F950" s="191"/>
      <c r="G950" s="191" t="s">
        <v>116</v>
      </c>
      <c r="H950" s="192">
        <v>14</v>
      </c>
      <c r="I950" s="244">
        <v>26.42</v>
      </c>
      <c r="J950" s="244">
        <v>369.88</v>
      </c>
    </row>
    <row r="951" spans="1:10" ht="85.5" x14ac:dyDescent="0.25">
      <c r="A951" s="191" t="s">
        <v>62</v>
      </c>
      <c r="B951" s="191" t="s">
        <v>1418</v>
      </c>
      <c r="C951" s="191" t="s">
        <v>59</v>
      </c>
      <c r="D951" s="191" t="s">
        <v>1419</v>
      </c>
      <c r="E951" s="191" t="s">
        <v>120</v>
      </c>
      <c r="F951" s="191"/>
      <c r="G951" s="191" t="s">
        <v>116</v>
      </c>
      <c r="H951" s="192">
        <v>11</v>
      </c>
      <c r="I951" s="244">
        <v>3.78</v>
      </c>
      <c r="J951" s="244">
        <v>41.58</v>
      </c>
    </row>
    <row r="952" spans="1:10" ht="71.25" x14ac:dyDescent="0.25">
      <c r="A952" s="191" t="s">
        <v>62</v>
      </c>
      <c r="B952" s="191" t="s">
        <v>1401</v>
      </c>
      <c r="C952" s="191" t="s">
        <v>59</v>
      </c>
      <c r="D952" s="191" t="s">
        <v>1402</v>
      </c>
      <c r="E952" s="191" t="s">
        <v>120</v>
      </c>
      <c r="F952" s="191"/>
      <c r="G952" s="191" t="s">
        <v>116</v>
      </c>
      <c r="H952" s="192">
        <v>12</v>
      </c>
      <c r="I952" s="244">
        <v>15.91</v>
      </c>
      <c r="J952" s="244">
        <v>190.92</v>
      </c>
    </row>
    <row r="953" spans="1:10" ht="71.25" x14ac:dyDescent="0.25">
      <c r="A953" s="191" t="s">
        <v>62</v>
      </c>
      <c r="B953" s="191" t="s">
        <v>1039</v>
      </c>
      <c r="C953" s="191" t="s">
        <v>59</v>
      </c>
      <c r="D953" s="191" t="s">
        <v>172</v>
      </c>
      <c r="E953" s="191" t="s">
        <v>120</v>
      </c>
      <c r="F953" s="191"/>
      <c r="G953" s="191" t="s">
        <v>116</v>
      </c>
      <c r="H953" s="192">
        <v>12.5</v>
      </c>
      <c r="I953" s="244">
        <v>14.13</v>
      </c>
      <c r="J953" s="244">
        <v>176.62</v>
      </c>
    </row>
    <row r="954" spans="1:10" ht="71.25" x14ac:dyDescent="0.25">
      <c r="A954" s="191" t="s">
        <v>62</v>
      </c>
      <c r="B954" s="191" t="s">
        <v>1405</v>
      </c>
      <c r="C954" s="191" t="s">
        <v>59</v>
      </c>
      <c r="D954" s="191" t="s">
        <v>1406</v>
      </c>
      <c r="E954" s="191" t="s">
        <v>120</v>
      </c>
      <c r="F954" s="191"/>
      <c r="G954" s="191" t="s">
        <v>61</v>
      </c>
      <c r="H954" s="192">
        <v>1</v>
      </c>
      <c r="I954" s="244">
        <v>22.39</v>
      </c>
      <c r="J954" s="244">
        <v>22.39</v>
      </c>
    </row>
    <row r="955" spans="1:10" ht="71.25" x14ac:dyDescent="0.25">
      <c r="A955" s="191" t="s">
        <v>62</v>
      </c>
      <c r="B955" s="191" t="s">
        <v>1420</v>
      </c>
      <c r="C955" s="191" t="s">
        <v>59</v>
      </c>
      <c r="D955" s="191" t="s">
        <v>1421</v>
      </c>
      <c r="E955" s="191" t="s">
        <v>120</v>
      </c>
      <c r="F955" s="191"/>
      <c r="G955" s="191" t="s">
        <v>1422</v>
      </c>
      <c r="H955" s="192">
        <v>2</v>
      </c>
      <c r="I955" s="244">
        <v>88.21</v>
      </c>
      <c r="J955" s="244">
        <v>176.42</v>
      </c>
    </row>
    <row r="956" spans="1:10" x14ac:dyDescent="0.25">
      <c r="A956" s="187"/>
      <c r="B956" s="187"/>
      <c r="C956" s="187"/>
      <c r="D956" s="187"/>
      <c r="E956" s="187" t="s">
        <v>756</v>
      </c>
      <c r="F956" s="188">
        <v>1146.52</v>
      </c>
      <c r="G956" s="187" t="s">
        <v>757</v>
      </c>
      <c r="H956" s="188">
        <v>0</v>
      </c>
      <c r="I956" s="242" t="s">
        <v>758</v>
      </c>
      <c r="J956" s="242">
        <v>1146.52</v>
      </c>
    </row>
    <row r="957" spans="1:10" x14ac:dyDescent="0.25">
      <c r="A957" s="187"/>
      <c r="B957" s="187"/>
      <c r="C957" s="187"/>
      <c r="D957" s="187"/>
      <c r="E957" s="187" t="s">
        <v>759</v>
      </c>
      <c r="F957" s="188">
        <v>0</v>
      </c>
      <c r="G957" s="187"/>
      <c r="H957" s="187" t="s">
        <v>760</v>
      </c>
      <c r="I957" s="242"/>
      <c r="J957" s="242">
        <v>2987.59</v>
      </c>
    </row>
    <row r="958" spans="1:10" x14ac:dyDescent="0.25">
      <c r="A958" s="182"/>
      <c r="B958" s="182"/>
      <c r="C958" s="182"/>
      <c r="D958" s="182"/>
      <c r="E958" s="182"/>
      <c r="F958" s="182"/>
      <c r="G958" s="182" t="s">
        <v>761</v>
      </c>
      <c r="H958" s="189" t="s">
        <v>1423</v>
      </c>
      <c r="I958" s="239" t="s">
        <v>763</v>
      </c>
      <c r="J958" s="239">
        <v>38838.67</v>
      </c>
    </row>
    <row r="959" spans="1:10" x14ac:dyDescent="0.25">
      <c r="A959" s="183"/>
      <c r="B959" s="183"/>
      <c r="C959" s="183"/>
      <c r="D959" s="183"/>
      <c r="E959" s="183"/>
      <c r="F959" s="183"/>
      <c r="G959" s="183"/>
      <c r="H959" s="183"/>
      <c r="I959" s="240"/>
      <c r="J959" s="240"/>
    </row>
    <row r="960" spans="1:10" x14ac:dyDescent="0.25">
      <c r="A960" s="190" t="s">
        <v>1424</v>
      </c>
      <c r="B960" s="190"/>
      <c r="C960" s="190"/>
      <c r="D960" s="190" t="s">
        <v>606</v>
      </c>
      <c r="E960" s="190"/>
      <c r="F960" s="190"/>
      <c r="G960" s="190"/>
      <c r="H960" s="190"/>
      <c r="I960" s="243"/>
      <c r="J960" s="243">
        <v>59904.56</v>
      </c>
    </row>
    <row r="961" spans="1:10" x14ac:dyDescent="0.25">
      <c r="A961" s="182" t="s">
        <v>1425</v>
      </c>
      <c r="B961" s="182" t="s">
        <v>66</v>
      </c>
      <c r="C961" s="182" t="s">
        <v>64</v>
      </c>
      <c r="D961" s="182" t="s">
        <v>67</v>
      </c>
      <c r="E961" s="182" t="s">
        <v>65</v>
      </c>
      <c r="F961" s="182"/>
      <c r="G961" s="182" t="s">
        <v>744</v>
      </c>
      <c r="H961" s="182" t="s">
        <v>69</v>
      </c>
      <c r="I961" s="239" t="s">
        <v>745</v>
      </c>
      <c r="J961" s="239" t="s">
        <v>0</v>
      </c>
    </row>
    <row r="962" spans="1:10" ht="71.25" x14ac:dyDescent="0.25">
      <c r="A962" s="183" t="s">
        <v>58</v>
      </c>
      <c r="B962" s="183" t="s">
        <v>1426</v>
      </c>
      <c r="C962" s="183" t="s">
        <v>59</v>
      </c>
      <c r="D962" s="183" t="s">
        <v>1427</v>
      </c>
      <c r="E962" s="183" t="s">
        <v>1428</v>
      </c>
      <c r="F962" s="183"/>
      <c r="G962" s="183" t="s">
        <v>217</v>
      </c>
      <c r="H962" s="184">
        <v>1</v>
      </c>
      <c r="I962" s="240">
        <v>71.14</v>
      </c>
      <c r="J962" s="240">
        <v>71.14</v>
      </c>
    </row>
    <row r="963" spans="1:10" ht="28.5" x14ac:dyDescent="0.25">
      <c r="A963" s="185" t="s">
        <v>119</v>
      </c>
      <c r="B963" s="185" t="s">
        <v>769</v>
      </c>
      <c r="C963" s="185" t="s">
        <v>59</v>
      </c>
      <c r="D963" s="185" t="s">
        <v>115</v>
      </c>
      <c r="E963" s="185" t="s">
        <v>754</v>
      </c>
      <c r="F963" s="185"/>
      <c r="G963" s="185" t="s">
        <v>60</v>
      </c>
      <c r="H963" s="186">
        <v>0.47860000000000003</v>
      </c>
      <c r="I963" s="241">
        <v>22.42</v>
      </c>
      <c r="J963" s="241">
        <v>10.73</v>
      </c>
    </row>
    <row r="964" spans="1:10" ht="42.75" x14ac:dyDescent="0.25">
      <c r="A964" s="185" t="s">
        <v>119</v>
      </c>
      <c r="B964" s="185" t="s">
        <v>1391</v>
      </c>
      <c r="C964" s="185" t="s">
        <v>59</v>
      </c>
      <c r="D964" s="185" t="s">
        <v>699</v>
      </c>
      <c r="E964" s="185" t="s">
        <v>754</v>
      </c>
      <c r="F964" s="185"/>
      <c r="G964" s="185" t="s">
        <v>60</v>
      </c>
      <c r="H964" s="186">
        <v>0.47860000000000003</v>
      </c>
      <c r="I964" s="241">
        <v>23.81</v>
      </c>
      <c r="J964" s="241">
        <v>11.39</v>
      </c>
    </row>
    <row r="965" spans="1:10" ht="57" x14ac:dyDescent="0.25">
      <c r="A965" s="191" t="s">
        <v>62</v>
      </c>
      <c r="B965" s="191" t="s">
        <v>1429</v>
      </c>
      <c r="C965" s="191" t="s">
        <v>59</v>
      </c>
      <c r="D965" s="191" t="s">
        <v>1430</v>
      </c>
      <c r="E965" s="191" t="s">
        <v>120</v>
      </c>
      <c r="F965" s="191"/>
      <c r="G965" s="191" t="s">
        <v>121</v>
      </c>
      <c r="H965" s="192">
        <v>3.6999999999999998E-2</v>
      </c>
      <c r="I965" s="244">
        <v>33.130000000000003</v>
      </c>
      <c r="J965" s="244">
        <v>1.22</v>
      </c>
    </row>
    <row r="966" spans="1:10" ht="85.5" x14ac:dyDescent="0.25">
      <c r="A966" s="191" t="s">
        <v>62</v>
      </c>
      <c r="B966" s="191" t="s">
        <v>1431</v>
      </c>
      <c r="C966" s="191" t="s">
        <v>59</v>
      </c>
      <c r="D966" s="191" t="s">
        <v>1432</v>
      </c>
      <c r="E966" s="191" t="s">
        <v>120</v>
      </c>
      <c r="F966" s="191"/>
      <c r="G966" s="191" t="s">
        <v>61</v>
      </c>
      <c r="H966" s="192">
        <v>1.2266999999999999</v>
      </c>
      <c r="I966" s="244">
        <v>1.79</v>
      </c>
      <c r="J966" s="244">
        <v>2.19</v>
      </c>
    </row>
    <row r="967" spans="1:10" ht="71.25" x14ac:dyDescent="0.25">
      <c r="A967" s="191" t="s">
        <v>62</v>
      </c>
      <c r="B967" s="191" t="s">
        <v>1433</v>
      </c>
      <c r="C967" s="191" t="s">
        <v>59</v>
      </c>
      <c r="D967" s="191" t="s">
        <v>1434</v>
      </c>
      <c r="E967" s="191" t="s">
        <v>120</v>
      </c>
      <c r="F967" s="191"/>
      <c r="G967" s="191" t="s">
        <v>116</v>
      </c>
      <c r="H967" s="192">
        <v>3.5470000000000002</v>
      </c>
      <c r="I967" s="244">
        <v>4.75</v>
      </c>
      <c r="J967" s="244">
        <v>16.84</v>
      </c>
    </row>
    <row r="968" spans="1:10" ht="85.5" x14ac:dyDescent="0.25">
      <c r="A968" s="191" t="s">
        <v>62</v>
      </c>
      <c r="B968" s="191" t="s">
        <v>1435</v>
      </c>
      <c r="C968" s="191" t="s">
        <v>59</v>
      </c>
      <c r="D968" s="191" t="s">
        <v>1436</v>
      </c>
      <c r="E968" s="191" t="s">
        <v>120</v>
      </c>
      <c r="F968" s="191"/>
      <c r="G968" s="191" t="s">
        <v>121</v>
      </c>
      <c r="H968" s="192">
        <v>0.69259999999999999</v>
      </c>
      <c r="I968" s="244">
        <v>3.38</v>
      </c>
      <c r="J968" s="244">
        <v>2.34</v>
      </c>
    </row>
    <row r="969" spans="1:10" ht="57" x14ac:dyDescent="0.25">
      <c r="A969" s="191" t="s">
        <v>62</v>
      </c>
      <c r="B969" s="191" t="s">
        <v>1437</v>
      </c>
      <c r="C969" s="191" t="s">
        <v>59</v>
      </c>
      <c r="D969" s="191" t="s">
        <v>1438</v>
      </c>
      <c r="E969" s="191" t="s">
        <v>120</v>
      </c>
      <c r="F969" s="191"/>
      <c r="G969" s="191" t="s">
        <v>217</v>
      </c>
      <c r="H969" s="192">
        <v>1.0838000000000001</v>
      </c>
      <c r="I969" s="244">
        <v>19.52</v>
      </c>
      <c r="J969" s="244">
        <v>21.15</v>
      </c>
    </row>
    <row r="970" spans="1:10" ht="42.75" x14ac:dyDescent="0.25">
      <c r="A970" s="191" t="s">
        <v>62</v>
      </c>
      <c r="B970" s="191" t="s">
        <v>1439</v>
      </c>
      <c r="C970" s="191" t="s">
        <v>59</v>
      </c>
      <c r="D970" s="191" t="s">
        <v>1440</v>
      </c>
      <c r="E970" s="191" t="s">
        <v>120</v>
      </c>
      <c r="F970" s="191"/>
      <c r="G970" s="191" t="s">
        <v>1078</v>
      </c>
      <c r="H970" s="192">
        <v>1.23E-2</v>
      </c>
      <c r="I970" s="244">
        <v>25.25</v>
      </c>
      <c r="J970" s="244">
        <v>0.31</v>
      </c>
    </row>
    <row r="971" spans="1:10" ht="71.25" x14ac:dyDescent="0.25">
      <c r="A971" s="191" t="s">
        <v>62</v>
      </c>
      <c r="B971" s="191" t="s">
        <v>1238</v>
      </c>
      <c r="C971" s="191" t="s">
        <v>59</v>
      </c>
      <c r="D971" s="191" t="s">
        <v>1239</v>
      </c>
      <c r="E971" s="191" t="s">
        <v>120</v>
      </c>
      <c r="F971" s="191"/>
      <c r="G971" s="191" t="s">
        <v>116</v>
      </c>
      <c r="H971" s="192">
        <v>1.4276</v>
      </c>
      <c r="I971" s="244">
        <v>2.7</v>
      </c>
      <c r="J971" s="244">
        <v>3.85</v>
      </c>
    </row>
    <row r="972" spans="1:10" ht="57" x14ac:dyDescent="0.25">
      <c r="A972" s="191" t="s">
        <v>62</v>
      </c>
      <c r="B972" s="191" t="s">
        <v>1441</v>
      </c>
      <c r="C972" s="191" t="s">
        <v>59</v>
      </c>
      <c r="D972" s="191" t="s">
        <v>1442</v>
      </c>
      <c r="E972" s="191" t="s">
        <v>120</v>
      </c>
      <c r="F972" s="191"/>
      <c r="G972" s="191" t="s">
        <v>61</v>
      </c>
      <c r="H972" s="192">
        <v>1.2266999999999999</v>
      </c>
      <c r="I972" s="244">
        <v>0.22</v>
      </c>
      <c r="J972" s="244">
        <v>0.26</v>
      </c>
    </row>
    <row r="973" spans="1:10" ht="57" x14ac:dyDescent="0.25">
      <c r="A973" s="191" t="s">
        <v>62</v>
      </c>
      <c r="B973" s="191" t="s">
        <v>1443</v>
      </c>
      <c r="C973" s="191" t="s">
        <v>59</v>
      </c>
      <c r="D973" s="191" t="s">
        <v>1444</v>
      </c>
      <c r="E973" s="191" t="s">
        <v>120</v>
      </c>
      <c r="F973" s="191"/>
      <c r="G973" s="191" t="s">
        <v>61</v>
      </c>
      <c r="H973" s="192">
        <v>9.6469000000000005</v>
      </c>
      <c r="I973" s="244">
        <v>0.09</v>
      </c>
      <c r="J973" s="244">
        <v>0.86</v>
      </c>
    </row>
    <row r="974" spans="1:10" x14ac:dyDescent="0.25">
      <c r="A974" s="187"/>
      <c r="B974" s="187"/>
      <c r="C974" s="187"/>
      <c r="D974" s="187"/>
      <c r="E974" s="187" t="s">
        <v>756</v>
      </c>
      <c r="F974" s="188">
        <v>15.54</v>
      </c>
      <c r="G974" s="187" t="s">
        <v>757</v>
      </c>
      <c r="H974" s="188">
        <v>0</v>
      </c>
      <c r="I974" s="242" t="s">
        <v>758</v>
      </c>
      <c r="J974" s="242">
        <v>15.54</v>
      </c>
    </row>
    <row r="975" spans="1:10" x14ac:dyDescent="0.25">
      <c r="A975" s="187"/>
      <c r="B975" s="187"/>
      <c r="C975" s="187"/>
      <c r="D975" s="187"/>
      <c r="E975" s="187" t="s">
        <v>759</v>
      </c>
      <c r="F975" s="188">
        <v>0</v>
      </c>
      <c r="G975" s="187"/>
      <c r="H975" s="187" t="s">
        <v>760</v>
      </c>
      <c r="I975" s="242"/>
      <c r="J975" s="242">
        <v>71.14</v>
      </c>
    </row>
    <row r="976" spans="1:10" x14ac:dyDescent="0.25">
      <c r="A976" s="182"/>
      <c r="B976" s="182"/>
      <c r="C976" s="182"/>
      <c r="D976" s="182"/>
      <c r="E976" s="182"/>
      <c r="F976" s="182"/>
      <c r="G976" s="182" t="s">
        <v>761</v>
      </c>
      <c r="H976" s="189" t="s">
        <v>1148</v>
      </c>
      <c r="I976" s="239" t="s">
        <v>763</v>
      </c>
      <c r="J976" s="239">
        <v>31502.21</v>
      </c>
    </row>
    <row r="977" spans="1:10" x14ac:dyDescent="0.25">
      <c r="A977" s="183"/>
      <c r="B977" s="183"/>
      <c r="C977" s="183"/>
      <c r="D977" s="183"/>
      <c r="E977" s="183"/>
      <c r="F977" s="183"/>
      <c r="G977" s="183"/>
      <c r="H977" s="183"/>
      <c r="I977" s="240"/>
      <c r="J977" s="240"/>
    </row>
    <row r="978" spans="1:10" x14ac:dyDescent="0.25">
      <c r="A978" s="182" t="s">
        <v>1445</v>
      </c>
      <c r="B978" s="182" t="s">
        <v>66</v>
      </c>
      <c r="C978" s="182" t="s">
        <v>64</v>
      </c>
      <c r="D978" s="182" t="s">
        <v>67</v>
      </c>
      <c r="E978" s="182" t="s">
        <v>65</v>
      </c>
      <c r="F978" s="182"/>
      <c r="G978" s="182" t="s">
        <v>744</v>
      </c>
      <c r="H978" s="182" t="s">
        <v>69</v>
      </c>
      <c r="I978" s="239" t="s">
        <v>745</v>
      </c>
      <c r="J978" s="239" t="s">
        <v>0</v>
      </c>
    </row>
    <row r="979" spans="1:10" ht="57" x14ac:dyDescent="0.25">
      <c r="A979" s="183" t="s">
        <v>58</v>
      </c>
      <c r="B979" s="183" t="s">
        <v>1446</v>
      </c>
      <c r="C979" s="183" t="s">
        <v>59</v>
      </c>
      <c r="D979" s="183" t="s">
        <v>1447</v>
      </c>
      <c r="E979" s="183" t="s">
        <v>1350</v>
      </c>
      <c r="F979" s="183"/>
      <c r="G979" s="183" t="s">
        <v>217</v>
      </c>
      <c r="H979" s="184">
        <v>1</v>
      </c>
      <c r="I979" s="240">
        <v>22.77</v>
      </c>
      <c r="J979" s="240">
        <v>22.77</v>
      </c>
    </row>
    <row r="980" spans="1:10" ht="28.5" x14ac:dyDescent="0.25">
      <c r="A980" s="185" t="s">
        <v>119</v>
      </c>
      <c r="B980" s="185" t="s">
        <v>769</v>
      </c>
      <c r="C980" s="185" t="s">
        <v>59</v>
      </c>
      <c r="D980" s="185" t="s">
        <v>115</v>
      </c>
      <c r="E980" s="185" t="s">
        <v>754</v>
      </c>
      <c r="F980" s="185"/>
      <c r="G980" s="185" t="s">
        <v>60</v>
      </c>
      <c r="H980" s="186">
        <v>0.16850000000000001</v>
      </c>
      <c r="I980" s="241">
        <v>22.42</v>
      </c>
      <c r="J980" s="241">
        <v>3.77</v>
      </c>
    </row>
    <row r="981" spans="1:10" ht="28.5" x14ac:dyDescent="0.25">
      <c r="A981" s="185" t="s">
        <v>119</v>
      </c>
      <c r="B981" s="185" t="s">
        <v>1351</v>
      </c>
      <c r="C981" s="185" t="s">
        <v>59</v>
      </c>
      <c r="D981" s="185" t="s">
        <v>1352</v>
      </c>
      <c r="E981" s="185" t="s">
        <v>754</v>
      </c>
      <c r="F981" s="185"/>
      <c r="G981" s="185" t="s">
        <v>60</v>
      </c>
      <c r="H981" s="186">
        <v>0.50539999999999996</v>
      </c>
      <c r="I981" s="241">
        <v>33.799999999999997</v>
      </c>
      <c r="J981" s="241">
        <v>17.079999999999998</v>
      </c>
    </row>
    <row r="982" spans="1:10" ht="42.75" x14ac:dyDescent="0.25">
      <c r="A982" s="191" t="s">
        <v>62</v>
      </c>
      <c r="B982" s="191" t="s">
        <v>1365</v>
      </c>
      <c r="C982" s="191" t="s">
        <v>59</v>
      </c>
      <c r="D982" s="191" t="s">
        <v>1366</v>
      </c>
      <c r="E982" s="191" t="s">
        <v>120</v>
      </c>
      <c r="F982" s="191"/>
      <c r="G982" s="191" t="s">
        <v>121</v>
      </c>
      <c r="H982" s="192">
        <v>0.7288</v>
      </c>
      <c r="I982" s="244">
        <v>2.6</v>
      </c>
      <c r="J982" s="244">
        <v>1.89</v>
      </c>
    </row>
    <row r="983" spans="1:10" ht="42.75" x14ac:dyDescent="0.25">
      <c r="A983" s="191" t="s">
        <v>62</v>
      </c>
      <c r="B983" s="191" t="s">
        <v>1363</v>
      </c>
      <c r="C983" s="191" t="s">
        <v>59</v>
      </c>
      <c r="D983" s="191" t="s">
        <v>1364</v>
      </c>
      <c r="E983" s="191" t="s">
        <v>120</v>
      </c>
      <c r="F983" s="191"/>
      <c r="G983" s="191" t="s">
        <v>61</v>
      </c>
      <c r="H983" s="192">
        <v>4.0099999999999997E-2</v>
      </c>
      <c r="I983" s="244">
        <v>0.88</v>
      </c>
      <c r="J983" s="244">
        <v>0.03</v>
      </c>
    </row>
    <row r="984" spans="1:10" x14ac:dyDescent="0.25">
      <c r="A984" s="187"/>
      <c r="B984" s="187"/>
      <c r="C984" s="187"/>
      <c r="D984" s="187"/>
      <c r="E984" s="187" t="s">
        <v>756</v>
      </c>
      <c r="F984" s="188">
        <v>14.89</v>
      </c>
      <c r="G984" s="187" t="s">
        <v>757</v>
      </c>
      <c r="H984" s="188">
        <v>0</v>
      </c>
      <c r="I984" s="242" t="s">
        <v>758</v>
      </c>
      <c r="J984" s="242">
        <v>14.89</v>
      </c>
    </row>
    <row r="985" spans="1:10" x14ac:dyDescent="0.25">
      <c r="A985" s="187"/>
      <c r="B985" s="187"/>
      <c r="C985" s="187"/>
      <c r="D985" s="187"/>
      <c r="E985" s="187" t="s">
        <v>759</v>
      </c>
      <c r="F985" s="188">
        <v>0</v>
      </c>
      <c r="G985" s="187"/>
      <c r="H985" s="187" t="s">
        <v>760</v>
      </c>
      <c r="I985" s="242"/>
      <c r="J985" s="242">
        <v>22.77</v>
      </c>
    </row>
    <row r="986" spans="1:10" x14ac:dyDescent="0.25">
      <c r="A986" s="182"/>
      <c r="B986" s="182"/>
      <c r="C986" s="182"/>
      <c r="D986" s="182"/>
      <c r="E986" s="182"/>
      <c r="F986" s="182"/>
      <c r="G986" s="182" t="s">
        <v>761</v>
      </c>
      <c r="H986" s="189" t="s">
        <v>1148</v>
      </c>
      <c r="I986" s="239" t="s">
        <v>763</v>
      </c>
      <c r="J986" s="239">
        <v>10083.01</v>
      </c>
    </row>
    <row r="987" spans="1:10" x14ac:dyDescent="0.25">
      <c r="A987" s="183"/>
      <c r="B987" s="183"/>
      <c r="C987" s="183"/>
      <c r="D987" s="183"/>
      <c r="E987" s="183"/>
      <c r="F987" s="183"/>
      <c r="G987" s="183"/>
      <c r="H987" s="183"/>
      <c r="I987" s="240"/>
      <c r="J987" s="240"/>
    </row>
    <row r="988" spans="1:10" x14ac:dyDescent="0.25">
      <c r="A988" s="182" t="s">
        <v>1448</v>
      </c>
      <c r="B988" s="182" t="s">
        <v>66</v>
      </c>
      <c r="C988" s="182" t="s">
        <v>64</v>
      </c>
      <c r="D988" s="182" t="s">
        <v>67</v>
      </c>
      <c r="E988" s="182" t="s">
        <v>65</v>
      </c>
      <c r="F988" s="182"/>
      <c r="G988" s="182" t="s">
        <v>744</v>
      </c>
      <c r="H988" s="182" t="s">
        <v>69</v>
      </c>
      <c r="I988" s="239" t="s">
        <v>745</v>
      </c>
      <c r="J988" s="239" t="s">
        <v>0</v>
      </c>
    </row>
    <row r="989" spans="1:10" ht="57" x14ac:dyDescent="0.25">
      <c r="A989" s="183" t="s">
        <v>58</v>
      </c>
      <c r="B989" s="183" t="s">
        <v>1449</v>
      </c>
      <c r="C989" s="183" t="s">
        <v>59</v>
      </c>
      <c r="D989" s="183" t="s">
        <v>1450</v>
      </c>
      <c r="E989" s="183" t="s">
        <v>1350</v>
      </c>
      <c r="F989" s="183"/>
      <c r="G989" s="183" t="s">
        <v>217</v>
      </c>
      <c r="H989" s="184">
        <v>1</v>
      </c>
      <c r="I989" s="240">
        <v>16.7</v>
      </c>
      <c r="J989" s="240">
        <v>16.7</v>
      </c>
    </row>
    <row r="990" spans="1:10" ht="28.5" x14ac:dyDescent="0.25">
      <c r="A990" s="185" t="s">
        <v>119</v>
      </c>
      <c r="B990" s="185" t="s">
        <v>769</v>
      </c>
      <c r="C990" s="185" t="s">
        <v>59</v>
      </c>
      <c r="D990" s="185" t="s">
        <v>115</v>
      </c>
      <c r="E990" s="185" t="s">
        <v>754</v>
      </c>
      <c r="F990" s="185"/>
      <c r="G990" s="185" t="s">
        <v>60</v>
      </c>
      <c r="H990" s="186">
        <v>7.5700000000000003E-2</v>
      </c>
      <c r="I990" s="241">
        <v>22.42</v>
      </c>
      <c r="J990" s="241">
        <v>1.69</v>
      </c>
    </row>
    <row r="991" spans="1:10" ht="28.5" x14ac:dyDescent="0.25">
      <c r="A991" s="185" t="s">
        <v>119</v>
      </c>
      <c r="B991" s="185" t="s">
        <v>1351</v>
      </c>
      <c r="C991" s="185" t="s">
        <v>59</v>
      </c>
      <c r="D991" s="185" t="s">
        <v>1352</v>
      </c>
      <c r="E991" s="185" t="s">
        <v>754</v>
      </c>
      <c r="F991" s="185"/>
      <c r="G991" s="185" t="s">
        <v>60</v>
      </c>
      <c r="H991" s="186">
        <v>0.22700000000000001</v>
      </c>
      <c r="I991" s="241">
        <v>33.799999999999997</v>
      </c>
      <c r="J991" s="241">
        <v>7.67</v>
      </c>
    </row>
    <row r="992" spans="1:10" ht="28.5" x14ac:dyDescent="0.25">
      <c r="A992" s="191" t="s">
        <v>62</v>
      </c>
      <c r="B992" s="191" t="s">
        <v>829</v>
      </c>
      <c r="C992" s="191" t="s">
        <v>59</v>
      </c>
      <c r="D992" s="191" t="s">
        <v>830</v>
      </c>
      <c r="E992" s="191" t="s">
        <v>120</v>
      </c>
      <c r="F992" s="191"/>
      <c r="G992" s="191" t="s">
        <v>127</v>
      </c>
      <c r="H992" s="192">
        <v>0.22850000000000001</v>
      </c>
      <c r="I992" s="244">
        <v>32.15</v>
      </c>
      <c r="J992" s="244">
        <v>7.34</v>
      </c>
    </row>
    <row r="993" spans="1:10" x14ac:dyDescent="0.25">
      <c r="A993" s="187"/>
      <c r="B993" s="187"/>
      <c r="C993" s="187"/>
      <c r="D993" s="187"/>
      <c r="E993" s="187" t="s">
        <v>756</v>
      </c>
      <c r="F993" s="188">
        <v>6.68</v>
      </c>
      <c r="G993" s="187" t="s">
        <v>757</v>
      </c>
      <c r="H993" s="188">
        <v>0</v>
      </c>
      <c r="I993" s="242" t="s">
        <v>758</v>
      </c>
      <c r="J993" s="242">
        <v>6.68</v>
      </c>
    </row>
    <row r="994" spans="1:10" x14ac:dyDescent="0.25">
      <c r="A994" s="187"/>
      <c r="B994" s="187"/>
      <c r="C994" s="187"/>
      <c r="D994" s="187"/>
      <c r="E994" s="187" t="s">
        <v>759</v>
      </c>
      <c r="F994" s="188">
        <v>0</v>
      </c>
      <c r="G994" s="187"/>
      <c r="H994" s="187" t="s">
        <v>760</v>
      </c>
      <c r="I994" s="242"/>
      <c r="J994" s="242">
        <v>16.7</v>
      </c>
    </row>
    <row r="995" spans="1:10" x14ac:dyDescent="0.25">
      <c r="A995" s="182"/>
      <c r="B995" s="182"/>
      <c r="C995" s="182"/>
      <c r="D995" s="182"/>
      <c r="E995" s="182"/>
      <c r="F995" s="182"/>
      <c r="G995" s="182" t="s">
        <v>761</v>
      </c>
      <c r="H995" s="189" t="s">
        <v>1148</v>
      </c>
      <c r="I995" s="239" t="s">
        <v>763</v>
      </c>
      <c r="J995" s="239">
        <v>7395.09</v>
      </c>
    </row>
    <row r="996" spans="1:10" x14ac:dyDescent="0.25">
      <c r="A996" s="183"/>
      <c r="B996" s="183"/>
      <c r="C996" s="183"/>
      <c r="D996" s="183"/>
      <c r="E996" s="183"/>
      <c r="F996" s="183"/>
      <c r="G996" s="183"/>
      <c r="H996" s="183"/>
      <c r="I996" s="240"/>
      <c r="J996" s="240"/>
    </row>
    <row r="997" spans="1:10" x14ac:dyDescent="0.25">
      <c r="A997" s="182" t="s">
        <v>1451</v>
      </c>
      <c r="B997" s="182" t="s">
        <v>66</v>
      </c>
      <c r="C997" s="182" t="s">
        <v>64</v>
      </c>
      <c r="D997" s="182" t="s">
        <v>67</v>
      </c>
      <c r="E997" s="182" t="s">
        <v>65</v>
      </c>
      <c r="F997" s="182"/>
      <c r="G997" s="182" t="s">
        <v>744</v>
      </c>
      <c r="H997" s="182" t="s">
        <v>69</v>
      </c>
      <c r="I997" s="239" t="s">
        <v>745</v>
      </c>
      <c r="J997" s="239" t="s">
        <v>0</v>
      </c>
    </row>
    <row r="998" spans="1:10" ht="57" x14ac:dyDescent="0.25">
      <c r="A998" s="183" t="s">
        <v>58</v>
      </c>
      <c r="B998" s="183" t="s">
        <v>1452</v>
      </c>
      <c r="C998" s="183" t="s">
        <v>59</v>
      </c>
      <c r="D998" s="183" t="s">
        <v>1453</v>
      </c>
      <c r="E998" s="183" t="s">
        <v>1428</v>
      </c>
      <c r="F998" s="183"/>
      <c r="G998" s="183" t="s">
        <v>116</v>
      </c>
      <c r="H998" s="184">
        <v>1</v>
      </c>
      <c r="I998" s="240">
        <v>27.25</v>
      </c>
      <c r="J998" s="240">
        <v>27.25</v>
      </c>
    </row>
    <row r="999" spans="1:10" ht="42.75" x14ac:dyDescent="0.25">
      <c r="A999" s="185" t="s">
        <v>119</v>
      </c>
      <c r="B999" s="185" t="s">
        <v>1391</v>
      </c>
      <c r="C999" s="185" t="s">
        <v>59</v>
      </c>
      <c r="D999" s="185" t="s">
        <v>699</v>
      </c>
      <c r="E999" s="185" t="s">
        <v>754</v>
      </c>
      <c r="F999" s="185"/>
      <c r="G999" s="185" t="s">
        <v>60</v>
      </c>
      <c r="H999" s="186">
        <v>0.218</v>
      </c>
      <c r="I999" s="241">
        <v>23.81</v>
      </c>
      <c r="J999" s="241">
        <v>5.19</v>
      </c>
    </row>
    <row r="1000" spans="1:10" ht="42.75" x14ac:dyDescent="0.25">
      <c r="A1000" s="185" t="s">
        <v>119</v>
      </c>
      <c r="B1000" s="185" t="s">
        <v>1454</v>
      </c>
      <c r="C1000" s="185" t="s">
        <v>59</v>
      </c>
      <c r="D1000" s="185" t="s">
        <v>1455</v>
      </c>
      <c r="E1000" s="185" t="s">
        <v>754</v>
      </c>
      <c r="F1000" s="185"/>
      <c r="G1000" s="185" t="s">
        <v>60</v>
      </c>
      <c r="H1000" s="186">
        <v>0.218</v>
      </c>
      <c r="I1000" s="241">
        <v>22.27</v>
      </c>
      <c r="J1000" s="241">
        <v>4.8499999999999996</v>
      </c>
    </row>
    <row r="1001" spans="1:10" ht="71.25" x14ac:dyDescent="0.25">
      <c r="A1001" s="191" t="s">
        <v>62</v>
      </c>
      <c r="B1001" s="191" t="s">
        <v>1433</v>
      </c>
      <c r="C1001" s="191" t="s">
        <v>59</v>
      </c>
      <c r="D1001" s="191" t="s">
        <v>1434</v>
      </c>
      <c r="E1001" s="191" t="s">
        <v>120</v>
      </c>
      <c r="F1001" s="191"/>
      <c r="G1001" s="191" t="s">
        <v>116</v>
      </c>
      <c r="H1001" s="192">
        <v>1.1106</v>
      </c>
      <c r="I1001" s="244">
        <v>4.75</v>
      </c>
      <c r="J1001" s="244">
        <v>5.27</v>
      </c>
    </row>
    <row r="1002" spans="1:10" ht="42.75" x14ac:dyDescent="0.25">
      <c r="A1002" s="191" t="s">
        <v>62</v>
      </c>
      <c r="B1002" s="191" t="s">
        <v>1456</v>
      </c>
      <c r="C1002" s="191" t="s">
        <v>59</v>
      </c>
      <c r="D1002" s="191" t="s">
        <v>1457</v>
      </c>
      <c r="E1002" s="191" t="s">
        <v>120</v>
      </c>
      <c r="F1002" s="191"/>
      <c r="G1002" s="191" t="s">
        <v>116</v>
      </c>
      <c r="H1002" s="192">
        <v>1.1512</v>
      </c>
      <c r="I1002" s="244">
        <v>2.82</v>
      </c>
      <c r="J1002" s="244">
        <v>3.24</v>
      </c>
    </row>
    <row r="1003" spans="1:10" ht="71.25" x14ac:dyDescent="0.25">
      <c r="A1003" s="191" t="s">
        <v>62</v>
      </c>
      <c r="B1003" s="191" t="s">
        <v>1238</v>
      </c>
      <c r="C1003" s="191" t="s">
        <v>59</v>
      </c>
      <c r="D1003" s="191" t="s">
        <v>1239</v>
      </c>
      <c r="E1003" s="191" t="s">
        <v>120</v>
      </c>
      <c r="F1003" s="191"/>
      <c r="G1003" s="191" t="s">
        <v>116</v>
      </c>
      <c r="H1003" s="192">
        <v>0.21410000000000001</v>
      </c>
      <c r="I1003" s="244">
        <v>2.7</v>
      </c>
      <c r="J1003" s="244">
        <v>0.56999999999999995</v>
      </c>
    </row>
    <row r="1004" spans="1:10" ht="85.5" x14ac:dyDescent="0.25">
      <c r="A1004" s="191" t="s">
        <v>62</v>
      </c>
      <c r="B1004" s="191" t="s">
        <v>1435</v>
      </c>
      <c r="C1004" s="191" t="s">
        <v>59</v>
      </c>
      <c r="D1004" s="191" t="s">
        <v>1436</v>
      </c>
      <c r="E1004" s="191" t="s">
        <v>120</v>
      </c>
      <c r="F1004" s="191"/>
      <c r="G1004" s="191" t="s">
        <v>121</v>
      </c>
      <c r="H1004" s="192">
        <v>0.10390000000000001</v>
      </c>
      <c r="I1004" s="244">
        <v>3.38</v>
      </c>
      <c r="J1004" s="244">
        <v>0.35</v>
      </c>
    </row>
    <row r="1005" spans="1:10" ht="57" x14ac:dyDescent="0.25">
      <c r="A1005" s="191" t="s">
        <v>62</v>
      </c>
      <c r="B1005" s="191" t="s">
        <v>1437</v>
      </c>
      <c r="C1005" s="191" t="s">
        <v>59</v>
      </c>
      <c r="D1005" s="191" t="s">
        <v>1438</v>
      </c>
      <c r="E1005" s="191" t="s">
        <v>120</v>
      </c>
      <c r="F1005" s="191"/>
      <c r="G1005" s="191" t="s">
        <v>217</v>
      </c>
      <c r="H1005" s="192">
        <v>0.16259999999999999</v>
      </c>
      <c r="I1005" s="244">
        <v>19.52</v>
      </c>
      <c r="J1005" s="244">
        <v>3.17</v>
      </c>
    </row>
    <row r="1006" spans="1:10" ht="57" x14ac:dyDescent="0.25">
      <c r="A1006" s="191" t="s">
        <v>62</v>
      </c>
      <c r="B1006" s="191" t="s">
        <v>1458</v>
      </c>
      <c r="C1006" s="191" t="s">
        <v>59</v>
      </c>
      <c r="D1006" s="191" t="s">
        <v>1459</v>
      </c>
      <c r="E1006" s="191" t="s">
        <v>120</v>
      </c>
      <c r="F1006" s="191"/>
      <c r="G1006" s="191" t="s">
        <v>1078</v>
      </c>
      <c r="H1006" s="192">
        <v>3.1800000000000002E-2</v>
      </c>
      <c r="I1006" s="244">
        <v>43.29</v>
      </c>
      <c r="J1006" s="244">
        <v>1.37</v>
      </c>
    </row>
    <row r="1007" spans="1:10" ht="85.5" x14ac:dyDescent="0.25">
      <c r="A1007" s="191" t="s">
        <v>62</v>
      </c>
      <c r="B1007" s="191" t="s">
        <v>1431</v>
      </c>
      <c r="C1007" s="191" t="s">
        <v>59</v>
      </c>
      <c r="D1007" s="191" t="s">
        <v>1432</v>
      </c>
      <c r="E1007" s="191" t="s">
        <v>120</v>
      </c>
      <c r="F1007" s="191"/>
      <c r="G1007" s="191" t="s">
        <v>61</v>
      </c>
      <c r="H1007" s="192">
        <v>1.0257000000000001</v>
      </c>
      <c r="I1007" s="244">
        <v>1.79</v>
      </c>
      <c r="J1007" s="244">
        <v>1.83</v>
      </c>
    </row>
    <row r="1008" spans="1:10" ht="57" x14ac:dyDescent="0.25">
      <c r="A1008" s="191" t="s">
        <v>62</v>
      </c>
      <c r="B1008" s="191" t="s">
        <v>1443</v>
      </c>
      <c r="C1008" s="191" t="s">
        <v>59</v>
      </c>
      <c r="D1008" s="191" t="s">
        <v>1444</v>
      </c>
      <c r="E1008" s="191" t="s">
        <v>120</v>
      </c>
      <c r="F1008" s="191"/>
      <c r="G1008" s="191" t="s">
        <v>61</v>
      </c>
      <c r="H1008" s="192">
        <v>1.4470000000000001</v>
      </c>
      <c r="I1008" s="244">
        <v>0.09</v>
      </c>
      <c r="J1008" s="244">
        <v>0.13</v>
      </c>
    </row>
    <row r="1009" spans="1:10" ht="57" x14ac:dyDescent="0.25">
      <c r="A1009" s="191" t="s">
        <v>62</v>
      </c>
      <c r="B1009" s="191" t="s">
        <v>1429</v>
      </c>
      <c r="C1009" s="191" t="s">
        <v>59</v>
      </c>
      <c r="D1009" s="191" t="s">
        <v>1430</v>
      </c>
      <c r="E1009" s="191" t="s">
        <v>120</v>
      </c>
      <c r="F1009" s="191"/>
      <c r="G1009" s="191" t="s">
        <v>121</v>
      </c>
      <c r="H1009" s="192">
        <v>3.09E-2</v>
      </c>
      <c r="I1009" s="244">
        <v>33.130000000000003</v>
      </c>
      <c r="J1009" s="244">
        <v>1.02</v>
      </c>
    </row>
    <row r="1010" spans="1:10" ht="42.75" x14ac:dyDescent="0.25">
      <c r="A1010" s="191" t="s">
        <v>62</v>
      </c>
      <c r="B1010" s="191" t="s">
        <v>1439</v>
      </c>
      <c r="C1010" s="191" t="s">
        <v>59</v>
      </c>
      <c r="D1010" s="191" t="s">
        <v>1440</v>
      </c>
      <c r="E1010" s="191" t="s">
        <v>120</v>
      </c>
      <c r="F1010" s="191"/>
      <c r="G1010" s="191" t="s">
        <v>1078</v>
      </c>
      <c r="H1010" s="192">
        <v>1.03E-2</v>
      </c>
      <c r="I1010" s="244">
        <v>25.25</v>
      </c>
      <c r="J1010" s="244">
        <v>0.26</v>
      </c>
    </row>
    <row r="1011" spans="1:10" x14ac:dyDescent="0.25">
      <c r="A1011" s="187"/>
      <c r="B1011" s="187"/>
      <c r="C1011" s="187"/>
      <c r="D1011" s="187"/>
      <c r="E1011" s="187" t="s">
        <v>756</v>
      </c>
      <c r="F1011" s="188">
        <v>7.04</v>
      </c>
      <c r="G1011" s="187" t="s">
        <v>757</v>
      </c>
      <c r="H1011" s="188">
        <v>0</v>
      </c>
      <c r="I1011" s="242" t="s">
        <v>758</v>
      </c>
      <c r="J1011" s="242">
        <v>7.04</v>
      </c>
    </row>
    <row r="1012" spans="1:10" x14ac:dyDescent="0.25">
      <c r="A1012" s="187"/>
      <c r="B1012" s="187"/>
      <c r="C1012" s="187"/>
      <c r="D1012" s="187"/>
      <c r="E1012" s="187" t="s">
        <v>759</v>
      </c>
      <c r="F1012" s="188">
        <v>0</v>
      </c>
      <c r="G1012" s="187"/>
      <c r="H1012" s="187" t="s">
        <v>760</v>
      </c>
      <c r="I1012" s="242"/>
      <c r="J1012" s="242">
        <v>27.25</v>
      </c>
    </row>
    <row r="1013" spans="1:10" x14ac:dyDescent="0.25">
      <c r="A1013" s="182"/>
      <c r="B1013" s="182"/>
      <c r="C1013" s="182"/>
      <c r="D1013" s="182"/>
      <c r="E1013" s="182"/>
      <c r="F1013" s="182"/>
      <c r="G1013" s="182" t="s">
        <v>761</v>
      </c>
      <c r="H1013" s="189" t="s">
        <v>1460</v>
      </c>
      <c r="I1013" s="239" t="s">
        <v>763</v>
      </c>
      <c r="J1013" s="239">
        <v>10924.25</v>
      </c>
    </row>
    <row r="1014" spans="1:10" x14ac:dyDescent="0.25">
      <c r="A1014" s="183"/>
      <c r="B1014" s="183"/>
      <c r="C1014" s="183"/>
      <c r="D1014" s="183"/>
      <c r="E1014" s="183"/>
      <c r="F1014" s="183"/>
      <c r="G1014" s="183"/>
      <c r="H1014" s="183"/>
      <c r="I1014" s="240"/>
      <c r="J1014" s="240"/>
    </row>
    <row r="1015" spans="1:10" x14ac:dyDescent="0.25">
      <c r="A1015" s="190" t="s">
        <v>1461</v>
      </c>
      <c r="B1015" s="190"/>
      <c r="C1015" s="190"/>
      <c r="D1015" s="190" t="s">
        <v>221</v>
      </c>
      <c r="E1015" s="190"/>
      <c r="F1015" s="190"/>
      <c r="G1015" s="190"/>
      <c r="H1015" s="190"/>
      <c r="I1015" s="243"/>
      <c r="J1015" s="243">
        <v>30508.49</v>
      </c>
    </row>
    <row r="1016" spans="1:10" x14ac:dyDescent="0.25">
      <c r="A1016" s="190" t="s">
        <v>1462</v>
      </c>
      <c r="B1016" s="190"/>
      <c r="C1016" s="190"/>
      <c r="D1016" s="190" t="s">
        <v>473</v>
      </c>
      <c r="E1016" s="190"/>
      <c r="F1016" s="190"/>
      <c r="G1016" s="190"/>
      <c r="H1016" s="190"/>
      <c r="I1016" s="243"/>
      <c r="J1016" s="243">
        <v>13057.31</v>
      </c>
    </row>
    <row r="1017" spans="1:10" x14ac:dyDescent="0.25">
      <c r="A1017" s="182" t="s">
        <v>1463</v>
      </c>
      <c r="B1017" s="182" t="s">
        <v>66</v>
      </c>
      <c r="C1017" s="182" t="s">
        <v>64</v>
      </c>
      <c r="D1017" s="182" t="s">
        <v>67</v>
      </c>
      <c r="E1017" s="182" t="s">
        <v>65</v>
      </c>
      <c r="F1017" s="182"/>
      <c r="G1017" s="182" t="s">
        <v>744</v>
      </c>
      <c r="H1017" s="182" t="s">
        <v>69</v>
      </c>
      <c r="I1017" s="239" t="s">
        <v>745</v>
      </c>
      <c r="J1017" s="239" t="s">
        <v>0</v>
      </c>
    </row>
    <row r="1018" spans="1:10" ht="71.25" x14ac:dyDescent="0.25">
      <c r="A1018" s="183" t="s">
        <v>58</v>
      </c>
      <c r="B1018" s="183" t="s">
        <v>1464</v>
      </c>
      <c r="C1018" s="183" t="s">
        <v>59</v>
      </c>
      <c r="D1018" s="183" t="s">
        <v>1465</v>
      </c>
      <c r="E1018" s="183" t="s">
        <v>1375</v>
      </c>
      <c r="F1018" s="183"/>
      <c r="G1018" s="183" t="s">
        <v>116</v>
      </c>
      <c r="H1018" s="184">
        <v>1</v>
      </c>
      <c r="I1018" s="240">
        <v>75.45</v>
      </c>
      <c r="J1018" s="240">
        <v>75.45</v>
      </c>
    </row>
    <row r="1019" spans="1:10" ht="28.5" x14ac:dyDescent="0.25">
      <c r="A1019" s="185" t="s">
        <v>119</v>
      </c>
      <c r="B1019" s="185" t="s">
        <v>1380</v>
      </c>
      <c r="C1019" s="185" t="s">
        <v>59</v>
      </c>
      <c r="D1019" s="185" t="s">
        <v>1381</v>
      </c>
      <c r="E1019" s="185" t="s">
        <v>754</v>
      </c>
      <c r="F1019" s="185"/>
      <c r="G1019" s="185" t="s">
        <v>60</v>
      </c>
      <c r="H1019" s="186">
        <v>0.27700000000000002</v>
      </c>
      <c r="I1019" s="241">
        <v>31.4</v>
      </c>
      <c r="J1019" s="241">
        <v>8.69</v>
      </c>
    </row>
    <row r="1020" spans="1:10" ht="28.5" x14ac:dyDescent="0.25">
      <c r="A1020" s="185" t="s">
        <v>119</v>
      </c>
      <c r="B1020" s="185" t="s">
        <v>769</v>
      </c>
      <c r="C1020" s="185" t="s">
        <v>59</v>
      </c>
      <c r="D1020" s="185" t="s">
        <v>115</v>
      </c>
      <c r="E1020" s="185" t="s">
        <v>754</v>
      </c>
      <c r="F1020" s="185"/>
      <c r="G1020" s="185" t="s">
        <v>60</v>
      </c>
      <c r="H1020" s="186">
        <v>0.371</v>
      </c>
      <c r="I1020" s="241">
        <v>22.42</v>
      </c>
      <c r="J1020" s="241">
        <v>8.31</v>
      </c>
    </row>
    <row r="1021" spans="1:10" ht="71.25" x14ac:dyDescent="0.25">
      <c r="A1021" s="185" t="s">
        <v>119</v>
      </c>
      <c r="B1021" s="185" t="s">
        <v>1376</v>
      </c>
      <c r="C1021" s="185" t="s">
        <v>59</v>
      </c>
      <c r="D1021" s="185" t="s">
        <v>1377</v>
      </c>
      <c r="E1021" s="185" t="s">
        <v>807</v>
      </c>
      <c r="F1021" s="185"/>
      <c r="G1021" s="185" t="s">
        <v>117</v>
      </c>
      <c r="H1021" s="186">
        <v>1.32E-2</v>
      </c>
      <c r="I1021" s="241">
        <v>20.89</v>
      </c>
      <c r="J1021" s="241">
        <v>0.27</v>
      </c>
    </row>
    <row r="1022" spans="1:10" ht="57" x14ac:dyDescent="0.25">
      <c r="A1022" s="185" t="s">
        <v>119</v>
      </c>
      <c r="B1022" s="185" t="s">
        <v>1378</v>
      </c>
      <c r="C1022" s="185" t="s">
        <v>59</v>
      </c>
      <c r="D1022" s="185" t="s">
        <v>1379</v>
      </c>
      <c r="E1022" s="185" t="s">
        <v>807</v>
      </c>
      <c r="F1022" s="185"/>
      <c r="G1022" s="185" t="s">
        <v>125</v>
      </c>
      <c r="H1022" s="186">
        <v>1.83E-2</v>
      </c>
      <c r="I1022" s="241">
        <v>19.809999999999999</v>
      </c>
      <c r="J1022" s="241">
        <v>0.36</v>
      </c>
    </row>
    <row r="1023" spans="1:10" ht="42.75" x14ac:dyDescent="0.25">
      <c r="A1023" s="191" t="s">
        <v>62</v>
      </c>
      <c r="B1023" s="191" t="s">
        <v>1466</v>
      </c>
      <c r="C1023" s="191" t="s">
        <v>59</v>
      </c>
      <c r="D1023" s="191" t="s">
        <v>1467</v>
      </c>
      <c r="E1023" s="191" t="s">
        <v>120</v>
      </c>
      <c r="F1023" s="191"/>
      <c r="G1023" s="191" t="s">
        <v>116</v>
      </c>
      <c r="H1023" s="192">
        <v>1.05</v>
      </c>
      <c r="I1023" s="244">
        <v>40.840000000000003</v>
      </c>
      <c r="J1023" s="244">
        <v>42.88</v>
      </c>
    </row>
    <row r="1024" spans="1:10" ht="57" x14ac:dyDescent="0.25">
      <c r="A1024" s="191" t="s">
        <v>62</v>
      </c>
      <c r="B1024" s="191" t="s">
        <v>1299</v>
      </c>
      <c r="C1024" s="191" t="s">
        <v>59</v>
      </c>
      <c r="D1024" s="191" t="s">
        <v>1300</v>
      </c>
      <c r="E1024" s="191" t="s">
        <v>120</v>
      </c>
      <c r="F1024" s="191"/>
      <c r="G1024" s="191" t="s">
        <v>1301</v>
      </c>
      <c r="H1024" s="192">
        <v>8.1000000000000003E-2</v>
      </c>
      <c r="I1024" s="244">
        <v>34.909999999999997</v>
      </c>
      <c r="J1024" s="244">
        <v>2.82</v>
      </c>
    </row>
    <row r="1025" spans="1:10" ht="28.5" x14ac:dyDescent="0.25">
      <c r="A1025" s="191" t="s">
        <v>62</v>
      </c>
      <c r="B1025" s="191" t="s">
        <v>1468</v>
      </c>
      <c r="C1025" s="191" t="s">
        <v>59</v>
      </c>
      <c r="D1025" s="191" t="s">
        <v>1469</v>
      </c>
      <c r="E1025" s="191" t="s">
        <v>120</v>
      </c>
      <c r="F1025" s="191"/>
      <c r="G1025" s="191" t="s">
        <v>121</v>
      </c>
      <c r="H1025" s="192">
        <v>1.2999999999999999E-2</v>
      </c>
      <c r="I1025" s="244">
        <v>19.95</v>
      </c>
      <c r="J1025" s="244">
        <v>0.25</v>
      </c>
    </row>
    <row r="1026" spans="1:10" ht="28.5" x14ac:dyDescent="0.25">
      <c r="A1026" s="191" t="s">
        <v>62</v>
      </c>
      <c r="B1026" s="191" t="s">
        <v>1470</v>
      </c>
      <c r="C1026" s="191" t="s">
        <v>59</v>
      </c>
      <c r="D1026" s="191" t="s">
        <v>1471</v>
      </c>
      <c r="E1026" s="191" t="s">
        <v>120</v>
      </c>
      <c r="F1026" s="191"/>
      <c r="G1026" s="191" t="s">
        <v>121</v>
      </c>
      <c r="H1026" s="192">
        <v>0.09</v>
      </c>
      <c r="I1026" s="244">
        <v>130.16999999999999</v>
      </c>
      <c r="J1026" s="244">
        <v>11.71</v>
      </c>
    </row>
    <row r="1027" spans="1:10" ht="57" x14ac:dyDescent="0.25">
      <c r="A1027" s="191" t="s">
        <v>62</v>
      </c>
      <c r="B1027" s="191" t="s">
        <v>1472</v>
      </c>
      <c r="C1027" s="191" t="s">
        <v>59</v>
      </c>
      <c r="D1027" s="191" t="s">
        <v>1473</v>
      </c>
      <c r="E1027" s="191" t="s">
        <v>120</v>
      </c>
      <c r="F1027" s="191"/>
      <c r="G1027" s="191" t="s">
        <v>121</v>
      </c>
      <c r="H1027" s="192">
        <v>2.3999999999999998E-3</v>
      </c>
      <c r="I1027" s="244">
        <v>70.37</v>
      </c>
      <c r="J1027" s="244">
        <v>0.16</v>
      </c>
    </row>
    <row r="1028" spans="1:10" x14ac:dyDescent="0.25">
      <c r="A1028" s="187"/>
      <c r="B1028" s="187"/>
      <c r="C1028" s="187"/>
      <c r="D1028" s="187"/>
      <c r="E1028" s="187" t="s">
        <v>756</v>
      </c>
      <c r="F1028" s="188">
        <v>12.64</v>
      </c>
      <c r="G1028" s="187" t="s">
        <v>757</v>
      </c>
      <c r="H1028" s="188">
        <v>0</v>
      </c>
      <c r="I1028" s="242" t="s">
        <v>758</v>
      </c>
      <c r="J1028" s="242">
        <v>12.64</v>
      </c>
    </row>
    <row r="1029" spans="1:10" x14ac:dyDescent="0.25">
      <c r="A1029" s="187"/>
      <c r="B1029" s="187"/>
      <c r="C1029" s="187"/>
      <c r="D1029" s="187"/>
      <c r="E1029" s="187" t="s">
        <v>759</v>
      </c>
      <c r="F1029" s="188">
        <v>0</v>
      </c>
      <c r="G1029" s="187"/>
      <c r="H1029" s="187" t="s">
        <v>760</v>
      </c>
      <c r="I1029" s="242"/>
      <c r="J1029" s="242">
        <v>75.45</v>
      </c>
    </row>
    <row r="1030" spans="1:10" x14ac:dyDescent="0.25">
      <c r="A1030" s="182"/>
      <c r="B1030" s="182"/>
      <c r="C1030" s="182"/>
      <c r="D1030" s="182"/>
      <c r="E1030" s="182"/>
      <c r="F1030" s="182"/>
      <c r="G1030" s="182" t="s">
        <v>761</v>
      </c>
      <c r="H1030" s="189" t="s">
        <v>1474</v>
      </c>
      <c r="I1030" s="239" t="s">
        <v>763</v>
      </c>
      <c r="J1030" s="239">
        <v>4149.75</v>
      </c>
    </row>
    <row r="1031" spans="1:10" x14ac:dyDescent="0.25">
      <c r="A1031" s="183"/>
      <c r="B1031" s="183"/>
      <c r="C1031" s="183"/>
      <c r="D1031" s="183"/>
      <c r="E1031" s="183"/>
      <c r="F1031" s="183"/>
      <c r="G1031" s="183"/>
      <c r="H1031" s="183"/>
      <c r="I1031" s="240"/>
      <c r="J1031" s="240"/>
    </row>
    <row r="1032" spans="1:10" x14ac:dyDescent="0.25">
      <c r="A1032" s="182" t="s">
        <v>1475</v>
      </c>
      <c r="B1032" s="182" t="s">
        <v>66</v>
      </c>
      <c r="C1032" s="182" t="s">
        <v>64</v>
      </c>
      <c r="D1032" s="182" t="s">
        <v>67</v>
      </c>
      <c r="E1032" s="182" t="s">
        <v>65</v>
      </c>
      <c r="F1032" s="182"/>
      <c r="G1032" s="182" t="s">
        <v>744</v>
      </c>
      <c r="H1032" s="182" t="s">
        <v>69</v>
      </c>
      <c r="I1032" s="239" t="s">
        <v>745</v>
      </c>
      <c r="J1032" s="239" t="s">
        <v>0</v>
      </c>
    </row>
    <row r="1033" spans="1:10" ht="71.25" x14ac:dyDescent="0.25">
      <c r="A1033" s="183" t="s">
        <v>58</v>
      </c>
      <c r="B1033" s="183" t="s">
        <v>1476</v>
      </c>
      <c r="C1033" s="183" t="s">
        <v>59</v>
      </c>
      <c r="D1033" s="183" t="s">
        <v>1477</v>
      </c>
      <c r="E1033" s="183" t="s">
        <v>1478</v>
      </c>
      <c r="F1033" s="183"/>
      <c r="G1033" s="183" t="s">
        <v>116</v>
      </c>
      <c r="H1033" s="184">
        <v>1</v>
      </c>
      <c r="I1033" s="240">
        <v>29.26</v>
      </c>
      <c r="J1033" s="240">
        <v>29.26</v>
      </c>
    </row>
    <row r="1034" spans="1:10" ht="42.75" x14ac:dyDescent="0.25">
      <c r="A1034" s="185" t="s">
        <v>119</v>
      </c>
      <c r="B1034" s="185" t="s">
        <v>1479</v>
      </c>
      <c r="C1034" s="185" t="s">
        <v>59</v>
      </c>
      <c r="D1034" s="185" t="s">
        <v>1480</v>
      </c>
      <c r="E1034" s="185" t="s">
        <v>754</v>
      </c>
      <c r="F1034" s="185"/>
      <c r="G1034" s="185" t="s">
        <v>60</v>
      </c>
      <c r="H1034" s="186">
        <v>4.82E-2</v>
      </c>
      <c r="I1034" s="241">
        <v>22.16</v>
      </c>
      <c r="J1034" s="241">
        <v>1.06</v>
      </c>
    </row>
    <row r="1035" spans="1:10" ht="42.75" x14ac:dyDescent="0.25">
      <c r="A1035" s="185" t="s">
        <v>119</v>
      </c>
      <c r="B1035" s="185" t="s">
        <v>1481</v>
      </c>
      <c r="C1035" s="185" t="s">
        <v>59</v>
      </c>
      <c r="D1035" s="185" t="s">
        <v>1482</v>
      </c>
      <c r="E1035" s="185" t="s">
        <v>754</v>
      </c>
      <c r="F1035" s="185"/>
      <c r="G1035" s="185" t="s">
        <v>60</v>
      </c>
      <c r="H1035" s="186">
        <v>4.82E-2</v>
      </c>
      <c r="I1035" s="241">
        <v>31.42</v>
      </c>
      <c r="J1035" s="241">
        <v>1.51</v>
      </c>
    </row>
    <row r="1036" spans="1:10" ht="28.5" x14ac:dyDescent="0.25">
      <c r="A1036" s="191" t="s">
        <v>62</v>
      </c>
      <c r="B1036" s="191" t="s">
        <v>1483</v>
      </c>
      <c r="C1036" s="191" t="s">
        <v>59</v>
      </c>
      <c r="D1036" s="191" t="s">
        <v>1484</v>
      </c>
      <c r="E1036" s="191" t="s">
        <v>120</v>
      </c>
      <c r="F1036" s="191"/>
      <c r="G1036" s="191" t="s">
        <v>61</v>
      </c>
      <c r="H1036" s="192">
        <v>2.7E-2</v>
      </c>
      <c r="I1036" s="244">
        <v>2</v>
      </c>
      <c r="J1036" s="244">
        <v>0.05</v>
      </c>
    </row>
    <row r="1037" spans="1:10" ht="42.75" x14ac:dyDescent="0.25">
      <c r="A1037" s="191" t="s">
        <v>62</v>
      </c>
      <c r="B1037" s="191" t="s">
        <v>1485</v>
      </c>
      <c r="C1037" s="191" t="s">
        <v>59</v>
      </c>
      <c r="D1037" s="191" t="s">
        <v>1486</v>
      </c>
      <c r="E1037" s="191" t="s">
        <v>120</v>
      </c>
      <c r="F1037" s="191"/>
      <c r="G1037" s="191" t="s">
        <v>116</v>
      </c>
      <c r="H1037" s="192">
        <v>1.0353000000000001</v>
      </c>
      <c r="I1037" s="244">
        <v>25.74</v>
      </c>
      <c r="J1037" s="244">
        <v>26.64</v>
      </c>
    </row>
    <row r="1038" spans="1:10" x14ac:dyDescent="0.25">
      <c r="A1038" s="187"/>
      <c r="B1038" s="187"/>
      <c r="C1038" s="187"/>
      <c r="D1038" s="187"/>
      <c r="E1038" s="187" t="s">
        <v>756</v>
      </c>
      <c r="F1038" s="188">
        <v>1.91</v>
      </c>
      <c r="G1038" s="187" t="s">
        <v>757</v>
      </c>
      <c r="H1038" s="188">
        <v>0</v>
      </c>
      <c r="I1038" s="242" t="s">
        <v>758</v>
      </c>
      <c r="J1038" s="242">
        <v>1.91</v>
      </c>
    </row>
    <row r="1039" spans="1:10" x14ac:dyDescent="0.25">
      <c r="A1039" s="187"/>
      <c r="B1039" s="187"/>
      <c r="C1039" s="187"/>
      <c r="D1039" s="187"/>
      <c r="E1039" s="187" t="s">
        <v>759</v>
      </c>
      <c r="F1039" s="188">
        <v>0</v>
      </c>
      <c r="G1039" s="187"/>
      <c r="H1039" s="187" t="s">
        <v>760</v>
      </c>
      <c r="I1039" s="242"/>
      <c r="J1039" s="242">
        <v>29.26</v>
      </c>
    </row>
    <row r="1040" spans="1:10" x14ac:dyDescent="0.25">
      <c r="A1040" s="182"/>
      <c r="B1040" s="182"/>
      <c r="C1040" s="182"/>
      <c r="D1040" s="182"/>
      <c r="E1040" s="182"/>
      <c r="F1040" s="182"/>
      <c r="G1040" s="182" t="s">
        <v>761</v>
      </c>
      <c r="H1040" s="189" t="s">
        <v>1487</v>
      </c>
      <c r="I1040" s="239" t="s">
        <v>763</v>
      </c>
      <c r="J1040" s="239">
        <v>1024.0999999999999</v>
      </c>
    </row>
    <row r="1041" spans="1:10" x14ac:dyDescent="0.25">
      <c r="A1041" s="183"/>
      <c r="B1041" s="183"/>
      <c r="C1041" s="183"/>
      <c r="D1041" s="183"/>
      <c r="E1041" s="183"/>
      <c r="F1041" s="183"/>
      <c r="G1041" s="183"/>
      <c r="H1041" s="183"/>
      <c r="I1041" s="240"/>
      <c r="J1041" s="240"/>
    </row>
    <row r="1042" spans="1:10" x14ac:dyDescent="0.25">
      <c r="A1042" s="182" t="s">
        <v>1488</v>
      </c>
      <c r="B1042" s="182" t="s">
        <v>66</v>
      </c>
      <c r="C1042" s="182" t="s">
        <v>64</v>
      </c>
      <c r="D1042" s="182" t="s">
        <v>67</v>
      </c>
      <c r="E1042" s="182" t="s">
        <v>65</v>
      </c>
      <c r="F1042" s="182"/>
      <c r="G1042" s="182" t="s">
        <v>744</v>
      </c>
      <c r="H1042" s="182" t="s">
        <v>69</v>
      </c>
      <c r="I1042" s="239" t="s">
        <v>745</v>
      </c>
      <c r="J1042" s="239" t="s">
        <v>0</v>
      </c>
    </row>
    <row r="1043" spans="1:10" ht="42.75" x14ac:dyDescent="0.25">
      <c r="A1043" s="183" t="s">
        <v>58</v>
      </c>
      <c r="B1043" s="183" t="s">
        <v>1489</v>
      </c>
      <c r="C1043" s="183" t="s">
        <v>59</v>
      </c>
      <c r="D1043" s="183" t="s">
        <v>1490</v>
      </c>
      <c r="E1043" s="183" t="s">
        <v>1491</v>
      </c>
      <c r="F1043" s="183"/>
      <c r="G1043" s="183" t="s">
        <v>116</v>
      </c>
      <c r="H1043" s="184">
        <v>1</v>
      </c>
      <c r="I1043" s="240">
        <v>39.270000000000003</v>
      </c>
      <c r="J1043" s="240">
        <v>39.270000000000003</v>
      </c>
    </row>
    <row r="1044" spans="1:10" ht="28.5" x14ac:dyDescent="0.25">
      <c r="A1044" s="185" t="s">
        <v>119</v>
      </c>
      <c r="B1044" s="185" t="s">
        <v>894</v>
      </c>
      <c r="C1044" s="185" t="s">
        <v>59</v>
      </c>
      <c r="D1044" s="185" t="s">
        <v>126</v>
      </c>
      <c r="E1044" s="185" t="s">
        <v>754</v>
      </c>
      <c r="F1044" s="185"/>
      <c r="G1044" s="185" t="s">
        <v>60</v>
      </c>
      <c r="H1044" s="186">
        <v>0.17899999999999999</v>
      </c>
      <c r="I1044" s="241">
        <v>32.15</v>
      </c>
      <c r="J1044" s="241">
        <v>5.75</v>
      </c>
    </row>
    <row r="1045" spans="1:10" ht="28.5" x14ac:dyDescent="0.25">
      <c r="A1045" s="185" t="s">
        <v>119</v>
      </c>
      <c r="B1045" s="185" t="s">
        <v>769</v>
      </c>
      <c r="C1045" s="185" t="s">
        <v>59</v>
      </c>
      <c r="D1045" s="185" t="s">
        <v>115</v>
      </c>
      <c r="E1045" s="185" t="s">
        <v>754</v>
      </c>
      <c r="F1045" s="185"/>
      <c r="G1045" s="185" t="s">
        <v>60</v>
      </c>
      <c r="H1045" s="186">
        <v>0.09</v>
      </c>
      <c r="I1045" s="241">
        <v>22.42</v>
      </c>
      <c r="J1045" s="241">
        <v>2.0099999999999998</v>
      </c>
    </row>
    <row r="1046" spans="1:10" ht="57" x14ac:dyDescent="0.25">
      <c r="A1046" s="191" t="s">
        <v>62</v>
      </c>
      <c r="B1046" s="191" t="s">
        <v>1299</v>
      </c>
      <c r="C1046" s="191" t="s">
        <v>59</v>
      </c>
      <c r="D1046" s="191" t="s">
        <v>1300</v>
      </c>
      <c r="E1046" s="191" t="s">
        <v>120</v>
      </c>
      <c r="F1046" s="191"/>
      <c r="G1046" s="191" t="s">
        <v>1301</v>
      </c>
      <c r="H1046" s="192">
        <v>9.1999999999999998E-2</v>
      </c>
      <c r="I1046" s="244">
        <v>34.909999999999997</v>
      </c>
      <c r="J1046" s="244">
        <v>3.21</v>
      </c>
    </row>
    <row r="1047" spans="1:10" ht="71.25" x14ac:dyDescent="0.25">
      <c r="A1047" s="191" t="s">
        <v>62</v>
      </c>
      <c r="B1047" s="191" t="s">
        <v>1230</v>
      </c>
      <c r="C1047" s="191" t="s">
        <v>59</v>
      </c>
      <c r="D1047" s="191" t="s">
        <v>1231</v>
      </c>
      <c r="E1047" s="191" t="s">
        <v>120</v>
      </c>
      <c r="F1047" s="191"/>
      <c r="G1047" s="191" t="s">
        <v>61</v>
      </c>
      <c r="H1047" s="192">
        <v>1.33</v>
      </c>
      <c r="I1047" s="244">
        <v>0.26</v>
      </c>
      <c r="J1047" s="244">
        <v>0.34</v>
      </c>
    </row>
    <row r="1048" spans="1:10" ht="42.75" x14ac:dyDescent="0.25">
      <c r="A1048" s="191" t="s">
        <v>62</v>
      </c>
      <c r="B1048" s="191" t="s">
        <v>1492</v>
      </c>
      <c r="C1048" s="191" t="s">
        <v>59</v>
      </c>
      <c r="D1048" s="191" t="s">
        <v>1493</v>
      </c>
      <c r="E1048" s="191" t="s">
        <v>120</v>
      </c>
      <c r="F1048" s="191"/>
      <c r="G1048" s="191" t="s">
        <v>116</v>
      </c>
      <c r="H1048" s="192">
        <v>1.1499999999999999</v>
      </c>
      <c r="I1048" s="244">
        <v>24.32</v>
      </c>
      <c r="J1048" s="244">
        <v>27.96</v>
      </c>
    </row>
    <row r="1049" spans="1:10" x14ac:dyDescent="0.25">
      <c r="A1049" s="187"/>
      <c r="B1049" s="187"/>
      <c r="C1049" s="187"/>
      <c r="D1049" s="187"/>
      <c r="E1049" s="187" t="s">
        <v>756</v>
      </c>
      <c r="F1049" s="188">
        <v>5.76</v>
      </c>
      <c r="G1049" s="187" t="s">
        <v>757</v>
      </c>
      <c r="H1049" s="188">
        <v>0</v>
      </c>
      <c r="I1049" s="242" t="s">
        <v>758</v>
      </c>
      <c r="J1049" s="242">
        <v>5.76</v>
      </c>
    </row>
    <row r="1050" spans="1:10" x14ac:dyDescent="0.25">
      <c r="A1050" s="187"/>
      <c r="B1050" s="187"/>
      <c r="C1050" s="187"/>
      <c r="D1050" s="187"/>
      <c r="E1050" s="187" t="s">
        <v>759</v>
      </c>
      <c r="F1050" s="188">
        <v>0</v>
      </c>
      <c r="G1050" s="187"/>
      <c r="H1050" s="187" t="s">
        <v>760</v>
      </c>
      <c r="I1050" s="242"/>
      <c r="J1050" s="242">
        <v>39.270000000000003</v>
      </c>
    </row>
    <row r="1051" spans="1:10" x14ac:dyDescent="0.25">
      <c r="A1051" s="182"/>
      <c r="B1051" s="182"/>
      <c r="C1051" s="182"/>
      <c r="D1051" s="182"/>
      <c r="E1051" s="182"/>
      <c r="F1051" s="182"/>
      <c r="G1051" s="182" t="s">
        <v>761</v>
      </c>
      <c r="H1051" s="189" t="s">
        <v>1494</v>
      </c>
      <c r="I1051" s="239" t="s">
        <v>763</v>
      </c>
      <c r="J1051" s="239">
        <v>1413.72</v>
      </c>
    </row>
    <row r="1052" spans="1:10" x14ac:dyDescent="0.25">
      <c r="A1052" s="183"/>
      <c r="B1052" s="183"/>
      <c r="C1052" s="183"/>
      <c r="D1052" s="183"/>
      <c r="E1052" s="183"/>
      <c r="F1052" s="183"/>
      <c r="G1052" s="183"/>
      <c r="H1052" s="183"/>
      <c r="I1052" s="240"/>
      <c r="J1052" s="240"/>
    </row>
    <row r="1053" spans="1:10" x14ac:dyDescent="0.25">
      <c r="A1053" s="182" t="s">
        <v>1495</v>
      </c>
      <c r="B1053" s="182" t="s">
        <v>66</v>
      </c>
      <c r="C1053" s="182" t="s">
        <v>64</v>
      </c>
      <c r="D1053" s="182" t="s">
        <v>67</v>
      </c>
      <c r="E1053" s="182" t="s">
        <v>65</v>
      </c>
      <c r="F1053" s="182"/>
      <c r="G1053" s="182" t="s">
        <v>744</v>
      </c>
      <c r="H1053" s="182" t="s">
        <v>69</v>
      </c>
      <c r="I1053" s="239" t="s">
        <v>745</v>
      </c>
      <c r="J1053" s="239" t="s">
        <v>0</v>
      </c>
    </row>
    <row r="1054" spans="1:10" ht="71.25" x14ac:dyDescent="0.25">
      <c r="A1054" s="183" t="s">
        <v>58</v>
      </c>
      <c r="B1054" s="183" t="s">
        <v>1496</v>
      </c>
      <c r="C1054" s="183" t="s">
        <v>785</v>
      </c>
      <c r="D1054" s="183" t="s">
        <v>1497</v>
      </c>
      <c r="E1054" s="183">
        <v>818</v>
      </c>
      <c r="F1054" s="183"/>
      <c r="G1054" s="183" t="s">
        <v>1498</v>
      </c>
      <c r="H1054" s="184">
        <v>1</v>
      </c>
      <c r="I1054" s="240">
        <v>762.37</v>
      </c>
      <c r="J1054" s="240">
        <v>762.37</v>
      </c>
    </row>
    <row r="1055" spans="1:10" ht="28.5" x14ac:dyDescent="0.25">
      <c r="A1055" s="191" t="s">
        <v>62</v>
      </c>
      <c r="B1055" s="191" t="s">
        <v>1499</v>
      </c>
      <c r="C1055" s="191" t="s">
        <v>785</v>
      </c>
      <c r="D1055" s="191" t="s">
        <v>1500</v>
      </c>
      <c r="E1055" s="191" t="s">
        <v>120</v>
      </c>
      <c r="F1055" s="191"/>
      <c r="G1055" s="191" t="s">
        <v>183</v>
      </c>
      <c r="H1055" s="192">
        <v>9.0660000000000007</v>
      </c>
      <c r="I1055" s="244">
        <v>7.5</v>
      </c>
      <c r="J1055" s="244">
        <v>67.989999999999995</v>
      </c>
    </row>
    <row r="1056" spans="1:10" ht="28.5" x14ac:dyDescent="0.25">
      <c r="A1056" s="191" t="s">
        <v>62</v>
      </c>
      <c r="B1056" s="191" t="s">
        <v>799</v>
      </c>
      <c r="C1056" s="191" t="s">
        <v>785</v>
      </c>
      <c r="D1056" s="191" t="s">
        <v>188</v>
      </c>
      <c r="E1056" s="191" t="s">
        <v>124</v>
      </c>
      <c r="F1056" s="191"/>
      <c r="G1056" s="191" t="s">
        <v>60</v>
      </c>
      <c r="H1056" s="192">
        <v>9.2205999999999992</v>
      </c>
      <c r="I1056" s="244">
        <v>20.21</v>
      </c>
      <c r="J1056" s="244">
        <v>186.34</v>
      </c>
    </row>
    <row r="1057" spans="1:10" ht="28.5" x14ac:dyDescent="0.25">
      <c r="A1057" s="191" t="s">
        <v>62</v>
      </c>
      <c r="B1057" s="191" t="s">
        <v>1501</v>
      </c>
      <c r="C1057" s="191" t="s">
        <v>785</v>
      </c>
      <c r="D1057" s="191" t="s">
        <v>1502</v>
      </c>
      <c r="E1057" s="191" t="s">
        <v>120</v>
      </c>
      <c r="F1057" s="191"/>
      <c r="G1057" s="191" t="s">
        <v>129</v>
      </c>
      <c r="H1057" s="192">
        <v>201.6</v>
      </c>
      <c r="I1057" s="244">
        <v>0.47</v>
      </c>
      <c r="J1057" s="244">
        <v>94.75</v>
      </c>
    </row>
    <row r="1058" spans="1:10" ht="28.5" x14ac:dyDescent="0.25">
      <c r="A1058" s="191" t="s">
        <v>62</v>
      </c>
      <c r="B1058" s="191" t="s">
        <v>1503</v>
      </c>
      <c r="C1058" s="191" t="s">
        <v>785</v>
      </c>
      <c r="D1058" s="191" t="s">
        <v>1504</v>
      </c>
      <c r="E1058" s="191" t="s">
        <v>120</v>
      </c>
      <c r="F1058" s="191"/>
      <c r="G1058" s="191" t="s">
        <v>183</v>
      </c>
      <c r="H1058" s="192">
        <v>3.3449</v>
      </c>
      <c r="I1058" s="244">
        <v>8</v>
      </c>
      <c r="J1058" s="244">
        <v>26.75</v>
      </c>
    </row>
    <row r="1059" spans="1:10" ht="28.5" x14ac:dyDescent="0.25">
      <c r="A1059" s="191" t="s">
        <v>62</v>
      </c>
      <c r="B1059" s="191" t="s">
        <v>1270</v>
      </c>
      <c r="C1059" s="191" t="s">
        <v>785</v>
      </c>
      <c r="D1059" s="191" t="s">
        <v>1271</v>
      </c>
      <c r="E1059" s="191" t="s">
        <v>120</v>
      </c>
      <c r="F1059" s="191"/>
      <c r="G1059" s="191" t="s">
        <v>183</v>
      </c>
      <c r="H1059" s="192">
        <v>7.5200000000000003E-2</v>
      </c>
      <c r="I1059" s="244">
        <v>28.9</v>
      </c>
      <c r="J1059" s="244">
        <v>2.17</v>
      </c>
    </row>
    <row r="1060" spans="1:10" ht="28.5" x14ac:dyDescent="0.25">
      <c r="A1060" s="191" t="s">
        <v>62</v>
      </c>
      <c r="B1060" s="191" t="s">
        <v>1505</v>
      </c>
      <c r="C1060" s="191" t="s">
        <v>785</v>
      </c>
      <c r="D1060" s="191" t="s">
        <v>1506</v>
      </c>
      <c r="E1060" s="191" t="s">
        <v>120</v>
      </c>
      <c r="F1060" s="191"/>
      <c r="G1060" s="191" t="s">
        <v>183</v>
      </c>
      <c r="H1060" s="192">
        <v>4.7999999999999996E-3</v>
      </c>
      <c r="I1060" s="244">
        <v>18.850000000000001</v>
      </c>
      <c r="J1060" s="244">
        <v>0.09</v>
      </c>
    </row>
    <row r="1061" spans="1:10" ht="28.5" x14ac:dyDescent="0.25">
      <c r="A1061" s="191" t="s">
        <v>62</v>
      </c>
      <c r="B1061" s="191" t="s">
        <v>1507</v>
      </c>
      <c r="C1061" s="191" t="s">
        <v>785</v>
      </c>
      <c r="D1061" s="191" t="s">
        <v>1508</v>
      </c>
      <c r="E1061" s="191" t="s">
        <v>120</v>
      </c>
      <c r="F1061" s="191"/>
      <c r="G1061" s="191" t="s">
        <v>183</v>
      </c>
      <c r="H1061" s="192">
        <v>2.98E-2</v>
      </c>
      <c r="I1061" s="244">
        <v>13.86</v>
      </c>
      <c r="J1061" s="244">
        <v>0.41</v>
      </c>
    </row>
    <row r="1062" spans="1:10" ht="28.5" x14ac:dyDescent="0.25">
      <c r="A1062" s="191" t="s">
        <v>62</v>
      </c>
      <c r="B1062" s="191" t="s">
        <v>1272</v>
      </c>
      <c r="C1062" s="191" t="s">
        <v>785</v>
      </c>
      <c r="D1062" s="191" t="s">
        <v>1273</v>
      </c>
      <c r="E1062" s="191" t="s">
        <v>120</v>
      </c>
      <c r="F1062" s="191"/>
      <c r="G1062" s="191" t="s">
        <v>129</v>
      </c>
      <c r="H1062" s="192">
        <v>0.12570000000000001</v>
      </c>
      <c r="I1062" s="244">
        <v>3.87</v>
      </c>
      <c r="J1062" s="244">
        <v>0.48</v>
      </c>
    </row>
    <row r="1063" spans="1:10" ht="28.5" x14ac:dyDescent="0.25">
      <c r="A1063" s="191" t="s">
        <v>62</v>
      </c>
      <c r="B1063" s="191" t="s">
        <v>1509</v>
      </c>
      <c r="C1063" s="191" t="s">
        <v>785</v>
      </c>
      <c r="D1063" s="191" t="s">
        <v>1510</v>
      </c>
      <c r="E1063" s="191" t="s">
        <v>120</v>
      </c>
      <c r="F1063" s="191"/>
      <c r="G1063" s="191" t="s">
        <v>217</v>
      </c>
      <c r="H1063" s="192">
        <v>8.3199999999999996E-2</v>
      </c>
      <c r="I1063" s="244">
        <v>33</v>
      </c>
      <c r="J1063" s="244">
        <v>2.74</v>
      </c>
    </row>
    <row r="1064" spans="1:10" ht="28.5" x14ac:dyDescent="0.25">
      <c r="A1064" s="191" t="s">
        <v>62</v>
      </c>
      <c r="B1064" s="191" t="s">
        <v>1278</v>
      </c>
      <c r="C1064" s="191" t="s">
        <v>785</v>
      </c>
      <c r="D1064" s="191" t="s">
        <v>1279</v>
      </c>
      <c r="E1064" s="191" t="s">
        <v>120</v>
      </c>
      <c r="F1064" s="191"/>
      <c r="G1064" s="191" t="s">
        <v>129</v>
      </c>
      <c r="H1064" s="192">
        <v>2.5100000000000001E-2</v>
      </c>
      <c r="I1064" s="244">
        <v>13.6</v>
      </c>
      <c r="J1064" s="244">
        <v>0.34</v>
      </c>
    </row>
    <row r="1065" spans="1:10" ht="28.5" x14ac:dyDescent="0.25">
      <c r="A1065" s="191" t="s">
        <v>62</v>
      </c>
      <c r="B1065" s="191" t="s">
        <v>1511</v>
      </c>
      <c r="C1065" s="191" t="s">
        <v>785</v>
      </c>
      <c r="D1065" s="191" t="s">
        <v>1512</v>
      </c>
      <c r="E1065" s="191" t="s">
        <v>120</v>
      </c>
      <c r="F1065" s="191"/>
      <c r="G1065" s="191" t="s">
        <v>183</v>
      </c>
      <c r="H1065" s="192">
        <v>1.5157</v>
      </c>
      <c r="I1065" s="244">
        <v>8.0399999999999991</v>
      </c>
      <c r="J1065" s="244">
        <v>12.18</v>
      </c>
    </row>
    <row r="1066" spans="1:10" ht="71.25" x14ac:dyDescent="0.25">
      <c r="A1066" s="191" t="s">
        <v>62</v>
      </c>
      <c r="B1066" s="191" t="s">
        <v>1513</v>
      </c>
      <c r="C1066" s="191" t="s">
        <v>785</v>
      </c>
      <c r="D1066" s="191" t="s">
        <v>1514</v>
      </c>
      <c r="E1066" s="191" t="s">
        <v>120</v>
      </c>
      <c r="F1066" s="191"/>
      <c r="G1066" s="191" t="s">
        <v>183</v>
      </c>
      <c r="H1066" s="192">
        <v>0.89649999999999996</v>
      </c>
      <c r="I1066" s="244">
        <v>7.5</v>
      </c>
      <c r="J1066" s="244">
        <v>6.72</v>
      </c>
    </row>
    <row r="1067" spans="1:10" ht="28.5" x14ac:dyDescent="0.25">
      <c r="A1067" s="191" t="s">
        <v>62</v>
      </c>
      <c r="B1067" s="191" t="s">
        <v>1515</v>
      </c>
      <c r="C1067" s="191" t="s">
        <v>785</v>
      </c>
      <c r="D1067" s="191" t="s">
        <v>181</v>
      </c>
      <c r="E1067" s="191" t="s">
        <v>124</v>
      </c>
      <c r="F1067" s="191"/>
      <c r="G1067" s="191" t="s">
        <v>60</v>
      </c>
      <c r="H1067" s="192">
        <v>0.12239999999999999</v>
      </c>
      <c r="I1067" s="244">
        <v>22.05</v>
      </c>
      <c r="J1067" s="244">
        <v>2.69</v>
      </c>
    </row>
    <row r="1068" spans="1:10" ht="28.5" x14ac:dyDescent="0.25">
      <c r="A1068" s="191" t="s">
        <v>62</v>
      </c>
      <c r="B1068" s="191" t="s">
        <v>1516</v>
      </c>
      <c r="C1068" s="191" t="s">
        <v>785</v>
      </c>
      <c r="D1068" s="191" t="s">
        <v>1517</v>
      </c>
      <c r="E1068" s="191" t="s">
        <v>124</v>
      </c>
      <c r="F1068" s="191"/>
      <c r="G1068" s="191" t="s">
        <v>60</v>
      </c>
      <c r="H1068" s="192">
        <v>9.5500000000000002E-2</v>
      </c>
      <c r="I1068" s="244">
        <v>29.19</v>
      </c>
      <c r="J1068" s="244">
        <v>2.78</v>
      </c>
    </row>
    <row r="1069" spans="1:10" ht="28.5" x14ac:dyDescent="0.25">
      <c r="A1069" s="191" t="s">
        <v>62</v>
      </c>
      <c r="B1069" s="191" t="s">
        <v>1518</v>
      </c>
      <c r="C1069" s="191" t="s">
        <v>785</v>
      </c>
      <c r="D1069" s="191" t="s">
        <v>1519</v>
      </c>
      <c r="E1069" s="191" t="s">
        <v>120</v>
      </c>
      <c r="F1069" s="191"/>
      <c r="G1069" s="191" t="s">
        <v>183</v>
      </c>
      <c r="H1069" s="192">
        <v>3.1720999999999999</v>
      </c>
      <c r="I1069" s="244">
        <v>7.3</v>
      </c>
      <c r="J1069" s="244">
        <v>23.15</v>
      </c>
    </row>
    <row r="1070" spans="1:10" ht="28.5" x14ac:dyDescent="0.25">
      <c r="A1070" s="191" t="s">
        <v>62</v>
      </c>
      <c r="B1070" s="191" t="s">
        <v>1520</v>
      </c>
      <c r="C1070" s="191" t="s">
        <v>785</v>
      </c>
      <c r="D1070" s="191" t="s">
        <v>1521</v>
      </c>
      <c r="E1070" s="191" t="s">
        <v>120</v>
      </c>
      <c r="F1070" s="191"/>
      <c r="G1070" s="191" t="s">
        <v>191</v>
      </c>
      <c r="H1070" s="192">
        <v>1.5699999999999999E-2</v>
      </c>
      <c r="I1070" s="244">
        <v>158.72</v>
      </c>
      <c r="J1070" s="244">
        <v>2.4900000000000002</v>
      </c>
    </row>
    <row r="1071" spans="1:10" ht="28.5" x14ac:dyDescent="0.25">
      <c r="A1071" s="191" t="s">
        <v>62</v>
      </c>
      <c r="B1071" s="191" t="s">
        <v>1522</v>
      </c>
      <c r="C1071" s="191" t="s">
        <v>785</v>
      </c>
      <c r="D1071" s="191" t="s">
        <v>182</v>
      </c>
      <c r="E1071" s="191" t="s">
        <v>124</v>
      </c>
      <c r="F1071" s="191"/>
      <c r="G1071" s="191" t="s">
        <v>60</v>
      </c>
      <c r="H1071" s="192">
        <v>2.5700000000000001E-2</v>
      </c>
      <c r="I1071" s="244">
        <v>29.16</v>
      </c>
      <c r="J1071" s="244">
        <v>0.74</v>
      </c>
    </row>
    <row r="1072" spans="1:10" ht="28.5" x14ac:dyDescent="0.25">
      <c r="A1072" s="191" t="s">
        <v>62</v>
      </c>
      <c r="B1072" s="191" t="s">
        <v>1264</v>
      </c>
      <c r="C1072" s="191" t="s">
        <v>785</v>
      </c>
      <c r="D1072" s="191" t="s">
        <v>1265</v>
      </c>
      <c r="E1072" s="191" t="s">
        <v>120</v>
      </c>
      <c r="F1072" s="191"/>
      <c r="G1072" s="191" t="s">
        <v>129</v>
      </c>
      <c r="H1072" s="192">
        <v>9.6500000000000002E-2</v>
      </c>
      <c r="I1072" s="244">
        <v>11.8</v>
      </c>
      <c r="J1072" s="244">
        <v>1.1299999999999999</v>
      </c>
    </row>
    <row r="1073" spans="1:10" ht="28.5" x14ac:dyDescent="0.25">
      <c r="A1073" s="191" t="s">
        <v>62</v>
      </c>
      <c r="B1073" s="191" t="s">
        <v>1284</v>
      </c>
      <c r="C1073" s="191" t="s">
        <v>785</v>
      </c>
      <c r="D1073" s="191" t="s">
        <v>184</v>
      </c>
      <c r="E1073" s="191" t="s">
        <v>120</v>
      </c>
      <c r="F1073" s="191"/>
      <c r="G1073" s="191" t="s">
        <v>183</v>
      </c>
      <c r="H1073" s="192">
        <v>22.411999999999999</v>
      </c>
      <c r="I1073" s="244">
        <v>0.63</v>
      </c>
      <c r="J1073" s="244">
        <v>14.11</v>
      </c>
    </row>
    <row r="1074" spans="1:10" ht="28.5" x14ac:dyDescent="0.25">
      <c r="A1074" s="191" t="s">
        <v>62</v>
      </c>
      <c r="B1074" s="191" t="s">
        <v>1523</v>
      </c>
      <c r="C1074" s="191" t="s">
        <v>785</v>
      </c>
      <c r="D1074" s="191" t="s">
        <v>1524</v>
      </c>
      <c r="E1074" s="191" t="s">
        <v>120</v>
      </c>
      <c r="F1074" s="191"/>
      <c r="G1074" s="191" t="s">
        <v>191</v>
      </c>
      <c r="H1074" s="192">
        <v>4.7300000000000002E-2</v>
      </c>
      <c r="I1074" s="244">
        <v>160.61000000000001</v>
      </c>
      <c r="J1074" s="244">
        <v>7.59</v>
      </c>
    </row>
    <row r="1075" spans="1:10" ht="28.5" x14ac:dyDescent="0.25">
      <c r="A1075" s="191" t="s">
        <v>62</v>
      </c>
      <c r="B1075" s="191" t="s">
        <v>1525</v>
      </c>
      <c r="C1075" s="191" t="s">
        <v>785</v>
      </c>
      <c r="D1075" s="191" t="s">
        <v>1526</v>
      </c>
      <c r="E1075" s="191" t="s">
        <v>120</v>
      </c>
      <c r="F1075" s="191"/>
      <c r="G1075" s="191" t="s">
        <v>113</v>
      </c>
      <c r="H1075" s="192">
        <v>9.8199999999999996E-2</v>
      </c>
      <c r="I1075" s="244">
        <v>13.59</v>
      </c>
      <c r="J1075" s="244">
        <v>1.33</v>
      </c>
    </row>
    <row r="1076" spans="1:10" ht="28.5" x14ac:dyDescent="0.25">
      <c r="A1076" s="191" t="s">
        <v>62</v>
      </c>
      <c r="B1076" s="191" t="s">
        <v>1285</v>
      </c>
      <c r="C1076" s="191" t="s">
        <v>785</v>
      </c>
      <c r="D1076" s="191" t="s">
        <v>1286</v>
      </c>
      <c r="E1076" s="191" t="s">
        <v>120</v>
      </c>
      <c r="F1076" s="191"/>
      <c r="G1076" s="191" t="s">
        <v>191</v>
      </c>
      <c r="H1076" s="192">
        <v>0.13730000000000001</v>
      </c>
      <c r="I1076" s="244">
        <v>169.62</v>
      </c>
      <c r="J1076" s="244">
        <v>23.28</v>
      </c>
    </row>
    <row r="1077" spans="1:10" ht="28.5" x14ac:dyDescent="0.25">
      <c r="A1077" s="191" t="s">
        <v>62</v>
      </c>
      <c r="B1077" s="191" t="s">
        <v>1527</v>
      </c>
      <c r="C1077" s="191" t="s">
        <v>785</v>
      </c>
      <c r="D1077" s="191" t="s">
        <v>1528</v>
      </c>
      <c r="E1077" s="191" t="s">
        <v>120</v>
      </c>
      <c r="F1077" s="191"/>
      <c r="G1077" s="191" t="s">
        <v>191</v>
      </c>
      <c r="H1077" s="192">
        <v>4.3200000000000002E-2</v>
      </c>
      <c r="I1077" s="244">
        <v>176.82</v>
      </c>
      <c r="J1077" s="244">
        <v>7.63</v>
      </c>
    </row>
    <row r="1078" spans="1:10" ht="28.5" x14ac:dyDescent="0.25">
      <c r="A1078" s="191" t="s">
        <v>62</v>
      </c>
      <c r="B1078" s="191" t="s">
        <v>1529</v>
      </c>
      <c r="C1078" s="191" t="s">
        <v>785</v>
      </c>
      <c r="D1078" s="191" t="s">
        <v>1275</v>
      </c>
      <c r="E1078" s="191" t="s">
        <v>120</v>
      </c>
      <c r="F1078" s="191"/>
      <c r="G1078" s="191" t="s">
        <v>129</v>
      </c>
      <c r="H1078" s="192">
        <v>1</v>
      </c>
      <c r="I1078" s="244">
        <v>50.24</v>
      </c>
      <c r="J1078" s="244">
        <v>50.24</v>
      </c>
    </row>
    <row r="1079" spans="1:10" ht="28.5" x14ac:dyDescent="0.25">
      <c r="A1079" s="191" t="s">
        <v>62</v>
      </c>
      <c r="B1079" s="191" t="s">
        <v>1282</v>
      </c>
      <c r="C1079" s="191" t="s">
        <v>785</v>
      </c>
      <c r="D1079" s="191" t="s">
        <v>1283</v>
      </c>
      <c r="E1079" s="191" t="s">
        <v>120</v>
      </c>
      <c r="F1079" s="191"/>
      <c r="G1079" s="191" t="s">
        <v>183</v>
      </c>
      <c r="H1079" s="192">
        <v>0.10059999999999999</v>
      </c>
      <c r="I1079" s="244">
        <v>35.78</v>
      </c>
      <c r="J1079" s="244">
        <v>3.59</v>
      </c>
    </row>
    <row r="1080" spans="1:10" ht="28.5" x14ac:dyDescent="0.25">
      <c r="A1080" s="191" t="s">
        <v>62</v>
      </c>
      <c r="B1080" s="191" t="s">
        <v>1530</v>
      </c>
      <c r="C1080" s="191" t="s">
        <v>785</v>
      </c>
      <c r="D1080" s="191" t="s">
        <v>1531</v>
      </c>
      <c r="E1080" s="191" t="s">
        <v>124</v>
      </c>
      <c r="F1080" s="191"/>
      <c r="G1080" s="191" t="s">
        <v>60</v>
      </c>
      <c r="H1080" s="192">
        <v>1.2500000000000001E-2</v>
      </c>
      <c r="I1080" s="244">
        <v>23.13</v>
      </c>
      <c r="J1080" s="244">
        <v>0.28000000000000003</v>
      </c>
    </row>
    <row r="1081" spans="1:10" ht="28.5" x14ac:dyDescent="0.25">
      <c r="A1081" s="191" t="s">
        <v>62</v>
      </c>
      <c r="B1081" s="191" t="s">
        <v>1532</v>
      </c>
      <c r="C1081" s="191" t="s">
        <v>785</v>
      </c>
      <c r="D1081" s="191" t="s">
        <v>1533</v>
      </c>
      <c r="E1081" s="191" t="s">
        <v>120</v>
      </c>
      <c r="F1081" s="191"/>
      <c r="G1081" s="191" t="s">
        <v>183</v>
      </c>
      <c r="H1081" s="192">
        <v>20.551400000000001</v>
      </c>
      <c r="I1081" s="244">
        <v>0.84</v>
      </c>
      <c r="J1081" s="244">
        <v>17.260000000000002</v>
      </c>
    </row>
    <row r="1082" spans="1:10" ht="28.5" x14ac:dyDescent="0.25">
      <c r="A1082" s="191" t="s">
        <v>62</v>
      </c>
      <c r="B1082" s="191" t="s">
        <v>1276</v>
      </c>
      <c r="C1082" s="191" t="s">
        <v>785</v>
      </c>
      <c r="D1082" s="191" t="s">
        <v>1277</v>
      </c>
      <c r="E1082" s="191" t="s">
        <v>124</v>
      </c>
      <c r="F1082" s="191"/>
      <c r="G1082" s="191" t="s">
        <v>60</v>
      </c>
      <c r="H1082" s="192">
        <v>6.8939000000000004</v>
      </c>
      <c r="I1082" s="244">
        <v>29.14</v>
      </c>
      <c r="J1082" s="244">
        <v>200.88</v>
      </c>
    </row>
    <row r="1083" spans="1:10" ht="28.5" x14ac:dyDescent="0.25">
      <c r="A1083" s="191" t="s">
        <v>62</v>
      </c>
      <c r="B1083" s="191" t="s">
        <v>1534</v>
      </c>
      <c r="C1083" s="191" t="s">
        <v>785</v>
      </c>
      <c r="D1083" s="191" t="s">
        <v>1535</v>
      </c>
      <c r="E1083" s="191" t="s">
        <v>124</v>
      </c>
      <c r="F1083" s="191"/>
      <c r="G1083" s="191" t="s">
        <v>60</v>
      </c>
      <c r="H1083" s="192">
        <v>1.2500000000000001E-2</v>
      </c>
      <c r="I1083" s="244">
        <v>29.14</v>
      </c>
      <c r="J1083" s="244">
        <v>0.36</v>
      </c>
    </row>
    <row r="1084" spans="1:10" ht="28.5" x14ac:dyDescent="0.25">
      <c r="A1084" s="191" t="s">
        <v>62</v>
      </c>
      <c r="B1084" s="191" t="s">
        <v>1536</v>
      </c>
      <c r="C1084" s="191" t="s">
        <v>785</v>
      </c>
      <c r="D1084" s="191" t="s">
        <v>1537</v>
      </c>
      <c r="E1084" s="191" t="s">
        <v>120</v>
      </c>
      <c r="F1084" s="191"/>
      <c r="G1084" s="191" t="s">
        <v>191</v>
      </c>
      <c r="H1084" s="192">
        <v>1.2200000000000001E-2</v>
      </c>
      <c r="I1084" s="244">
        <v>154.61000000000001</v>
      </c>
      <c r="J1084" s="244">
        <v>1.88</v>
      </c>
    </row>
    <row r="1085" spans="1:10" x14ac:dyDescent="0.25">
      <c r="A1085" s="187"/>
      <c r="B1085" s="187"/>
      <c r="C1085" s="187"/>
      <c r="D1085" s="187"/>
      <c r="E1085" s="187" t="s">
        <v>756</v>
      </c>
      <c r="F1085" s="188">
        <v>394.07</v>
      </c>
      <c r="G1085" s="187" t="s">
        <v>757</v>
      </c>
      <c r="H1085" s="188">
        <v>0</v>
      </c>
      <c r="I1085" s="242" t="s">
        <v>758</v>
      </c>
      <c r="J1085" s="242">
        <v>394.07</v>
      </c>
    </row>
    <row r="1086" spans="1:10" x14ac:dyDescent="0.25">
      <c r="A1086" s="187"/>
      <c r="B1086" s="187"/>
      <c r="C1086" s="187"/>
      <c r="D1086" s="187"/>
      <c r="E1086" s="187" t="s">
        <v>759</v>
      </c>
      <c r="F1086" s="188">
        <v>0</v>
      </c>
      <c r="G1086" s="187"/>
      <c r="H1086" s="187" t="s">
        <v>760</v>
      </c>
      <c r="I1086" s="242"/>
      <c r="J1086" s="242">
        <v>762.37</v>
      </c>
    </row>
    <row r="1087" spans="1:10" x14ac:dyDescent="0.25">
      <c r="A1087" s="182"/>
      <c r="B1087" s="182"/>
      <c r="C1087" s="182"/>
      <c r="D1087" s="182"/>
      <c r="E1087" s="182"/>
      <c r="F1087" s="182"/>
      <c r="G1087" s="182" t="s">
        <v>761</v>
      </c>
      <c r="H1087" s="189" t="s">
        <v>1538</v>
      </c>
      <c r="I1087" s="239" t="s">
        <v>763</v>
      </c>
      <c r="J1087" s="239">
        <v>1524.74</v>
      </c>
    </row>
    <row r="1088" spans="1:10" x14ac:dyDescent="0.25">
      <c r="A1088" s="183"/>
      <c r="B1088" s="183"/>
      <c r="C1088" s="183"/>
      <c r="D1088" s="183"/>
      <c r="E1088" s="183"/>
      <c r="F1088" s="183"/>
      <c r="G1088" s="183"/>
      <c r="H1088" s="183"/>
      <c r="I1088" s="240"/>
      <c r="J1088" s="240"/>
    </row>
    <row r="1089" spans="1:10" x14ac:dyDescent="0.25">
      <c r="A1089" s="182" t="s">
        <v>1539</v>
      </c>
      <c r="B1089" s="182" t="s">
        <v>66</v>
      </c>
      <c r="C1089" s="182" t="s">
        <v>64</v>
      </c>
      <c r="D1089" s="182" t="s">
        <v>67</v>
      </c>
      <c r="E1089" s="182" t="s">
        <v>65</v>
      </c>
      <c r="F1089" s="182"/>
      <c r="G1089" s="182" t="s">
        <v>744</v>
      </c>
      <c r="H1089" s="182" t="s">
        <v>69</v>
      </c>
      <c r="I1089" s="239" t="s">
        <v>745</v>
      </c>
      <c r="J1089" s="239" t="s">
        <v>0</v>
      </c>
    </row>
    <row r="1090" spans="1:10" ht="71.25" x14ac:dyDescent="0.25">
      <c r="A1090" s="183" t="s">
        <v>58</v>
      </c>
      <c r="B1090" s="183" t="s">
        <v>1540</v>
      </c>
      <c r="C1090" s="183" t="s">
        <v>785</v>
      </c>
      <c r="D1090" s="183" t="s">
        <v>1541</v>
      </c>
      <c r="E1090" s="183">
        <v>818</v>
      </c>
      <c r="F1090" s="183"/>
      <c r="G1090" s="183" t="s">
        <v>129</v>
      </c>
      <c r="H1090" s="184">
        <v>1</v>
      </c>
      <c r="I1090" s="240">
        <v>494.5</v>
      </c>
      <c r="J1090" s="240">
        <v>494.5</v>
      </c>
    </row>
    <row r="1091" spans="1:10" ht="28.5" x14ac:dyDescent="0.25">
      <c r="A1091" s="191" t="s">
        <v>62</v>
      </c>
      <c r="B1091" s="191" t="s">
        <v>1530</v>
      </c>
      <c r="C1091" s="191" t="s">
        <v>785</v>
      </c>
      <c r="D1091" s="191" t="s">
        <v>1531</v>
      </c>
      <c r="E1091" s="191" t="s">
        <v>124</v>
      </c>
      <c r="F1091" s="191"/>
      <c r="G1091" s="191" t="s">
        <v>60</v>
      </c>
      <c r="H1091" s="192">
        <v>9.2999999999999992E-3</v>
      </c>
      <c r="I1091" s="244">
        <v>23.13</v>
      </c>
      <c r="J1091" s="244">
        <v>0.21</v>
      </c>
    </row>
    <row r="1092" spans="1:10" ht="28.5" x14ac:dyDescent="0.25">
      <c r="A1092" s="191" t="s">
        <v>62</v>
      </c>
      <c r="B1092" s="191" t="s">
        <v>1284</v>
      </c>
      <c r="C1092" s="191" t="s">
        <v>785</v>
      </c>
      <c r="D1092" s="191" t="s">
        <v>184</v>
      </c>
      <c r="E1092" s="191" t="s">
        <v>120</v>
      </c>
      <c r="F1092" s="191"/>
      <c r="G1092" s="191" t="s">
        <v>183</v>
      </c>
      <c r="H1092" s="192">
        <v>16.488800000000001</v>
      </c>
      <c r="I1092" s="244">
        <v>0.63</v>
      </c>
      <c r="J1092" s="244">
        <v>10.38</v>
      </c>
    </row>
    <row r="1093" spans="1:10" ht="28.5" x14ac:dyDescent="0.25">
      <c r="A1093" s="191" t="s">
        <v>62</v>
      </c>
      <c r="B1093" s="191" t="s">
        <v>1503</v>
      </c>
      <c r="C1093" s="191" t="s">
        <v>785</v>
      </c>
      <c r="D1093" s="191" t="s">
        <v>1504</v>
      </c>
      <c r="E1093" s="191" t="s">
        <v>120</v>
      </c>
      <c r="F1093" s="191"/>
      <c r="G1093" s="191" t="s">
        <v>183</v>
      </c>
      <c r="H1093" s="192">
        <v>1.6032</v>
      </c>
      <c r="I1093" s="244">
        <v>8</v>
      </c>
      <c r="J1093" s="244">
        <v>12.82</v>
      </c>
    </row>
    <row r="1094" spans="1:10" ht="28.5" x14ac:dyDescent="0.25">
      <c r="A1094" s="191" t="s">
        <v>62</v>
      </c>
      <c r="B1094" s="191" t="s">
        <v>1509</v>
      </c>
      <c r="C1094" s="191" t="s">
        <v>785</v>
      </c>
      <c r="D1094" s="191" t="s">
        <v>1510</v>
      </c>
      <c r="E1094" s="191" t="s">
        <v>120</v>
      </c>
      <c r="F1094" s="191"/>
      <c r="G1094" s="191" t="s">
        <v>217</v>
      </c>
      <c r="H1094" s="192">
        <v>6.1699999999999998E-2</v>
      </c>
      <c r="I1094" s="244">
        <v>33</v>
      </c>
      <c r="J1094" s="244">
        <v>2.0299999999999998</v>
      </c>
    </row>
    <row r="1095" spans="1:10" ht="28.5" x14ac:dyDescent="0.25">
      <c r="A1095" s="191" t="s">
        <v>62</v>
      </c>
      <c r="B1095" s="191" t="s">
        <v>1272</v>
      </c>
      <c r="C1095" s="191" t="s">
        <v>785</v>
      </c>
      <c r="D1095" s="191" t="s">
        <v>1273</v>
      </c>
      <c r="E1095" s="191" t="s">
        <v>120</v>
      </c>
      <c r="F1095" s="191"/>
      <c r="G1095" s="191" t="s">
        <v>129</v>
      </c>
      <c r="H1095" s="192">
        <v>6.0299999999999999E-2</v>
      </c>
      <c r="I1095" s="244">
        <v>3.87</v>
      </c>
      <c r="J1095" s="244">
        <v>0.23</v>
      </c>
    </row>
    <row r="1096" spans="1:10" ht="28.5" x14ac:dyDescent="0.25">
      <c r="A1096" s="191" t="s">
        <v>62</v>
      </c>
      <c r="B1096" s="191" t="s">
        <v>1527</v>
      </c>
      <c r="C1096" s="191" t="s">
        <v>785</v>
      </c>
      <c r="D1096" s="191" t="s">
        <v>1528</v>
      </c>
      <c r="E1096" s="191" t="s">
        <v>120</v>
      </c>
      <c r="F1096" s="191"/>
      <c r="G1096" s="191" t="s">
        <v>191</v>
      </c>
      <c r="H1096" s="192">
        <v>1.9199999999999998E-2</v>
      </c>
      <c r="I1096" s="244">
        <v>176.82</v>
      </c>
      <c r="J1096" s="244">
        <v>3.39</v>
      </c>
    </row>
    <row r="1097" spans="1:10" ht="28.5" x14ac:dyDescent="0.25">
      <c r="A1097" s="191" t="s">
        <v>62</v>
      </c>
      <c r="B1097" s="191" t="s">
        <v>1525</v>
      </c>
      <c r="C1097" s="191" t="s">
        <v>785</v>
      </c>
      <c r="D1097" s="191" t="s">
        <v>1526</v>
      </c>
      <c r="E1097" s="191" t="s">
        <v>120</v>
      </c>
      <c r="F1097" s="191"/>
      <c r="G1097" s="191" t="s">
        <v>113</v>
      </c>
      <c r="H1097" s="192">
        <v>7.2800000000000004E-2</v>
      </c>
      <c r="I1097" s="244">
        <v>13.59</v>
      </c>
      <c r="J1097" s="244">
        <v>0.98</v>
      </c>
    </row>
    <row r="1098" spans="1:10" ht="28.5" x14ac:dyDescent="0.25">
      <c r="A1098" s="191" t="s">
        <v>62</v>
      </c>
      <c r="B1098" s="191" t="s">
        <v>1520</v>
      </c>
      <c r="C1098" s="191" t="s">
        <v>785</v>
      </c>
      <c r="D1098" s="191" t="s">
        <v>1521</v>
      </c>
      <c r="E1098" s="191" t="s">
        <v>120</v>
      </c>
      <c r="F1098" s="191"/>
      <c r="G1098" s="191" t="s">
        <v>191</v>
      </c>
      <c r="H1098" s="192">
        <v>1.1599999999999999E-2</v>
      </c>
      <c r="I1098" s="244">
        <v>158.72</v>
      </c>
      <c r="J1098" s="244">
        <v>1.84</v>
      </c>
    </row>
    <row r="1099" spans="1:10" ht="28.5" x14ac:dyDescent="0.25">
      <c r="A1099" s="191" t="s">
        <v>62</v>
      </c>
      <c r="B1099" s="191" t="s">
        <v>1523</v>
      </c>
      <c r="C1099" s="191" t="s">
        <v>785</v>
      </c>
      <c r="D1099" s="191" t="s">
        <v>1524</v>
      </c>
      <c r="E1099" s="191" t="s">
        <v>120</v>
      </c>
      <c r="F1099" s="191"/>
      <c r="G1099" s="191" t="s">
        <v>191</v>
      </c>
      <c r="H1099" s="192">
        <v>2.2200000000000001E-2</v>
      </c>
      <c r="I1099" s="244">
        <v>160.61000000000001</v>
      </c>
      <c r="J1099" s="244">
        <v>3.56</v>
      </c>
    </row>
    <row r="1100" spans="1:10" ht="28.5" x14ac:dyDescent="0.25">
      <c r="A1100" s="191" t="s">
        <v>62</v>
      </c>
      <c r="B1100" s="191" t="s">
        <v>1522</v>
      </c>
      <c r="C1100" s="191" t="s">
        <v>785</v>
      </c>
      <c r="D1100" s="191" t="s">
        <v>182</v>
      </c>
      <c r="E1100" s="191" t="s">
        <v>124</v>
      </c>
      <c r="F1100" s="191"/>
      <c r="G1100" s="191" t="s">
        <v>60</v>
      </c>
      <c r="H1100" s="192">
        <v>1.9099999999999999E-2</v>
      </c>
      <c r="I1100" s="244">
        <v>29.16</v>
      </c>
      <c r="J1100" s="244">
        <v>0.55000000000000004</v>
      </c>
    </row>
    <row r="1101" spans="1:10" ht="28.5" x14ac:dyDescent="0.25">
      <c r="A1101" s="191" t="s">
        <v>62</v>
      </c>
      <c r="B1101" s="191" t="s">
        <v>1276</v>
      </c>
      <c r="C1101" s="191" t="s">
        <v>785</v>
      </c>
      <c r="D1101" s="191" t="s">
        <v>1277</v>
      </c>
      <c r="E1101" s="191" t="s">
        <v>124</v>
      </c>
      <c r="F1101" s="191"/>
      <c r="G1101" s="191" t="s">
        <v>60</v>
      </c>
      <c r="H1101" s="192">
        <v>4.7872000000000003</v>
      </c>
      <c r="I1101" s="244">
        <v>29.14</v>
      </c>
      <c r="J1101" s="244">
        <v>139.49</v>
      </c>
    </row>
    <row r="1102" spans="1:10" ht="28.5" x14ac:dyDescent="0.25">
      <c r="A1102" s="191" t="s">
        <v>62</v>
      </c>
      <c r="B1102" s="191" t="s">
        <v>1534</v>
      </c>
      <c r="C1102" s="191" t="s">
        <v>785</v>
      </c>
      <c r="D1102" s="191" t="s">
        <v>1535</v>
      </c>
      <c r="E1102" s="191" t="s">
        <v>124</v>
      </c>
      <c r="F1102" s="191"/>
      <c r="G1102" s="191" t="s">
        <v>60</v>
      </c>
      <c r="H1102" s="192">
        <v>9.2999999999999992E-3</v>
      </c>
      <c r="I1102" s="244">
        <v>29.14</v>
      </c>
      <c r="J1102" s="244">
        <v>0.27</v>
      </c>
    </row>
    <row r="1103" spans="1:10" ht="28.5" x14ac:dyDescent="0.25">
      <c r="A1103" s="191" t="s">
        <v>62</v>
      </c>
      <c r="B1103" s="191" t="s">
        <v>799</v>
      </c>
      <c r="C1103" s="191" t="s">
        <v>785</v>
      </c>
      <c r="D1103" s="191" t="s">
        <v>188</v>
      </c>
      <c r="E1103" s="191" t="s">
        <v>124</v>
      </c>
      <c r="F1103" s="191"/>
      <c r="G1103" s="191" t="s">
        <v>60</v>
      </c>
      <c r="H1103" s="192">
        <v>6.3609999999999998</v>
      </c>
      <c r="I1103" s="244">
        <v>20.21</v>
      </c>
      <c r="J1103" s="244">
        <v>128.55000000000001</v>
      </c>
    </row>
    <row r="1104" spans="1:10" ht="28.5" x14ac:dyDescent="0.25">
      <c r="A1104" s="191" t="s">
        <v>62</v>
      </c>
      <c r="B1104" s="191" t="s">
        <v>1511</v>
      </c>
      <c r="C1104" s="191" t="s">
        <v>785</v>
      </c>
      <c r="D1104" s="191" t="s">
        <v>1512</v>
      </c>
      <c r="E1104" s="191" t="s">
        <v>120</v>
      </c>
      <c r="F1104" s="191"/>
      <c r="G1104" s="191" t="s">
        <v>183</v>
      </c>
      <c r="H1104" s="192">
        <v>1.1246</v>
      </c>
      <c r="I1104" s="244">
        <v>8.0399999999999991</v>
      </c>
      <c r="J1104" s="244">
        <v>9.0399999999999991</v>
      </c>
    </row>
    <row r="1105" spans="1:10" ht="28.5" x14ac:dyDescent="0.25">
      <c r="A1105" s="191" t="s">
        <v>62</v>
      </c>
      <c r="B1105" s="191" t="s">
        <v>1515</v>
      </c>
      <c r="C1105" s="191" t="s">
        <v>785</v>
      </c>
      <c r="D1105" s="191" t="s">
        <v>181</v>
      </c>
      <c r="E1105" s="191" t="s">
        <v>124</v>
      </c>
      <c r="F1105" s="191"/>
      <c r="G1105" s="191" t="s">
        <v>60</v>
      </c>
      <c r="H1105" s="192">
        <v>9.0800000000000006E-2</v>
      </c>
      <c r="I1105" s="244">
        <v>22.05</v>
      </c>
      <c r="J1105" s="244">
        <v>2</v>
      </c>
    </row>
    <row r="1106" spans="1:10" ht="28.5" x14ac:dyDescent="0.25">
      <c r="A1106" s="191" t="s">
        <v>62</v>
      </c>
      <c r="B1106" s="191" t="s">
        <v>1507</v>
      </c>
      <c r="C1106" s="191" t="s">
        <v>785</v>
      </c>
      <c r="D1106" s="191" t="s">
        <v>1508</v>
      </c>
      <c r="E1106" s="191" t="s">
        <v>120</v>
      </c>
      <c r="F1106" s="191"/>
      <c r="G1106" s="191" t="s">
        <v>183</v>
      </c>
      <c r="H1106" s="192">
        <v>2.2100000000000002E-2</v>
      </c>
      <c r="I1106" s="244">
        <v>13.86</v>
      </c>
      <c r="J1106" s="244">
        <v>0.3</v>
      </c>
    </row>
    <row r="1107" spans="1:10" ht="28.5" x14ac:dyDescent="0.25">
      <c r="A1107" s="191" t="s">
        <v>62</v>
      </c>
      <c r="B1107" s="191" t="s">
        <v>1285</v>
      </c>
      <c r="C1107" s="191" t="s">
        <v>785</v>
      </c>
      <c r="D1107" s="191" t="s">
        <v>1286</v>
      </c>
      <c r="E1107" s="191" t="s">
        <v>120</v>
      </c>
      <c r="F1107" s="191"/>
      <c r="G1107" s="191" t="s">
        <v>191</v>
      </c>
      <c r="H1107" s="192">
        <v>0.1007</v>
      </c>
      <c r="I1107" s="244">
        <v>169.62</v>
      </c>
      <c r="J1107" s="244">
        <v>17.079999999999998</v>
      </c>
    </row>
    <row r="1108" spans="1:10" ht="28.5" x14ac:dyDescent="0.25">
      <c r="A1108" s="191" t="s">
        <v>62</v>
      </c>
      <c r="B1108" s="191" t="s">
        <v>1532</v>
      </c>
      <c r="C1108" s="191" t="s">
        <v>785</v>
      </c>
      <c r="D1108" s="191" t="s">
        <v>1533</v>
      </c>
      <c r="E1108" s="191" t="s">
        <v>120</v>
      </c>
      <c r="F1108" s="191"/>
      <c r="G1108" s="191" t="s">
        <v>183</v>
      </c>
      <c r="H1108" s="192">
        <v>15.071099999999999</v>
      </c>
      <c r="I1108" s="244">
        <v>0.84</v>
      </c>
      <c r="J1108" s="244">
        <v>12.65</v>
      </c>
    </row>
    <row r="1109" spans="1:10" ht="28.5" x14ac:dyDescent="0.25">
      <c r="A1109" s="191" t="s">
        <v>62</v>
      </c>
      <c r="B1109" s="191" t="s">
        <v>1536</v>
      </c>
      <c r="C1109" s="191" t="s">
        <v>785</v>
      </c>
      <c r="D1109" s="191" t="s">
        <v>1537</v>
      </c>
      <c r="E1109" s="191" t="s">
        <v>120</v>
      </c>
      <c r="F1109" s="191"/>
      <c r="G1109" s="191" t="s">
        <v>191</v>
      </c>
      <c r="H1109" s="192">
        <v>8.9999999999999993E-3</v>
      </c>
      <c r="I1109" s="244">
        <v>154.61000000000001</v>
      </c>
      <c r="J1109" s="244">
        <v>1.39</v>
      </c>
    </row>
    <row r="1110" spans="1:10" ht="28.5" x14ac:dyDescent="0.25">
      <c r="A1110" s="191" t="s">
        <v>62</v>
      </c>
      <c r="B1110" s="191" t="s">
        <v>1542</v>
      </c>
      <c r="C1110" s="191" t="s">
        <v>785</v>
      </c>
      <c r="D1110" s="191" t="s">
        <v>1275</v>
      </c>
      <c r="E1110" s="191" t="s">
        <v>120</v>
      </c>
      <c r="F1110" s="191"/>
      <c r="G1110" s="191" t="s">
        <v>129</v>
      </c>
      <c r="H1110" s="192">
        <v>1</v>
      </c>
      <c r="I1110" s="244">
        <v>24.07</v>
      </c>
      <c r="J1110" s="244">
        <v>24.07</v>
      </c>
    </row>
    <row r="1111" spans="1:10" ht="28.5" x14ac:dyDescent="0.25">
      <c r="A1111" s="191" t="s">
        <v>62</v>
      </c>
      <c r="B1111" s="191" t="s">
        <v>1270</v>
      </c>
      <c r="C1111" s="191" t="s">
        <v>785</v>
      </c>
      <c r="D1111" s="191" t="s">
        <v>1271</v>
      </c>
      <c r="E1111" s="191" t="s">
        <v>120</v>
      </c>
      <c r="F1111" s="191"/>
      <c r="G1111" s="191" t="s">
        <v>183</v>
      </c>
      <c r="H1111" s="192">
        <v>3.5999999999999997E-2</v>
      </c>
      <c r="I1111" s="244">
        <v>28.9</v>
      </c>
      <c r="J1111" s="244">
        <v>1.04</v>
      </c>
    </row>
    <row r="1112" spans="1:10" ht="28.5" x14ac:dyDescent="0.25">
      <c r="A1112" s="191" t="s">
        <v>62</v>
      </c>
      <c r="B1112" s="191" t="s">
        <v>1505</v>
      </c>
      <c r="C1112" s="191" t="s">
        <v>785</v>
      </c>
      <c r="D1112" s="191" t="s">
        <v>1506</v>
      </c>
      <c r="E1112" s="191" t="s">
        <v>120</v>
      </c>
      <c r="F1112" s="191"/>
      <c r="G1112" s="191" t="s">
        <v>183</v>
      </c>
      <c r="H1112" s="192">
        <v>3.5999999999999999E-3</v>
      </c>
      <c r="I1112" s="244">
        <v>18.850000000000001</v>
      </c>
      <c r="J1112" s="244">
        <v>0.06</v>
      </c>
    </row>
    <row r="1113" spans="1:10" ht="28.5" x14ac:dyDescent="0.25">
      <c r="A1113" s="191" t="s">
        <v>62</v>
      </c>
      <c r="B1113" s="191" t="s">
        <v>1516</v>
      </c>
      <c r="C1113" s="191" t="s">
        <v>785</v>
      </c>
      <c r="D1113" s="191" t="s">
        <v>1517</v>
      </c>
      <c r="E1113" s="191" t="s">
        <v>124</v>
      </c>
      <c r="F1113" s="191"/>
      <c r="G1113" s="191" t="s">
        <v>60</v>
      </c>
      <c r="H1113" s="192">
        <v>7.0900000000000005E-2</v>
      </c>
      <c r="I1113" s="244">
        <v>29.19</v>
      </c>
      <c r="J1113" s="244">
        <v>2.06</v>
      </c>
    </row>
    <row r="1114" spans="1:10" ht="28.5" x14ac:dyDescent="0.25">
      <c r="A1114" s="191" t="s">
        <v>62</v>
      </c>
      <c r="B1114" s="191" t="s">
        <v>1518</v>
      </c>
      <c r="C1114" s="191" t="s">
        <v>785</v>
      </c>
      <c r="D1114" s="191" t="s">
        <v>1519</v>
      </c>
      <c r="E1114" s="191" t="s">
        <v>120</v>
      </c>
      <c r="F1114" s="191"/>
      <c r="G1114" s="191" t="s">
        <v>183</v>
      </c>
      <c r="H1114" s="192">
        <v>1.5204</v>
      </c>
      <c r="I1114" s="244">
        <v>7.3</v>
      </c>
      <c r="J1114" s="244">
        <v>11.09</v>
      </c>
    </row>
    <row r="1115" spans="1:10" ht="71.25" x14ac:dyDescent="0.25">
      <c r="A1115" s="191" t="s">
        <v>62</v>
      </c>
      <c r="B1115" s="191" t="s">
        <v>1513</v>
      </c>
      <c r="C1115" s="191" t="s">
        <v>785</v>
      </c>
      <c r="D1115" s="191" t="s">
        <v>1514</v>
      </c>
      <c r="E1115" s="191" t="s">
        <v>120</v>
      </c>
      <c r="F1115" s="191"/>
      <c r="G1115" s="191" t="s">
        <v>183</v>
      </c>
      <c r="H1115" s="192">
        <v>0.65959999999999996</v>
      </c>
      <c r="I1115" s="244">
        <v>7.5</v>
      </c>
      <c r="J1115" s="244">
        <v>4.9400000000000004</v>
      </c>
    </row>
    <row r="1116" spans="1:10" ht="28.5" x14ac:dyDescent="0.25">
      <c r="A1116" s="191" t="s">
        <v>62</v>
      </c>
      <c r="B1116" s="191" t="s">
        <v>1499</v>
      </c>
      <c r="C1116" s="191" t="s">
        <v>785</v>
      </c>
      <c r="D1116" s="191" t="s">
        <v>1500</v>
      </c>
      <c r="E1116" s="191" t="s">
        <v>120</v>
      </c>
      <c r="F1116" s="191"/>
      <c r="G1116" s="191" t="s">
        <v>183</v>
      </c>
      <c r="H1116" s="192">
        <v>4.3452000000000002</v>
      </c>
      <c r="I1116" s="244">
        <v>7.5</v>
      </c>
      <c r="J1116" s="244">
        <v>32.58</v>
      </c>
    </row>
    <row r="1117" spans="1:10" ht="28.5" x14ac:dyDescent="0.25">
      <c r="A1117" s="191" t="s">
        <v>62</v>
      </c>
      <c r="B1117" s="191" t="s">
        <v>1264</v>
      </c>
      <c r="C1117" s="191" t="s">
        <v>785</v>
      </c>
      <c r="D1117" s="191" t="s">
        <v>1265</v>
      </c>
      <c r="E1117" s="191" t="s">
        <v>120</v>
      </c>
      <c r="F1117" s="191"/>
      <c r="G1117" s="191" t="s">
        <v>129</v>
      </c>
      <c r="H1117" s="192">
        <v>4.6300000000000001E-2</v>
      </c>
      <c r="I1117" s="244">
        <v>11.8</v>
      </c>
      <c r="J1117" s="244">
        <v>0.54</v>
      </c>
    </row>
    <row r="1118" spans="1:10" ht="28.5" x14ac:dyDescent="0.25">
      <c r="A1118" s="191" t="s">
        <v>62</v>
      </c>
      <c r="B1118" s="191" t="s">
        <v>1501</v>
      </c>
      <c r="C1118" s="191" t="s">
        <v>785</v>
      </c>
      <c r="D1118" s="191" t="s">
        <v>1502</v>
      </c>
      <c r="E1118" s="191" t="s">
        <v>120</v>
      </c>
      <c r="F1118" s="191"/>
      <c r="G1118" s="191" t="s">
        <v>129</v>
      </c>
      <c r="H1118" s="192">
        <v>147.84</v>
      </c>
      <c r="I1118" s="244">
        <v>0.47</v>
      </c>
      <c r="J1118" s="244">
        <v>69.48</v>
      </c>
    </row>
    <row r="1119" spans="1:10" ht="28.5" x14ac:dyDescent="0.25">
      <c r="A1119" s="191" t="s">
        <v>62</v>
      </c>
      <c r="B1119" s="191" t="s">
        <v>1282</v>
      </c>
      <c r="C1119" s="191" t="s">
        <v>785</v>
      </c>
      <c r="D1119" s="191" t="s">
        <v>1283</v>
      </c>
      <c r="E1119" s="191" t="s">
        <v>120</v>
      </c>
      <c r="F1119" s="191"/>
      <c r="G1119" s="191" t="s">
        <v>183</v>
      </c>
      <c r="H1119" s="192">
        <v>4.82E-2</v>
      </c>
      <c r="I1119" s="244">
        <v>35.78</v>
      </c>
      <c r="J1119" s="244">
        <v>1.72</v>
      </c>
    </row>
    <row r="1120" spans="1:10" ht="28.5" x14ac:dyDescent="0.25">
      <c r="A1120" s="191" t="s">
        <v>62</v>
      </c>
      <c r="B1120" s="191" t="s">
        <v>1278</v>
      </c>
      <c r="C1120" s="191" t="s">
        <v>785</v>
      </c>
      <c r="D1120" s="191" t="s">
        <v>1279</v>
      </c>
      <c r="E1120" s="191" t="s">
        <v>120</v>
      </c>
      <c r="F1120" s="191"/>
      <c r="G1120" s="191" t="s">
        <v>129</v>
      </c>
      <c r="H1120" s="192">
        <v>1.2E-2</v>
      </c>
      <c r="I1120" s="244">
        <v>13.6</v>
      </c>
      <c r="J1120" s="244">
        <v>0.16</v>
      </c>
    </row>
    <row r="1121" spans="1:10" x14ac:dyDescent="0.25">
      <c r="A1121" s="187"/>
      <c r="B1121" s="187"/>
      <c r="C1121" s="187"/>
      <c r="D1121" s="187"/>
      <c r="E1121" s="187" t="s">
        <v>756</v>
      </c>
      <c r="F1121" s="188">
        <v>273.13</v>
      </c>
      <c r="G1121" s="187" t="s">
        <v>757</v>
      </c>
      <c r="H1121" s="188">
        <v>0</v>
      </c>
      <c r="I1121" s="242" t="s">
        <v>758</v>
      </c>
      <c r="J1121" s="242">
        <v>273.13</v>
      </c>
    </row>
    <row r="1122" spans="1:10" x14ac:dyDescent="0.25">
      <c r="A1122" s="187"/>
      <c r="B1122" s="187"/>
      <c r="C1122" s="187"/>
      <c r="D1122" s="187"/>
      <c r="E1122" s="187" t="s">
        <v>759</v>
      </c>
      <c r="F1122" s="188">
        <v>0</v>
      </c>
      <c r="G1122" s="187"/>
      <c r="H1122" s="187" t="s">
        <v>760</v>
      </c>
      <c r="I1122" s="242"/>
      <c r="J1122" s="242">
        <v>494.5</v>
      </c>
    </row>
    <row r="1123" spans="1:10" x14ac:dyDescent="0.25">
      <c r="A1123" s="182"/>
      <c r="B1123" s="182"/>
      <c r="C1123" s="182"/>
      <c r="D1123" s="182"/>
      <c r="E1123" s="182"/>
      <c r="F1123" s="182"/>
      <c r="G1123" s="182" t="s">
        <v>761</v>
      </c>
      <c r="H1123" s="189" t="s">
        <v>1543</v>
      </c>
      <c r="I1123" s="239" t="s">
        <v>763</v>
      </c>
      <c r="J1123" s="239">
        <v>4945</v>
      </c>
    </row>
    <row r="1124" spans="1:10" x14ac:dyDescent="0.25">
      <c r="A1124" s="183"/>
      <c r="B1124" s="183"/>
      <c r="C1124" s="183"/>
      <c r="D1124" s="183"/>
      <c r="E1124" s="183"/>
      <c r="F1124" s="183"/>
      <c r="G1124" s="183"/>
      <c r="H1124" s="183"/>
      <c r="I1124" s="240"/>
      <c r="J1124" s="240"/>
    </row>
    <row r="1125" spans="1:10" x14ac:dyDescent="0.25">
      <c r="A1125" s="190" t="s">
        <v>1544</v>
      </c>
      <c r="B1125" s="190"/>
      <c r="C1125" s="190"/>
      <c r="D1125" s="190" t="s">
        <v>478</v>
      </c>
      <c r="E1125" s="190"/>
      <c r="F1125" s="190"/>
      <c r="G1125" s="190"/>
      <c r="H1125" s="190"/>
      <c r="I1125" s="243"/>
      <c r="J1125" s="243">
        <v>2970.15</v>
      </c>
    </row>
    <row r="1126" spans="1:10" x14ac:dyDescent="0.25">
      <c r="A1126" s="182" t="s">
        <v>1545</v>
      </c>
      <c r="B1126" s="182" t="s">
        <v>66</v>
      </c>
      <c r="C1126" s="182" t="s">
        <v>64</v>
      </c>
      <c r="D1126" s="182" t="s">
        <v>67</v>
      </c>
      <c r="E1126" s="182" t="s">
        <v>65</v>
      </c>
      <c r="F1126" s="182"/>
      <c r="G1126" s="182" t="s">
        <v>744</v>
      </c>
      <c r="H1126" s="182" t="s">
        <v>69</v>
      </c>
      <c r="I1126" s="239" t="s">
        <v>745</v>
      </c>
      <c r="J1126" s="239" t="s">
        <v>0</v>
      </c>
    </row>
    <row r="1127" spans="1:10" ht="99.75" x14ac:dyDescent="0.25">
      <c r="A1127" s="183" t="s">
        <v>58</v>
      </c>
      <c r="B1127" s="183" t="s">
        <v>1546</v>
      </c>
      <c r="C1127" s="183" t="s">
        <v>59</v>
      </c>
      <c r="D1127" s="183" t="s">
        <v>1547</v>
      </c>
      <c r="E1127" s="183" t="s">
        <v>1548</v>
      </c>
      <c r="F1127" s="183"/>
      <c r="G1127" s="183" t="s">
        <v>61</v>
      </c>
      <c r="H1127" s="184">
        <v>1</v>
      </c>
      <c r="I1127" s="240">
        <v>75.34</v>
      </c>
      <c r="J1127" s="240">
        <v>75.34</v>
      </c>
    </row>
    <row r="1128" spans="1:10" ht="42.75" x14ac:dyDescent="0.25">
      <c r="A1128" s="185" t="s">
        <v>119</v>
      </c>
      <c r="B1128" s="185" t="s">
        <v>1479</v>
      </c>
      <c r="C1128" s="185" t="s">
        <v>59</v>
      </c>
      <c r="D1128" s="185" t="s">
        <v>1480</v>
      </c>
      <c r="E1128" s="185" t="s">
        <v>754</v>
      </c>
      <c r="F1128" s="185"/>
      <c r="G1128" s="185" t="s">
        <v>60</v>
      </c>
      <c r="H1128" s="186">
        <v>0.42309999999999998</v>
      </c>
      <c r="I1128" s="241">
        <v>22.16</v>
      </c>
      <c r="J1128" s="241">
        <v>9.3699999999999992</v>
      </c>
    </row>
    <row r="1129" spans="1:10" ht="42.75" x14ac:dyDescent="0.25">
      <c r="A1129" s="185" t="s">
        <v>119</v>
      </c>
      <c r="B1129" s="185" t="s">
        <v>1481</v>
      </c>
      <c r="C1129" s="185" t="s">
        <v>59</v>
      </c>
      <c r="D1129" s="185" t="s">
        <v>1482</v>
      </c>
      <c r="E1129" s="185" t="s">
        <v>754</v>
      </c>
      <c r="F1129" s="185"/>
      <c r="G1129" s="185" t="s">
        <v>60</v>
      </c>
      <c r="H1129" s="186">
        <v>0.42309999999999998</v>
      </c>
      <c r="I1129" s="241">
        <v>31.42</v>
      </c>
      <c r="J1129" s="241">
        <v>13.29</v>
      </c>
    </row>
    <row r="1130" spans="1:10" ht="28.5" x14ac:dyDescent="0.25">
      <c r="A1130" s="191" t="s">
        <v>62</v>
      </c>
      <c r="B1130" s="191" t="s">
        <v>1549</v>
      </c>
      <c r="C1130" s="191" t="s">
        <v>59</v>
      </c>
      <c r="D1130" s="191" t="s">
        <v>1550</v>
      </c>
      <c r="E1130" s="191" t="s">
        <v>120</v>
      </c>
      <c r="F1130" s="191"/>
      <c r="G1130" s="191" t="s">
        <v>61</v>
      </c>
      <c r="H1130" s="192">
        <v>2.92E-2</v>
      </c>
      <c r="I1130" s="244">
        <v>63.09</v>
      </c>
      <c r="J1130" s="244">
        <v>1.84</v>
      </c>
    </row>
    <row r="1131" spans="1:10" ht="42.75" x14ac:dyDescent="0.25">
      <c r="A1131" s="191" t="s">
        <v>62</v>
      </c>
      <c r="B1131" s="191" t="s">
        <v>1551</v>
      </c>
      <c r="C1131" s="191" t="s">
        <v>59</v>
      </c>
      <c r="D1131" s="191" t="s">
        <v>1552</v>
      </c>
      <c r="E1131" s="191" t="s">
        <v>120</v>
      </c>
      <c r="F1131" s="191"/>
      <c r="G1131" s="191" t="s">
        <v>61</v>
      </c>
      <c r="H1131" s="192">
        <v>4.3999999999999997E-2</v>
      </c>
      <c r="I1131" s="244">
        <v>71.48</v>
      </c>
      <c r="J1131" s="244">
        <v>3.14</v>
      </c>
    </row>
    <row r="1132" spans="1:10" ht="42.75" x14ac:dyDescent="0.25">
      <c r="A1132" s="191" t="s">
        <v>62</v>
      </c>
      <c r="B1132" s="191" t="s">
        <v>1553</v>
      </c>
      <c r="C1132" s="191" t="s">
        <v>59</v>
      </c>
      <c r="D1132" s="191" t="s">
        <v>1554</v>
      </c>
      <c r="E1132" s="191" t="s">
        <v>120</v>
      </c>
      <c r="F1132" s="191"/>
      <c r="G1132" s="191" t="s">
        <v>61</v>
      </c>
      <c r="H1132" s="192">
        <v>1</v>
      </c>
      <c r="I1132" s="244">
        <v>47.67</v>
      </c>
      <c r="J1132" s="244">
        <v>47.67</v>
      </c>
    </row>
    <row r="1133" spans="1:10" ht="28.5" x14ac:dyDescent="0.25">
      <c r="A1133" s="191" t="s">
        <v>62</v>
      </c>
      <c r="B1133" s="191" t="s">
        <v>1483</v>
      </c>
      <c r="C1133" s="191" t="s">
        <v>59</v>
      </c>
      <c r="D1133" s="191" t="s">
        <v>1484</v>
      </c>
      <c r="E1133" s="191" t="s">
        <v>120</v>
      </c>
      <c r="F1133" s="191"/>
      <c r="G1133" s="191" t="s">
        <v>61</v>
      </c>
      <c r="H1133" s="192">
        <v>1.54E-2</v>
      </c>
      <c r="I1133" s="244">
        <v>2</v>
      </c>
      <c r="J1133" s="244">
        <v>0.03</v>
      </c>
    </row>
    <row r="1134" spans="1:10" x14ac:dyDescent="0.25">
      <c r="A1134" s="187"/>
      <c r="B1134" s="187"/>
      <c r="C1134" s="187"/>
      <c r="D1134" s="187"/>
      <c r="E1134" s="187" t="s">
        <v>756</v>
      </c>
      <c r="F1134" s="188">
        <v>16.86</v>
      </c>
      <c r="G1134" s="187" t="s">
        <v>757</v>
      </c>
      <c r="H1134" s="188">
        <v>0</v>
      </c>
      <c r="I1134" s="242" t="s">
        <v>758</v>
      </c>
      <c r="J1134" s="242">
        <v>16.86</v>
      </c>
    </row>
    <row r="1135" spans="1:10" x14ac:dyDescent="0.25">
      <c r="A1135" s="187"/>
      <c r="B1135" s="187"/>
      <c r="C1135" s="187"/>
      <c r="D1135" s="187"/>
      <c r="E1135" s="187" t="s">
        <v>759</v>
      </c>
      <c r="F1135" s="188">
        <v>0</v>
      </c>
      <c r="G1135" s="187"/>
      <c r="H1135" s="187" t="s">
        <v>760</v>
      </c>
      <c r="I1135" s="242"/>
      <c r="J1135" s="242">
        <v>75.34</v>
      </c>
    </row>
    <row r="1136" spans="1:10" x14ac:dyDescent="0.25">
      <c r="A1136" s="182"/>
      <c r="B1136" s="182"/>
      <c r="C1136" s="182"/>
      <c r="D1136" s="182"/>
      <c r="E1136" s="182"/>
      <c r="F1136" s="182"/>
      <c r="G1136" s="182" t="s">
        <v>761</v>
      </c>
      <c r="H1136" s="189" t="s">
        <v>1555</v>
      </c>
      <c r="I1136" s="239" t="s">
        <v>763</v>
      </c>
      <c r="J1136" s="239">
        <v>301.36</v>
      </c>
    </row>
    <row r="1137" spans="1:10" x14ac:dyDescent="0.25">
      <c r="A1137" s="183"/>
      <c r="B1137" s="183"/>
      <c r="C1137" s="183"/>
      <c r="D1137" s="183"/>
      <c r="E1137" s="183"/>
      <c r="F1137" s="183"/>
      <c r="G1137" s="183"/>
      <c r="H1137" s="183"/>
      <c r="I1137" s="240"/>
      <c r="J1137" s="240"/>
    </row>
    <row r="1138" spans="1:10" x14ac:dyDescent="0.25">
      <c r="A1138" s="182" t="s">
        <v>1556</v>
      </c>
      <c r="B1138" s="182" t="s">
        <v>66</v>
      </c>
      <c r="C1138" s="182" t="s">
        <v>64</v>
      </c>
      <c r="D1138" s="182" t="s">
        <v>67</v>
      </c>
      <c r="E1138" s="182" t="s">
        <v>65</v>
      </c>
      <c r="F1138" s="182"/>
      <c r="G1138" s="182" t="s">
        <v>744</v>
      </c>
      <c r="H1138" s="182" t="s">
        <v>69</v>
      </c>
      <c r="I1138" s="239" t="s">
        <v>745</v>
      </c>
      <c r="J1138" s="239" t="s">
        <v>0</v>
      </c>
    </row>
    <row r="1139" spans="1:10" ht="57" x14ac:dyDescent="0.25">
      <c r="A1139" s="183" t="s">
        <v>58</v>
      </c>
      <c r="B1139" s="183" t="s">
        <v>1557</v>
      </c>
      <c r="C1139" s="183" t="s">
        <v>59</v>
      </c>
      <c r="D1139" s="183" t="s">
        <v>1558</v>
      </c>
      <c r="E1139" s="183" t="s">
        <v>1559</v>
      </c>
      <c r="F1139" s="183"/>
      <c r="G1139" s="183" t="s">
        <v>61</v>
      </c>
      <c r="H1139" s="184">
        <v>1</v>
      </c>
      <c r="I1139" s="240">
        <v>228.07</v>
      </c>
      <c r="J1139" s="240">
        <v>228.07</v>
      </c>
    </row>
    <row r="1140" spans="1:10" ht="42.75" x14ac:dyDescent="0.25">
      <c r="A1140" s="185" t="s">
        <v>119</v>
      </c>
      <c r="B1140" s="185" t="s">
        <v>1481</v>
      </c>
      <c r="C1140" s="185" t="s">
        <v>59</v>
      </c>
      <c r="D1140" s="185" t="s">
        <v>1482</v>
      </c>
      <c r="E1140" s="185" t="s">
        <v>754</v>
      </c>
      <c r="F1140" s="185"/>
      <c r="G1140" s="185" t="s">
        <v>60</v>
      </c>
      <c r="H1140" s="186">
        <v>0.27339999999999998</v>
      </c>
      <c r="I1140" s="241">
        <v>31.42</v>
      </c>
      <c r="J1140" s="241">
        <v>8.59</v>
      </c>
    </row>
    <row r="1141" spans="1:10" ht="28.5" x14ac:dyDescent="0.25">
      <c r="A1141" s="185" t="s">
        <v>119</v>
      </c>
      <c r="B1141" s="185" t="s">
        <v>769</v>
      </c>
      <c r="C1141" s="185" t="s">
        <v>59</v>
      </c>
      <c r="D1141" s="185" t="s">
        <v>115</v>
      </c>
      <c r="E1141" s="185" t="s">
        <v>754</v>
      </c>
      <c r="F1141" s="185"/>
      <c r="G1141" s="185" t="s">
        <v>60</v>
      </c>
      <c r="H1141" s="186">
        <v>8.6199999999999999E-2</v>
      </c>
      <c r="I1141" s="241">
        <v>22.42</v>
      </c>
      <c r="J1141" s="241">
        <v>1.93</v>
      </c>
    </row>
    <row r="1142" spans="1:10" ht="28.5" x14ac:dyDescent="0.25">
      <c r="A1142" s="191" t="s">
        <v>62</v>
      </c>
      <c r="B1142" s="191" t="s">
        <v>1560</v>
      </c>
      <c r="C1142" s="191" t="s">
        <v>59</v>
      </c>
      <c r="D1142" s="191" t="s">
        <v>1561</v>
      </c>
      <c r="E1142" s="191" t="s">
        <v>120</v>
      </c>
      <c r="F1142" s="191"/>
      <c r="G1142" s="191" t="s">
        <v>61</v>
      </c>
      <c r="H1142" s="192">
        <v>3.32E-2</v>
      </c>
      <c r="I1142" s="244">
        <v>3.3</v>
      </c>
      <c r="J1142" s="244">
        <v>0.1</v>
      </c>
    </row>
    <row r="1143" spans="1:10" ht="42.75" x14ac:dyDescent="0.25">
      <c r="A1143" s="191" t="s">
        <v>62</v>
      </c>
      <c r="B1143" s="191" t="s">
        <v>1562</v>
      </c>
      <c r="C1143" s="191" t="s">
        <v>59</v>
      </c>
      <c r="D1143" s="191" t="s">
        <v>1563</v>
      </c>
      <c r="E1143" s="191" t="s">
        <v>120</v>
      </c>
      <c r="F1143" s="191"/>
      <c r="G1143" s="191" t="s">
        <v>61</v>
      </c>
      <c r="H1143" s="192">
        <v>1</v>
      </c>
      <c r="I1143" s="244">
        <v>217.45</v>
      </c>
      <c r="J1143" s="244">
        <v>217.45</v>
      </c>
    </row>
    <row r="1144" spans="1:10" x14ac:dyDescent="0.25">
      <c r="A1144" s="187"/>
      <c r="B1144" s="187"/>
      <c r="C1144" s="187"/>
      <c r="D1144" s="187"/>
      <c r="E1144" s="187" t="s">
        <v>756</v>
      </c>
      <c r="F1144" s="188">
        <v>8</v>
      </c>
      <c r="G1144" s="187" t="s">
        <v>757</v>
      </c>
      <c r="H1144" s="188">
        <v>0</v>
      </c>
      <c r="I1144" s="242" t="s">
        <v>758</v>
      </c>
      <c r="J1144" s="242">
        <v>8</v>
      </c>
    </row>
    <row r="1145" spans="1:10" x14ac:dyDescent="0.25">
      <c r="A1145" s="187"/>
      <c r="B1145" s="187"/>
      <c r="C1145" s="187"/>
      <c r="D1145" s="187"/>
      <c r="E1145" s="187" t="s">
        <v>759</v>
      </c>
      <c r="F1145" s="188">
        <v>0</v>
      </c>
      <c r="G1145" s="187"/>
      <c r="H1145" s="187" t="s">
        <v>760</v>
      </c>
      <c r="I1145" s="242"/>
      <c r="J1145" s="242">
        <v>228.07</v>
      </c>
    </row>
    <row r="1146" spans="1:10" x14ac:dyDescent="0.25">
      <c r="A1146" s="182"/>
      <c r="B1146" s="182"/>
      <c r="C1146" s="182"/>
      <c r="D1146" s="182"/>
      <c r="E1146" s="182"/>
      <c r="F1146" s="182"/>
      <c r="G1146" s="182" t="s">
        <v>761</v>
      </c>
      <c r="H1146" s="189" t="s">
        <v>1260</v>
      </c>
      <c r="I1146" s="239" t="s">
        <v>763</v>
      </c>
      <c r="J1146" s="239">
        <v>684.21</v>
      </c>
    </row>
    <row r="1147" spans="1:10" x14ac:dyDescent="0.25">
      <c r="A1147" s="183"/>
      <c r="B1147" s="183"/>
      <c r="C1147" s="183"/>
      <c r="D1147" s="183"/>
      <c r="E1147" s="183"/>
      <c r="F1147" s="183"/>
      <c r="G1147" s="183"/>
      <c r="H1147" s="183"/>
      <c r="I1147" s="240"/>
      <c r="J1147" s="240"/>
    </row>
    <row r="1148" spans="1:10" x14ac:dyDescent="0.25">
      <c r="A1148" s="182" t="s">
        <v>1564</v>
      </c>
      <c r="B1148" s="182" t="s">
        <v>66</v>
      </c>
      <c r="C1148" s="182" t="s">
        <v>64</v>
      </c>
      <c r="D1148" s="182" t="s">
        <v>67</v>
      </c>
      <c r="E1148" s="182" t="s">
        <v>65</v>
      </c>
      <c r="F1148" s="182"/>
      <c r="G1148" s="182" t="s">
        <v>744</v>
      </c>
      <c r="H1148" s="182" t="s">
        <v>69</v>
      </c>
      <c r="I1148" s="239" t="s">
        <v>745</v>
      </c>
      <c r="J1148" s="239" t="s">
        <v>0</v>
      </c>
    </row>
    <row r="1149" spans="1:10" ht="28.5" x14ac:dyDescent="0.25">
      <c r="A1149" s="183" t="s">
        <v>58</v>
      </c>
      <c r="B1149" s="183" t="s">
        <v>1565</v>
      </c>
      <c r="C1149" s="183" t="s">
        <v>785</v>
      </c>
      <c r="D1149" s="183" t="s">
        <v>1566</v>
      </c>
      <c r="E1149" s="183">
        <v>806</v>
      </c>
      <c r="F1149" s="183"/>
      <c r="G1149" s="183" t="s">
        <v>1498</v>
      </c>
      <c r="H1149" s="184">
        <v>1</v>
      </c>
      <c r="I1149" s="240">
        <v>53.32</v>
      </c>
      <c r="J1149" s="240">
        <v>53.32</v>
      </c>
    </row>
    <row r="1150" spans="1:10" ht="28.5" x14ac:dyDescent="0.25">
      <c r="A1150" s="191" t="s">
        <v>62</v>
      </c>
      <c r="B1150" s="191" t="s">
        <v>1567</v>
      </c>
      <c r="C1150" s="191" t="s">
        <v>785</v>
      </c>
      <c r="D1150" s="191" t="s">
        <v>1568</v>
      </c>
      <c r="E1150" s="191" t="s">
        <v>120</v>
      </c>
      <c r="F1150" s="191"/>
      <c r="G1150" s="191" t="s">
        <v>113</v>
      </c>
      <c r="H1150" s="192">
        <v>0.42</v>
      </c>
      <c r="I1150" s="244">
        <v>0.35</v>
      </c>
      <c r="J1150" s="244">
        <v>0.14000000000000001</v>
      </c>
    </row>
    <row r="1151" spans="1:10" ht="28.5" x14ac:dyDescent="0.25">
      <c r="A1151" s="191" t="s">
        <v>62</v>
      </c>
      <c r="B1151" s="191" t="s">
        <v>1515</v>
      </c>
      <c r="C1151" s="191" t="s">
        <v>785</v>
      </c>
      <c r="D1151" s="191" t="s">
        <v>181</v>
      </c>
      <c r="E1151" s="191" t="s">
        <v>124</v>
      </c>
      <c r="F1151" s="191"/>
      <c r="G1151" s="191" t="s">
        <v>60</v>
      </c>
      <c r="H1151" s="192">
        <v>0.36</v>
      </c>
      <c r="I1151" s="244">
        <v>22.05</v>
      </c>
      <c r="J1151" s="244">
        <v>7.93</v>
      </c>
    </row>
    <row r="1152" spans="1:10" ht="28.5" x14ac:dyDescent="0.25">
      <c r="A1152" s="191" t="s">
        <v>62</v>
      </c>
      <c r="B1152" s="191" t="s">
        <v>1569</v>
      </c>
      <c r="C1152" s="191" t="s">
        <v>785</v>
      </c>
      <c r="D1152" s="191" t="s">
        <v>1570</v>
      </c>
      <c r="E1152" s="191" t="s">
        <v>124</v>
      </c>
      <c r="F1152" s="191"/>
      <c r="G1152" s="191" t="s">
        <v>60</v>
      </c>
      <c r="H1152" s="192">
        <v>0.36</v>
      </c>
      <c r="I1152" s="244">
        <v>29.79</v>
      </c>
      <c r="J1152" s="244">
        <v>10.72</v>
      </c>
    </row>
    <row r="1153" spans="1:10" ht="28.5" x14ac:dyDescent="0.25">
      <c r="A1153" s="191" t="s">
        <v>62</v>
      </c>
      <c r="B1153" s="191" t="s">
        <v>1571</v>
      </c>
      <c r="C1153" s="191" t="s">
        <v>785</v>
      </c>
      <c r="D1153" s="191" t="s">
        <v>1566</v>
      </c>
      <c r="E1153" s="191" t="s">
        <v>120</v>
      </c>
      <c r="F1153" s="191"/>
      <c r="G1153" s="191" t="s">
        <v>129</v>
      </c>
      <c r="H1153" s="192">
        <v>1</v>
      </c>
      <c r="I1153" s="244">
        <v>34.53</v>
      </c>
      <c r="J1153" s="244">
        <v>34.53</v>
      </c>
    </row>
    <row r="1154" spans="1:10" x14ac:dyDescent="0.25">
      <c r="A1154" s="187"/>
      <c r="B1154" s="187"/>
      <c r="C1154" s="187"/>
      <c r="D1154" s="187"/>
      <c r="E1154" s="187" t="s">
        <v>756</v>
      </c>
      <c r="F1154" s="188">
        <v>18.649999999999999</v>
      </c>
      <c r="G1154" s="187" t="s">
        <v>757</v>
      </c>
      <c r="H1154" s="188">
        <v>0</v>
      </c>
      <c r="I1154" s="242" t="s">
        <v>758</v>
      </c>
      <c r="J1154" s="242">
        <v>18.649999999999999</v>
      </c>
    </row>
    <row r="1155" spans="1:10" x14ac:dyDescent="0.25">
      <c r="A1155" s="187"/>
      <c r="B1155" s="187"/>
      <c r="C1155" s="187"/>
      <c r="D1155" s="187"/>
      <c r="E1155" s="187" t="s">
        <v>759</v>
      </c>
      <c r="F1155" s="188">
        <v>0</v>
      </c>
      <c r="G1155" s="187"/>
      <c r="H1155" s="187" t="s">
        <v>760</v>
      </c>
      <c r="I1155" s="242"/>
      <c r="J1155" s="242">
        <v>53.32</v>
      </c>
    </row>
    <row r="1156" spans="1:10" x14ac:dyDescent="0.25">
      <c r="A1156" s="182"/>
      <c r="B1156" s="182"/>
      <c r="C1156" s="182"/>
      <c r="D1156" s="182"/>
      <c r="E1156" s="182"/>
      <c r="F1156" s="182"/>
      <c r="G1156" s="182" t="s">
        <v>761</v>
      </c>
      <c r="H1156" s="189" t="s">
        <v>1538</v>
      </c>
      <c r="I1156" s="239" t="s">
        <v>763</v>
      </c>
      <c r="J1156" s="239">
        <v>106.64</v>
      </c>
    </row>
    <row r="1157" spans="1:10" x14ac:dyDescent="0.25">
      <c r="A1157" s="183"/>
      <c r="B1157" s="183"/>
      <c r="C1157" s="183"/>
      <c r="D1157" s="183"/>
      <c r="E1157" s="183"/>
      <c r="F1157" s="183"/>
      <c r="G1157" s="183"/>
      <c r="H1157" s="183"/>
      <c r="I1157" s="240"/>
      <c r="J1157" s="240"/>
    </row>
    <row r="1158" spans="1:10" x14ac:dyDescent="0.25">
      <c r="A1158" s="182" t="s">
        <v>1572</v>
      </c>
      <c r="B1158" s="182" t="s">
        <v>66</v>
      </c>
      <c r="C1158" s="182" t="s">
        <v>64</v>
      </c>
      <c r="D1158" s="182" t="s">
        <v>67</v>
      </c>
      <c r="E1158" s="182" t="s">
        <v>65</v>
      </c>
      <c r="F1158" s="182"/>
      <c r="G1158" s="182" t="s">
        <v>744</v>
      </c>
      <c r="H1158" s="182" t="s">
        <v>69</v>
      </c>
      <c r="I1158" s="239" t="s">
        <v>745</v>
      </c>
      <c r="J1158" s="239" t="s">
        <v>0</v>
      </c>
    </row>
    <row r="1159" spans="1:10" ht="42.75" x14ac:dyDescent="0.25">
      <c r="A1159" s="183" t="s">
        <v>58</v>
      </c>
      <c r="B1159" s="183" t="s">
        <v>1573</v>
      </c>
      <c r="C1159" s="183" t="s">
        <v>785</v>
      </c>
      <c r="D1159" s="183" t="s">
        <v>1574</v>
      </c>
      <c r="E1159" s="183">
        <v>805</v>
      </c>
      <c r="F1159" s="183"/>
      <c r="G1159" s="183" t="s">
        <v>1498</v>
      </c>
      <c r="H1159" s="184">
        <v>1</v>
      </c>
      <c r="I1159" s="240">
        <v>27.06</v>
      </c>
      <c r="J1159" s="240">
        <v>27.06</v>
      </c>
    </row>
    <row r="1160" spans="1:10" ht="28.5" x14ac:dyDescent="0.25">
      <c r="A1160" s="191" t="s">
        <v>62</v>
      </c>
      <c r="B1160" s="191" t="s">
        <v>1515</v>
      </c>
      <c r="C1160" s="191" t="s">
        <v>785</v>
      </c>
      <c r="D1160" s="191" t="s">
        <v>181</v>
      </c>
      <c r="E1160" s="191" t="s">
        <v>124</v>
      </c>
      <c r="F1160" s="191"/>
      <c r="G1160" s="191" t="s">
        <v>60</v>
      </c>
      <c r="H1160" s="192">
        <v>0.36</v>
      </c>
      <c r="I1160" s="244">
        <v>22.05</v>
      </c>
      <c r="J1160" s="244">
        <v>7.93</v>
      </c>
    </row>
    <row r="1161" spans="1:10" ht="42.75" x14ac:dyDescent="0.25">
      <c r="A1161" s="191" t="s">
        <v>62</v>
      </c>
      <c r="B1161" s="191" t="s">
        <v>1575</v>
      </c>
      <c r="C1161" s="191" t="s">
        <v>785</v>
      </c>
      <c r="D1161" s="191" t="s">
        <v>1574</v>
      </c>
      <c r="E1161" s="191" t="s">
        <v>120</v>
      </c>
      <c r="F1161" s="191"/>
      <c r="G1161" s="191" t="s">
        <v>129</v>
      </c>
      <c r="H1161" s="192">
        <v>1</v>
      </c>
      <c r="I1161" s="244">
        <v>8.26</v>
      </c>
      <c r="J1161" s="244">
        <v>8.26</v>
      </c>
    </row>
    <row r="1162" spans="1:10" ht="28.5" x14ac:dyDescent="0.25">
      <c r="A1162" s="191" t="s">
        <v>62</v>
      </c>
      <c r="B1162" s="191" t="s">
        <v>1569</v>
      </c>
      <c r="C1162" s="191" t="s">
        <v>785</v>
      </c>
      <c r="D1162" s="191" t="s">
        <v>1570</v>
      </c>
      <c r="E1162" s="191" t="s">
        <v>124</v>
      </c>
      <c r="F1162" s="191"/>
      <c r="G1162" s="191" t="s">
        <v>60</v>
      </c>
      <c r="H1162" s="192">
        <v>0.36</v>
      </c>
      <c r="I1162" s="244">
        <v>29.79</v>
      </c>
      <c r="J1162" s="244">
        <v>10.72</v>
      </c>
    </row>
    <row r="1163" spans="1:10" ht="28.5" x14ac:dyDescent="0.25">
      <c r="A1163" s="191" t="s">
        <v>62</v>
      </c>
      <c r="B1163" s="191" t="s">
        <v>1567</v>
      </c>
      <c r="C1163" s="191" t="s">
        <v>785</v>
      </c>
      <c r="D1163" s="191" t="s">
        <v>1568</v>
      </c>
      <c r="E1163" s="191" t="s">
        <v>120</v>
      </c>
      <c r="F1163" s="191"/>
      <c r="G1163" s="191" t="s">
        <v>113</v>
      </c>
      <c r="H1163" s="192">
        <v>0.45</v>
      </c>
      <c r="I1163" s="244">
        <v>0.35</v>
      </c>
      <c r="J1163" s="244">
        <v>0.15</v>
      </c>
    </row>
    <row r="1164" spans="1:10" x14ac:dyDescent="0.25">
      <c r="A1164" s="187"/>
      <c r="B1164" s="187"/>
      <c r="C1164" s="187"/>
      <c r="D1164" s="187"/>
      <c r="E1164" s="187" t="s">
        <v>756</v>
      </c>
      <c r="F1164" s="188">
        <v>18.649999999999999</v>
      </c>
      <c r="G1164" s="187" t="s">
        <v>757</v>
      </c>
      <c r="H1164" s="188">
        <v>0</v>
      </c>
      <c r="I1164" s="242" t="s">
        <v>758</v>
      </c>
      <c r="J1164" s="242">
        <v>18.649999999999999</v>
      </c>
    </row>
    <row r="1165" spans="1:10" x14ac:dyDescent="0.25">
      <c r="A1165" s="187"/>
      <c r="B1165" s="187"/>
      <c r="C1165" s="187"/>
      <c r="D1165" s="187"/>
      <c r="E1165" s="187" t="s">
        <v>759</v>
      </c>
      <c r="F1165" s="188">
        <v>0</v>
      </c>
      <c r="G1165" s="187"/>
      <c r="H1165" s="187" t="s">
        <v>760</v>
      </c>
      <c r="I1165" s="242"/>
      <c r="J1165" s="242">
        <v>27.06</v>
      </c>
    </row>
    <row r="1166" spans="1:10" x14ac:dyDescent="0.25">
      <c r="A1166" s="182"/>
      <c r="B1166" s="182"/>
      <c r="C1166" s="182"/>
      <c r="D1166" s="182"/>
      <c r="E1166" s="182"/>
      <c r="F1166" s="182"/>
      <c r="G1166" s="182" t="s">
        <v>761</v>
      </c>
      <c r="H1166" s="189" t="s">
        <v>762</v>
      </c>
      <c r="I1166" s="239" t="s">
        <v>763</v>
      </c>
      <c r="J1166" s="239">
        <v>27.06</v>
      </c>
    </row>
    <row r="1167" spans="1:10" x14ac:dyDescent="0.25">
      <c r="A1167" s="183"/>
      <c r="B1167" s="183"/>
      <c r="C1167" s="183"/>
      <c r="D1167" s="183"/>
      <c r="E1167" s="183"/>
      <c r="F1167" s="183"/>
      <c r="G1167" s="183"/>
      <c r="H1167" s="183"/>
      <c r="I1167" s="240"/>
      <c r="J1167" s="240"/>
    </row>
    <row r="1168" spans="1:10" x14ac:dyDescent="0.25">
      <c r="A1168" s="182" t="s">
        <v>1576</v>
      </c>
      <c r="B1168" s="182" t="s">
        <v>66</v>
      </c>
      <c r="C1168" s="182" t="s">
        <v>64</v>
      </c>
      <c r="D1168" s="182" t="s">
        <v>67</v>
      </c>
      <c r="E1168" s="182" t="s">
        <v>65</v>
      </c>
      <c r="F1168" s="182"/>
      <c r="G1168" s="182" t="s">
        <v>744</v>
      </c>
      <c r="H1168" s="182" t="s">
        <v>69</v>
      </c>
      <c r="I1168" s="239" t="s">
        <v>745</v>
      </c>
      <c r="J1168" s="239" t="s">
        <v>0</v>
      </c>
    </row>
    <row r="1169" spans="1:10" ht="71.25" x14ac:dyDescent="0.25">
      <c r="A1169" s="183" t="s">
        <v>58</v>
      </c>
      <c r="B1169" s="183" t="s">
        <v>1577</v>
      </c>
      <c r="C1169" s="183" t="s">
        <v>59</v>
      </c>
      <c r="D1169" s="183" t="s">
        <v>1578</v>
      </c>
      <c r="E1169" s="183" t="s">
        <v>1559</v>
      </c>
      <c r="F1169" s="183"/>
      <c r="G1169" s="183" t="s">
        <v>61</v>
      </c>
      <c r="H1169" s="184">
        <v>1</v>
      </c>
      <c r="I1169" s="240">
        <v>9.5299999999999994</v>
      </c>
      <c r="J1169" s="240">
        <v>9.5299999999999994</v>
      </c>
    </row>
    <row r="1170" spans="1:10" ht="28.5" x14ac:dyDescent="0.25">
      <c r="A1170" s="185" t="s">
        <v>119</v>
      </c>
      <c r="B1170" s="185" t="s">
        <v>769</v>
      </c>
      <c r="C1170" s="185" t="s">
        <v>59</v>
      </c>
      <c r="D1170" s="185" t="s">
        <v>115</v>
      </c>
      <c r="E1170" s="185" t="s">
        <v>754</v>
      </c>
      <c r="F1170" s="185"/>
      <c r="G1170" s="185" t="s">
        <v>60</v>
      </c>
      <c r="H1170" s="186">
        <v>3.8800000000000001E-2</v>
      </c>
      <c r="I1170" s="241">
        <v>22.42</v>
      </c>
      <c r="J1170" s="241">
        <v>0.86</v>
      </c>
    </row>
    <row r="1171" spans="1:10" ht="42.75" x14ac:dyDescent="0.25">
      <c r="A1171" s="185" t="s">
        <v>119</v>
      </c>
      <c r="B1171" s="185" t="s">
        <v>1481</v>
      </c>
      <c r="C1171" s="185" t="s">
        <v>59</v>
      </c>
      <c r="D1171" s="185" t="s">
        <v>1482</v>
      </c>
      <c r="E1171" s="185" t="s">
        <v>754</v>
      </c>
      <c r="F1171" s="185"/>
      <c r="G1171" s="185" t="s">
        <v>60</v>
      </c>
      <c r="H1171" s="186">
        <v>0.1232</v>
      </c>
      <c r="I1171" s="241">
        <v>31.42</v>
      </c>
      <c r="J1171" s="241">
        <v>3.87</v>
      </c>
    </row>
    <row r="1172" spans="1:10" ht="28.5" x14ac:dyDescent="0.25">
      <c r="A1172" s="191" t="s">
        <v>62</v>
      </c>
      <c r="B1172" s="191" t="s">
        <v>1560</v>
      </c>
      <c r="C1172" s="191" t="s">
        <v>59</v>
      </c>
      <c r="D1172" s="191" t="s">
        <v>1561</v>
      </c>
      <c r="E1172" s="191" t="s">
        <v>120</v>
      </c>
      <c r="F1172" s="191"/>
      <c r="G1172" s="191" t="s">
        <v>61</v>
      </c>
      <c r="H1172" s="192">
        <v>3.32E-2</v>
      </c>
      <c r="I1172" s="244">
        <v>3.3</v>
      </c>
      <c r="J1172" s="244">
        <v>0.1</v>
      </c>
    </row>
    <row r="1173" spans="1:10" ht="42.75" x14ac:dyDescent="0.25">
      <c r="A1173" s="191" t="s">
        <v>62</v>
      </c>
      <c r="B1173" s="191" t="s">
        <v>1579</v>
      </c>
      <c r="C1173" s="191" t="s">
        <v>59</v>
      </c>
      <c r="D1173" s="191" t="s">
        <v>1580</v>
      </c>
      <c r="E1173" s="191" t="s">
        <v>120</v>
      </c>
      <c r="F1173" s="191"/>
      <c r="G1173" s="191" t="s">
        <v>61</v>
      </c>
      <c r="H1173" s="192">
        <v>1</v>
      </c>
      <c r="I1173" s="244">
        <v>4.7</v>
      </c>
      <c r="J1173" s="244">
        <v>4.7</v>
      </c>
    </row>
    <row r="1174" spans="1:10" x14ac:dyDescent="0.25">
      <c r="A1174" s="187"/>
      <c r="B1174" s="187"/>
      <c r="C1174" s="187"/>
      <c r="D1174" s="187"/>
      <c r="E1174" s="187" t="s">
        <v>756</v>
      </c>
      <c r="F1174" s="188">
        <v>3.6</v>
      </c>
      <c r="G1174" s="187" t="s">
        <v>757</v>
      </c>
      <c r="H1174" s="188">
        <v>0</v>
      </c>
      <c r="I1174" s="242" t="s">
        <v>758</v>
      </c>
      <c r="J1174" s="242">
        <v>3.6</v>
      </c>
    </row>
    <row r="1175" spans="1:10" x14ac:dyDescent="0.25">
      <c r="A1175" s="187"/>
      <c r="B1175" s="187"/>
      <c r="C1175" s="187"/>
      <c r="D1175" s="187"/>
      <c r="E1175" s="187" t="s">
        <v>759</v>
      </c>
      <c r="F1175" s="188">
        <v>0</v>
      </c>
      <c r="G1175" s="187"/>
      <c r="H1175" s="187" t="s">
        <v>760</v>
      </c>
      <c r="I1175" s="242"/>
      <c r="J1175" s="242">
        <v>9.5299999999999994</v>
      </c>
    </row>
    <row r="1176" spans="1:10" x14ac:dyDescent="0.25">
      <c r="A1176" s="182"/>
      <c r="B1176" s="182"/>
      <c r="C1176" s="182"/>
      <c r="D1176" s="182"/>
      <c r="E1176" s="182"/>
      <c r="F1176" s="182"/>
      <c r="G1176" s="182" t="s">
        <v>761</v>
      </c>
      <c r="H1176" s="189" t="s">
        <v>788</v>
      </c>
      <c r="I1176" s="239" t="s">
        <v>763</v>
      </c>
      <c r="J1176" s="239">
        <v>47.65</v>
      </c>
    </row>
    <row r="1177" spans="1:10" x14ac:dyDescent="0.25">
      <c r="A1177" s="183"/>
      <c r="B1177" s="183"/>
      <c r="C1177" s="183"/>
      <c r="D1177" s="183"/>
      <c r="E1177" s="183"/>
      <c r="F1177" s="183"/>
      <c r="G1177" s="183"/>
      <c r="H1177" s="183"/>
      <c r="I1177" s="240"/>
      <c r="J1177" s="240"/>
    </row>
    <row r="1178" spans="1:10" x14ac:dyDescent="0.25">
      <c r="A1178" s="182" t="s">
        <v>1581</v>
      </c>
      <c r="B1178" s="182" t="s">
        <v>66</v>
      </c>
      <c r="C1178" s="182" t="s">
        <v>64</v>
      </c>
      <c r="D1178" s="182" t="s">
        <v>67</v>
      </c>
      <c r="E1178" s="182" t="s">
        <v>65</v>
      </c>
      <c r="F1178" s="182"/>
      <c r="G1178" s="182" t="s">
        <v>744</v>
      </c>
      <c r="H1178" s="182" t="s">
        <v>69</v>
      </c>
      <c r="I1178" s="239" t="s">
        <v>745</v>
      </c>
      <c r="J1178" s="239" t="s">
        <v>0</v>
      </c>
    </row>
    <row r="1179" spans="1:10" ht="71.25" x14ac:dyDescent="0.25">
      <c r="A1179" s="183" t="s">
        <v>58</v>
      </c>
      <c r="B1179" s="183" t="s">
        <v>1582</v>
      </c>
      <c r="C1179" s="183" t="s">
        <v>59</v>
      </c>
      <c r="D1179" s="183" t="s">
        <v>1583</v>
      </c>
      <c r="E1179" s="183" t="s">
        <v>1559</v>
      </c>
      <c r="F1179" s="183"/>
      <c r="G1179" s="183" t="s">
        <v>61</v>
      </c>
      <c r="H1179" s="184">
        <v>1</v>
      </c>
      <c r="I1179" s="240">
        <v>75.23</v>
      </c>
      <c r="J1179" s="240">
        <v>75.23</v>
      </c>
    </row>
    <row r="1180" spans="1:10" ht="42.75" x14ac:dyDescent="0.25">
      <c r="A1180" s="185" t="s">
        <v>119</v>
      </c>
      <c r="B1180" s="185" t="s">
        <v>1481</v>
      </c>
      <c r="C1180" s="185" t="s">
        <v>59</v>
      </c>
      <c r="D1180" s="185" t="s">
        <v>1482</v>
      </c>
      <c r="E1180" s="185" t="s">
        <v>754</v>
      </c>
      <c r="F1180" s="185"/>
      <c r="G1180" s="185" t="s">
        <v>60</v>
      </c>
      <c r="H1180" s="186">
        <v>0.17399999999999999</v>
      </c>
      <c r="I1180" s="241">
        <v>31.42</v>
      </c>
      <c r="J1180" s="241">
        <v>5.46</v>
      </c>
    </row>
    <row r="1181" spans="1:10" ht="28.5" x14ac:dyDescent="0.25">
      <c r="A1181" s="185" t="s">
        <v>119</v>
      </c>
      <c r="B1181" s="185" t="s">
        <v>769</v>
      </c>
      <c r="C1181" s="185" t="s">
        <v>59</v>
      </c>
      <c r="D1181" s="185" t="s">
        <v>115</v>
      </c>
      <c r="E1181" s="185" t="s">
        <v>754</v>
      </c>
      <c r="F1181" s="185"/>
      <c r="G1181" s="185" t="s">
        <v>60</v>
      </c>
      <c r="H1181" s="186">
        <v>5.4800000000000001E-2</v>
      </c>
      <c r="I1181" s="241">
        <v>22.42</v>
      </c>
      <c r="J1181" s="241">
        <v>1.22</v>
      </c>
    </row>
    <row r="1182" spans="1:10" ht="57" x14ac:dyDescent="0.25">
      <c r="A1182" s="191" t="s">
        <v>62</v>
      </c>
      <c r="B1182" s="191" t="s">
        <v>1584</v>
      </c>
      <c r="C1182" s="191" t="s">
        <v>59</v>
      </c>
      <c r="D1182" s="191" t="s">
        <v>1585</v>
      </c>
      <c r="E1182" s="191" t="s">
        <v>120</v>
      </c>
      <c r="F1182" s="191"/>
      <c r="G1182" s="191" t="s">
        <v>61</v>
      </c>
      <c r="H1182" s="192">
        <v>1</v>
      </c>
      <c r="I1182" s="244">
        <v>68.400000000000006</v>
      </c>
      <c r="J1182" s="244">
        <v>68.400000000000006</v>
      </c>
    </row>
    <row r="1183" spans="1:10" ht="28.5" x14ac:dyDescent="0.25">
      <c r="A1183" s="191" t="s">
        <v>62</v>
      </c>
      <c r="B1183" s="191" t="s">
        <v>1560</v>
      </c>
      <c r="C1183" s="191" t="s">
        <v>59</v>
      </c>
      <c r="D1183" s="191" t="s">
        <v>1561</v>
      </c>
      <c r="E1183" s="191" t="s">
        <v>120</v>
      </c>
      <c r="F1183" s="191"/>
      <c r="G1183" s="191" t="s">
        <v>61</v>
      </c>
      <c r="H1183" s="192">
        <v>4.8000000000000001E-2</v>
      </c>
      <c r="I1183" s="244">
        <v>3.3</v>
      </c>
      <c r="J1183" s="244">
        <v>0.15</v>
      </c>
    </row>
    <row r="1184" spans="1:10" x14ac:dyDescent="0.25">
      <c r="A1184" s="187"/>
      <c r="B1184" s="187"/>
      <c r="C1184" s="187"/>
      <c r="D1184" s="187"/>
      <c r="E1184" s="187" t="s">
        <v>756</v>
      </c>
      <c r="F1184" s="188">
        <v>5.09</v>
      </c>
      <c r="G1184" s="187" t="s">
        <v>757</v>
      </c>
      <c r="H1184" s="188">
        <v>0</v>
      </c>
      <c r="I1184" s="242" t="s">
        <v>758</v>
      </c>
      <c r="J1184" s="242">
        <v>5.09</v>
      </c>
    </row>
    <row r="1185" spans="1:10" x14ac:dyDescent="0.25">
      <c r="A1185" s="187"/>
      <c r="B1185" s="187"/>
      <c r="C1185" s="187"/>
      <c r="D1185" s="187"/>
      <c r="E1185" s="187" t="s">
        <v>759</v>
      </c>
      <c r="F1185" s="188">
        <v>0</v>
      </c>
      <c r="G1185" s="187"/>
      <c r="H1185" s="187" t="s">
        <v>760</v>
      </c>
      <c r="I1185" s="242"/>
      <c r="J1185" s="242">
        <v>75.23</v>
      </c>
    </row>
    <row r="1186" spans="1:10" x14ac:dyDescent="0.25">
      <c r="A1186" s="182"/>
      <c r="B1186" s="182"/>
      <c r="C1186" s="182"/>
      <c r="D1186" s="182"/>
      <c r="E1186" s="182"/>
      <c r="F1186" s="182"/>
      <c r="G1186" s="182" t="s">
        <v>761</v>
      </c>
      <c r="H1186" s="189" t="s">
        <v>762</v>
      </c>
      <c r="I1186" s="239" t="s">
        <v>763</v>
      </c>
      <c r="J1186" s="239">
        <v>75.23</v>
      </c>
    </row>
    <row r="1187" spans="1:10" x14ac:dyDescent="0.25">
      <c r="A1187" s="183"/>
      <c r="B1187" s="183"/>
      <c r="C1187" s="183"/>
      <c r="D1187" s="183"/>
      <c r="E1187" s="183"/>
      <c r="F1187" s="183"/>
      <c r="G1187" s="183"/>
      <c r="H1187" s="183"/>
      <c r="I1187" s="240"/>
      <c r="J1187" s="240"/>
    </row>
    <row r="1188" spans="1:10" x14ac:dyDescent="0.25">
      <c r="A1188" s="182" t="s">
        <v>1586</v>
      </c>
      <c r="B1188" s="182" t="s">
        <v>66</v>
      </c>
      <c r="C1188" s="182" t="s">
        <v>64</v>
      </c>
      <c r="D1188" s="182" t="s">
        <v>67</v>
      </c>
      <c r="E1188" s="182" t="s">
        <v>65</v>
      </c>
      <c r="F1188" s="182"/>
      <c r="G1188" s="182" t="s">
        <v>744</v>
      </c>
      <c r="H1188" s="182" t="s">
        <v>69</v>
      </c>
      <c r="I1188" s="239" t="s">
        <v>745</v>
      </c>
      <c r="J1188" s="239" t="s">
        <v>0</v>
      </c>
    </row>
    <row r="1189" spans="1:10" ht="28.5" x14ac:dyDescent="0.25">
      <c r="A1189" s="183" t="s">
        <v>58</v>
      </c>
      <c r="B1189" s="183" t="s">
        <v>1587</v>
      </c>
      <c r="C1189" s="183" t="s">
        <v>785</v>
      </c>
      <c r="D1189" s="183" t="s">
        <v>1588</v>
      </c>
      <c r="E1189" s="183">
        <v>817</v>
      </c>
      <c r="F1189" s="183"/>
      <c r="G1189" s="183" t="s">
        <v>1498</v>
      </c>
      <c r="H1189" s="184">
        <v>1</v>
      </c>
      <c r="I1189" s="240">
        <v>19.8</v>
      </c>
      <c r="J1189" s="240">
        <v>19.8</v>
      </c>
    </row>
    <row r="1190" spans="1:10" ht="28.5" x14ac:dyDescent="0.25">
      <c r="A1190" s="191" t="s">
        <v>62</v>
      </c>
      <c r="B1190" s="191" t="s">
        <v>1515</v>
      </c>
      <c r="C1190" s="191" t="s">
        <v>785</v>
      </c>
      <c r="D1190" s="191" t="s">
        <v>181</v>
      </c>
      <c r="E1190" s="191" t="s">
        <v>124</v>
      </c>
      <c r="F1190" s="191"/>
      <c r="G1190" s="191" t="s">
        <v>60</v>
      </c>
      <c r="H1190" s="192">
        <v>0.28000000000000003</v>
      </c>
      <c r="I1190" s="244">
        <v>22.05</v>
      </c>
      <c r="J1190" s="244">
        <v>6.17</v>
      </c>
    </row>
    <row r="1191" spans="1:10" ht="28.5" x14ac:dyDescent="0.25">
      <c r="A1191" s="191" t="s">
        <v>62</v>
      </c>
      <c r="B1191" s="191" t="s">
        <v>1589</v>
      </c>
      <c r="C1191" s="191" t="s">
        <v>785</v>
      </c>
      <c r="D1191" s="191" t="s">
        <v>1590</v>
      </c>
      <c r="E1191" s="191" t="s">
        <v>120</v>
      </c>
      <c r="F1191" s="191"/>
      <c r="G1191" s="191" t="s">
        <v>129</v>
      </c>
      <c r="H1191" s="192">
        <v>1</v>
      </c>
      <c r="I1191" s="244">
        <v>5.29</v>
      </c>
      <c r="J1191" s="244">
        <v>5.29</v>
      </c>
    </row>
    <row r="1192" spans="1:10" ht="28.5" x14ac:dyDescent="0.25">
      <c r="A1192" s="191" t="s">
        <v>62</v>
      </c>
      <c r="B1192" s="191" t="s">
        <v>1569</v>
      </c>
      <c r="C1192" s="191" t="s">
        <v>785</v>
      </c>
      <c r="D1192" s="191" t="s">
        <v>1570</v>
      </c>
      <c r="E1192" s="191" t="s">
        <v>124</v>
      </c>
      <c r="F1192" s="191"/>
      <c r="G1192" s="191" t="s">
        <v>60</v>
      </c>
      <c r="H1192" s="192">
        <v>0.28000000000000003</v>
      </c>
      <c r="I1192" s="244">
        <v>29.79</v>
      </c>
      <c r="J1192" s="244">
        <v>8.34</v>
      </c>
    </row>
    <row r="1193" spans="1:10" x14ac:dyDescent="0.25">
      <c r="A1193" s="187"/>
      <c r="B1193" s="187"/>
      <c r="C1193" s="187"/>
      <c r="D1193" s="187"/>
      <c r="E1193" s="187" t="s">
        <v>756</v>
      </c>
      <c r="F1193" s="188">
        <v>14.51</v>
      </c>
      <c r="G1193" s="187" t="s">
        <v>757</v>
      </c>
      <c r="H1193" s="188">
        <v>0</v>
      </c>
      <c r="I1193" s="242" t="s">
        <v>758</v>
      </c>
      <c r="J1193" s="242">
        <v>14.51</v>
      </c>
    </row>
    <row r="1194" spans="1:10" x14ac:dyDescent="0.25">
      <c r="A1194" s="187"/>
      <c r="B1194" s="187"/>
      <c r="C1194" s="187"/>
      <c r="D1194" s="187"/>
      <c r="E1194" s="187" t="s">
        <v>759</v>
      </c>
      <c r="F1194" s="188">
        <v>0</v>
      </c>
      <c r="G1194" s="187"/>
      <c r="H1194" s="187" t="s">
        <v>760</v>
      </c>
      <c r="I1194" s="242"/>
      <c r="J1194" s="242">
        <v>19.8</v>
      </c>
    </row>
    <row r="1195" spans="1:10" x14ac:dyDescent="0.25">
      <c r="A1195" s="182"/>
      <c r="B1195" s="182"/>
      <c r="C1195" s="182"/>
      <c r="D1195" s="182"/>
      <c r="E1195" s="182"/>
      <c r="F1195" s="182"/>
      <c r="G1195" s="182" t="s">
        <v>761</v>
      </c>
      <c r="H1195" s="189" t="s">
        <v>1555</v>
      </c>
      <c r="I1195" s="239" t="s">
        <v>763</v>
      </c>
      <c r="J1195" s="239">
        <v>79.2</v>
      </c>
    </row>
    <row r="1196" spans="1:10" x14ac:dyDescent="0.25">
      <c r="A1196" s="183"/>
      <c r="B1196" s="183"/>
      <c r="C1196" s="183"/>
      <c r="D1196" s="183"/>
      <c r="E1196" s="183"/>
      <c r="F1196" s="183"/>
      <c r="G1196" s="183"/>
      <c r="H1196" s="183"/>
      <c r="I1196" s="240"/>
      <c r="J1196" s="240"/>
    </row>
    <row r="1197" spans="1:10" x14ac:dyDescent="0.25">
      <c r="A1197" s="182" t="s">
        <v>1591</v>
      </c>
      <c r="B1197" s="182" t="s">
        <v>66</v>
      </c>
      <c r="C1197" s="182" t="s">
        <v>64</v>
      </c>
      <c r="D1197" s="182" t="s">
        <v>67</v>
      </c>
      <c r="E1197" s="182" t="s">
        <v>65</v>
      </c>
      <c r="F1197" s="182"/>
      <c r="G1197" s="182" t="s">
        <v>744</v>
      </c>
      <c r="H1197" s="182" t="s">
        <v>69</v>
      </c>
      <c r="I1197" s="239" t="s">
        <v>745</v>
      </c>
      <c r="J1197" s="239" t="s">
        <v>0</v>
      </c>
    </row>
    <row r="1198" spans="1:10" ht="28.5" x14ac:dyDescent="0.25">
      <c r="A1198" s="183" t="s">
        <v>58</v>
      </c>
      <c r="B1198" s="183" t="s">
        <v>1592</v>
      </c>
      <c r="C1198" s="183" t="s">
        <v>785</v>
      </c>
      <c r="D1198" s="183" t="s">
        <v>1593</v>
      </c>
      <c r="E1198" s="183">
        <v>819</v>
      </c>
      <c r="F1198" s="183"/>
      <c r="G1198" s="183" t="s">
        <v>1498</v>
      </c>
      <c r="H1198" s="184">
        <v>1</v>
      </c>
      <c r="I1198" s="240">
        <v>16.559999999999999</v>
      </c>
      <c r="J1198" s="240">
        <v>16.559999999999999</v>
      </c>
    </row>
    <row r="1199" spans="1:10" ht="28.5" x14ac:dyDescent="0.25">
      <c r="A1199" s="191" t="s">
        <v>62</v>
      </c>
      <c r="B1199" s="191" t="s">
        <v>1515</v>
      </c>
      <c r="C1199" s="191" t="s">
        <v>785</v>
      </c>
      <c r="D1199" s="191" t="s">
        <v>181</v>
      </c>
      <c r="E1199" s="191" t="s">
        <v>124</v>
      </c>
      <c r="F1199" s="191"/>
      <c r="G1199" s="191" t="s">
        <v>60</v>
      </c>
      <c r="H1199" s="192">
        <v>0.28000000000000003</v>
      </c>
      <c r="I1199" s="244">
        <v>22.05</v>
      </c>
      <c r="J1199" s="244">
        <v>6.17</v>
      </c>
    </row>
    <row r="1200" spans="1:10" ht="28.5" x14ac:dyDescent="0.25">
      <c r="A1200" s="191" t="s">
        <v>62</v>
      </c>
      <c r="B1200" s="191" t="s">
        <v>1594</v>
      </c>
      <c r="C1200" s="191" t="s">
        <v>785</v>
      </c>
      <c r="D1200" s="191" t="s">
        <v>1595</v>
      </c>
      <c r="E1200" s="191" t="s">
        <v>120</v>
      </c>
      <c r="F1200" s="191"/>
      <c r="G1200" s="191" t="s">
        <v>129</v>
      </c>
      <c r="H1200" s="192">
        <v>1</v>
      </c>
      <c r="I1200" s="244">
        <v>2.0499999999999998</v>
      </c>
      <c r="J1200" s="244">
        <v>2.0499999999999998</v>
      </c>
    </row>
    <row r="1201" spans="1:10" ht="28.5" x14ac:dyDescent="0.25">
      <c r="A1201" s="191" t="s">
        <v>62</v>
      </c>
      <c r="B1201" s="191" t="s">
        <v>1569</v>
      </c>
      <c r="C1201" s="191" t="s">
        <v>785</v>
      </c>
      <c r="D1201" s="191" t="s">
        <v>1570</v>
      </c>
      <c r="E1201" s="191" t="s">
        <v>124</v>
      </c>
      <c r="F1201" s="191"/>
      <c r="G1201" s="191" t="s">
        <v>60</v>
      </c>
      <c r="H1201" s="192">
        <v>0.28000000000000003</v>
      </c>
      <c r="I1201" s="244">
        <v>29.79</v>
      </c>
      <c r="J1201" s="244">
        <v>8.34</v>
      </c>
    </row>
    <row r="1202" spans="1:10" x14ac:dyDescent="0.25">
      <c r="A1202" s="187"/>
      <c r="B1202" s="187"/>
      <c r="C1202" s="187"/>
      <c r="D1202" s="187"/>
      <c r="E1202" s="187" t="s">
        <v>756</v>
      </c>
      <c r="F1202" s="188">
        <v>14.51</v>
      </c>
      <c r="G1202" s="187" t="s">
        <v>757</v>
      </c>
      <c r="H1202" s="188">
        <v>0</v>
      </c>
      <c r="I1202" s="242" t="s">
        <v>758</v>
      </c>
      <c r="J1202" s="242">
        <v>14.51</v>
      </c>
    </row>
    <row r="1203" spans="1:10" x14ac:dyDescent="0.25">
      <c r="A1203" s="187"/>
      <c r="B1203" s="187"/>
      <c r="C1203" s="187"/>
      <c r="D1203" s="187"/>
      <c r="E1203" s="187" t="s">
        <v>759</v>
      </c>
      <c r="F1203" s="188">
        <v>0</v>
      </c>
      <c r="G1203" s="187"/>
      <c r="H1203" s="187" t="s">
        <v>760</v>
      </c>
      <c r="I1203" s="242"/>
      <c r="J1203" s="242">
        <v>16.559999999999999</v>
      </c>
    </row>
    <row r="1204" spans="1:10" x14ac:dyDescent="0.25">
      <c r="A1204" s="182"/>
      <c r="B1204" s="182"/>
      <c r="C1204" s="182"/>
      <c r="D1204" s="182"/>
      <c r="E1204" s="182"/>
      <c r="F1204" s="182"/>
      <c r="G1204" s="182" t="s">
        <v>761</v>
      </c>
      <c r="H1204" s="189" t="s">
        <v>788</v>
      </c>
      <c r="I1204" s="239" t="s">
        <v>763</v>
      </c>
      <c r="J1204" s="239">
        <v>82.8</v>
      </c>
    </row>
    <row r="1205" spans="1:10" x14ac:dyDescent="0.25">
      <c r="A1205" s="183"/>
      <c r="B1205" s="183"/>
      <c r="C1205" s="183"/>
      <c r="D1205" s="183"/>
      <c r="E1205" s="183"/>
      <c r="F1205" s="183"/>
      <c r="G1205" s="183"/>
      <c r="H1205" s="183"/>
      <c r="I1205" s="240"/>
      <c r="J1205" s="240"/>
    </row>
    <row r="1206" spans="1:10" x14ac:dyDescent="0.25">
      <c r="A1206" s="182" t="s">
        <v>1596</v>
      </c>
      <c r="B1206" s="182" t="s">
        <v>66</v>
      </c>
      <c r="C1206" s="182" t="s">
        <v>64</v>
      </c>
      <c r="D1206" s="182" t="s">
        <v>67</v>
      </c>
      <c r="E1206" s="182" t="s">
        <v>65</v>
      </c>
      <c r="F1206" s="182"/>
      <c r="G1206" s="182" t="s">
        <v>744</v>
      </c>
      <c r="H1206" s="182" t="s">
        <v>69</v>
      </c>
      <c r="I1206" s="239" t="s">
        <v>745</v>
      </c>
      <c r="J1206" s="239" t="s">
        <v>0</v>
      </c>
    </row>
    <row r="1207" spans="1:10" ht="28.5" x14ac:dyDescent="0.25">
      <c r="A1207" s="183" t="s">
        <v>58</v>
      </c>
      <c r="B1207" s="183" t="s">
        <v>1597</v>
      </c>
      <c r="C1207" s="183" t="s">
        <v>785</v>
      </c>
      <c r="D1207" s="183" t="s">
        <v>1598</v>
      </c>
      <c r="E1207" s="183">
        <v>819</v>
      </c>
      <c r="F1207" s="183"/>
      <c r="G1207" s="183" t="s">
        <v>1498</v>
      </c>
      <c r="H1207" s="184">
        <v>1</v>
      </c>
      <c r="I1207" s="240">
        <v>17.59</v>
      </c>
      <c r="J1207" s="240">
        <v>17.59</v>
      </c>
    </row>
    <row r="1208" spans="1:10" ht="28.5" x14ac:dyDescent="0.25">
      <c r="A1208" s="191" t="s">
        <v>62</v>
      </c>
      <c r="B1208" s="191" t="s">
        <v>1569</v>
      </c>
      <c r="C1208" s="191" t="s">
        <v>785</v>
      </c>
      <c r="D1208" s="191" t="s">
        <v>1570</v>
      </c>
      <c r="E1208" s="191" t="s">
        <v>124</v>
      </c>
      <c r="F1208" s="191"/>
      <c r="G1208" s="191" t="s">
        <v>60</v>
      </c>
      <c r="H1208" s="192">
        <v>0.28000000000000003</v>
      </c>
      <c r="I1208" s="244">
        <v>29.79</v>
      </c>
      <c r="J1208" s="244">
        <v>8.34</v>
      </c>
    </row>
    <row r="1209" spans="1:10" ht="28.5" x14ac:dyDescent="0.25">
      <c r="A1209" s="191" t="s">
        <v>62</v>
      </c>
      <c r="B1209" s="191" t="s">
        <v>1515</v>
      </c>
      <c r="C1209" s="191" t="s">
        <v>785</v>
      </c>
      <c r="D1209" s="191" t="s">
        <v>181</v>
      </c>
      <c r="E1209" s="191" t="s">
        <v>124</v>
      </c>
      <c r="F1209" s="191"/>
      <c r="G1209" s="191" t="s">
        <v>60</v>
      </c>
      <c r="H1209" s="192">
        <v>0.28000000000000003</v>
      </c>
      <c r="I1209" s="244">
        <v>22.05</v>
      </c>
      <c r="J1209" s="244">
        <v>6.17</v>
      </c>
    </row>
    <row r="1210" spans="1:10" ht="28.5" x14ac:dyDescent="0.25">
      <c r="A1210" s="191" t="s">
        <v>62</v>
      </c>
      <c r="B1210" s="191" t="s">
        <v>1599</v>
      </c>
      <c r="C1210" s="191" t="s">
        <v>785</v>
      </c>
      <c r="D1210" s="191" t="s">
        <v>1600</v>
      </c>
      <c r="E1210" s="191" t="s">
        <v>120</v>
      </c>
      <c r="F1210" s="191"/>
      <c r="G1210" s="191" t="s">
        <v>129</v>
      </c>
      <c r="H1210" s="192">
        <v>1</v>
      </c>
      <c r="I1210" s="244">
        <v>3.08</v>
      </c>
      <c r="J1210" s="244">
        <v>3.08</v>
      </c>
    </row>
    <row r="1211" spans="1:10" x14ac:dyDescent="0.25">
      <c r="A1211" s="187"/>
      <c r="B1211" s="187"/>
      <c r="C1211" s="187"/>
      <c r="D1211" s="187"/>
      <c r="E1211" s="187" t="s">
        <v>756</v>
      </c>
      <c r="F1211" s="188">
        <v>14.51</v>
      </c>
      <c r="G1211" s="187" t="s">
        <v>757</v>
      </c>
      <c r="H1211" s="188">
        <v>0</v>
      </c>
      <c r="I1211" s="242" t="s">
        <v>758</v>
      </c>
      <c r="J1211" s="242">
        <v>14.51</v>
      </c>
    </row>
    <row r="1212" spans="1:10" x14ac:dyDescent="0.25">
      <c r="A1212" s="187"/>
      <c r="B1212" s="187"/>
      <c r="C1212" s="187"/>
      <c r="D1212" s="187"/>
      <c r="E1212" s="187" t="s">
        <v>759</v>
      </c>
      <c r="F1212" s="188">
        <v>0</v>
      </c>
      <c r="G1212" s="187"/>
      <c r="H1212" s="187" t="s">
        <v>760</v>
      </c>
      <c r="I1212" s="242"/>
      <c r="J1212" s="242">
        <v>17.59</v>
      </c>
    </row>
    <row r="1213" spans="1:10" x14ac:dyDescent="0.25">
      <c r="A1213" s="182"/>
      <c r="B1213" s="182"/>
      <c r="C1213" s="182"/>
      <c r="D1213" s="182"/>
      <c r="E1213" s="182"/>
      <c r="F1213" s="182"/>
      <c r="G1213" s="182" t="s">
        <v>761</v>
      </c>
      <c r="H1213" s="189" t="s">
        <v>762</v>
      </c>
      <c r="I1213" s="239" t="s">
        <v>763</v>
      </c>
      <c r="J1213" s="239">
        <v>17.59</v>
      </c>
    </row>
    <row r="1214" spans="1:10" x14ac:dyDescent="0.25">
      <c r="A1214" s="183"/>
      <c r="B1214" s="183"/>
      <c r="C1214" s="183"/>
      <c r="D1214" s="183"/>
      <c r="E1214" s="183"/>
      <c r="F1214" s="183"/>
      <c r="G1214" s="183"/>
      <c r="H1214" s="183"/>
      <c r="I1214" s="240"/>
      <c r="J1214" s="240"/>
    </row>
    <row r="1215" spans="1:10" x14ac:dyDescent="0.25">
      <c r="A1215" s="182" t="s">
        <v>1601</v>
      </c>
      <c r="B1215" s="182" t="s">
        <v>66</v>
      </c>
      <c r="C1215" s="182" t="s">
        <v>64</v>
      </c>
      <c r="D1215" s="182" t="s">
        <v>67</v>
      </c>
      <c r="E1215" s="182" t="s">
        <v>65</v>
      </c>
      <c r="F1215" s="182"/>
      <c r="G1215" s="182" t="s">
        <v>744</v>
      </c>
      <c r="H1215" s="182" t="s">
        <v>69</v>
      </c>
      <c r="I1215" s="239" t="s">
        <v>745</v>
      </c>
      <c r="J1215" s="239" t="s">
        <v>0</v>
      </c>
    </row>
    <row r="1216" spans="1:10" ht="28.5" x14ac:dyDescent="0.25">
      <c r="A1216" s="183" t="s">
        <v>58</v>
      </c>
      <c r="B1216" s="183" t="s">
        <v>1602</v>
      </c>
      <c r="C1216" s="183" t="s">
        <v>785</v>
      </c>
      <c r="D1216" s="183" t="s">
        <v>1603</v>
      </c>
      <c r="E1216" s="183">
        <v>819</v>
      </c>
      <c r="F1216" s="183"/>
      <c r="G1216" s="183" t="s">
        <v>1498</v>
      </c>
      <c r="H1216" s="184">
        <v>1</v>
      </c>
      <c r="I1216" s="240">
        <v>17.239999999999998</v>
      </c>
      <c r="J1216" s="240">
        <v>17.239999999999998</v>
      </c>
    </row>
    <row r="1217" spans="1:10" ht="28.5" x14ac:dyDescent="0.25">
      <c r="A1217" s="191" t="s">
        <v>62</v>
      </c>
      <c r="B1217" s="191" t="s">
        <v>1515</v>
      </c>
      <c r="C1217" s="191" t="s">
        <v>785</v>
      </c>
      <c r="D1217" s="191" t="s">
        <v>181</v>
      </c>
      <c r="E1217" s="191" t="s">
        <v>124</v>
      </c>
      <c r="F1217" s="191"/>
      <c r="G1217" s="191" t="s">
        <v>60</v>
      </c>
      <c r="H1217" s="192">
        <v>0.28000000000000003</v>
      </c>
      <c r="I1217" s="244">
        <v>22.05</v>
      </c>
      <c r="J1217" s="244">
        <v>6.17</v>
      </c>
    </row>
    <row r="1218" spans="1:10" ht="28.5" x14ac:dyDescent="0.25">
      <c r="A1218" s="191" t="s">
        <v>62</v>
      </c>
      <c r="B1218" s="191" t="s">
        <v>1604</v>
      </c>
      <c r="C1218" s="191" t="s">
        <v>785</v>
      </c>
      <c r="D1218" s="191" t="s">
        <v>1605</v>
      </c>
      <c r="E1218" s="191" t="s">
        <v>120</v>
      </c>
      <c r="F1218" s="191"/>
      <c r="G1218" s="191" t="s">
        <v>129</v>
      </c>
      <c r="H1218" s="192">
        <v>1</v>
      </c>
      <c r="I1218" s="244">
        <v>2.73</v>
      </c>
      <c r="J1218" s="244">
        <v>2.73</v>
      </c>
    </row>
    <row r="1219" spans="1:10" ht="28.5" x14ac:dyDescent="0.25">
      <c r="A1219" s="191" t="s">
        <v>62</v>
      </c>
      <c r="B1219" s="191" t="s">
        <v>1569</v>
      </c>
      <c r="C1219" s="191" t="s">
        <v>785</v>
      </c>
      <c r="D1219" s="191" t="s">
        <v>1570</v>
      </c>
      <c r="E1219" s="191" t="s">
        <v>124</v>
      </c>
      <c r="F1219" s="191"/>
      <c r="G1219" s="191" t="s">
        <v>60</v>
      </c>
      <c r="H1219" s="192">
        <v>0.28000000000000003</v>
      </c>
      <c r="I1219" s="244">
        <v>29.79</v>
      </c>
      <c r="J1219" s="244">
        <v>8.34</v>
      </c>
    </row>
    <row r="1220" spans="1:10" x14ac:dyDescent="0.25">
      <c r="A1220" s="187"/>
      <c r="B1220" s="187"/>
      <c r="C1220" s="187"/>
      <c r="D1220" s="187"/>
      <c r="E1220" s="187" t="s">
        <v>756</v>
      </c>
      <c r="F1220" s="188">
        <v>14.51</v>
      </c>
      <c r="G1220" s="187" t="s">
        <v>757</v>
      </c>
      <c r="H1220" s="188">
        <v>0</v>
      </c>
      <c r="I1220" s="242" t="s">
        <v>758</v>
      </c>
      <c r="J1220" s="242">
        <v>14.51</v>
      </c>
    </row>
    <row r="1221" spans="1:10" x14ac:dyDescent="0.25">
      <c r="A1221" s="187"/>
      <c r="B1221" s="187"/>
      <c r="C1221" s="187"/>
      <c r="D1221" s="187"/>
      <c r="E1221" s="187" t="s">
        <v>759</v>
      </c>
      <c r="F1221" s="188">
        <v>0</v>
      </c>
      <c r="G1221" s="187"/>
      <c r="H1221" s="187" t="s">
        <v>760</v>
      </c>
      <c r="I1221" s="242"/>
      <c r="J1221" s="242">
        <v>17.239999999999998</v>
      </c>
    </row>
    <row r="1222" spans="1:10" x14ac:dyDescent="0.25">
      <c r="A1222" s="182"/>
      <c r="B1222" s="182"/>
      <c r="C1222" s="182"/>
      <c r="D1222" s="182"/>
      <c r="E1222" s="182"/>
      <c r="F1222" s="182"/>
      <c r="G1222" s="182" t="s">
        <v>761</v>
      </c>
      <c r="H1222" s="189" t="s">
        <v>1555</v>
      </c>
      <c r="I1222" s="239" t="s">
        <v>763</v>
      </c>
      <c r="J1222" s="239">
        <v>68.959999999999994</v>
      </c>
    </row>
    <row r="1223" spans="1:10" x14ac:dyDescent="0.25">
      <c r="A1223" s="183"/>
      <c r="B1223" s="183"/>
      <c r="C1223" s="183"/>
      <c r="D1223" s="183"/>
      <c r="E1223" s="183"/>
      <c r="F1223" s="183"/>
      <c r="G1223" s="183"/>
      <c r="H1223" s="183"/>
      <c r="I1223" s="240"/>
      <c r="J1223" s="240"/>
    </row>
    <row r="1224" spans="1:10" x14ac:dyDescent="0.25">
      <c r="A1224" s="182" t="s">
        <v>1606</v>
      </c>
      <c r="B1224" s="182" t="s">
        <v>66</v>
      </c>
      <c r="C1224" s="182" t="s">
        <v>64</v>
      </c>
      <c r="D1224" s="182" t="s">
        <v>67</v>
      </c>
      <c r="E1224" s="182" t="s">
        <v>65</v>
      </c>
      <c r="F1224" s="182"/>
      <c r="G1224" s="182" t="s">
        <v>744</v>
      </c>
      <c r="H1224" s="182" t="s">
        <v>69</v>
      </c>
      <c r="I1224" s="239" t="s">
        <v>745</v>
      </c>
      <c r="J1224" s="239" t="s">
        <v>0</v>
      </c>
    </row>
    <row r="1225" spans="1:10" ht="28.5" x14ac:dyDescent="0.25">
      <c r="A1225" s="183" t="s">
        <v>58</v>
      </c>
      <c r="B1225" s="183" t="s">
        <v>1607</v>
      </c>
      <c r="C1225" s="183" t="s">
        <v>785</v>
      </c>
      <c r="D1225" s="183" t="s">
        <v>1608</v>
      </c>
      <c r="E1225" s="183">
        <v>819</v>
      </c>
      <c r="F1225" s="183"/>
      <c r="G1225" s="183" t="s">
        <v>1498</v>
      </c>
      <c r="H1225" s="184">
        <v>1</v>
      </c>
      <c r="I1225" s="240">
        <v>30.91</v>
      </c>
      <c r="J1225" s="240">
        <v>30.91</v>
      </c>
    </row>
    <row r="1226" spans="1:10" ht="28.5" x14ac:dyDescent="0.25">
      <c r="A1226" s="191" t="s">
        <v>62</v>
      </c>
      <c r="B1226" s="191" t="s">
        <v>1569</v>
      </c>
      <c r="C1226" s="191" t="s">
        <v>785</v>
      </c>
      <c r="D1226" s="191" t="s">
        <v>1570</v>
      </c>
      <c r="E1226" s="191" t="s">
        <v>124</v>
      </c>
      <c r="F1226" s="191"/>
      <c r="G1226" s="191" t="s">
        <v>60</v>
      </c>
      <c r="H1226" s="192">
        <v>0.45</v>
      </c>
      <c r="I1226" s="244">
        <v>29.79</v>
      </c>
      <c r="J1226" s="244">
        <v>13.4</v>
      </c>
    </row>
    <row r="1227" spans="1:10" ht="28.5" x14ac:dyDescent="0.25">
      <c r="A1227" s="191" t="s">
        <v>62</v>
      </c>
      <c r="B1227" s="191" t="s">
        <v>1515</v>
      </c>
      <c r="C1227" s="191" t="s">
        <v>785</v>
      </c>
      <c r="D1227" s="191" t="s">
        <v>181</v>
      </c>
      <c r="E1227" s="191" t="s">
        <v>124</v>
      </c>
      <c r="F1227" s="191"/>
      <c r="G1227" s="191" t="s">
        <v>60</v>
      </c>
      <c r="H1227" s="192">
        <v>0.45</v>
      </c>
      <c r="I1227" s="244">
        <v>22.05</v>
      </c>
      <c r="J1227" s="244">
        <v>9.92</v>
      </c>
    </row>
    <row r="1228" spans="1:10" ht="28.5" x14ac:dyDescent="0.25">
      <c r="A1228" s="191" t="s">
        <v>62</v>
      </c>
      <c r="B1228" s="191" t="s">
        <v>1609</v>
      </c>
      <c r="C1228" s="191" t="s">
        <v>785</v>
      </c>
      <c r="D1228" s="191" t="s">
        <v>1610</v>
      </c>
      <c r="E1228" s="191" t="s">
        <v>120</v>
      </c>
      <c r="F1228" s="191"/>
      <c r="G1228" s="191" t="s">
        <v>129</v>
      </c>
      <c r="H1228" s="192">
        <v>1</v>
      </c>
      <c r="I1228" s="244">
        <v>7.59</v>
      </c>
      <c r="J1228" s="244">
        <v>7.59</v>
      </c>
    </row>
    <row r="1229" spans="1:10" x14ac:dyDescent="0.25">
      <c r="A1229" s="187"/>
      <c r="B1229" s="187"/>
      <c r="C1229" s="187"/>
      <c r="D1229" s="187"/>
      <c r="E1229" s="187" t="s">
        <v>756</v>
      </c>
      <c r="F1229" s="188">
        <v>23.32</v>
      </c>
      <c r="G1229" s="187" t="s">
        <v>757</v>
      </c>
      <c r="H1229" s="188">
        <v>0</v>
      </c>
      <c r="I1229" s="242" t="s">
        <v>758</v>
      </c>
      <c r="J1229" s="242">
        <v>23.32</v>
      </c>
    </row>
    <row r="1230" spans="1:10" x14ac:dyDescent="0.25">
      <c r="A1230" s="187"/>
      <c r="B1230" s="187"/>
      <c r="C1230" s="187"/>
      <c r="D1230" s="187"/>
      <c r="E1230" s="187" t="s">
        <v>759</v>
      </c>
      <c r="F1230" s="188">
        <v>0</v>
      </c>
      <c r="G1230" s="187"/>
      <c r="H1230" s="187" t="s">
        <v>760</v>
      </c>
      <c r="I1230" s="242"/>
      <c r="J1230" s="242">
        <v>30.91</v>
      </c>
    </row>
    <row r="1231" spans="1:10" x14ac:dyDescent="0.25">
      <c r="A1231" s="182"/>
      <c r="B1231" s="182"/>
      <c r="C1231" s="182"/>
      <c r="D1231" s="182"/>
      <c r="E1231" s="182"/>
      <c r="F1231" s="182"/>
      <c r="G1231" s="182" t="s">
        <v>761</v>
      </c>
      <c r="H1231" s="189" t="s">
        <v>1260</v>
      </c>
      <c r="I1231" s="239" t="s">
        <v>763</v>
      </c>
      <c r="J1231" s="239">
        <v>92.73</v>
      </c>
    </row>
    <row r="1232" spans="1:10" x14ac:dyDescent="0.25">
      <c r="A1232" s="183"/>
      <c r="B1232" s="183"/>
      <c r="C1232" s="183"/>
      <c r="D1232" s="183"/>
      <c r="E1232" s="183"/>
      <c r="F1232" s="183"/>
      <c r="G1232" s="183"/>
      <c r="H1232" s="183"/>
      <c r="I1232" s="240"/>
      <c r="J1232" s="240"/>
    </row>
    <row r="1233" spans="1:10" x14ac:dyDescent="0.25">
      <c r="A1233" s="182" t="s">
        <v>1611</v>
      </c>
      <c r="B1233" s="182" t="s">
        <v>66</v>
      </c>
      <c r="C1233" s="182" t="s">
        <v>64</v>
      </c>
      <c r="D1233" s="182" t="s">
        <v>67</v>
      </c>
      <c r="E1233" s="182" t="s">
        <v>65</v>
      </c>
      <c r="F1233" s="182"/>
      <c r="G1233" s="182" t="s">
        <v>744</v>
      </c>
      <c r="H1233" s="182" t="s">
        <v>69</v>
      </c>
      <c r="I1233" s="239" t="s">
        <v>745</v>
      </c>
      <c r="J1233" s="239" t="s">
        <v>0</v>
      </c>
    </row>
    <row r="1234" spans="1:10" ht="28.5" x14ac:dyDescent="0.25">
      <c r="A1234" s="183" t="s">
        <v>58</v>
      </c>
      <c r="B1234" s="183" t="s">
        <v>1612</v>
      </c>
      <c r="C1234" s="183" t="s">
        <v>785</v>
      </c>
      <c r="D1234" s="183" t="s">
        <v>1613</v>
      </c>
      <c r="E1234" s="183">
        <v>819</v>
      </c>
      <c r="F1234" s="183"/>
      <c r="G1234" s="183" t="s">
        <v>1498</v>
      </c>
      <c r="H1234" s="184">
        <v>1</v>
      </c>
      <c r="I1234" s="240">
        <v>16.64</v>
      </c>
      <c r="J1234" s="240">
        <v>16.64</v>
      </c>
    </row>
    <row r="1235" spans="1:10" ht="28.5" x14ac:dyDescent="0.25">
      <c r="A1235" s="191" t="s">
        <v>62</v>
      </c>
      <c r="B1235" s="191" t="s">
        <v>1614</v>
      </c>
      <c r="C1235" s="191" t="s">
        <v>785</v>
      </c>
      <c r="D1235" s="191" t="s">
        <v>1615</v>
      </c>
      <c r="E1235" s="191" t="s">
        <v>120</v>
      </c>
      <c r="F1235" s="191"/>
      <c r="G1235" s="191" t="s">
        <v>129</v>
      </c>
      <c r="H1235" s="192">
        <v>1</v>
      </c>
      <c r="I1235" s="244">
        <v>2.13</v>
      </c>
      <c r="J1235" s="244">
        <v>2.13</v>
      </c>
    </row>
    <row r="1236" spans="1:10" ht="28.5" x14ac:dyDescent="0.25">
      <c r="A1236" s="191" t="s">
        <v>62</v>
      </c>
      <c r="B1236" s="191" t="s">
        <v>1569</v>
      </c>
      <c r="C1236" s="191" t="s">
        <v>785</v>
      </c>
      <c r="D1236" s="191" t="s">
        <v>1570</v>
      </c>
      <c r="E1236" s="191" t="s">
        <v>124</v>
      </c>
      <c r="F1236" s="191"/>
      <c r="G1236" s="191" t="s">
        <v>60</v>
      </c>
      <c r="H1236" s="192">
        <v>0.28000000000000003</v>
      </c>
      <c r="I1236" s="244">
        <v>29.79</v>
      </c>
      <c r="J1236" s="244">
        <v>8.34</v>
      </c>
    </row>
    <row r="1237" spans="1:10" ht="28.5" x14ac:dyDescent="0.25">
      <c r="A1237" s="191" t="s">
        <v>62</v>
      </c>
      <c r="B1237" s="191" t="s">
        <v>1515</v>
      </c>
      <c r="C1237" s="191" t="s">
        <v>785</v>
      </c>
      <c r="D1237" s="191" t="s">
        <v>181</v>
      </c>
      <c r="E1237" s="191" t="s">
        <v>124</v>
      </c>
      <c r="F1237" s="191"/>
      <c r="G1237" s="191" t="s">
        <v>60</v>
      </c>
      <c r="H1237" s="192">
        <v>0.28000000000000003</v>
      </c>
      <c r="I1237" s="244">
        <v>22.05</v>
      </c>
      <c r="J1237" s="244">
        <v>6.17</v>
      </c>
    </row>
    <row r="1238" spans="1:10" x14ac:dyDescent="0.25">
      <c r="A1238" s="187"/>
      <c r="B1238" s="187"/>
      <c r="C1238" s="187"/>
      <c r="D1238" s="187"/>
      <c r="E1238" s="187" t="s">
        <v>756</v>
      </c>
      <c r="F1238" s="188">
        <v>14.51</v>
      </c>
      <c r="G1238" s="187" t="s">
        <v>757</v>
      </c>
      <c r="H1238" s="188">
        <v>0</v>
      </c>
      <c r="I1238" s="242" t="s">
        <v>758</v>
      </c>
      <c r="J1238" s="242">
        <v>14.51</v>
      </c>
    </row>
    <row r="1239" spans="1:10" x14ac:dyDescent="0.25">
      <c r="A1239" s="187"/>
      <c r="B1239" s="187"/>
      <c r="C1239" s="187"/>
      <c r="D1239" s="187"/>
      <c r="E1239" s="187" t="s">
        <v>759</v>
      </c>
      <c r="F1239" s="188">
        <v>0</v>
      </c>
      <c r="G1239" s="187"/>
      <c r="H1239" s="187" t="s">
        <v>760</v>
      </c>
      <c r="I1239" s="242"/>
      <c r="J1239" s="242">
        <v>16.64</v>
      </c>
    </row>
    <row r="1240" spans="1:10" x14ac:dyDescent="0.25">
      <c r="A1240" s="182"/>
      <c r="B1240" s="182"/>
      <c r="C1240" s="182"/>
      <c r="D1240" s="182"/>
      <c r="E1240" s="182"/>
      <c r="F1240" s="182"/>
      <c r="G1240" s="182" t="s">
        <v>761</v>
      </c>
      <c r="H1240" s="189" t="s">
        <v>1555</v>
      </c>
      <c r="I1240" s="239" t="s">
        <v>763</v>
      </c>
      <c r="J1240" s="239">
        <v>66.56</v>
      </c>
    </row>
    <row r="1241" spans="1:10" x14ac:dyDescent="0.25">
      <c r="A1241" s="183"/>
      <c r="B1241" s="183"/>
      <c r="C1241" s="183"/>
      <c r="D1241" s="183"/>
      <c r="E1241" s="183"/>
      <c r="F1241" s="183"/>
      <c r="G1241" s="183"/>
      <c r="H1241" s="183"/>
      <c r="I1241" s="240"/>
      <c r="J1241" s="240"/>
    </row>
    <row r="1242" spans="1:10" x14ac:dyDescent="0.25">
      <c r="A1242" s="182" t="s">
        <v>1616</v>
      </c>
      <c r="B1242" s="182" t="s">
        <v>66</v>
      </c>
      <c r="C1242" s="182" t="s">
        <v>64</v>
      </c>
      <c r="D1242" s="182" t="s">
        <v>67</v>
      </c>
      <c r="E1242" s="182" t="s">
        <v>65</v>
      </c>
      <c r="F1242" s="182"/>
      <c r="G1242" s="182" t="s">
        <v>744</v>
      </c>
      <c r="H1242" s="182" t="s">
        <v>69</v>
      </c>
      <c r="I1242" s="239" t="s">
        <v>745</v>
      </c>
      <c r="J1242" s="239" t="s">
        <v>0</v>
      </c>
    </row>
    <row r="1243" spans="1:10" ht="28.5" x14ac:dyDescent="0.25">
      <c r="A1243" s="183" t="s">
        <v>58</v>
      </c>
      <c r="B1243" s="183" t="s">
        <v>1617</v>
      </c>
      <c r="C1243" s="183" t="s">
        <v>785</v>
      </c>
      <c r="D1243" s="183" t="s">
        <v>1618</v>
      </c>
      <c r="E1243" s="183">
        <v>819</v>
      </c>
      <c r="F1243" s="183"/>
      <c r="G1243" s="183" t="s">
        <v>1498</v>
      </c>
      <c r="H1243" s="184">
        <v>1</v>
      </c>
      <c r="I1243" s="240">
        <v>38.39</v>
      </c>
      <c r="J1243" s="240">
        <v>38.39</v>
      </c>
    </row>
    <row r="1244" spans="1:10" ht="28.5" x14ac:dyDescent="0.25">
      <c r="A1244" s="191" t="s">
        <v>62</v>
      </c>
      <c r="B1244" s="191" t="s">
        <v>1619</v>
      </c>
      <c r="C1244" s="191" t="s">
        <v>785</v>
      </c>
      <c r="D1244" s="191" t="s">
        <v>1620</v>
      </c>
      <c r="E1244" s="191" t="s">
        <v>120</v>
      </c>
      <c r="F1244" s="191"/>
      <c r="G1244" s="191" t="s">
        <v>129</v>
      </c>
      <c r="H1244" s="192">
        <v>1</v>
      </c>
      <c r="I1244" s="244">
        <v>14.55</v>
      </c>
      <c r="J1244" s="244">
        <v>14.55</v>
      </c>
    </row>
    <row r="1245" spans="1:10" ht="28.5" x14ac:dyDescent="0.25">
      <c r="A1245" s="191" t="s">
        <v>62</v>
      </c>
      <c r="B1245" s="191" t="s">
        <v>1569</v>
      </c>
      <c r="C1245" s="191" t="s">
        <v>785</v>
      </c>
      <c r="D1245" s="191" t="s">
        <v>1570</v>
      </c>
      <c r="E1245" s="191" t="s">
        <v>124</v>
      </c>
      <c r="F1245" s="191"/>
      <c r="G1245" s="191" t="s">
        <v>60</v>
      </c>
      <c r="H1245" s="192">
        <v>0.46</v>
      </c>
      <c r="I1245" s="244">
        <v>29.79</v>
      </c>
      <c r="J1245" s="244">
        <v>13.7</v>
      </c>
    </row>
    <row r="1246" spans="1:10" ht="28.5" x14ac:dyDescent="0.25">
      <c r="A1246" s="191" t="s">
        <v>62</v>
      </c>
      <c r="B1246" s="191" t="s">
        <v>1515</v>
      </c>
      <c r="C1246" s="191" t="s">
        <v>785</v>
      </c>
      <c r="D1246" s="191" t="s">
        <v>181</v>
      </c>
      <c r="E1246" s="191" t="s">
        <v>124</v>
      </c>
      <c r="F1246" s="191"/>
      <c r="G1246" s="191" t="s">
        <v>60</v>
      </c>
      <c r="H1246" s="192">
        <v>0.46</v>
      </c>
      <c r="I1246" s="244">
        <v>22.05</v>
      </c>
      <c r="J1246" s="244">
        <v>10.14</v>
      </c>
    </row>
    <row r="1247" spans="1:10" x14ac:dyDescent="0.25">
      <c r="A1247" s="187"/>
      <c r="B1247" s="187"/>
      <c r="C1247" s="187"/>
      <c r="D1247" s="187"/>
      <c r="E1247" s="187" t="s">
        <v>756</v>
      </c>
      <c r="F1247" s="188">
        <v>23.84</v>
      </c>
      <c r="G1247" s="187" t="s">
        <v>757</v>
      </c>
      <c r="H1247" s="188">
        <v>0</v>
      </c>
      <c r="I1247" s="242" t="s">
        <v>758</v>
      </c>
      <c r="J1247" s="242">
        <v>23.84</v>
      </c>
    </row>
    <row r="1248" spans="1:10" x14ac:dyDescent="0.25">
      <c r="A1248" s="187"/>
      <c r="B1248" s="187"/>
      <c r="C1248" s="187"/>
      <c r="D1248" s="187"/>
      <c r="E1248" s="187" t="s">
        <v>759</v>
      </c>
      <c r="F1248" s="188">
        <v>0</v>
      </c>
      <c r="G1248" s="187"/>
      <c r="H1248" s="187" t="s">
        <v>760</v>
      </c>
      <c r="I1248" s="242"/>
      <c r="J1248" s="242">
        <v>38.39</v>
      </c>
    </row>
    <row r="1249" spans="1:10" x14ac:dyDescent="0.25">
      <c r="A1249" s="182"/>
      <c r="B1249" s="182"/>
      <c r="C1249" s="182"/>
      <c r="D1249" s="182"/>
      <c r="E1249" s="182"/>
      <c r="F1249" s="182"/>
      <c r="G1249" s="182" t="s">
        <v>761</v>
      </c>
      <c r="H1249" s="189" t="s">
        <v>762</v>
      </c>
      <c r="I1249" s="239" t="s">
        <v>763</v>
      </c>
      <c r="J1249" s="239">
        <v>38.39</v>
      </c>
    </row>
    <row r="1250" spans="1:10" x14ac:dyDescent="0.25">
      <c r="A1250" s="183"/>
      <c r="B1250" s="183"/>
      <c r="C1250" s="183"/>
      <c r="D1250" s="183"/>
      <c r="E1250" s="183"/>
      <c r="F1250" s="183"/>
      <c r="G1250" s="183"/>
      <c r="H1250" s="183"/>
      <c r="I1250" s="240"/>
      <c r="J1250" s="240"/>
    </row>
    <row r="1251" spans="1:10" x14ac:dyDescent="0.25">
      <c r="A1251" s="182" t="s">
        <v>1621</v>
      </c>
      <c r="B1251" s="182" t="s">
        <v>66</v>
      </c>
      <c r="C1251" s="182" t="s">
        <v>64</v>
      </c>
      <c r="D1251" s="182" t="s">
        <v>67</v>
      </c>
      <c r="E1251" s="182" t="s">
        <v>65</v>
      </c>
      <c r="F1251" s="182"/>
      <c r="G1251" s="182" t="s">
        <v>744</v>
      </c>
      <c r="H1251" s="182" t="s">
        <v>69</v>
      </c>
      <c r="I1251" s="239" t="s">
        <v>745</v>
      </c>
      <c r="J1251" s="239" t="s">
        <v>0</v>
      </c>
    </row>
    <row r="1252" spans="1:10" ht="28.5" x14ac:dyDescent="0.25">
      <c r="A1252" s="183" t="s">
        <v>58</v>
      </c>
      <c r="B1252" s="183" t="s">
        <v>1622</v>
      </c>
      <c r="C1252" s="183" t="s">
        <v>785</v>
      </c>
      <c r="D1252" s="183" t="s">
        <v>1623</v>
      </c>
      <c r="E1252" s="183">
        <v>820</v>
      </c>
      <c r="F1252" s="183"/>
      <c r="G1252" s="183" t="s">
        <v>1498</v>
      </c>
      <c r="H1252" s="184">
        <v>1</v>
      </c>
      <c r="I1252" s="240">
        <v>8.84</v>
      </c>
      <c r="J1252" s="240">
        <v>8.84</v>
      </c>
    </row>
    <row r="1253" spans="1:10" ht="28.5" x14ac:dyDescent="0.25">
      <c r="A1253" s="191" t="s">
        <v>62</v>
      </c>
      <c r="B1253" s="191" t="s">
        <v>1515</v>
      </c>
      <c r="C1253" s="191" t="s">
        <v>785</v>
      </c>
      <c r="D1253" s="191" t="s">
        <v>181</v>
      </c>
      <c r="E1253" s="191" t="s">
        <v>124</v>
      </c>
      <c r="F1253" s="191"/>
      <c r="G1253" s="191" t="s">
        <v>60</v>
      </c>
      <c r="H1253" s="192">
        <v>0.14000000000000001</v>
      </c>
      <c r="I1253" s="244">
        <v>22.05</v>
      </c>
      <c r="J1253" s="244">
        <v>3.08</v>
      </c>
    </row>
    <row r="1254" spans="1:10" ht="28.5" x14ac:dyDescent="0.25">
      <c r="A1254" s="191" t="s">
        <v>62</v>
      </c>
      <c r="B1254" s="191" t="s">
        <v>1569</v>
      </c>
      <c r="C1254" s="191" t="s">
        <v>785</v>
      </c>
      <c r="D1254" s="191" t="s">
        <v>1570</v>
      </c>
      <c r="E1254" s="191" t="s">
        <v>124</v>
      </c>
      <c r="F1254" s="191"/>
      <c r="G1254" s="191" t="s">
        <v>60</v>
      </c>
      <c r="H1254" s="192">
        <v>0.14000000000000001</v>
      </c>
      <c r="I1254" s="244">
        <v>29.79</v>
      </c>
      <c r="J1254" s="244">
        <v>4.17</v>
      </c>
    </row>
    <row r="1255" spans="1:10" ht="28.5" x14ac:dyDescent="0.25">
      <c r="A1255" s="191" t="s">
        <v>62</v>
      </c>
      <c r="B1255" s="191" t="s">
        <v>1624</v>
      </c>
      <c r="C1255" s="191" t="s">
        <v>785</v>
      </c>
      <c r="D1255" s="191" t="s">
        <v>1625</v>
      </c>
      <c r="E1255" s="191" t="s">
        <v>120</v>
      </c>
      <c r="F1255" s="191"/>
      <c r="G1255" s="191" t="s">
        <v>129</v>
      </c>
      <c r="H1255" s="192">
        <v>1</v>
      </c>
      <c r="I1255" s="244">
        <v>1.59</v>
      </c>
      <c r="J1255" s="244">
        <v>1.59</v>
      </c>
    </row>
    <row r="1256" spans="1:10" x14ac:dyDescent="0.25">
      <c r="A1256" s="187"/>
      <c r="B1256" s="187"/>
      <c r="C1256" s="187"/>
      <c r="D1256" s="187"/>
      <c r="E1256" s="187" t="s">
        <v>756</v>
      </c>
      <c r="F1256" s="188">
        <v>7.25</v>
      </c>
      <c r="G1256" s="187" t="s">
        <v>757</v>
      </c>
      <c r="H1256" s="188">
        <v>0</v>
      </c>
      <c r="I1256" s="242" t="s">
        <v>758</v>
      </c>
      <c r="J1256" s="242">
        <v>7.25</v>
      </c>
    </row>
    <row r="1257" spans="1:10" x14ac:dyDescent="0.25">
      <c r="A1257" s="187"/>
      <c r="B1257" s="187"/>
      <c r="C1257" s="187"/>
      <c r="D1257" s="187"/>
      <c r="E1257" s="187" t="s">
        <v>759</v>
      </c>
      <c r="F1257" s="188">
        <v>0</v>
      </c>
      <c r="G1257" s="187"/>
      <c r="H1257" s="187" t="s">
        <v>760</v>
      </c>
      <c r="I1257" s="242"/>
      <c r="J1257" s="242">
        <v>8.84</v>
      </c>
    </row>
    <row r="1258" spans="1:10" x14ac:dyDescent="0.25">
      <c r="A1258" s="182"/>
      <c r="B1258" s="182"/>
      <c r="C1258" s="182"/>
      <c r="D1258" s="182"/>
      <c r="E1258" s="182"/>
      <c r="F1258" s="182"/>
      <c r="G1258" s="182" t="s">
        <v>761</v>
      </c>
      <c r="H1258" s="189" t="s">
        <v>1555</v>
      </c>
      <c r="I1258" s="239" t="s">
        <v>763</v>
      </c>
      <c r="J1258" s="239">
        <v>35.36</v>
      </c>
    </row>
    <row r="1259" spans="1:10" x14ac:dyDescent="0.25">
      <c r="A1259" s="183"/>
      <c r="B1259" s="183"/>
      <c r="C1259" s="183"/>
      <c r="D1259" s="183"/>
      <c r="E1259" s="183"/>
      <c r="F1259" s="183"/>
      <c r="G1259" s="183"/>
      <c r="H1259" s="183"/>
      <c r="I1259" s="240"/>
      <c r="J1259" s="240"/>
    </row>
    <row r="1260" spans="1:10" x14ac:dyDescent="0.25">
      <c r="A1260" s="182" t="s">
        <v>1626</v>
      </c>
      <c r="B1260" s="182" t="s">
        <v>66</v>
      </c>
      <c r="C1260" s="182" t="s">
        <v>64</v>
      </c>
      <c r="D1260" s="182" t="s">
        <v>67</v>
      </c>
      <c r="E1260" s="182" t="s">
        <v>65</v>
      </c>
      <c r="F1260" s="182"/>
      <c r="G1260" s="182" t="s">
        <v>744</v>
      </c>
      <c r="H1260" s="182" t="s">
        <v>69</v>
      </c>
      <c r="I1260" s="239" t="s">
        <v>745</v>
      </c>
      <c r="J1260" s="239" t="s">
        <v>0</v>
      </c>
    </row>
    <row r="1261" spans="1:10" ht="28.5" x14ac:dyDescent="0.25">
      <c r="A1261" s="183" t="s">
        <v>58</v>
      </c>
      <c r="B1261" s="183" t="s">
        <v>1627</v>
      </c>
      <c r="C1261" s="183" t="s">
        <v>785</v>
      </c>
      <c r="D1261" s="183" t="s">
        <v>1628</v>
      </c>
      <c r="E1261" s="183">
        <v>820</v>
      </c>
      <c r="F1261" s="183"/>
      <c r="G1261" s="183" t="s">
        <v>1498</v>
      </c>
      <c r="H1261" s="184">
        <v>1</v>
      </c>
      <c r="I1261" s="240">
        <v>16.43</v>
      </c>
      <c r="J1261" s="240">
        <v>16.43</v>
      </c>
    </row>
    <row r="1262" spans="1:10" ht="28.5" x14ac:dyDescent="0.25">
      <c r="A1262" s="191" t="s">
        <v>62</v>
      </c>
      <c r="B1262" s="191" t="s">
        <v>1569</v>
      </c>
      <c r="C1262" s="191" t="s">
        <v>785</v>
      </c>
      <c r="D1262" s="191" t="s">
        <v>1570</v>
      </c>
      <c r="E1262" s="191" t="s">
        <v>124</v>
      </c>
      <c r="F1262" s="191"/>
      <c r="G1262" s="191" t="s">
        <v>60</v>
      </c>
      <c r="H1262" s="192">
        <v>0.23</v>
      </c>
      <c r="I1262" s="244">
        <v>29.79</v>
      </c>
      <c r="J1262" s="244">
        <v>6.85</v>
      </c>
    </row>
    <row r="1263" spans="1:10" ht="28.5" x14ac:dyDescent="0.25">
      <c r="A1263" s="191" t="s">
        <v>62</v>
      </c>
      <c r="B1263" s="191" t="s">
        <v>1515</v>
      </c>
      <c r="C1263" s="191" t="s">
        <v>785</v>
      </c>
      <c r="D1263" s="191" t="s">
        <v>181</v>
      </c>
      <c r="E1263" s="191" t="s">
        <v>124</v>
      </c>
      <c r="F1263" s="191"/>
      <c r="G1263" s="191" t="s">
        <v>60</v>
      </c>
      <c r="H1263" s="192">
        <v>0.23</v>
      </c>
      <c r="I1263" s="244">
        <v>22.05</v>
      </c>
      <c r="J1263" s="244">
        <v>5.07</v>
      </c>
    </row>
    <row r="1264" spans="1:10" ht="28.5" x14ac:dyDescent="0.25">
      <c r="A1264" s="191" t="s">
        <v>62</v>
      </c>
      <c r="B1264" s="191" t="s">
        <v>1629</v>
      </c>
      <c r="C1264" s="191" t="s">
        <v>785</v>
      </c>
      <c r="D1264" s="191" t="s">
        <v>1628</v>
      </c>
      <c r="E1264" s="191" t="s">
        <v>120</v>
      </c>
      <c r="F1264" s="191"/>
      <c r="G1264" s="191" t="s">
        <v>129</v>
      </c>
      <c r="H1264" s="192">
        <v>1</v>
      </c>
      <c r="I1264" s="244">
        <v>4.51</v>
      </c>
      <c r="J1264" s="244">
        <v>4.51</v>
      </c>
    </row>
    <row r="1265" spans="1:10" x14ac:dyDescent="0.25">
      <c r="A1265" s="187"/>
      <c r="B1265" s="187"/>
      <c r="C1265" s="187"/>
      <c r="D1265" s="187"/>
      <c r="E1265" s="187" t="s">
        <v>756</v>
      </c>
      <c r="F1265" s="188">
        <v>11.92</v>
      </c>
      <c r="G1265" s="187" t="s">
        <v>757</v>
      </c>
      <c r="H1265" s="188">
        <v>0</v>
      </c>
      <c r="I1265" s="242" t="s">
        <v>758</v>
      </c>
      <c r="J1265" s="242">
        <v>11.92</v>
      </c>
    </row>
    <row r="1266" spans="1:10" x14ac:dyDescent="0.25">
      <c r="A1266" s="187"/>
      <c r="B1266" s="187"/>
      <c r="C1266" s="187"/>
      <c r="D1266" s="187"/>
      <c r="E1266" s="187" t="s">
        <v>759</v>
      </c>
      <c r="F1266" s="188">
        <v>0</v>
      </c>
      <c r="G1266" s="187"/>
      <c r="H1266" s="187" t="s">
        <v>760</v>
      </c>
      <c r="I1266" s="242"/>
      <c r="J1266" s="242">
        <v>16.43</v>
      </c>
    </row>
    <row r="1267" spans="1:10" x14ac:dyDescent="0.25">
      <c r="A1267" s="182"/>
      <c r="B1267" s="182"/>
      <c r="C1267" s="182"/>
      <c r="D1267" s="182"/>
      <c r="E1267" s="182"/>
      <c r="F1267" s="182"/>
      <c r="G1267" s="182" t="s">
        <v>761</v>
      </c>
      <c r="H1267" s="189" t="s">
        <v>788</v>
      </c>
      <c r="I1267" s="239" t="s">
        <v>763</v>
      </c>
      <c r="J1267" s="239">
        <v>82.15</v>
      </c>
    </row>
    <row r="1268" spans="1:10" x14ac:dyDescent="0.25">
      <c r="A1268" s="183"/>
      <c r="B1268" s="183"/>
      <c r="C1268" s="183"/>
      <c r="D1268" s="183"/>
      <c r="E1268" s="183"/>
      <c r="F1268" s="183"/>
      <c r="G1268" s="183"/>
      <c r="H1268" s="183"/>
      <c r="I1268" s="240"/>
      <c r="J1268" s="240"/>
    </row>
    <row r="1269" spans="1:10" x14ac:dyDescent="0.25">
      <c r="A1269" s="182" t="s">
        <v>1630</v>
      </c>
      <c r="B1269" s="182" t="s">
        <v>66</v>
      </c>
      <c r="C1269" s="182" t="s">
        <v>64</v>
      </c>
      <c r="D1269" s="182" t="s">
        <v>67</v>
      </c>
      <c r="E1269" s="182" t="s">
        <v>65</v>
      </c>
      <c r="F1269" s="182"/>
      <c r="G1269" s="182" t="s">
        <v>744</v>
      </c>
      <c r="H1269" s="182" t="s">
        <v>69</v>
      </c>
      <c r="I1269" s="239" t="s">
        <v>745</v>
      </c>
      <c r="J1269" s="239" t="s">
        <v>0</v>
      </c>
    </row>
    <row r="1270" spans="1:10" ht="28.5" x14ac:dyDescent="0.25">
      <c r="A1270" s="183" t="s">
        <v>58</v>
      </c>
      <c r="B1270" s="183" t="s">
        <v>1631</v>
      </c>
      <c r="C1270" s="183" t="s">
        <v>785</v>
      </c>
      <c r="D1270" s="183" t="s">
        <v>1632</v>
      </c>
      <c r="E1270" s="183">
        <v>820</v>
      </c>
      <c r="F1270" s="183"/>
      <c r="G1270" s="183" t="s">
        <v>1498</v>
      </c>
      <c r="H1270" s="184">
        <v>1</v>
      </c>
      <c r="I1270" s="240">
        <v>9.52</v>
      </c>
      <c r="J1270" s="240">
        <v>9.52</v>
      </c>
    </row>
    <row r="1271" spans="1:10" ht="28.5" x14ac:dyDescent="0.25">
      <c r="A1271" s="191" t="s">
        <v>62</v>
      </c>
      <c r="B1271" s="191" t="s">
        <v>1515</v>
      </c>
      <c r="C1271" s="191" t="s">
        <v>785</v>
      </c>
      <c r="D1271" s="191" t="s">
        <v>181</v>
      </c>
      <c r="E1271" s="191" t="s">
        <v>124</v>
      </c>
      <c r="F1271" s="191"/>
      <c r="G1271" s="191" t="s">
        <v>60</v>
      </c>
      <c r="H1271" s="192">
        <v>0.14000000000000001</v>
      </c>
      <c r="I1271" s="244">
        <v>22.05</v>
      </c>
      <c r="J1271" s="244">
        <v>3.08</v>
      </c>
    </row>
    <row r="1272" spans="1:10" ht="28.5" x14ac:dyDescent="0.25">
      <c r="A1272" s="191" t="s">
        <v>62</v>
      </c>
      <c r="B1272" s="191" t="s">
        <v>1569</v>
      </c>
      <c r="C1272" s="191" t="s">
        <v>785</v>
      </c>
      <c r="D1272" s="191" t="s">
        <v>1570</v>
      </c>
      <c r="E1272" s="191" t="s">
        <v>124</v>
      </c>
      <c r="F1272" s="191"/>
      <c r="G1272" s="191" t="s">
        <v>60</v>
      </c>
      <c r="H1272" s="192">
        <v>0.14000000000000001</v>
      </c>
      <c r="I1272" s="244">
        <v>29.79</v>
      </c>
      <c r="J1272" s="244">
        <v>4.17</v>
      </c>
    </row>
    <row r="1273" spans="1:10" ht="28.5" x14ac:dyDescent="0.25">
      <c r="A1273" s="191" t="s">
        <v>62</v>
      </c>
      <c r="B1273" s="191" t="s">
        <v>1633</v>
      </c>
      <c r="C1273" s="191" t="s">
        <v>785</v>
      </c>
      <c r="D1273" s="191" t="s">
        <v>1634</v>
      </c>
      <c r="E1273" s="191" t="s">
        <v>120</v>
      </c>
      <c r="F1273" s="191"/>
      <c r="G1273" s="191" t="s">
        <v>129</v>
      </c>
      <c r="H1273" s="192">
        <v>1</v>
      </c>
      <c r="I1273" s="244">
        <v>2.27</v>
      </c>
      <c r="J1273" s="244">
        <v>2.27</v>
      </c>
    </row>
    <row r="1274" spans="1:10" x14ac:dyDescent="0.25">
      <c r="A1274" s="187"/>
      <c r="B1274" s="187"/>
      <c r="C1274" s="187"/>
      <c r="D1274" s="187"/>
      <c r="E1274" s="187" t="s">
        <v>756</v>
      </c>
      <c r="F1274" s="188">
        <v>7.25</v>
      </c>
      <c r="G1274" s="187" t="s">
        <v>757</v>
      </c>
      <c r="H1274" s="188">
        <v>0</v>
      </c>
      <c r="I1274" s="242" t="s">
        <v>758</v>
      </c>
      <c r="J1274" s="242">
        <v>7.25</v>
      </c>
    </row>
    <row r="1275" spans="1:10" x14ac:dyDescent="0.25">
      <c r="A1275" s="187"/>
      <c r="B1275" s="187"/>
      <c r="C1275" s="187"/>
      <c r="D1275" s="187"/>
      <c r="E1275" s="187" t="s">
        <v>759</v>
      </c>
      <c r="F1275" s="188">
        <v>0</v>
      </c>
      <c r="G1275" s="187"/>
      <c r="H1275" s="187" t="s">
        <v>760</v>
      </c>
      <c r="I1275" s="242"/>
      <c r="J1275" s="242">
        <v>9.52</v>
      </c>
    </row>
    <row r="1276" spans="1:10" x14ac:dyDescent="0.25">
      <c r="A1276" s="182"/>
      <c r="B1276" s="182"/>
      <c r="C1276" s="182"/>
      <c r="D1276" s="182"/>
      <c r="E1276" s="182"/>
      <c r="F1276" s="182"/>
      <c r="G1276" s="182" t="s">
        <v>761</v>
      </c>
      <c r="H1276" s="189" t="s">
        <v>1543</v>
      </c>
      <c r="I1276" s="239" t="s">
        <v>763</v>
      </c>
      <c r="J1276" s="239">
        <v>95.2</v>
      </c>
    </row>
    <row r="1277" spans="1:10" x14ac:dyDescent="0.25">
      <c r="A1277" s="183"/>
      <c r="B1277" s="183"/>
      <c r="C1277" s="183"/>
      <c r="D1277" s="183"/>
      <c r="E1277" s="183"/>
      <c r="F1277" s="183"/>
      <c r="G1277" s="183"/>
      <c r="H1277" s="183"/>
      <c r="I1277" s="240"/>
      <c r="J1277" s="240"/>
    </row>
    <row r="1278" spans="1:10" x14ac:dyDescent="0.25">
      <c r="A1278" s="182" t="s">
        <v>1635</v>
      </c>
      <c r="B1278" s="182" t="s">
        <v>66</v>
      </c>
      <c r="C1278" s="182" t="s">
        <v>64</v>
      </c>
      <c r="D1278" s="182" t="s">
        <v>67</v>
      </c>
      <c r="E1278" s="182" t="s">
        <v>65</v>
      </c>
      <c r="F1278" s="182"/>
      <c r="G1278" s="182" t="s">
        <v>744</v>
      </c>
      <c r="H1278" s="182" t="s">
        <v>69</v>
      </c>
      <c r="I1278" s="239" t="s">
        <v>745</v>
      </c>
      <c r="J1278" s="239" t="s">
        <v>0</v>
      </c>
    </row>
    <row r="1279" spans="1:10" ht="28.5" x14ac:dyDescent="0.25">
      <c r="A1279" s="183" t="s">
        <v>58</v>
      </c>
      <c r="B1279" s="183" t="s">
        <v>1636</v>
      </c>
      <c r="C1279" s="183" t="s">
        <v>785</v>
      </c>
      <c r="D1279" s="183" t="s">
        <v>1637</v>
      </c>
      <c r="E1279" s="183">
        <v>823</v>
      </c>
      <c r="F1279" s="183"/>
      <c r="G1279" s="183" t="s">
        <v>113</v>
      </c>
      <c r="H1279" s="184">
        <v>1</v>
      </c>
      <c r="I1279" s="240">
        <v>42.21</v>
      </c>
      <c r="J1279" s="240">
        <v>42.21</v>
      </c>
    </row>
    <row r="1280" spans="1:10" ht="28.5" x14ac:dyDescent="0.25">
      <c r="A1280" s="191" t="s">
        <v>62</v>
      </c>
      <c r="B1280" s="191" t="s">
        <v>1569</v>
      </c>
      <c r="C1280" s="191" t="s">
        <v>785</v>
      </c>
      <c r="D1280" s="191" t="s">
        <v>1570</v>
      </c>
      <c r="E1280" s="191" t="s">
        <v>124</v>
      </c>
      <c r="F1280" s="191"/>
      <c r="G1280" s="191" t="s">
        <v>60</v>
      </c>
      <c r="H1280" s="192">
        <v>0.52</v>
      </c>
      <c r="I1280" s="244">
        <v>29.79</v>
      </c>
      <c r="J1280" s="244">
        <v>15.49</v>
      </c>
    </row>
    <row r="1281" spans="1:10" ht="28.5" x14ac:dyDescent="0.25">
      <c r="A1281" s="191" t="s">
        <v>62</v>
      </c>
      <c r="B1281" s="191" t="s">
        <v>1638</v>
      </c>
      <c r="C1281" s="191" t="s">
        <v>785</v>
      </c>
      <c r="D1281" s="191" t="s">
        <v>1637</v>
      </c>
      <c r="E1281" s="191" t="s">
        <v>120</v>
      </c>
      <c r="F1281" s="191"/>
      <c r="G1281" s="191" t="s">
        <v>113</v>
      </c>
      <c r="H1281" s="192">
        <v>1.01</v>
      </c>
      <c r="I1281" s="244">
        <v>15.11</v>
      </c>
      <c r="J1281" s="244">
        <v>15.26</v>
      </c>
    </row>
    <row r="1282" spans="1:10" ht="28.5" x14ac:dyDescent="0.25">
      <c r="A1282" s="191" t="s">
        <v>62</v>
      </c>
      <c r="B1282" s="191" t="s">
        <v>1515</v>
      </c>
      <c r="C1282" s="191" t="s">
        <v>785</v>
      </c>
      <c r="D1282" s="191" t="s">
        <v>181</v>
      </c>
      <c r="E1282" s="191" t="s">
        <v>124</v>
      </c>
      <c r="F1282" s="191"/>
      <c r="G1282" s="191" t="s">
        <v>60</v>
      </c>
      <c r="H1282" s="192">
        <v>0.52</v>
      </c>
      <c r="I1282" s="244">
        <v>22.05</v>
      </c>
      <c r="J1282" s="244">
        <v>11.46</v>
      </c>
    </row>
    <row r="1283" spans="1:10" x14ac:dyDescent="0.25">
      <c r="A1283" s="187"/>
      <c r="B1283" s="187"/>
      <c r="C1283" s="187"/>
      <c r="D1283" s="187"/>
      <c r="E1283" s="187" t="s">
        <v>756</v>
      </c>
      <c r="F1283" s="188">
        <v>26.95</v>
      </c>
      <c r="G1283" s="187" t="s">
        <v>757</v>
      </c>
      <c r="H1283" s="188">
        <v>0</v>
      </c>
      <c r="I1283" s="242" t="s">
        <v>758</v>
      </c>
      <c r="J1283" s="242">
        <v>26.95</v>
      </c>
    </row>
    <row r="1284" spans="1:10" x14ac:dyDescent="0.25">
      <c r="A1284" s="187"/>
      <c r="B1284" s="187"/>
      <c r="C1284" s="187"/>
      <c r="D1284" s="187"/>
      <c r="E1284" s="187" t="s">
        <v>759</v>
      </c>
      <c r="F1284" s="188">
        <v>0</v>
      </c>
      <c r="G1284" s="187"/>
      <c r="H1284" s="187" t="s">
        <v>760</v>
      </c>
      <c r="I1284" s="242"/>
      <c r="J1284" s="242">
        <v>42.21</v>
      </c>
    </row>
    <row r="1285" spans="1:10" x14ac:dyDescent="0.25">
      <c r="A1285" s="182"/>
      <c r="B1285" s="182"/>
      <c r="C1285" s="182"/>
      <c r="D1285" s="182"/>
      <c r="E1285" s="182"/>
      <c r="F1285" s="182"/>
      <c r="G1285" s="182" t="s">
        <v>761</v>
      </c>
      <c r="H1285" s="189" t="s">
        <v>1639</v>
      </c>
      <c r="I1285" s="239" t="s">
        <v>763</v>
      </c>
      <c r="J1285" s="239">
        <v>128.31</v>
      </c>
    </row>
    <row r="1286" spans="1:10" x14ac:dyDescent="0.25">
      <c r="A1286" s="183"/>
      <c r="B1286" s="183"/>
      <c r="C1286" s="183"/>
      <c r="D1286" s="183"/>
      <c r="E1286" s="183"/>
      <c r="F1286" s="183"/>
      <c r="G1286" s="183"/>
      <c r="H1286" s="183"/>
      <c r="I1286" s="240"/>
      <c r="J1286" s="240"/>
    </row>
    <row r="1287" spans="1:10" x14ac:dyDescent="0.25">
      <c r="A1287" s="182" t="s">
        <v>1640</v>
      </c>
      <c r="B1287" s="182" t="s">
        <v>66</v>
      </c>
      <c r="C1287" s="182" t="s">
        <v>64</v>
      </c>
      <c r="D1287" s="182" t="s">
        <v>67</v>
      </c>
      <c r="E1287" s="182" t="s">
        <v>65</v>
      </c>
      <c r="F1287" s="182"/>
      <c r="G1287" s="182" t="s">
        <v>744</v>
      </c>
      <c r="H1287" s="182" t="s">
        <v>69</v>
      </c>
      <c r="I1287" s="239" t="s">
        <v>745</v>
      </c>
      <c r="J1287" s="239" t="s">
        <v>0</v>
      </c>
    </row>
    <row r="1288" spans="1:10" ht="28.5" x14ac:dyDescent="0.25">
      <c r="A1288" s="183" t="s">
        <v>58</v>
      </c>
      <c r="B1288" s="183" t="s">
        <v>1641</v>
      </c>
      <c r="C1288" s="183" t="s">
        <v>785</v>
      </c>
      <c r="D1288" s="183" t="s">
        <v>1642</v>
      </c>
      <c r="E1288" s="183">
        <v>823</v>
      </c>
      <c r="F1288" s="183"/>
      <c r="G1288" s="183" t="s">
        <v>113</v>
      </c>
      <c r="H1288" s="184">
        <v>1</v>
      </c>
      <c r="I1288" s="240">
        <v>19.239999999999998</v>
      </c>
      <c r="J1288" s="240">
        <v>19.239999999999998</v>
      </c>
    </row>
    <row r="1289" spans="1:10" ht="28.5" x14ac:dyDescent="0.25">
      <c r="A1289" s="191" t="s">
        <v>62</v>
      </c>
      <c r="B1289" s="191" t="s">
        <v>1515</v>
      </c>
      <c r="C1289" s="191" t="s">
        <v>785</v>
      </c>
      <c r="D1289" s="191" t="s">
        <v>181</v>
      </c>
      <c r="E1289" s="191" t="s">
        <v>124</v>
      </c>
      <c r="F1289" s="191"/>
      <c r="G1289" s="191" t="s">
        <v>60</v>
      </c>
      <c r="H1289" s="192">
        <v>0.24</v>
      </c>
      <c r="I1289" s="244">
        <v>22.05</v>
      </c>
      <c r="J1289" s="244">
        <v>5.29</v>
      </c>
    </row>
    <row r="1290" spans="1:10" ht="28.5" x14ac:dyDescent="0.25">
      <c r="A1290" s="191" t="s">
        <v>62</v>
      </c>
      <c r="B1290" s="191" t="s">
        <v>1643</v>
      </c>
      <c r="C1290" s="191" t="s">
        <v>785</v>
      </c>
      <c r="D1290" s="191" t="s">
        <v>1642</v>
      </c>
      <c r="E1290" s="191" t="s">
        <v>120</v>
      </c>
      <c r="F1290" s="191"/>
      <c r="G1290" s="191" t="s">
        <v>113</v>
      </c>
      <c r="H1290" s="192">
        <v>1.01</v>
      </c>
      <c r="I1290" s="244">
        <v>6.75</v>
      </c>
      <c r="J1290" s="244">
        <v>6.81</v>
      </c>
    </row>
    <row r="1291" spans="1:10" ht="28.5" x14ac:dyDescent="0.25">
      <c r="A1291" s="191" t="s">
        <v>62</v>
      </c>
      <c r="B1291" s="191" t="s">
        <v>1569</v>
      </c>
      <c r="C1291" s="191" t="s">
        <v>785</v>
      </c>
      <c r="D1291" s="191" t="s">
        <v>1570</v>
      </c>
      <c r="E1291" s="191" t="s">
        <v>124</v>
      </c>
      <c r="F1291" s="191"/>
      <c r="G1291" s="191" t="s">
        <v>60</v>
      </c>
      <c r="H1291" s="192">
        <v>0.24</v>
      </c>
      <c r="I1291" s="244">
        <v>29.79</v>
      </c>
      <c r="J1291" s="244">
        <v>7.14</v>
      </c>
    </row>
    <row r="1292" spans="1:10" x14ac:dyDescent="0.25">
      <c r="A1292" s="187"/>
      <c r="B1292" s="187"/>
      <c r="C1292" s="187"/>
      <c r="D1292" s="187"/>
      <c r="E1292" s="187" t="s">
        <v>756</v>
      </c>
      <c r="F1292" s="188">
        <v>12.43</v>
      </c>
      <c r="G1292" s="187" t="s">
        <v>757</v>
      </c>
      <c r="H1292" s="188">
        <v>0</v>
      </c>
      <c r="I1292" s="242" t="s">
        <v>758</v>
      </c>
      <c r="J1292" s="242">
        <v>12.43</v>
      </c>
    </row>
    <row r="1293" spans="1:10" x14ac:dyDescent="0.25">
      <c r="A1293" s="187"/>
      <c r="B1293" s="187"/>
      <c r="C1293" s="187"/>
      <c r="D1293" s="187"/>
      <c r="E1293" s="187" t="s">
        <v>759</v>
      </c>
      <c r="F1293" s="188">
        <v>0</v>
      </c>
      <c r="G1293" s="187"/>
      <c r="H1293" s="187" t="s">
        <v>760</v>
      </c>
      <c r="I1293" s="242"/>
      <c r="J1293" s="242">
        <v>19.239999999999998</v>
      </c>
    </row>
    <row r="1294" spans="1:10" x14ac:dyDescent="0.25">
      <c r="A1294" s="182"/>
      <c r="B1294" s="182"/>
      <c r="C1294" s="182"/>
      <c r="D1294" s="182"/>
      <c r="E1294" s="182"/>
      <c r="F1294" s="182"/>
      <c r="G1294" s="182" t="s">
        <v>761</v>
      </c>
      <c r="H1294" s="189" t="s">
        <v>1644</v>
      </c>
      <c r="I1294" s="239" t="s">
        <v>763</v>
      </c>
      <c r="J1294" s="239">
        <v>183.74</v>
      </c>
    </row>
    <row r="1295" spans="1:10" x14ac:dyDescent="0.25">
      <c r="A1295" s="183"/>
      <c r="B1295" s="183"/>
      <c r="C1295" s="183"/>
      <c r="D1295" s="183"/>
      <c r="E1295" s="183"/>
      <c r="F1295" s="183"/>
      <c r="G1295" s="183"/>
      <c r="H1295" s="183"/>
      <c r="I1295" s="240"/>
      <c r="J1295" s="240"/>
    </row>
    <row r="1296" spans="1:10" x14ac:dyDescent="0.25">
      <c r="A1296" s="182" t="s">
        <v>1645</v>
      </c>
      <c r="B1296" s="182" t="s">
        <v>66</v>
      </c>
      <c r="C1296" s="182" t="s">
        <v>64</v>
      </c>
      <c r="D1296" s="182" t="s">
        <v>67</v>
      </c>
      <c r="E1296" s="182" t="s">
        <v>65</v>
      </c>
      <c r="F1296" s="182"/>
      <c r="G1296" s="182" t="s">
        <v>744</v>
      </c>
      <c r="H1296" s="182" t="s">
        <v>69</v>
      </c>
      <c r="I1296" s="239" t="s">
        <v>745</v>
      </c>
      <c r="J1296" s="239" t="s">
        <v>0</v>
      </c>
    </row>
    <row r="1297" spans="1:10" ht="28.5" x14ac:dyDescent="0.25">
      <c r="A1297" s="183" t="s">
        <v>58</v>
      </c>
      <c r="B1297" s="183" t="s">
        <v>1646</v>
      </c>
      <c r="C1297" s="183" t="s">
        <v>785</v>
      </c>
      <c r="D1297" s="183" t="s">
        <v>1647</v>
      </c>
      <c r="E1297" s="183">
        <v>823</v>
      </c>
      <c r="F1297" s="183"/>
      <c r="G1297" s="183" t="s">
        <v>113</v>
      </c>
      <c r="H1297" s="184">
        <v>1</v>
      </c>
      <c r="I1297" s="240">
        <v>25.23</v>
      </c>
      <c r="J1297" s="240">
        <v>25.23</v>
      </c>
    </row>
    <row r="1298" spans="1:10" ht="28.5" x14ac:dyDescent="0.25">
      <c r="A1298" s="191" t="s">
        <v>62</v>
      </c>
      <c r="B1298" s="191" t="s">
        <v>1648</v>
      </c>
      <c r="C1298" s="191" t="s">
        <v>785</v>
      </c>
      <c r="D1298" s="191" t="s">
        <v>1647</v>
      </c>
      <c r="E1298" s="191" t="s">
        <v>120</v>
      </c>
      <c r="F1298" s="191"/>
      <c r="G1298" s="191" t="s">
        <v>113</v>
      </c>
      <c r="H1298" s="192">
        <v>1.01</v>
      </c>
      <c r="I1298" s="244">
        <v>9.6</v>
      </c>
      <c r="J1298" s="244">
        <v>9.69</v>
      </c>
    </row>
    <row r="1299" spans="1:10" ht="28.5" x14ac:dyDescent="0.25">
      <c r="A1299" s="191" t="s">
        <v>62</v>
      </c>
      <c r="B1299" s="191" t="s">
        <v>1515</v>
      </c>
      <c r="C1299" s="191" t="s">
        <v>785</v>
      </c>
      <c r="D1299" s="191" t="s">
        <v>181</v>
      </c>
      <c r="E1299" s="191" t="s">
        <v>124</v>
      </c>
      <c r="F1299" s="191"/>
      <c r="G1299" s="191" t="s">
        <v>60</v>
      </c>
      <c r="H1299" s="192">
        <v>0.3</v>
      </c>
      <c r="I1299" s="244">
        <v>22.05</v>
      </c>
      <c r="J1299" s="244">
        <v>6.61</v>
      </c>
    </row>
    <row r="1300" spans="1:10" ht="28.5" x14ac:dyDescent="0.25">
      <c r="A1300" s="191" t="s">
        <v>62</v>
      </c>
      <c r="B1300" s="191" t="s">
        <v>1569</v>
      </c>
      <c r="C1300" s="191" t="s">
        <v>785</v>
      </c>
      <c r="D1300" s="191" t="s">
        <v>1570</v>
      </c>
      <c r="E1300" s="191" t="s">
        <v>124</v>
      </c>
      <c r="F1300" s="191"/>
      <c r="G1300" s="191" t="s">
        <v>60</v>
      </c>
      <c r="H1300" s="192">
        <v>0.3</v>
      </c>
      <c r="I1300" s="244">
        <v>29.79</v>
      </c>
      <c r="J1300" s="244">
        <v>8.93</v>
      </c>
    </row>
    <row r="1301" spans="1:10" x14ac:dyDescent="0.25">
      <c r="A1301" s="187"/>
      <c r="B1301" s="187"/>
      <c r="C1301" s="187"/>
      <c r="D1301" s="187"/>
      <c r="E1301" s="187" t="s">
        <v>756</v>
      </c>
      <c r="F1301" s="188">
        <v>15.54</v>
      </c>
      <c r="G1301" s="187" t="s">
        <v>757</v>
      </c>
      <c r="H1301" s="188">
        <v>0</v>
      </c>
      <c r="I1301" s="242" t="s">
        <v>758</v>
      </c>
      <c r="J1301" s="242">
        <v>15.54</v>
      </c>
    </row>
    <row r="1302" spans="1:10" x14ac:dyDescent="0.25">
      <c r="A1302" s="187"/>
      <c r="B1302" s="187"/>
      <c r="C1302" s="187"/>
      <c r="D1302" s="187"/>
      <c r="E1302" s="187" t="s">
        <v>759</v>
      </c>
      <c r="F1302" s="188">
        <v>0</v>
      </c>
      <c r="G1302" s="187"/>
      <c r="H1302" s="187" t="s">
        <v>760</v>
      </c>
      <c r="I1302" s="242"/>
      <c r="J1302" s="242">
        <v>25.23</v>
      </c>
    </row>
    <row r="1303" spans="1:10" x14ac:dyDescent="0.25">
      <c r="A1303" s="182"/>
      <c r="B1303" s="182"/>
      <c r="C1303" s="182"/>
      <c r="D1303" s="182"/>
      <c r="E1303" s="182"/>
      <c r="F1303" s="182"/>
      <c r="G1303" s="182" t="s">
        <v>761</v>
      </c>
      <c r="H1303" s="189" t="s">
        <v>1649</v>
      </c>
      <c r="I1303" s="239" t="s">
        <v>763</v>
      </c>
      <c r="J1303" s="239">
        <v>722.83</v>
      </c>
    </row>
    <row r="1304" spans="1:10" x14ac:dyDescent="0.25">
      <c r="A1304" s="183"/>
      <c r="B1304" s="183"/>
      <c r="C1304" s="183"/>
      <c r="D1304" s="183"/>
      <c r="E1304" s="183"/>
      <c r="F1304" s="183"/>
      <c r="G1304" s="183"/>
      <c r="H1304" s="183"/>
      <c r="I1304" s="240"/>
      <c r="J1304" s="240"/>
    </row>
    <row r="1305" spans="1:10" x14ac:dyDescent="0.25">
      <c r="A1305" s="182" t="s">
        <v>1650</v>
      </c>
      <c r="B1305" s="182" t="s">
        <v>66</v>
      </c>
      <c r="C1305" s="182" t="s">
        <v>64</v>
      </c>
      <c r="D1305" s="182" t="s">
        <v>67</v>
      </c>
      <c r="E1305" s="182" t="s">
        <v>65</v>
      </c>
      <c r="F1305" s="182"/>
      <c r="G1305" s="182" t="s">
        <v>744</v>
      </c>
      <c r="H1305" s="182" t="s">
        <v>69</v>
      </c>
      <c r="I1305" s="239" t="s">
        <v>745</v>
      </c>
      <c r="J1305" s="239" t="s">
        <v>0</v>
      </c>
    </row>
    <row r="1306" spans="1:10" ht="28.5" x14ac:dyDescent="0.25">
      <c r="A1306" s="183" t="s">
        <v>58</v>
      </c>
      <c r="B1306" s="183" t="s">
        <v>1651</v>
      </c>
      <c r="C1306" s="183" t="s">
        <v>785</v>
      </c>
      <c r="D1306" s="183" t="s">
        <v>1652</v>
      </c>
      <c r="E1306" s="183">
        <v>822</v>
      </c>
      <c r="F1306" s="183"/>
      <c r="G1306" s="183" t="s">
        <v>1498</v>
      </c>
      <c r="H1306" s="184">
        <v>1</v>
      </c>
      <c r="I1306" s="240">
        <v>34.18</v>
      </c>
      <c r="J1306" s="240">
        <v>34.18</v>
      </c>
    </row>
    <row r="1307" spans="1:10" ht="28.5" x14ac:dyDescent="0.25">
      <c r="A1307" s="191" t="s">
        <v>62</v>
      </c>
      <c r="B1307" s="191" t="s">
        <v>1515</v>
      </c>
      <c r="C1307" s="191" t="s">
        <v>785</v>
      </c>
      <c r="D1307" s="191" t="s">
        <v>181</v>
      </c>
      <c r="E1307" s="191" t="s">
        <v>124</v>
      </c>
      <c r="F1307" s="191"/>
      <c r="G1307" s="191" t="s">
        <v>60</v>
      </c>
      <c r="H1307" s="192">
        <v>0.46</v>
      </c>
      <c r="I1307" s="244">
        <v>22.05</v>
      </c>
      <c r="J1307" s="244">
        <v>10.14</v>
      </c>
    </row>
    <row r="1308" spans="1:10" ht="28.5" x14ac:dyDescent="0.25">
      <c r="A1308" s="191" t="s">
        <v>62</v>
      </c>
      <c r="B1308" s="191" t="s">
        <v>1569</v>
      </c>
      <c r="C1308" s="191" t="s">
        <v>785</v>
      </c>
      <c r="D1308" s="191" t="s">
        <v>1570</v>
      </c>
      <c r="E1308" s="191" t="s">
        <v>124</v>
      </c>
      <c r="F1308" s="191"/>
      <c r="G1308" s="191" t="s">
        <v>60</v>
      </c>
      <c r="H1308" s="192">
        <v>0.46</v>
      </c>
      <c r="I1308" s="244">
        <v>29.79</v>
      </c>
      <c r="J1308" s="244">
        <v>13.7</v>
      </c>
    </row>
    <row r="1309" spans="1:10" ht="28.5" x14ac:dyDescent="0.25">
      <c r="A1309" s="191" t="s">
        <v>62</v>
      </c>
      <c r="B1309" s="191" t="s">
        <v>1653</v>
      </c>
      <c r="C1309" s="191" t="s">
        <v>785</v>
      </c>
      <c r="D1309" s="191" t="s">
        <v>1654</v>
      </c>
      <c r="E1309" s="191" t="s">
        <v>120</v>
      </c>
      <c r="F1309" s="191"/>
      <c r="G1309" s="191" t="s">
        <v>129</v>
      </c>
      <c r="H1309" s="192">
        <v>1</v>
      </c>
      <c r="I1309" s="244">
        <v>10.34</v>
      </c>
      <c r="J1309" s="244">
        <v>10.34</v>
      </c>
    </row>
    <row r="1310" spans="1:10" x14ac:dyDescent="0.25">
      <c r="A1310" s="187"/>
      <c r="B1310" s="187"/>
      <c r="C1310" s="187"/>
      <c r="D1310" s="187"/>
      <c r="E1310" s="187" t="s">
        <v>756</v>
      </c>
      <c r="F1310" s="188">
        <v>23.84</v>
      </c>
      <c r="G1310" s="187" t="s">
        <v>757</v>
      </c>
      <c r="H1310" s="188">
        <v>0</v>
      </c>
      <c r="I1310" s="242" t="s">
        <v>758</v>
      </c>
      <c r="J1310" s="242">
        <v>23.84</v>
      </c>
    </row>
    <row r="1311" spans="1:10" x14ac:dyDescent="0.25">
      <c r="A1311" s="187"/>
      <c r="B1311" s="187"/>
      <c r="C1311" s="187"/>
      <c r="D1311" s="187"/>
      <c r="E1311" s="187" t="s">
        <v>759</v>
      </c>
      <c r="F1311" s="188">
        <v>0</v>
      </c>
      <c r="G1311" s="187"/>
      <c r="H1311" s="187" t="s">
        <v>760</v>
      </c>
      <c r="I1311" s="242"/>
      <c r="J1311" s="242">
        <v>34.18</v>
      </c>
    </row>
    <row r="1312" spans="1:10" x14ac:dyDescent="0.25">
      <c r="A1312" s="182"/>
      <c r="B1312" s="182"/>
      <c r="C1312" s="182"/>
      <c r="D1312" s="182"/>
      <c r="E1312" s="182"/>
      <c r="F1312" s="182"/>
      <c r="G1312" s="182" t="s">
        <v>761</v>
      </c>
      <c r="H1312" s="189" t="s">
        <v>762</v>
      </c>
      <c r="I1312" s="239" t="s">
        <v>763</v>
      </c>
      <c r="J1312" s="239">
        <v>34.18</v>
      </c>
    </row>
    <row r="1313" spans="1:10" x14ac:dyDescent="0.25">
      <c r="A1313" s="183"/>
      <c r="B1313" s="183"/>
      <c r="C1313" s="183"/>
      <c r="D1313" s="183"/>
      <c r="E1313" s="183"/>
      <c r="F1313" s="183"/>
      <c r="G1313" s="183"/>
      <c r="H1313" s="183"/>
      <c r="I1313" s="240"/>
      <c r="J1313" s="240"/>
    </row>
    <row r="1314" spans="1:10" x14ac:dyDescent="0.25">
      <c r="A1314" s="190" t="s">
        <v>1655</v>
      </c>
      <c r="B1314" s="190"/>
      <c r="C1314" s="190"/>
      <c r="D1314" s="190" t="s">
        <v>503</v>
      </c>
      <c r="E1314" s="190"/>
      <c r="F1314" s="190"/>
      <c r="G1314" s="190"/>
      <c r="H1314" s="190"/>
      <c r="I1314" s="243"/>
      <c r="J1314" s="243">
        <v>131.33000000000001</v>
      </c>
    </row>
    <row r="1315" spans="1:10" x14ac:dyDescent="0.25">
      <c r="A1315" s="182" t="s">
        <v>1656</v>
      </c>
      <c r="B1315" s="182" t="s">
        <v>66</v>
      </c>
      <c r="C1315" s="182" t="s">
        <v>64</v>
      </c>
      <c r="D1315" s="182" t="s">
        <v>67</v>
      </c>
      <c r="E1315" s="182" t="s">
        <v>65</v>
      </c>
      <c r="F1315" s="182"/>
      <c r="G1315" s="182" t="s">
        <v>744</v>
      </c>
      <c r="H1315" s="182" t="s">
        <v>69</v>
      </c>
      <c r="I1315" s="239" t="s">
        <v>745</v>
      </c>
      <c r="J1315" s="239" t="s">
        <v>0</v>
      </c>
    </row>
    <row r="1316" spans="1:10" ht="99.75" x14ac:dyDescent="0.25">
      <c r="A1316" s="183" t="s">
        <v>58</v>
      </c>
      <c r="B1316" s="183" t="s">
        <v>1657</v>
      </c>
      <c r="C1316" s="183" t="s">
        <v>59</v>
      </c>
      <c r="D1316" s="183" t="s">
        <v>1658</v>
      </c>
      <c r="E1316" s="183" t="s">
        <v>1659</v>
      </c>
      <c r="F1316" s="183"/>
      <c r="G1316" s="183" t="s">
        <v>61</v>
      </c>
      <c r="H1316" s="184">
        <v>1</v>
      </c>
      <c r="I1316" s="240">
        <v>10.36</v>
      </c>
      <c r="J1316" s="240">
        <v>10.36</v>
      </c>
    </row>
    <row r="1317" spans="1:10" ht="42.75" x14ac:dyDescent="0.25">
      <c r="A1317" s="185" t="s">
        <v>119</v>
      </c>
      <c r="B1317" s="185" t="s">
        <v>1479</v>
      </c>
      <c r="C1317" s="185" t="s">
        <v>59</v>
      </c>
      <c r="D1317" s="185" t="s">
        <v>1480</v>
      </c>
      <c r="E1317" s="185" t="s">
        <v>754</v>
      </c>
      <c r="F1317" s="185"/>
      <c r="G1317" s="185" t="s">
        <v>60</v>
      </c>
      <c r="H1317" s="186">
        <v>3.4299999999999997E-2</v>
      </c>
      <c r="I1317" s="241">
        <v>22.16</v>
      </c>
      <c r="J1317" s="241">
        <v>0.76</v>
      </c>
    </row>
    <row r="1318" spans="1:10" ht="42.75" x14ac:dyDescent="0.25">
      <c r="A1318" s="185" t="s">
        <v>119</v>
      </c>
      <c r="B1318" s="185" t="s">
        <v>1481</v>
      </c>
      <c r="C1318" s="185" t="s">
        <v>59</v>
      </c>
      <c r="D1318" s="185" t="s">
        <v>1482</v>
      </c>
      <c r="E1318" s="185" t="s">
        <v>754</v>
      </c>
      <c r="F1318" s="185"/>
      <c r="G1318" s="185" t="s">
        <v>60</v>
      </c>
      <c r="H1318" s="186">
        <v>3.4299999999999997E-2</v>
      </c>
      <c r="I1318" s="241">
        <v>31.42</v>
      </c>
      <c r="J1318" s="241">
        <v>1.07</v>
      </c>
    </row>
    <row r="1319" spans="1:10" ht="42.75" x14ac:dyDescent="0.25">
      <c r="A1319" s="191" t="s">
        <v>62</v>
      </c>
      <c r="B1319" s="191" t="s">
        <v>1660</v>
      </c>
      <c r="C1319" s="191" t="s">
        <v>59</v>
      </c>
      <c r="D1319" s="191" t="s">
        <v>1661</v>
      </c>
      <c r="E1319" s="191" t="s">
        <v>120</v>
      </c>
      <c r="F1319" s="191"/>
      <c r="G1319" s="191" t="s">
        <v>61</v>
      </c>
      <c r="H1319" s="192">
        <v>2</v>
      </c>
      <c r="I1319" s="244">
        <v>1.92</v>
      </c>
      <c r="J1319" s="244">
        <v>3.84</v>
      </c>
    </row>
    <row r="1320" spans="1:10" ht="71.25" x14ac:dyDescent="0.25">
      <c r="A1320" s="191" t="s">
        <v>62</v>
      </c>
      <c r="B1320" s="191" t="s">
        <v>1662</v>
      </c>
      <c r="C1320" s="191" t="s">
        <v>59</v>
      </c>
      <c r="D1320" s="191" t="s">
        <v>1663</v>
      </c>
      <c r="E1320" s="191" t="s">
        <v>120</v>
      </c>
      <c r="F1320" s="191"/>
      <c r="G1320" s="191" t="s">
        <v>61</v>
      </c>
      <c r="H1320" s="192">
        <v>0.05</v>
      </c>
      <c r="I1320" s="244">
        <v>26.04</v>
      </c>
      <c r="J1320" s="244">
        <v>1.3</v>
      </c>
    </row>
    <row r="1321" spans="1:10" ht="42.75" x14ac:dyDescent="0.25">
      <c r="A1321" s="191" t="s">
        <v>62</v>
      </c>
      <c r="B1321" s="191" t="s">
        <v>1664</v>
      </c>
      <c r="C1321" s="191" t="s">
        <v>59</v>
      </c>
      <c r="D1321" s="191" t="s">
        <v>1665</v>
      </c>
      <c r="E1321" s="191" t="s">
        <v>120</v>
      </c>
      <c r="F1321" s="191"/>
      <c r="G1321" s="191" t="s">
        <v>61</v>
      </c>
      <c r="H1321" s="192">
        <v>1</v>
      </c>
      <c r="I1321" s="244">
        <v>3.39</v>
      </c>
      <c r="J1321" s="244">
        <v>3.39</v>
      </c>
    </row>
    <row r="1322" spans="1:10" x14ac:dyDescent="0.25">
      <c r="A1322" s="187"/>
      <c r="B1322" s="187"/>
      <c r="C1322" s="187"/>
      <c r="D1322" s="187"/>
      <c r="E1322" s="187" t="s">
        <v>756</v>
      </c>
      <c r="F1322" s="188">
        <v>1.36</v>
      </c>
      <c r="G1322" s="187" t="s">
        <v>757</v>
      </c>
      <c r="H1322" s="188">
        <v>0</v>
      </c>
      <c r="I1322" s="242" t="s">
        <v>758</v>
      </c>
      <c r="J1322" s="242">
        <v>1.36</v>
      </c>
    </row>
    <row r="1323" spans="1:10" x14ac:dyDescent="0.25">
      <c r="A1323" s="187"/>
      <c r="B1323" s="187"/>
      <c r="C1323" s="187"/>
      <c r="D1323" s="187"/>
      <c r="E1323" s="187" t="s">
        <v>759</v>
      </c>
      <c r="F1323" s="188">
        <v>0</v>
      </c>
      <c r="G1323" s="187"/>
      <c r="H1323" s="187" t="s">
        <v>760</v>
      </c>
      <c r="I1323" s="242"/>
      <c r="J1323" s="242">
        <v>10.36</v>
      </c>
    </row>
    <row r="1324" spans="1:10" x14ac:dyDescent="0.25">
      <c r="A1324" s="182"/>
      <c r="B1324" s="182"/>
      <c r="C1324" s="182"/>
      <c r="D1324" s="182"/>
      <c r="E1324" s="182"/>
      <c r="F1324" s="182"/>
      <c r="G1324" s="182" t="s">
        <v>761</v>
      </c>
      <c r="H1324" s="189" t="s">
        <v>800</v>
      </c>
      <c r="I1324" s="239" t="s">
        <v>763</v>
      </c>
      <c r="J1324" s="239">
        <v>62.16</v>
      </c>
    </row>
    <row r="1325" spans="1:10" x14ac:dyDescent="0.25">
      <c r="A1325" s="183"/>
      <c r="B1325" s="183"/>
      <c r="C1325" s="183"/>
      <c r="D1325" s="183"/>
      <c r="E1325" s="183"/>
      <c r="F1325" s="183"/>
      <c r="G1325" s="183"/>
      <c r="H1325" s="183"/>
      <c r="I1325" s="240"/>
      <c r="J1325" s="240"/>
    </row>
    <row r="1326" spans="1:10" x14ac:dyDescent="0.25">
      <c r="A1326" s="182" t="s">
        <v>1666</v>
      </c>
      <c r="B1326" s="182" t="s">
        <v>66</v>
      </c>
      <c r="C1326" s="182" t="s">
        <v>64</v>
      </c>
      <c r="D1326" s="182" t="s">
        <v>67</v>
      </c>
      <c r="E1326" s="182" t="s">
        <v>65</v>
      </c>
      <c r="F1326" s="182"/>
      <c r="G1326" s="182" t="s">
        <v>744</v>
      </c>
      <c r="H1326" s="182" t="s">
        <v>69</v>
      </c>
      <c r="I1326" s="239" t="s">
        <v>745</v>
      </c>
      <c r="J1326" s="239" t="s">
        <v>0</v>
      </c>
    </row>
    <row r="1327" spans="1:10" ht="85.5" x14ac:dyDescent="0.25">
      <c r="A1327" s="183" t="s">
        <v>58</v>
      </c>
      <c r="B1327" s="183" t="s">
        <v>1667</v>
      </c>
      <c r="C1327" s="183" t="s">
        <v>59</v>
      </c>
      <c r="D1327" s="183" t="s">
        <v>1668</v>
      </c>
      <c r="E1327" s="183" t="s">
        <v>1659</v>
      </c>
      <c r="F1327" s="183"/>
      <c r="G1327" s="183" t="s">
        <v>116</v>
      </c>
      <c r="H1327" s="184">
        <v>1</v>
      </c>
      <c r="I1327" s="240">
        <v>14.8</v>
      </c>
      <c r="J1327" s="240">
        <v>14.8</v>
      </c>
    </row>
    <row r="1328" spans="1:10" ht="42.75" x14ac:dyDescent="0.25">
      <c r="A1328" s="185" t="s">
        <v>119</v>
      </c>
      <c r="B1328" s="185" t="s">
        <v>1479</v>
      </c>
      <c r="C1328" s="185" t="s">
        <v>59</v>
      </c>
      <c r="D1328" s="185" t="s">
        <v>1480</v>
      </c>
      <c r="E1328" s="185" t="s">
        <v>754</v>
      </c>
      <c r="F1328" s="185"/>
      <c r="G1328" s="185" t="s">
        <v>60</v>
      </c>
      <c r="H1328" s="186">
        <v>4.1500000000000002E-2</v>
      </c>
      <c r="I1328" s="241">
        <v>22.16</v>
      </c>
      <c r="J1328" s="241">
        <v>0.91</v>
      </c>
    </row>
    <row r="1329" spans="1:10" ht="42.75" x14ac:dyDescent="0.25">
      <c r="A1329" s="185" t="s">
        <v>119</v>
      </c>
      <c r="B1329" s="185" t="s">
        <v>1481</v>
      </c>
      <c r="C1329" s="185" t="s">
        <v>59</v>
      </c>
      <c r="D1329" s="185" t="s">
        <v>1482</v>
      </c>
      <c r="E1329" s="185" t="s">
        <v>754</v>
      </c>
      <c r="F1329" s="185"/>
      <c r="G1329" s="185" t="s">
        <v>60</v>
      </c>
      <c r="H1329" s="186">
        <v>4.1500000000000002E-2</v>
      </c>
      <c r="I1329" s="241">
        <v>31.42</v>
      </c>
      <c r="J1329" s="241">
        <v>1.3</v>
      </c>
    </row>
    <row r="1330" spans="1:10" ht="28.5" x14ac:dyDescent="0.25">
      <c r="A1330" s="191" t="s">
        <v>62</v>
      </c>
      <c r="B1330" s="191" t="s">
        <v>1483</v>
      </c>
      <c r="C1330" s="191" t="s">
        <v>59</v>
      </c>
      <c r="D1330" s="191" t="s">
        <v>1484</v>
      </c>
      <c r="E1330" s="191" t="s">
        <v>120</v>
      </c>
      <c r="F1330" s="191"/>
      <c r="G1330" s="191" t="s">
        <v>61</v>
      </c>
      <c r="H1330" s="192">
        <v>2.3E-2</v>
      </c>
      <c r="I1330" s="244">
        <v>2</v>
      </c>
      <c r="J1330" s="244">
        <v>0.04</v>
      </c>
    </row>
    <row r="1331" spans="1:10" ht="42.75" x14ac:dyDescent="0.25">
      <c r="A1331" s="191" t="s">
        <v>62</v>
      </c>
      <c r="B1331" s="191" t="s">
        <v>1669</v>
      </c>
      <c r="C1331" s="191" t="s">
        <v>59</v>
      </c>
      <c r="D1331" s="191" t="s">
        <v>1670</v>
      </c>
      <c r="E1331" s="191" t="s">
        <v>120</v>
      </c>
      <c r="F1331" s="191"/>
      <c r="G1331" s="191" t="s">
        <v>116</v>
      </c>
      <c r="H1331" s="192">
        <v>1.0548999999999999</v>
      </c>
      <c r="I1331" s="244">
        <v>11.9</v>
      </c>
      <c r="J1331" s="244">
        <v>12.55</v>
      </c>
    </row>
    <row r="1332" spans="1:10" x14ac:dyDescent="0.25">
      <c r="A1332" s="187"/>
      <c r="B1332" s="187"/>
      <c r="C1332" s="187"/>
      <c r="D1332" s="187"/>
      <c r="E1332" s="187" t="s">
        <v>756</v>
      </c>
      <c r="F1332" s="188">
        <v>1.64</v>
      </c>
      <c r="G1332" s="187" t="s">
        <v>757</v>
      </c>
      <c r="H1332" s="188">
        <v>0</v>
      </c>
      <c r="I1332" s="242" t="s">
        <v>758</v>
      </c>
      <c r="J1332" s="242">
        <v>1.64</v>
      </c>
    </row>
    <row r="1333" spans="1:10" x14ac:dyDescent="0.25">
      <c r="A1333" s="187"/>
      <c r="B1333" s="187"/>
      <c r="C1333" s="187"/>
      <c r="D1333" s="187"/>
      <c r="E1333" s="187" t="s">
        <v>759</v>
      </c>
      <c r="F1333" s="188">
        <v>0</v>
      </c>
      <c r="G1333" s="187"/>
      <c r="H1333" s="187" t="s">
        <v>760</v>
      </c>
      <c r="I1333" s="242"/>
      <c r="J1333" s="242">
        <v>14.8</v>
      </c>
    </row>
    <row r="1334" spans="1:10" x14ac:dyDescent="0.25">
      <c r="A1334" s="182"/>
      <c r="B1334" s="182"/>
      <c r="C1334" s="182"/>
      <c r="D1334" s="182"/>
      <c r="E1334" s="182"/>
      <c r="F1334" s="182"/>
      <c r="G1334" s="182" t="s">
        <v>761</v>
      </c>
      <c r="H1334" s="189" t="s">
        <v>1671</v>
      </c>
      <c r="I1334" s="239" t="s">
        <v>763</v>
      </c>
      <c r="J1334" s="239">
        <v>13.76</v>
      </c>
    </row>
    <row r="1335" spans="1:10" x14ac:dyDescent="0.25">
      <c r="A1335" s="183"/>
      <c r="B1335" s="183"/>
      <c r="C1335" s="183"/>
      <c r="D1335" s="183"/>
      <c r="E1335" s="183"/>
      <c r="F1335" s="183"/>
      <c r="G1335" s="183"/>
      <c r="H1335" s="183"/>
      <c r="I1335" s="240"/>
      <c r="J1335" s="240"/>
    </row>
    <row r="1336" spans="1:10" x14ac:dyDescent="0.25">
      <c r="A1336" s="182" t="s">
        <v>1672</v>
      </c>
      <c r="B1336" s="182" t="s">
        <v>66</v>
      </c>
      <c r="C1336" s="182" t="s">
        <v>64</v>
      </c>
      <c r="D1336" s="182" t="s">
        <v>67</v>
      </c>
      <c r="E1336" s="182" t="s">
        <v>65</v>
      </c>
      <c r="F1336" s="182"/>
      <c r="G1336" s="182" t="s">
        <v>744</v>
      </c>
      <c r="H1336" s="182" t="s">
        <v>69</v>
      </c>
      <c r="I1336" s="239" t="s">
        <v>745</v>
      </c>
      <c r="J1336" s="239" t="s">
        <v>0</v>
      </c>
    </row>
    <row r="1337" spans="1:10" ht="99.75" x14ac:dyDescent="0.25">
      <c r="A1337" s="183" t="s">
        <v>58</v>
      </c>
      <c r="B1337" s="183" t="s">
        <v>1673</v>
      </c>
      <c r="C1337" s="183" t="s">
        <v>59</v>
      </c>
      <c r="D1337" s="183" t="s">
        <v>1674</v>
      </c>
      <c r="E1337" s="183" t="s">
        <v>1659</v>
      </c>
      <c r="F1337" s="183"/>
      <c r="G1337" s="183" t="s">
        <v>61</v>
      </c>
      <c r="H1337" s="184">
        <v>1</v>
      </c>
      <c r="I1337" s="240">
        <v>18.47</v>
      </c>
      <c r="J1337" s="240">
        <v>18.47</v>
      </c>
    </row>
    <row r="1338" spans="1:10" ht="42.75" x14ac:dyDescent="0.25">
      <c r="A1338" s="185" t="s">
        <v>119</v>
      </c>
      <c r="B1338" s="185" t="s">
        <v>1481</v>
      </c>
      <c r="C1338" s="185" t="s">
        <v>59</v>
      </c>
      <c r="D1338" s="185" t="s">
        <v>1482</v>
      </c>
      <c r="E1338" s="185" t="s">
        <v>754</v>
      </c>
      <c r="F1338" s="185"/>
      <c r="G1338" s="185" t="s">
        <v>60</v>
      </c>
      <c r="H1338" s="186">
        <v>4.5699999999999998E-2</v>
      </c>
      <c r="I1338" s="241">
        <v>31.42</v>
      </c>
      <c r="J1338" s="241">
        <v>1.43</v>
      </c>
    </row>
    <row r="1339" spans="1:10" ht="42.75" x14ac:dyDescent="0.25">
      <c r="A1339" s="185" t="s">
        <v>119</v>
      </c>
      <c r="B1339" s="185" t="s">
        <v>1479</v>
      </c>
      <c r="C1339" s="185" t="s">
        <v>59</v>
      </c>
      <c r="D1339" s="185" t="s">
        <v>1480</v>
      </c>
      <c r="E1339" s="185" t="s">
        <v>754</v>
      </c>
      <c r="F1339" s="185"/>
      <c r="G1339" s="185" t="s">
        <v>60</v>
      </c>
      <c r="H1339" s="186">
        <v>4.5699999999999998E-2</v>
      </c>
      <c r="I1339" s="241">
        <v>22.16</v>
      </c>
      <c r="J1339" s="241">
        <v>1.01</v>
      </c>
    </row>
    <row r="1340" spans="1:10" ht="42.75" x14ac:dyDescent="0.25">
      <c r="A1340" s="191" t="s">
        <v>62</v>
      </c>
      <c r="B1340" s="191" t="s">
        <v>1675</v>
      </c>
      <c r="C1340" s="191" t="s">
        <v>59</v>
      </c>
      <c r="D1340" s="191" t="s">
        <v>1676</v>
      </c>
      <c r="E1340" s="191" t="s">
        <v>120</v>
      </c>
      <c r="F1340" s="191"/>
      <c r="G1340" s="191" t="s">
        <v>61</v>
      </c>
      <c r="H1340" s="192">
        <v>1</v>
      </c>
      <c r="I1340" s="244">
        <v>8.32</v>
      </c>
      <c r="J1340" s="244">
        <v>8.32</v>
      </c>
    </row>
    <row r="1341" spans="1:10" ht="71.25" x14ac:dyDescent="0.25">
      <c r="A1341" s="191" t="s">
        <v>62</v>
      </c>
      <c r="B1341" s="191" t="s">
        <v>1662</v>
      </c>
      <c r="C1341" s="191" t="s">
        <v>59</v>
      </c>
      <c r="D1341" s="191" t="s">
        <v>1663</v>
      </c>
      <c r="E1341" s="191" t="s">
        <v>120</v>
      </c>
      <c r="F1341" s="191"/>
      <c r="G1341" s="191" t="s">
        <v>61</v>
      </c>
      <c r="H1341" s="192">
        <v>7.4999999999999997E-2</v>
      </c>
      <c r="I1341" s="244">
        <v>26.04</v>
      </c>
      <c r="J1341" s="244">
        <v>1.95</v>
      </c>
    </row>
    <row r="1342" spans="1:10" ht="42.75" x14ac:dyDescent="0.25">
      <c r="A1342" s="191" t="s">
        <v>62</v>
      </c>
      <c r="B1342" s="191" t="s">
        <v>1660</v>
      </c>
      <c r="C1342" s="191" t="s">
        <v>59</v>
      </c>
      <c r="D1342" s="191" t="s">
        <v>1661</v>
      </c>
      <c r="E1342" s="191" t="s">
        <v>120</v>
      </c>
      <c r="F1342" s="191"/>
      <c r="G1342" s="191" t="s">
        <v>61</v>
      </c>
      <c r="H1342" s="192">
        <v>3</v>
      </c>
      <c r="I1342" s="244">
        <v>1.92</v>
      </c>
      <c r="J1342" s="244">
        <v>5.76</v>
      </c>
    </row>
    <row r="1343" spans="1:10" x14ac:dyDescent="0.25">
      <c r="A1343" s="187"/>
      <c r="B1343" s="187"/>
      <c r="C1343" s="187"/>
      <c r="D1343" s="187"/>
      <c r="E1343" s="187" t="s">
        <v>756</v>
      </c>
      <c r="F1343" s="188">
        <v>1.81</v>
      </c>
      <c r="G1343" s="187" t="s">
        <v>757</v>
      </c>
      <c r="H1343" s="188">
        <v>0</v>
      </c>
      <c r="I1343" s="242" t="s">
        <v>758</v>
      </c>
      <c r="J1343" s="242">
        <v>1.81</v>
      </c>
    </row>
    <row r="1344" spans="1:10" x14ac:dyDescent="0.25">
      <c r="A1344" s="187"/>
      <c r="B1344" s="187"/>
      <c r="C1344" s="187"/>
      <c r="D1344" s="187"/>
      <c r="E1344" s="187" t="s">
        <v>759</v>
      </c>
      <c r="F1344" s="188">
        <v>0</v>
      </c>
      <c r="G1344" s="187"/>
      <c r="H1344" s="187" t="s">
        <v>760</v>
      </c>
      <c r="I1344" s="242"/>
      <c r="J1344" s="242">
        <v>18.47</v>
      </c>
    </row>
    <row r="1345" spans="1:10" x14ac:dyDescent="0.25">
      <c r="A1345" s="182"/>
      <c r="B1345" s="182"/>
      <c r="C1345" s="182"/>
      <c r="D1345" s="182"/>
      <c r="E1345" s="182"/>
      <c r="F1345" s="182"/>
      <c r="G1345" s="182" t="s">
        <v>761</v>
      </c>
      <c r="H1345" s="189" t="s">
        <v>1260</v>
      </c>
      <c r="I1345" s="239" t="s">
        <v>763</v>
      </c>
      <c r="J1345" s="239">
        <v>55.41</v>
      </c>
    </row>
    <row r="1346" spans="1:10" x14ac:dyDescent="0.25">
      <c r="A1346" s="183"/>
      <c r="B1346" s="183"/>
      <c r="C1346" s="183"/>
      <c r="D1346" s="183"/>
      <c r="E1346" s="183"/>
      <c r="F1346" s="183"/>
      <c r="G1346" s="183"/>
      <c r="H1346" s="183"/>
      <c r="I1346" s="240"/>
      <c r="J1346" s="240"/>
    </row>
    <row r="1347" spans="1:10" x14ac:dyDescent="0.25">
      <c r="A1347" s="190" t="s">
        <v>1677</v>
      </c>
      <c r="B1347" s="190"/>
      <c r="C1347" s="190"/>
      <c r="D1347" s="190" t="s">
        <v>507</v>
      </c>
      <c r="E1347" s="190"/>
      <c r="F1347" s="190"/>
      <c r="G1347" s="190"/>
      <c r="H1347" s="190"/>
      <c r="I1347" s="243"/>
      <c r="J1347" s="243">
        <v>2173.71</v>
      </c>
    </row>
    <row r="1348" spans="1:10" x14ac:dyDescent="0.25">
      <c r="A1348" s="182" t="s">
        <v>1678</v>
      </c>
      <c r="B1348" s="182" t="s">
        <v>66</v>
      </c>
      <c r="C1348" s="182" t="s">
        <v>64</v>
      </c>
      <c r="D1348" s="182" t="s">
        <v>67</v>
      </c>
      <c r="E1348" s="182" t="s">
        <v>65</v>
      </c>
      <c r="F1348" s="182"/>
      <c r="G1348" s="182" t="s">
        <v>744</v>
      </c>
      <c r="H1348" s="182" t="s">
        <v>69</v>
      </c>
      <c r="I1348" s="239" t="s">
        <v>745</v>
      </c>
      <c r="J1348" s="239" t="s">
        <v>0</v>
      </c>
    </row>
    <row r="1349" spans="1:10" ht="71.25" x14ac:dyDescent="0.25">
      <c r="A1349" s="183" t="s">
        <v>58</v>
      </c>
      <c r="B1349" s="183" t="s">
        <v>1679</v>
      </c>
      <c r="C1349" s="183" t="s">
        <v>59</v>
      </c>
      <c r="D1349" s="183" t="s">
        <v>1680</v>
      </c>
      <c r="E1349" s="183" t="s">
        <v>1681</v>
      </c>
      <c r="F1349" s="183"/>
      <c r="G1349" s="183" t="s">
        <v>61</v>
      </c>
      <c r="H1349" s="184">
        <v>1</v>
      </c>
      <c r="I1349" s="240">
        <v>12.66</v>
      </c>
      <c r="J1349" s="240">
        <v>12.66</v>
      </c>
    </row>
    <row r="1350" spans="1:10" ht="42.75" x14ac:dyDescent="0.25">
      <c r="A1350" s="185" t="s">
        <v>119</v>
      </c>
      <c r="B1350" s="185" t="s">
        <v>1479</v>
      </c>
      <c r="C1350" s="185" t="s">
        <v>59</v>
      </c>
      <c r="D1350" s="185" t="s">
        <v>1480</v>
      </c>
      <c r="E1350" s="185" t="s">
        <v>754</v>
      </c>
      <c r="F1350" s="185"/>
      <c r="G1350" s="185" t="s">
        <v>60</v>
      </c>
      <c r="H1350" s="186">
        <v>0.152</v>
      </c>
      <c r="I1350" s="241">
        <v>22.16</v>
      </c>
      <c r="J1350" s="241">
        <v>3.36</v>
      </c>
    </row>
    <row r="1351" spans="1:10" ht="42.75" x14ac:dyDescent="0.25">
      <c r="A1351" s="185" t="s">
        <v>119</v>
      </c>
      <c r="B1351" s="185" t="s">
        <v>1481</v>
      </c>
      <c r="C1351" s="185" t="s">
        <v>59</v>
      </c>
      <c r="D1351" s="185" t="s">
        <v>1482</v>
      </c>
      <c r="E1351" s="185" t="s">
        <v>754</v>
      </c>
      <c r="F1351" s="185"/>
      <c r="G1351" s="185" t="s">
        <v>60</v>
      </c>
      <c r="H1351" s="186">
        <v>0.152</v>
      </c>
      <c r="I1351" s="241">
        <v>31.42</v>
      </c>
      <c r="J1351" s="241">
        <v>4.7699999999999996</v>
      </c>
    </row>
    <row r="1352" spans="1:10" ht="42.75" x14ac:dyDescent="0.25">
      <c r="A1352" s="191" t="s">
        <v>62</v>
      </c>
      <c r="B1352" s="191" t="s">
        <v>1551</v>
      </c>
      <c r="C1352" s="191" t="s">
        <v>59</v>
      </c>
      <c r="D1352" s="191" t="s">
        <v>1552</v>
      </c>
      <c r="E1352" s="191" t="s">
        <v>120</v>
      </c>
      <c r="F1352" s="191"/>
      <c r="G1352" s="191" t="s">
        <v>61</v>
      </c>
      <c r="H1352" s="192">
        <v>8.0000000000000002E-3</v>
      </c>
      <c r="I1352" s="244">
        <v>71.48</v>
      </c>
      <c r="J1352" s="244">
        <v>0.56999999999999995</v>
      </c>
    </row>
    <row r="1353" spans="1:10" ht="28.5" x14ac:dyDescent="0.25">
      <c r="A1353" s="191" t="s">
        <v>62</v>
      </c>
      <c r="B1353" s="191" t="s">
        <v>1483</v>
      </c>
      <c r="C1353" s="191" t="s">
        <v>59</v>
      </c>
      <c r="D1353" s="191" t="s">
        <v>1484</v>
      </c>
      <c r="E1353" s="191" t="s">
        <v>120</v>
      </c>
      <c r="F1353" s="191"/>
      <c r="G1353" s="191" t="s">
        <v>61</v>
      </c>
      <c r="H1353" s="192">
        <v>3.3799999999999997E-2</v>
      </c>
      <c r="I1353" s="244">
        <v>2</v>
      </c>
      <c r="J1353" s="244">
        <v>0.06</v>
      </c>
    </row>
    <row r="1354" spans="1:10" ht="28.5" x14ac:dyDescent="0.25">
      <c r="A1354" s="191" t="s">
        <v>62</v>
      </c>
      <c r="B1354" s="191" t="s">
        <v>1549</v>
      </c>
      <c r="C1354" s="191" t="s">
        <v>59</v>
      </c>
      <c r="D1354" s="191" t="s">
        <v>1550</v>
      </c>
      <c r="E1354" s="191" t="s">
        <v>120</v>
      </c>
      <c r="F1354" s="191"/>
      <c r="G1354" s="191" t="s">
        <v>61</v>
      </c>
      <c r="H1354" s="192">
        <v>7.1000000000000004E-3</v>
      </c>
      <c r="I1354" s="244">
        <v>63.09</v>
      </c>
      <c r="J1354" s="244">
        <v>0.44</v>
      </c>
    </row>
    <row r="1355" spans="1:10" ht="57" x14ac:dyDescent="0.25">
      <c r="A1355" s="191" t="s">
        <v>62</v>
      </c>
      <c r="B1355" s="191" t="s">
        <v>1682</v>
      </c>
      <c r="C1355" s="191" t="s">
        <v>59</v>
      </c>
      <c r="D1355" s="191" t="s">
        <v>1683</v>
      </c>
      <c r="E1355" s="191" t="s">
        <v>120</v>
      </c>
      <c r="F1355" s="191"/>
      <c r="G1355" s="191" t="s">
        <v>61</v>
      </c>
      <c r="H1355" s="192">
        <v>1</v>
      </c>
      <c r="I1355" s="244">
        <v>3.46</v>
      </c>
      <c r="J1355" s="244">
        <v>3.46</v>
      </c>
    </row>
    <row r="1356" spans="1:10" x14ac:dyDescent="0.25">
      <c r="A1356" s="187"/>
      <c r="B1356" s="187"/>
      <c r="C1356" s="187"/>
      <c r="D1356" s="187"/>
      <c r="E1356" s="187" t="s">
        <v>756</v>
      </c>
      <c r="F1356" s="188">
        <v>6.05</v>
      </c>
      <c r="G1356" s="187" t="s">
        <v>757</v>
      </c>
      <c r="H1356" s="188">
        <v>0</v>
      </c>
      <c r="I1356" s="242" t="s">
        <v>758</v>
      </c>
      <c r="J1356" s="242">
        <v>6.05</v>
      </c>
    </row>
    <row r="1357" spans="1:10" x14ac:dyDescent="0.25">
      <c r="A1357" s="187"/>
      <c r="B1357" s="187"/>
      <c r="C1357" s="187"/>
      <c r="D1357" s="187"/>
      <c r="E1357" s="187" t="s">
        <v>759</v>
      </c>
      <c r="F1357" s="188">
        <v>0</v>
      </c>
      <c r="G1357" s="187"/>
      <c r="H1357" s="187" t="s">
        <v>760</v>
      </c>
      <c r="I1357" s="242"/>
      <c r="J1357" s="242">
        <v>12.66</v>
      </c>
    </row>
    <row r="1358" spans="1:10" x14ac:dyDescent="0.25">
      <c r="A1358" s="182"/>
      <c r="B1358" s="182"/>
      <c r="C1358" s="182"/>
      <c r="D1358" s="182"/>
      <c r="E1358" s="182"/>
      <c r="F1358" s="182"/>
      <c r="G1358" s="182" t="s">
        <v>761</v>
      </c>
      <c r="H1358" s="189" t="s">
        <v>762</v>
      </c>
      <c r="I1358" s="239" t="s">
        <v>763</v>
      </c>
      <c r="J1358" s="239">
        <v>12.66</v>
      </c>
    </row>
    <row r="1359" spans="1:10" x14ac:dyDescent="0.25">
      <c r="A1359" s="183"/>
      <c r="B1359" s="183"/>
      <c r="C1359" s="183"/>
      <c r="D1359" s="183"/>
      <c r="E1359" s="183"/>
      <c r="F1359" s="183"/>
      <c r="G1359" s="183"/>
      <c r="H1359" s="183"/>
      <c r="I1359" s="240"/>
      <c r="J1359" s="240"/>
    </row>
    <row r="1360" spans="1:10" x14ac:dyDescent="0.25">
      <c r="A1360" s="182" t="s">
        <v>1684</v>
      </c>
      <c r="B1360" s="182" t="s">
        <v>66</v>
      </c>
      <c r="C1360" s="182" t="s">
        <v>64</v>
      </c>
      <c r="D1360" s="182" t="s">
        <v>67</v>
      </c>
      <c r="E1360" s="182" t="s">
        <v>65</v>
      </c>
      <c r="F1360" s="182"/>
      <c r="G1360" s="182" t="s">
        <v>744</v>
      </c>
      <c r="H1360" s="182" t="s">
        <v>69</v>
      </c>
      <c r="I1360" s="239" t="s">
        <v>745</v>
      </c>
      <c r="J1360" s="239" t="s">
        <v>0</v>
      </c>
    </row>
    <row r="1361" spans="1:10" ht="71.25" x14ac:dyDescent="0.25">
      <c r="A1361" s="183" t="s">
        <v>58</v>
      </c>
      <c r="B1361" s="183" t="s">
        <v>1685</v>
      </c>
      <c r="C1361" s="183" t="s">
        <v>59</v>
      </c>
      <c r="D1361" s="183" t="s">
        <v>1686</v>
      </c>
      <c r="E1361" s="183" t="s">
        <v>1681</v>
      </c>
      <c r="F1361" s="183"/>
      <c r="G1361" s="183" t="s">
        <v>116</v>
      </c>
      <c r="H1361" s="184">
        <v>1</v>
      </c>
      <c r="I1361" s="240">
        <v>25.56</v>
      </c>
      <c r="J1361" s="240">
        <v>25.56</v>
      </c>
    </row>
    <row r="1362" spans="1:10" ht="42.75" x14ac:dyDescent="0.25">
      <c r="A1362" s="185" t="s">
        <v>119</v>
      </c>
      <c r="B1362" s="185" t="s">
        <v>1481</v>
      </c>
      <c r="C1362" s="185" t="s">
        <v>59</v>
      </c>
      <c r="D1362" s="185" t="s">
        <v>1482</v>
      </c>
      <c r="E1362" s="185" t="s">
        <v>754</v>
      </c>
      <c r="F1362" s="185"/>
      <c r="G1362" s="185" t="s">
        <v>60</v>
      </c>
      <c r="H1362" s="186">
        <v>0.38</v>
      </c>
      <c r="I1362" s="241">
        <v>31.42</v>
      </c>
      <c r="J1362" s="241">
        <v>11.93</v>
      </c>
    </row>
    <row r="1363" spans="1:10" ht="42.75" x14ac:dyDescent="0.25">
      <c r="A1363" s="185" t="s">
        <v>119</v>
      </c>
      <c r="B1363" s="185" t="s">
        <v>1479</v>
      </c>
      <c r="C1363" s="185" t="s">
        <v>59</v>
      </c>
      <c r="D1363" s="185" t="s">
        <v>1480</v>
      </c>
      <c r="E1363" s="185" t="s">
        <v>754</v>
      </c>
      <c r="F1363" s="185"/>
      <c r="G1363" s="185" t="s">
        <v>60</v>
      </c>
      <c r="H1363" s="186">
        <v>0.38</v>
      </c>
      <c r="I1363" s="241">
        <v>22.16</v>
      </c>
      <c r="J1363" s="241">
        <v>8.42</v>
      </c>
    </row>
    <row r="1364" spans="1:10" ht="28.5" x14ac:dyDescent="0.25">
      <c r="A1364" s="191" t="s">
        <v>62</v>
      </c>
      <c r="B1364" s="191" t="s">
        <v>1687</v>
      </c>
      <c r="C1364" s="191" t="s">
        <v>59</v>
      </c>
      <c r="D1364" s="191" t="s">
        <v>1688</v>
      </c>
      <c r="E1364" s="191" t="s">
        <v>120</v>
      </c>
      <c r="F1364" s="191"/>
      <c r="G1364" s="191" t="s">
        <v>116</v>
      </c>
      <c r="H1364" s="192">
        <v>1.0492999999999999</v>
      </c>
      <c r="I1364" s="244">
        <v>4.8099999999999996</v>
      </c>
      <c r="J1364" s="244">
        <v>5.04</v>
      </c>
    </row>
    <row r="1365" spans="1:10" ht="28.5" x14ac:dyDescent="0.25">
      <c r="A1365" s="191" t="s">
        <v>62</v>
      </c>
      <c r="B1365" s="191" t="s">
        <v>1483</v>
      </c>
      <c r="C1365" s="191" t="s">
        <v>59</v>
      </c>
      <c r="D1365" s="191" t="s">
        <v>1484</v>
      </c>
      <c r="E1365" s="191" t="s">
        <v>120</v>
      </c>
      <c r="F1365" s="191"/>
      <c r="G1365" s="191" t="s">
        <v>61</v>
      </c>
      <c r="H1365" s="192">
        <v>8.8599999999999998E-2</v>
      </c>
      <c r="I1365" s="244">
        <v>2</v>
      </c>
      <c r="J1365" s="244">
        <v>0.17</v>
      </c>
    </row>
    <row r="1366" spans="1:10" x14ac:dyDescent="0.25">
      <c r="A1366" s="187"/>
      <c r="B1366" s="187"/>
      <c r="C1366" s="187"/>
      <c r="D1366" s="187"/>
      <c r="E1366" s="187" t="s">
        <v>756</v>
      </c>
      <c r="F1366" s="188">
        <v>15.14</v>
      </c>
      <c r="G1366" s="187" t="s">
        <v>757</v>
      </c>
      <c r="H1366" s="188">
        <v>0</v>
      </c>
      <c r="I1366" s="242" t="s">
        <v>758</v>
      </c>
      <c r="J1366" s="242">
        <v>15.14</v>
      </c>
    </row>
    <row r="1367" spans="1:10" x14ac:dyDescent="0.25">
      <c r="A1367" s="187"/>
      <c r="B1367" s="187"/>
      <c r="C1367" s="187"/>
      <c r="D1367" s="187"/>
      <c r="E1367" s="187" t="s">
        <v>759</v>
      </c>
      <c r="F1367" s="188">
        <v>0</v>
      </c>
      <c r="G1367" s="187"/>
      <c r="H1367" s="187" t="s">
        <v>760</v>
      </c>
      <c r="I1367" s="242"/>
      <c r="J1367" s="242">
        <v>25.56</v>
      </c>
    </row>
    <row r="1368" spans="1:10" x14ac:dyDescent="0.25">
      <c r="A1368" s="182"/>
      <c r="B1368" s="182"/>
      <c r="C1368" s="182"/>
      <c r="D1368" s="182"/>
      <c r="E1368" s="182"/>
      <c r="F1368" s="182"/>
      <c r="G1368" s="182" t="s">
        <v>761</v>
      </c>
      <c r="H1368" s="189" t="s">
        <v>1689</v>
      </c>
      <c r="I1368" s="239" t="s">
        <v>763</v>
      </c>
      <c r="J1368" s="239">
        <v>240.77</v>
      </c>
    </row>
    <row r="1369" spans="1:10" x14ac:dyDescent="0.25">
      <c r="A1369" s="183"/>
      <c r="B1369" s="183"/>
      <c r="C1369" s="183"/>
      <c r="D1369" s="183"/>
      <c r="E1369" s="183"/>
      <c r="F1369" s="183"/>
      <c r="G1369" s="183"/>
      <c r="H1369" s="183"/>
      <c r="I1369" s="240"/>
      <c r="J1369" s="240"/>
    </row>
    <row r="1370" spans="1:10" x14ac:dyDescent="0.25">
      <c r="A1370" s="182" t="s">
        <v>1690</v>
      </c>
      <c r="B1370" s="182" t="s">
        <v>66</v>
      </c>
      <c r="C1370" s="182" t="s">
        <v>64</v>
      </c>
      <c r="D1370" s="182" t="s">
        <v>67</v>
      </c>
      <c r="E1370" s="182" t="s">
        <v>65</v>
      </c>
      <c r="F1370" s="182"/>
      <c r="G1370" s="182" t="s">
        <v>744</v>
      </c>
      <c r="H1370" s="182" t="s">
        <v>69</v>
      </c>
      <c r="I1370" s="239" t="s">
        <v>745</v>
      </c>
      <c r="J1370" s="239" t="s">
        <v>0</v>
      </c>
    </row>
    <row r="1371" spans="1:10" ht="71.25" x14ac:dyDescent="0.25">
      <c r="A1371" s="183" t="s">
        <v>58</v>
      </c>
      <c r="B1371" s="183" t="s">
        <v>1691</v>
      </c>
      <c r="C1371" s="183" t="s">
        <v>59</v>
      </c>
      <c r="D1371" s="183" t="s">
        <v>1692</v>
      </c>
      <c r="E1371" s="183" t="s">
        <v>1559</v>
      </c>
      <c r="F1371" s="183"/>
      <c r="G1371" s="183" t="s">
        <v>61</v>
      </c>
      <c r="H1371" s="184">
        <v>1</v>
      </c>
      <c r="I1371" s="240">
        <v>154.25</v>
      </c>
      <c r="J1371" s="240">
        <v>154.25</v>
      </c>
    </row>
    <row r="1372" spans="1:10" ht="42.75" x14ac:dyDescent="0.25">
      <c r="A1372" s="185" t="s">
        <v>119</v>
      </c>
      <c r="B1372" s="185" t="s">
        <v>1481</v>
      </c>
      <c r="C1372" s="185" t="s">
        <v>59</v>
      </c>
      <c r="D1372" s="185" t="s">
        <v>1482</v>
      </c>
      <c r="E1372" s="185" t="s">
        <v>754</v>
      </c>
      <c r="F1372" s="185"/>
      <c r="G1372" s="185" t="s">
        <v>60</v>
      </c>
      <c r="H1372" s="186">
        <v>9.6000000000000002E-2</v>
      </c>
      <c r="I1372" s="241">
        <v>31.42</v>
      </c>
      <c r="J1372" s="241">
        <v>3.01</v>
      </c>
    </row>
    <row r="1373" spans="1:10" ht="28.5" x14ac:dyDescent="0.25">
      <c r="A1373" s="185" t="s">
        <v>119</v>
      </c>
      <c r="B1373" s="185" t="s">
        <v>769</v>
      </c>
      <c r="C1373" s="185" t="s">
        <v>59</v>
      </c>
      <c r="D1373" s="185" t="s">
        <v>115</v>
      </c>
      <c r="E1373" s="185" t="s">
        <v>754</v>
      </c>
      <c r="F1373" s="185"/>
      <c r="G1373" s="185" t="s">
        <v>60</v>
      </c>
      <c r="H1373" s="186">
        <v>3.0300000000000001E-2</v>
      </c>
      <c r="I1373" s="241">
        <v>22.42</v>
      </c>
      <c r="J1373" s="241">
        <v>0.67</v>
      </c>
    </row>
    <row r="1374" spans="1:10" ht="42.75" x14ac:dyDescent="0.25">
      <c r="A1374" s="191" t="s">
        <v>62</v>
      </c>
      <c r="B1374" s="191" t="s">
        <v>1693</v>
      </c>
      <c r="C1374" s="191" t="s">
        <v>59</v>
      </c>
      <c r="D1374" s="191" t="s">
        <v>1694</v>
      </c>
      <c r="E1374" s="191" t="s">
        <v>120</v>
      </c>
      <c r="F1374" s="191"/>
      <c r="G1374" s="191" t="s">
        <v>61</v>
      </c>
      <c r="H1374" s="192">
        <v>1</v>
      </c>
      <c r="I1374" s="244">
        <v>150.51</v>
      </c>
      <c r="J1374" s="244">
        <v>150.51</v>
      </c>
    </row>
    <row r="1375" spans="1:10" ht="28.5" x14ac:dyDescent="0.25">
      <c r="A1375" s="191" t="s">
        <v>62</v>
      </c>
      <c r="B1375" s="191" t="s">
        <v>1560</v>
      </c>
      <c r="C1375" s="191" t="s">
        <v>59</v>
      </c>
      <c r="D1375" s="191" t="s">
        <v>1561</v>
      </c>
      <c r="E1375" s="191" t="s">
        <v>120</v>
      </c>
      <c r="F1375" s="191"/>
      <c r="G1375" s="191" t="s">
        <v>61</v>
      </c>
      <c r="H1375" s="192">
        <v>2.1000000000000001E-2</v>
      </c>
      <c r="I1375" s="244">
        <v>3.3</v>
      </c>
      <c r="J1375" s="244">
        <v>0.06</v>
      </c>
    </row>
    <row r="1376" spans="1:10" x14ac:dyDescent="0.25">
      <c r="A1376" s="187"/>
      <c r="B1376" s="187"/>
      <c r="C1376" s="187"/>
      <c r="D1376" s="187"/>
      <c r="E1376" s="187" t="s">
        <v>756</v>
      </c>
      <c r="F1376" s="188">
        <v>2.8</v>
      </c>
      <c r="G1376" s="187" t="s">
        <v>757</v>
      </c>
      <c r="H1376" s="188">
        <v>0</v>
      </c>
      <c r="I1376" s="242" t="s">
        <v>758</v>
      </c>
      <c r="J1376" s="242">
        <v>2.8</v>
      </c>
    </row>
    <row r="1377" spans="1:10" x14ac:dyDescent="0.25">
      <c r="A1377" s="187"/>
      <c r="B1377" s="187"/>
      <c r="C1377" s="187"/>
      <c r="D1377" s="187"/>
      <c r="E1377" s="187" t="s">
        <v>759</v>
      </c>
      <c r="F1377" s="188">
        <v>0</v>
      </c>
      <c r="G1377" s="187"/>
      <c r="H1377" s="187" t="s">
        <v>760</v>
      </c>
      <c r="I1377" s="242"/>
      <c r="J1377" s="242">
        <v>154.25</v>
      </c>
    </row>
    <row r="1378" spans="1:10" x14ac:dyDescent="0.25">
      <c r="A1378" s="182"/>
      <c r="B1378" s="182"/>
      <c r="C1378" s="182"/>
      <c r="D1378" s="182"/>
      <c r="E1378" s="182"/>
      <c r="F1378" s="182"/>
      <c r="G1378" s="182" t="s">
        <v>761</v>
      </c>
      <c r="H1378" s="189" t="s">
        <v>1538</v>
      </c>
      <c r="I1378" s="239" t="s">
        <v>763</v>
      </c>
      <c r="J1378" s="239">
        <v>308.5</v>
      </c>
    </row>
    <row r="1379" spans="1:10" x14ac:dyDescent="0.25">
      <c r="A1379" s="183"/>
      <c r="B1379" s="183"/>
      <c r="C1379" s="183"/>
      <c r="D1379" s="183"/>
      <c r="E1379" s="183"/>
      <c r="F1379" s="183"/>
      <c r="G1379" s="183"/>
      <c r="H1379" s="183"/>
      <c r="I1379" s="240"/>
      <c r="J1379" s="240"/>
    </row>
    <row r="1380" spans="1:10" x14ac:dyDescent="0.25">
      <c r="A1380" s="182" t="s">
        <v>1695</v>
      </c>
      <c r="B1380" s="182" t="s">
        <v>66</v>
      </c>
      <c r="C1380" s="182" t="s">
        <v>64</v>
      </c>
      <c r="D1380" s="182" t="s">
        <v>67</v>
      </c>
      <c r="E1380" s="182" t="s">
        <v>65</v>
      </c>
      <c r="F1380" s="182"/>
      <c r="G1380" s="182" t="s">
        <v>744</v>
      </c>
      <c r="H1380" s="182" t="s">
        <v>69</v>
      </c>
      <c r="I1380" s="239" t="s">
        <v>745</v>
      </c>
      <c r="J1380" s="239" t="s">
        <v>0</v>
      </c>
    </row>
    <row r="1381" spans="1:10" ht="57" x14ac:dyDescent="0.25">
      <c r="A1381" s="183" t="s">
        <v>58</v>
      </c>
      <c r="B1381" s="183" t="s">
        <v>1696</v>
      </c>
      <c r="C1381" s="183" t="s">
        <v>59</v>
      </c>
      <c r="D1381" s="183" t="s">
        <v>1697</v>
      </c>
      <c r="E1381" s="183" t="s">
        <v>1559</v>
      </c>
      <c r="F1381" s="183"/>
      <c r="G1381" s="183" t="s">
        <v>61</v>
      </c>
      <c r="H1381" s="184">
        <v>1</v>
      </c>
      <c r="I1381" s="240">
        <v>513.45000000000005</v>
      </c>
      <c r="J1381" s="240">
        <v>513.45000000000005</v>
      </c>
    </row>
    <row r="1382" spans="1:10" ht="42.75" x14ac:dyDescent="0.25">
      <c r="A1382" s="185" t="s">
        <v>119</v>
      </c>
      <c r="B1382" s="185" t="s">
        <v>1481</v>
      </c>
      <c r="C1382" s="185" t="s">
        <v>59</v>
      </c>
      <c r="D1382" s="185" t="s">
        <v>1482</v>
      </c>
      <c r="E1382" s="185" t="s">
        <v>754</v>
      </c>
      <c r="F1382" s="185"/>
      <c r="G1382" s="185" t="s">
        <v>60</v>
      </c>
      <c r="H1382" s="186">
        <v>0.77910000000000001</v>
      </c>
      <c r="I1382" s="241">
        <v>31.42</v>
      </c>
      <c r="J1382" s="241">
        <v>24.47</v>
      </c>
    </row>
    <row r="1383" spans="1:10" ht="28.5" x14ac:dyDescent="0.25">
      <c r="A1383" s="185" t="s">
        <v>119</v>
      </c>
      <c r="B1383" s="185" t="s">
        <v>769</v>
      </c>
      <c r="C1383" s="185" t="s">
        <v>59</v>
      </c>
      <c r="D1383" s="185" t="s">
        <v>115</v>
      </c>
      <c r="E1383" s="185" t="s">
        <v>754</v>
      </c>
      <c r="F1383" s="185"/>
      <c r="G1383" s="185" t="s">
        <v>60</v>
      </c>
      <c r="H1383" s="186">
        <v>0.43840000000000001</v>
      </c>
      <c r="I1383" s="241">
        <v>22.42</v>
      </c>
      <c r="J1383" s="241">
        <v>9.82</v>
      </c>
    </row>
    <row r="1384" spans="1:10" ht="42.75" x14ac:dyDescent="0.25">
      <c r="A1384" s="191" t="s">
        <v>62</v>
      </c>
      <c r="B1384" s="191" t="s">
        <v>1698</v>
      </c>
      <c r="C1384" s="191" t="s">
        <v>59</v>
      </c>
      <c r="D1384" s="191" t="s">
        <v>1699</v>
      </c>
      <c r="E1384" s="191" t="s">
        <v>120</v>
      </c>
      <c r="F1384" s="191"/>
      <c r="G1384" s="191" t="s">
        <v>61</v>
      </c>
      <c r="H1384" s="192">
        <v>1</v>
      </c>
      <c r="I1384" s="244">
        <v>12.26</v>
      </c>
      <c r="J1384" s="244">
        <v>12.26</v>
      </c>
    </row>
    <row r="1385" spans="1:10" ht="28.5" x14ac:dyDescent="0.25">
      <c r="A1385" s="191" t="s">
        <v>62</v>
      </c>
      <c r="B1385" s="191" t="s">
        <v>1700</v>
      </c>
      <c r="C1385" s="191" t="s">
        <v>59</v>
      </c>
      <c r="D1385" s="191" t="s">
        <v>1701</v>
      </c>
      <c r="E1385" s="191" t="s">
        <v>120</v>
      </c>
      <c r="F1385" s="191"/>
      <c r="G1385" s="191" t="s">
        <v>121</v>
      </c>
      <c r="H1385" s="192">
        <v>8.8099999999999998E-2</v>
      </c>
      <c r="I1385" s="244">
        <v>98.93</v>
      </c>
      <c r="J1385" s="244">
        <v>8.7100000000000009</v>
      </c>
    </row>
    <row r="1386" spans="1:10" ht="57" x14ac:dyDescent="0.25">
      <c r="A1386" s="191" t="s">
        <v>62</v>
      </c>
      <c r="B1386" s="191" t="s">
        <v>1702</v>
      </c>
      <c r="C1386" s="191" t="s">
        <v>59</v>
      </c>
      <c r="D1386" s="191" t="s">
        <v>1703</v>
      </c>
      <c r="E1386" s="191" t="s">
        <v>120</v>
      </c>
      <c r="F1386" s="191"/>
      <c r="G1386" s="191" t="s">
        <v>61</v>
      </c>
      <c r="H1386" s="192">
        <v>1</v>
      </c>
      <c r="I1386" s="244">
        <v>416.63</v>
      </c>
      <c r="J1386" s="244">
        <v>416.63</v>
      </c>
    </row>
    <row r="1387" spans="1:10" ht="71.25" x14ac:dyDescent="0.25">
      <c r="A1387" s="191" t="s">
        <v>62</v>
      </c>
      <c r="B1387" s="191" t="s">
        <v>1704</v>
      </c>
      <c r="C1387" s="191" t="s">
        <v>59</v>
      </c>
      <c r="D1387" s="191" t="s">
        <v>1705</v>
      </c>
      <c r="E1387" s="191" t="s">
        <v>120</v>
      </c>
      <c r="F1387" s="191"/>
      <c r="G1387" s="191" t="s">
        <v>61</v>
      </c>
      <c r="H1387" s="192">
        <v>2</v>
      </c>
      <c r="I1387" s="244">
        <v>20.78</v>
      </c>
      <c r="J1387" s="244">
        <v>41.56</v>
      </c>
    </row>
    <row r="1388" spans="1:10" x14ac:dyDescent="0.25">
      <c r="A1388" s="187"/>
      <c r="B1388" s="187"/>
      <c r="C1388" s="187"/>
      <c r="D1388" s="187"/>
      <c r="E1388" s="187" t="s">
        <v>756</v>
      </c>
      <c r="F1388" s="188">
        <v>25.7</v>
      </c>
      <c r="G1388" s="187" t="s">
        <v>757</v>
      </c>
      <c r="H1388" s="188">
        <v>0</v>
      </c>
      <c r="I1388" s="242" t="s">
        <v>758</v>
      </c>
      <c r="J1388" s="242">
        <v>25.7</v>
      </c>
    </row>
    <row r="1389" spans="1:10" x14ac:dyDescent="0.25">
      <c r="A1389" s="187"/>
      <c r="B1389" s="187"/>
      <c r="C1389" s="187"/>
      <c r="D1389" s="187"/>
      <c r="E1389" s="187" t="s">
        <v>759</v>
      </c>
      <c r="F1389" s="188">
        <v>0</v>
      </c>
      <c r="G1389" s="187"/>
      <c r="H1389" s="187" t="s">
        <v>760</v>
      </c>
      <c r="I1389" s="242"/>
      <c r="J1389" s="242">
        <v>513.45000000000005</v>
      </c>
    </row>
    <row r="1390" spans="1:10" x14ac:dyDescent="0.25">
      <c r="A1390" s="182"/>
      <c r="B1390" s="182"/>
      <c r="C1390" s="182"/>
      <c r="D1390" s="182"/>
      <c r="E1390" s="182"/>
      <c r="F1390" s="182"/>
      <c r="G1390" s="182" t="s">
        <v>761</v>
      </c>
      <c r="H1390" s="189" t="s">
        <v>1538</v>
      </c>
      <c r="I1390" s="239" t="s">
        <v>763</v>
      </c>
      <c r="J1390" s="239">
        <v>1026.9000000000001</v>
      </c>
    </row>
    <row r="1391" spans="1:10" x14ac:dyDescent="0.25">
      <c r="A1391" s="183"/>
      <c r="B1391" s="183"/>
      <c r="C1391" s="183"/>
      <c r="D1391" s="183"/>
      <c r="E1391" s="183"/>
      <c r="F1391" s="183"/>
      <c r="G1391" s="183"/>
      <c r="H1391" s="183"/>
      <c r="I1391" s="240"/>
      <c r="J1391" s="240"/>
    </row>
    <row r="1392" spans="1:10" x14ac:dyDescent="0.25">
      <c r="A1392" s="182" t="s">
        <v>1706</v>
      </c>
      <c r="B1392" s="182" t="s">
        <v>66</v>
      </c>
      <c r="C1392" s="182" t="s">
        <v>64</v>
      </c>
      <c r="D1392" s="182" t="s">
        <v>67</v>
      </c>
      <c r="E1392" s="182" t="s">
        <v>65</v>
      </c>
      <c r="F1392" s="182"/>
      <c r="G1392" s="182" t="s">
        <v>744</v>
      </c>
      <c r="H1392" s="182" t="s">
        <v>69</v>
      </c>
      <c r="I1392" s="239" t="s">
        <v>745</v>
      </c>
      <c r="J1392" s="239" t="s">
        <v>0</v>
      </c>
    </row>
    <row r="1393" spans="1:10" ht="28.5" x14ac:dyDescent="0.25">
      <c r="A1393" s="183" t="s">
        <v>58</v>
      </c>
      <c r="B1393" s="183" t="s">
        <v>1707</v>
      </c>
      <c r="C1393" s="183" t="s">
        <v>785</v>
      </c>
      <c r="D1393" s="183" t="s">
        <v>1708</v>
      </c>
      <c r="E1393" s="183">
        <v>809</v>
      </c>
      <c r="F1393" s="183"/>
      <c r="G1393" s="183" t="s">
        <v>1498</v>
      </c>
      <c r="H1393" s="184">
        <v>1</v>
      </c>
      <c r="I1393" s="240">
        <v>133.19999999999999</v>
      </c>
      <c r="J1393" s="240">
        <v>133.19999999999999</v>
      </c>
    </row>
    <row r="1394" spans="1:10" ht="28.5" x14ac:dyDescent="0.25">
      <c r="A1394" s="191" t="s">
        <v>62</v>
      </c>
      <c r="B1394" s="191" t="s">
        <v>1709</v>
      </c>
      <c r="C1394" s="191" t="s">
        <v>785</v>
      </c>
      <c r="D1394" s="191" t="s">
        <v>1710</v>
      </c>
      <c r="E1394" s="191" t="s">
        <v>120</v>
      </c>
      <c r="F1394" s="191"/>
      <c r="G1394" s="191" t="s">
        <v>129</v>
      </c>
      <c r="H1394" s="192">
        <v>1</v>
      </c>
      <c r="I1394" s="244">
        <v>101.26</v>
      </c>
      <c r="J1394" s="244">
        <v>101.26</v>
      </c>
    </row>
    <row r="1395" spans="1:10" ht="28.5" x14ac:dyDescent="0.25">
      <c r="A1395" s="191" t="s">
        <v>62</v>
      </c>
      <c r="B1395" s="191" t="s">
        <v>1567</v>
      </c>
      <c r="C1395" s="191" t="s">
        <v>785</v>
      </c>
      <c r="D1395" s="191" t="s">
        <v>1568</v>
      </c>
      <c r="E1395" s="191" t="s">
        <v>120</v>
      </c>
      <c r="F1395" s="191"/>
      <c r="G1395" s="191" t="s">
        <v>113</v>
      </c>
      <c r="H1395" s="192">
        <v>0.94</v>
      </c>
      <c r="I1395" s="244">
        <v>0.35</v>
      </c>
      <c r="J1395" s="244">
        <v>0.32</v>
      </c>
    </row>
    <row r="1396" spans="1:10" ht="28.5" x14ac:dyDescent="0.25">
      <c r="A1396" s="191" t="s">
        <v>62</v>
      </c>
      <c r="B1396" s="191" t="s">
        <v>1515</v>
      </c>
      <c r="C1396" s="191" t="s">
        <v>785</v>
      </c>
      <c r="D1396" s="191" t="s">
        <v>181</v>
      </c>
      <c r="E1396" s="191" t="s">
        <v>124</v>
      </c>
      <c r="F1396" s="191"/>
      <c r="G1396" s="191" t="s">
        <v>60</v>
      </c>
      <c r="H1396" s="192">
        <v>0.61</v>
      </c>
      <c r="I1396" s="244">
        <v>22.05</v>
      </c>
      <c r="J1396" s="244">
        <v>13.45</v>
      </c>
    </row>
    <row r="1397" spans="1:10" ht="28.5" x14ac:dyDescent="0.25">
      <c r="A1397" s="191" t="s">
        <v>62</v>
      </c>
      <c r="B1397" s="191" t="s">
        <v>1569</v>
      </c>
      <c r="C1397" s="191" t="s">
        <v>785</v>
      </c>
      <c r="D1397" s="191" t="s">
        <v>1570</v>
      </c>
      <c r="E1397" s="191" t="s">
        <v>124</v>
      </c>
      <c r="F1397" s="191"/>
      <c r="G1397" s="191" t="s">
        <v>60</v>
      </c>
      <c r="H1397" s="192">
        <v>0.61</v>
      </c>
      <c r="I1397" s="244">
        <v>29.79</v>
      </c>
      <c r="J1397" s="244">
        <v>18.170000000000002</v>
      </c>
    </row>
    <row r="1398" spans="1:10" x14ac:dyDescent="0.25">
      <c r="A1398" s="187"/>
      <c r="B1398" s="187"/>
      <c r="C1398" s="187"/>
      <c r="D1398" s="187"/>
      <c r="E1398" s="187" t="s">
        <v>756</v>
      </c>
      <c r="F1398" s="188">
        <v>31.62</v>
      </c>
      <c r="G1398" s="187" t="s">
        <v>757</v>
      </c>
      <c r="H1398" s="188">
        <v>0</v>
      </c>
      <c r="I1398" s="242" t="s">
        <v>758</v>
      </c>
      <c r="J1398" s="242">
        <v>31.62</v>
      </c>
    </row>
    <row r="1399" spans="1:10" x14ac:dyDescent="0.25">
      <c r="A1399" s="187"/>
      <c r="B1399" s="187"/>
      <c r="C1399" s="187"/>
      <c r="D1399" s="187"/>
      <c r="E1399" s="187" t="s">
        <v>759</v>
      </c>
      <c r="F1399" s="188">
        <v>0</v>
      </c>
      <c r="G1399" s="187"/>
      <c r="H1399" s="187" t="s">
        <v>760</v>
      </c>
      <c r="I1399" s="242"/>
      <c r="J1399" s="242">
        <v>133.19999999999999</v>
      </c>
    </row>
    <row r="1400" spans="1:10" x14ac:dyDescent="0.25">
      <c r="A1400" s="182"/>
      <c r="B1400" s="182"/>
      <c r="C1400" s="182"/>
      <c r="D1400" s="182"/>
      <c r="E1400" s="182"/>
      <c r="F1400" s="182"/>
      <c r="G1400" s="182" t="s">
        <v>761</v>
      </c>
      <c r="H1400" s="189" t="s">
        <v>1538</v>
      </c>
      <c r="I1400" s="239" t="s">
        <v>763</v>
      </c>
      <c r="J1400" s="239">
        <v>266.39999999999998</v>
      </c>
    </row>
    <row r="1401" spans="1:10" x14ac:dyDescent="0.25">
      <c r="A1401" s="183"/>
      <c r="B1401" s="183"/>
      <c r="C1401" s="183"/>
      <c r="D1401" s="183"/>
      <c r="E1401" s="183"/>
      <c r="F1401" s="183"/>
      <c r="G1401" s="183"/>
      <c r="H1401" s="183"/>
      <c r="I1401" s="240"/>
      <c r="J1401" s="240"/>
    </row>
    <row r="1402" spans="1:10" x14ac:dyDescent="0.25">
      <c r="A1402" s="182" t="s">
        <v>1711</v>
      </c>
      <c r="B1402" s="182" t="s">
        <v>66</v>
      </c>
      <c r="C1402" s="182" t="s">
        <v>64</v>
      </c>
      <c r="D1402" s="182" t="s">
        <v>67</v>
      </c>
      <c r="E1402" s="182" t="s">
        <v>65</v>
      </c>
      <c r="F1402" s="182"/>
      <c r="G1402" s="182" t="s">
        <v>744</v>
      </c>
      <c r="H1402" s="182" t="s">
        <v>69</v>
      </c>
      <c r="I1402" s="239" t="s">
        <v>745</v>
      </c>
      <c r="J1402" s="239" t="s">
        <v>0</v>
      </c>
    </row>
    <row r="1403" spans="1:10" ht="42.75" x14ac:dyDescent="0.25">
      <c r="A1403" s="183" t="s">
        <v>58</v>
      </c>
      <c r="B1403" s="183" t="s">
        <v>1712</v>
      </c>
      <c r="C1403" s="183" t="s">
        <v>59</v>
      </c>
      <c r="D1403" s="183" t="s">
        <v>1713</v>
      </c>
      <c r="E1403" s="183" t="s">
        <v>1559</v>
      </c>
      <c r="F1403" s="183"/>
      <c r="G1403" s="183" t="s">
        <v>61</v>
      </c>
      <c r="H1403" s="184">
        <v>1</v>
      </c>
      <c r="I1403" s="240">
        <v>55.78</v>
      </c>
      <c r="J1403" s="240">
        <v>55.78</v>
      </c>
    </row>
    <row r="1404" spans="1:10" ht="42.75" x14ac:dyDescent="0.25">
      <c r="A1404" s="185" t="s">
        <v>119</v>
      </c>
      <c r="B1404" s="185" t="s">
        <v>1481</v>
      </c>
      <c r="C1404" s="185" t="s">
        <v>59</v>
      </c>
      <c r="D1404" s="185" t="s">
        <v>1482</v>
      </c>
      <c r="E1404" s="185" t="s">
        <v>754</v>
      </c>
      <c r="F1404" s="185"/>
      <c r="G1404" s="185" t="s">
        <v>60</v>
      </c>
      <c r="H1404" s="186">
        <v>0.1525</v>
      </c>
      <c r="I1404" s="241">
        <v>31.42</v>
      </c>
      <c r="J1404" s="241">
        <v>4.79</v>
      </c>
    </row>
    <row r="1405" spans="1:10" ht="28.5" x14ac:dyDescent="0.25">
      <c r="A1405" s="185" t="s">
        <v>119</v>
      </c>
      <c r="B1405" s="185" t="s">
        <v>769</v>
      </c>
      <c r="C1405" s="185" t="s">
        <v>59</v>
      </c>
      <c r="D1405" s="185" t="s">
        <v>115</v>
      </c>
      <c r="E1405" s="185" t="s">
        <v>754</v>
      </c>
      <c r="F1405" s="185"/>
      <c r="G1405" s="185" t="s">
        <v>60</v>
      </c>
      <c r="H1405" s="186">
        <v>4.8099999999999997E-2</v>
      </c>
      <c r="I1405" s="241">
        <v>22.42</v>
      </c>
      <c r="J1405" s="241">
        <v>1.07</v>
      </c>
    </row>
    <row r="1406" spans="1:10" ht="28.5" x14ac:dyDescent="0.25">
      <c r="A1406" s="191" t="s">
        <v>62</v>
      </c>
      <c r="B1406" s="191" t="s">
        <v>1560</v>
      </c>
      <c r="C1406" s="191" t="s">
        <v>59</v>
      </c>
      <c r="D1406" s="191" t="s">
        <v>1561</v>
      </c>
      <c r="E1406" s="191" t="s">
        <v>120</v>
      </c>
      <c r="F1406" s="191"/>
      <c r="G1406" s="191" t="s">
        <v>61</v>
      </c>
      <c r="H1406" s="192">
        <v>2.1000000000000001E-2</v>
      </c>
      <c r="I1406" s="244">
        <v>3.3</v>
      </c>
      <c r="J1406" s="244">
        <v>0.06</v>
      </c>
    </row>
    <row r="1407" spans="1:10" ht="28.5" x14ac:dyDescent="0.25">
      <c r="A1407" s="191" t="s">
        <v>62</v>
      </c>
      <c r="B1407" s="191" t="s">
        <v>1714</v>
      </c>
      <c r="C1407" s="191" t="s">
        <v>59</v>
      </c>
      <c r="D1407" s="191" t="s">
        <v>1715</v>
      </c>
      <c r="E1407" s="191" t="s">
        <v>120</v>
      </c>
      <c r="F1407" s="191"/>
      <c r="G1407" s="191" t="s">
        <v>61</v>
      </c>
      <c r="H1407" s="192">
        <v>1</v>
      </c>
      <c r="I1407" s="244">
        <v>49.86</v>
      </c>
      <c r="J1407" s="244">
        <v>49.86</v>
      </c>
    </row>
    <row r="1408" spans="1:10" x14ac:dyDescent="0.25">
      <c r="A1408" s="187"/>
      <c r="B1408" s="187"/>
      <c r="C1408" s="187"/>
      <c r="D1408" s="187"/>
      <c r="E1408" s="187" t="s">
        <v>756</v>
      </c>
      <c r="F1408" s="188">
        <v>4.46</v>
      </c>
      <c r="G1408" s="187" t="s">
        <v>757</v>
      </c>
      <c r="H1408" s="188">
        <v>0</v>
      </c>
      <c r="I1408" s="242" t="s">
        <v>758</v>
      </c>
      <c r="J1408" s="242">
        <v>4.46</v>
      </c>
    </row>
    <row r="1409" spans="1:10" x14ac:dyDescent="0.25">
      <c r="A1409" s="187"/>
      <c r="B1409" s="187"/>
      <c r="C1409" s="187"/>
      <c r="D1409" s="187"/>
      <c r="E1409" s="187" t="s">
        <v>759</v>
      </c>
      <c r="F1409" s="188">
        <v>0</v>
      </c>
      <c r="G1409" s="187"/>
      <c r="H1409" s="187" t="s">
        <v>760</v>
      </c>
      <c r="I1409" s="242"/>
      <c r="J1409" s="242">
        <v>55.78</v>
      </c>
    </row>
    <row r="1410" spans="1:10" x14ac:dyDescent="0.25">
      <c r="A1410" s="182"/>
      <c r="B1410" s="182"/>
      <c r="C1410" s="182"/>
      <c r="D1410" s="182"/>
      <c r="E1410" s="182"/>
      <c r="F1410" s="182"/>
      <c r="G1410" s="182" t="s">
        <v>761</v>
      </c>
      <c r="H1410" s="189" t="s">
        <v>1538</v>
      </c>
      <c r="I1410" s="239" t="s">
        <v>763</v>
      </c>
      <c r="J1410" s="239">
        <v>111.56</v>
      </c>
    </row>
    <row r="1411" spans="1:10" x14ac:dyDescent="0.25">
      <c r="A1411" s="183"/>
      <c r="B1411" s="183"/>
      <c r="C1411" s="183"/>
      <c r="D1411" s="183"/>
      <c r="E1411" s="183"/>
      <c r="F1411" s="183"/>
      <c r="G1411" s="183"/>
      <c r="H1411" s="183"/>
      <c r="I1411" s="240"/>
      <c r="J1411" s="240"/>
    </row>
    <row r="1412" spans="1:10" x14ac:dyDescent="0.25">
      <c r="A1412" s="182" t="s">
        <v>1716</v>
      </c>
      <c r="B1412" s="182" t="s">
        <v>66</v>
      </c>
      <c r="C1412" s="182" t="s">
        <v>64</v>
      </c>
      <c r="D1412" s="182" t="s">
        <v>67</v>
      </c>
      <c r="E1412" s="182" t="s">
        <v>65</v>
      </c>
      <c r="F1412" s="182"/>
      <c r="G1412" s="182" t="s">
        <v>744</v>
      </c>
      <c r="H1412" s="182" t="s">
        <v>69</v>
      </c>
      <c r="I1412" s="239" t="s">
        <v>745</v>
      </c>
      <c r="J1412" s="239" t="s">
        <v>0</v>
      </c>
    </row>
    <row r="1413" spans="1:10" ht="57" x14ac:dyDescent="0.25">
      <c r="A1413" s="183" t="s">
        <v>58</v>
      </c>
      <c r="B1413" s="183" t="s">
        <v>1717</v>
      </c>
      <c r="C1413" s="183" t="s">
        <v>59</v>
      </c>
      <c r="D1413" s="183" t="s">
        <v>1718</v>
      </c>
      <c r="E1413" s="183" t="s">
        <v>1559</v>
      </c>
      <c r="F1413" s="183"/>
      <c r="G1413" s="183" t="s">
        <v>61</v>
      </c>
      <c r="H1413" s="184">
        <v>1</v>
      </c>
      <c r="I1413" s="240">
        <v>10.76</v>
      </c>
      <c r="J1413" s="240">
        <v>10.76</v>
      </c>
    </row>
    <row r="1414" spans="1:10" ht="28.5" x14ac:dyDescent="0.25">
      <c r="A1414" s="185" t="s">
        <v>119</v>
      </c>
      <c r="B1414" s="185" t="s">
        <v>769</v>
      </c>
      <c r="C1414" s="185" t="s">
        <v>59</v>
      </c>
      <c r="D1414" s="185" t="s">
        <v>115</v>
      </c>
      <c r="E1414" s="185" t="s">
        <v>754</v>
      </c>
      <c r="F1414" s="185"/>
      <c r="G1414" s="185" t="s">
        <v>60</v>
      </c>
      <c r="H1414" s="186">
        <v>4.8099999999999997E-2</v>
      </c>
      <c r="I1414" s="241">
        <v>22.42</v>
      </c>
      <c r="J1414" s="241">
        <v>1.07</v>
      </c>
    </row>
    <row r="1415" spans="1:10" ht="42.75" x14ac:dyDescent="0.25">
      <c r="A1415" s="185" t="s">
        <v>119</v>
      </c>
      <c r="B1415" s="185" t="s">
        <v>1481</v>
      </c>
      <c r="C1415" s="185" t="s">
        <v>59</v>
      </c>
      <c r="D1415" s="185" t="s">
        <v>1482</v>
      </c>
      <c r="E1415" s="185" t="s">
        <v>754</v>
      </c>
      <c r="F1415" s="185"/>
      <c r="G1415" s="185" t="s">
        <v>60</v>
      </c>
      <c r="H1415" s="186">
        <v>0.1525</v>
      </c>
      <c r="I1415" s="241">
        <v>31.42</v>
      </c>
      <c r="J1415" s="241">
        <v>4.79</v>
      </c>
    </row>
    <row r="1416" spans="1:10" ht="42.75" x14ac:dyDescent="0.25">
      <c r="A1416" s="191" t="s">
        <v>62</v>
      </c>
      <c r="B1416" s="191" t="s">
        <v>1719</v>
      </c>
      <c r="C1416" s="191" t="s">
        <v>59</v>
      </c>
      <c r="D1416" s="191" t="s">
        <v>1720</v>
      </c>
      <c r="E1416" s="191" t="s">
        <v>120</v>
      </c>
      <c r="F1416" s="191"/>
      <c r="G1416" s="191" t="s">
        <v>61</v>
      </c>
      <c r="H1416" s="192">
        <v>1</v>
      </c>
      <c r="I1416" s="244">
        <v>4.84</v>
      </c>
      <c r="J1416" s="244">
        <v>4.84</v>
      </c>
    </row>
    <row r="1417" spans="1:10" ht="28.5" x14ac:dyDescent="0.25">
      <c r="A1417" s="191" t="s">
        <v>62</v>
      </c>
      <c r="B1417" s="191" t="s">
        <v>1560</v>
      </c>
      <c r="C1417" s="191" t="s">
        <v>59</v>
      </c>
      <c r="D1417" s="191" t="s">
        <v>1561</v>
      </c>
      <c r="E1417" s="191" t="s">
        <v>120</v>
      </c>
      <c r="F1417" s="191"/>
      <c r="G1417" s="191" t="s">
        <v>61</v>
      </c>
      <c r="H1417" s="192">
        <v>2.1000000000000001E-2</v>
      </c>
      <c r="I1417" s="244">
        <v>3.3</v>
      </c>
      <c r="J1417" s="244">
        <v>0.06</v>
      </c>
    </row>
    <row r="1418" spans="1:10" x14ac:dyDescent="0.25">
      <c r="A1418" s="187"/>
      <c r="B1418" s="187"/>
      <c r="C1418" s="187"/>
      <c r="D1418" s="187"/>
      <c r="E1418" s="187" t="s">
        <v>756</v>
      </c>
      <c r="F1418" s="188">
        <v>4.46</v>
      </c>
      <c r="G1418" s="187" t="s">
        <v>757</v>
      </c>
      <c r="H1418" s="188">
        <v>0</v>
      </c>
      <c r="I1418" s="242" t="s">
        <v>758</v>
      </c>
      <c r="J1418" s="242">
        <v>4.46</v>
      </c>
    </row>
    <row r="1419" spans="1:10" x14ac:dyDescent="0.25">
      <c r="A1419" s="187"/>
      <c r="B1419" s="187"/>
      <c r="C1419" s="187"/>
      <c r="D1419" s="187"/>
      <c r="E1419" s="187" t="s">
        <v>759</v>
      </c>
      <c r="F1419" s="188">
        <v>0</v>
      </c>
      <c r="G1419" s="187"/>
      <c r="H1419" s="187" t="s">
        <v>760</v>
      </c>
      <c r="I1419" s="242"/>
      <c r="J1419" s="242">
        <v>10.76</v>
      </c>
    </row>
    <row r="1420" spans="1:10" x14ac:dyDescent="0.25">
      <c r="A1420" s="182"/>
      <c r="B1420" s="182"/>
      <c r="C1420" s="182"/>
      <c r="D1420" s="182"/>
      <c r="E1420" s="182"/>
      <c r="F1420" s="182"/>
      <c r="G1420" s="182" t="s">
        <v>761</v>
      </c>
      <c r="H1420" s="189" t="s">
        <v>1538</v>
      </c>
      <c r="I1420" s="239" t="s">
        <v>763</v>
      </c>
      <c r="J1420" s="239">
        <v>21.52</v>
      </c>
    </row>
    <row r="1421" spans="1:10" x14ac:dyDescent="0.25">
      <c r="A1421" s="183"/>
      <c r="B1421" s="183"/>
      <c r="C1421" s="183"/>
      <c r="D1421" s="183"/>
      <c r="E1421" s="183"/>
      <c r="F1421" s="183"/>
      <c r="G1421" s="183"/>
      <c r="H1421" s="183"/>
      <c r="I1421" s="240"/>
      <c r="J1421" s="240"/>
    </row>
    <row r="1422" spans="1:10" x14ac:dyDescent="0.25">
      <c r="A1422" s="182" t="s">
        <v>1721</v>
      </c>
      <c r="B1422" s="182" t="s">
        <v>66</v>
      </c>
      <c r="C1422" s="182" t="s">
        <v>64</v>
      </c>
      <c r="D1422" s="182" t="s">
        <v>67</v>
      </c>
      <c r="E1422" s="182" t="s">
        <v>65</v>
      </c>
      <c r="F1422" s="182"/>
      <c r="G1422" s="182" t="s">
        <v>744</v>
      </c>
      <c r="H1422" s="182" t="s">
        <v>69</v>
      </c>
      <c r="I1422" s="239" t="s">
        <v>745</v>
      </c>
      <c r="J1422" s="239" t="s">
        <v>0</v>
      </c>
    </row>
    <row r="1423" spans="1:10" ht="99.75" x14ac:dyDescent="0.25">
      <c r="A1423" s="183" t="s">
        <v>58</v>
      </c>
      <c r="B1423" s="183" t="s">
        <v>1722</v>
      </c>
      <c r="C1423" s="183" t="s">
        <v>59</v>
      </c>
      <c r="D1423" s="183" t="s">
        <v>1723</v>
      </c>
      <c r="E1423" s="183" t="s">
        <v>1681</v>
      </c>
      <c r="F1423" s="183"/>
      <c r="G1423" s="183" t="s">
        <v>61</v>
      </c>
      <c r="H1423" s="184">
        <v>1</v>
      </c>
      <c r="I1423" s="240">
        <v>7.01</v>
      </c>
      <c r="J1423" s="240">
        <v>7.01</v>
      </c>
    </row>
    <row r="1424" spans="1:10" ht="42.75" x14ac:dyDescent="0.25">
      <c r="A1424" s="185" t="s">
        <v>119</v>
      </c>
      <c r="B1424" s="185" t="s">
        <v>1481</v>
      </c>
      <c r="C1424" s="185" t="s">
        <v>59</v>
      </c>
      <c r="D1424" s="185" t="s">
        <v>1482</v>
      </c>
      <c r="E1424" s="185" t="s">
        <v>754</v>
      </c>
      <c r="F1424" s="185"/>
      <c r="G1424" s="185" t="s">
        <v>60</v>
      </c>
      <c r="H1424" s="186">
        <v>9.4399999999999998E-2</v>
      </c>
      <c r="I1424" s="241">
        <v>31.42</v>
      </c>
      <c r="J1424" s="241">
        <v>2.96</v>
      </c>
    </row>
    <row r="1425" spans="1:10" ht="42.75" x14ac:dyDescent="0.25">
      <c r="A1425" s="185" t="s">
        <v>119</v>
      </c>
      <c r="B1425" s="185" t="s">
        <v>1479</v>
      </c>
      <c r="C1425" s="185" t="s">
        <v>59</v>
      </c>
      <c r="D1425" s="185" t="s">
        <v>1480</v>
      </c>
      <c r="E1425" s="185" t="s">
        <v>754</v>
      </c>
      <c r="F1425" s="185"/>
      <c r="G1425" s="185" t="s">
        <v>60</v>
      </c>
      <c r="H1425" s="186">
        <v>9.4399999999999998E-2</v>
      </c>
      <c r="I1425" s="241">
        <v>22.16</v>
      </c>
      <c r="J1425" s="241">
        <v>2.09</v>
      </c>
    </row>
    <row r="1426" spans="1:10" ht="42.75" x14ac:dyDescent="0.25">
      <c r="A1426" s="191" t="s">
        <v>62</v>
      </c>
      <c r="B1426" s="191" t="s">
        <v>1724</v>
      </c>
      <c r="C1426" s="191" t="s">
        <v>59</v>
      </c>
      <c r="D1426" s="191" t="s">
        <v>1725</v>
      </c>
      <c r="E1426" s="191" t="s">
        <v>120</v>
      </c>
      <c r="F1426" s="191"/>
      <c r="G1426" s="191" t="s">
        <v>61</v>
      </c>
      <c r="H1426" s="192">
        <v>1</v>
      </c>
      <c r="I1426" s="244">
        <v>1.03</v>
      </c>
      <c r="J1426" s="244">
        <v>1.03</v>
      </c>
    </row>
    <row r="1427" spans="1:10" ht="42.75" x14ac:dyDescent="0.25">
      <c r="A1427" s="191" t="s">
        <v>62</v>
      </c>
      <c r="B1427" s="191" t="s">
        <v>1551</v>
      </c>
      <c r="C1427" s="191" t="s">
        <v>59</v>
      </c>
      <c r="D1427" s="191" t="s">
        <v>1552</v>
      </c>
      <c r="E1427" s="191" t="s">
        <v>120</v>
      </c>
      <c r="F1427" s="191"/>
      <c r="G1427" s="191" t="s">
        <v>61</v>
      </c>
      <c r="H1427" s="192">
        <v>7.0000000000000001E-3</v>
      </c>
      <c r="I1427" s="244">
        <v>71.48</v>
      </c>
      <c r="J1427" s="244">
        <v>0.5</v>
      </c>
    </row>
    <row r="1428" spans="1:10" ht="28.5" x14ac:dyDescent="0.25">
      <c r="A1428" s="191" t="s">
        <v>62</v>
      </c>
      <c r="B1428" s="191" t="s">
        <v>1483</v>
      </c>
      <c r="C1428" s="191" t="s">
        <v>59</v>
      </c>
      <c r="D1428" s="191" t="s">
        <v>1484</v>
      </c>
      <c r="E1428" s="191" t="s">
        <v>120</v>
      </c>
      <c r="F1428" s="191"/>
      <c r="G1428" s="191" t="s">
        <v>61</v>
      </c>
      <c r="H1428" s="192">
        <v>3.15E-2</v>
      </c>
      <c r="I1428" s="244">
        <v>2</v>
      </c>
      <c r="J1428" s="244">
        <v>0.06</v>
      </c>
    </row>
    <row r="1429" spans="1:10" ht="28.5" x14ac:dyDescent="0.25">
      <c r="A1429" s="191" t="s">
        <v>62</v>
      </c>
      <c r="B1429" s="191" t="s">
        <v>1549</v>
      </c>
      <c r="C1429" s="191" t="s">
        <v>59</v>
      </c>
      <c r="D1429" s="191" t="s">
        <v>1550</v>
      </c>
      <c r="E1429" s="191" t="s">
        <v>120</v>
      </c>
      <c r="F1429" s="191"/>
      <c r="G1429" s="191" t="s">
        <v>61</v>
      </c>
      <c r="H1429" s="192">
        <v>5.8999999999999999E-3</v>
      </c>
      <c r="I1429" s="244">
        <v>63.09</v>
      </c>
      <c r="J1429" s="244">
        <v>0.37</v>
      </c>
    </row>
    <row r="1430" spans="1:10" x14ac:dyDescent="0.25">
      <c r="A1430" s="187"/>
      <c r="B1430" s="187"/>
      <c r="C1430" s="187"/>
      <c r="D1430" s="187"/>
      <c r="E1430" s="187" t="s">
        <v>756</v>
      </c>
      <c r="F1430" s="188">
        <v>3.75</v>
      </c>
      <c r="G1430" s="187" t="s">
        <v>757</v>
      </c>
      <c r="H1430" s="188">
        <v>0</v>
      </c>
      <c r="I1430" s="242" t="s">
        <v>758</v>
      </c>
      <c r="J1430" s="242">
        <v>3.75</v>
      </c>
    </row>
    <row r="1431" spans="1:10" x14ac:dyDescent="0.25">
      <c r="A1431" s="187"/>
      <c r="B1431" s="187"/>
      <c r="C1431" s="187"/>
      <c r="D1431" s="187"/>
      <c r="E1431" s="187" t="s">
        <v>759</v>
      </c>
      <c r="F1431" s="188">
        <v>0</v>
      </c>
      <c r="G1431" s="187"/>
      <c r="H1431" s="187" t="s">
        <v>760</v>
      </c>
      <c r="I1431" s="242"/>
      <c r="J1431" s="242">
        <v>7.01</v>
      </c>
    </row>
    <row r="1432" spans="1:10" x14ac:dyDescent="0.25">
      <c r="A1432" s="182"/>
      <c r="B1432" s="182"/>
      <c r="C1432" s="182"/>
      <c r="D1432" s="182"/>
      <c r="E1432" s="182"/>
      <c r="F1432" s="182"/>
      <c r="G1432" s="182" t="s">
        <v>761</v>
      </c>
      <c r="H1432" s="189" t="s">
        <v>1555</v>
      </c>
      <c r="I1432" s="239" t="s">
        <v>763</v>
      </c>
      <c r="J1432" s="239">
        <v>28.04</v>
      </c>
    </row>
    <row r="1433" spans="1:10" x14ac:dyDescent="0.25">
      <c r="A1433" s="183"/>
      <c r="B1433" s="183"/>
      <c r="C1433" s="183"/>
      <c r="D1433" s="183"/>
      <c r="E1433" s="183"/>
      <c r="F1433" s="183"/>
      <c r="G1433" s="183"/>
      <c r="H1433" s="183"/>
      <c r="I1433" s="240"/>
      <c r="J1433" s="240"/>
    </row>
    <row r="1434" spans="1:10" x14ac:dyDescent="0.25">
      <c r="A1434" s="182" t="s">
        <v>1726</v>
      </c>
      <c r="B1434" s="182" t="s">
        <v>66</v>
      </c>
      <c r="C1434" s="182" t="s">
        <v>64</v>
      </c>
      <c r="D1434" s="182" t="s">
        <v>67</v>
      </c>
      <c r="E1434" s="182" t="s">
        <v>65</v>
      </c>
      <c r="F1434" s="182"/>
      <c r="G1434" s="182" t="s">
        <v>744</v>
      </c>
      <c r="H1434" s="182" t="s">
        <v>69</v>
      </c>
      <c r="I1434" s="239" t="s">
        <v>745</v>
      </c>
      <c r="J1434" s="239" t="s">
        <v>0</v>
      </c>
    </row>
    <row r="1435" spans="1:10" ht="71.25" x14ac:dyDescent="0.25">
      <c r="A1435" s="183" t="s">
        <v>58</v>
      </c>
      <c r="B1435" s="183" t="s">
        <v>1727</v>
      </c>
      <c r="C1435" s="183" t="s">
        <v>59</v>
      </c>
      <c r="D1435" s="183" t="s">
        <v>1728</v>
      </c>
      <c r="E1435" s="183" t="s">
        <v>1681</v>
      </c>
      <c r="F1435" s="183"/>
      <c r="G1435" s="183" t="s">
        <v>61</v>
      </c>
      <c r="H1435" s="184">
        <v>1</v>
      </c>
      <c r="I1435" s="240">
        <v>10.039999999999999</v>
      </c>
      <c r="J1435" s="240">
        <v>10.039999999999999</v>
      </c>
    </row>
    <row r="1436" spans="1:10" ht="42.75" x14ac:dyDescent="0.25">
      <c r="A1436" s="185" t="s">
        <v>119</v>
      </c>
      <c r="B1436" s="185" t="s">
        <v>1481</v>
      </c>
      <c r="C1436" s="185" t="s">
        <v>59</v>
      </c>
      <c r="D1436" s="185" t="s">
        <v>1482</v>
      </c>
      <c r="E1436" s="185" t="s">
        <v>754</v>
      </c>
      <c r="F1436" s="185"/>
      <c r="G1436" s="185" t="s">
        <v>60</v>
      </c>
      <c r="H1436" s="186">
        <v>0.152</v>
      </c>
      <c r="I1436" s="241">
        <v>31.42</v>
      </c>
      <c r="J1436" s="241">
        <v>4.7699999999999996</v>
      </c>
    </row>
    <row r="1437" spans="1:10" ht="42.75" x14ac:dyDescent="0.25">
      <c r="A1437" s="185" t="s">
        <v>119</v>
      </c>
      <c r="B1437" s="185" t="s">
        <v>1479</v>
      </c>
      <c r="C1437" s="185" t="s">
        <v>59</v>
      </c>
      <c r="D1437" s="185" t="s">
        <v>1480</v>
      </c>
      <c r="E1437" s="185" t="s">
        <v>754</v>
      </c>
      <c r="F1437" s="185"/>
      <c r="G1437" s="185" t="s">
        <v>60</v>
      </c>
      <c r="H1437" s="186">
        <v>0.152</v>
      </c>
      <c r="I1437" s="241">
        <v>22.16</v>
      </c>
      <c r="J1437" s="241">
        <v>3.36</v>
      </c>
    </row>
    <row r="1438" spans="1:10" ht="28.5" x14ac:dyDescent="0.25">
      <c r="A1438" s="191" t="s">
        <v>62</v>
      </c>
      <c r="B1438" s="191" t="s">
        <v>1549</v>
      </c>
      <c r="C1438" s="191" t="s">
        <v>59</v>
      </c>
      <c r="D1438" s="191" t="s">
        <v>1550</v>
      </c>
      <c r="E1438" s="191" t="s">
        <v>120</v>
      </c>
      <c r="F1438" s="191"/>
      <c r="G1438" s="191" t="s">
        <v>61</v>
      </c>
      <c r="H1438" s="192">
        <v>7.1000000000000004E-3</v>
      </c>
      <c r="I1438" s="244">
        <v>63.09</v>
      </c>
      <c r="J1438" s="244">
        <v>0.44</v>
      </c>
    </row>
    <row r="1439" spans="1:10" ht="28.5" x14ac:dyDescent="0.25">
      <c r="A1439" s="191" t="s">
        <v>62</v>
      </c>
      <c r="B1439" s="191" t="s">
        <v>1483</v>
      </c>
      <c r="C1439" s="191" t="s">
        <v>59</v>
      </c>
      <c r="D1439" s="191" t="s">
        <v>1484</v>
      </c>
      <c r="E1439" s="191" t="s">
        <v>120</v>
      </c>
      <c r="F1439" s="191"/>
      <c r="G1439" s="191" t="s">
        <v>61</v>
      </c>
      <c r="H1439" s="192">
        <v>3.3799999999999997E-2</v>
      </c>
      <c r="I1439" s="244">
        <v>2</v>
      </c>
      <c r="J1439" s="244">
        <v>0.06</v>
      </c>
    </row>
    <row r="1440" spans="1:10" ht="42.75" x14ac:dyDescent="0.25">
      <c r="A1440" s="191" t="s">
        <v>62</v>
      </c>
      <c r="B1440" s="191" t="s">
        <v>1551</v>
      </c>
      <c r="C1440" s="191" t="s">
        <v>59</v>
      </c>
      <c r="D1440" s="191" t="s">
        <v>1552</v>
      </c>
      <c r="E1440" s="191" t="s">
        <v>120</v>
      </c>
      <c r="F1440" s="191"/>
      <c r="G1440" s="191" t="s">
        <v>61</v>
      </c>
      <c r="H1440" s="192">
        <v>8.0000000000000002E-3</v>
      </c>
      <c r="I1440" s="244">
        <v>71.48</v>
      </c>
      <c r="J1440" s="244">
        <v>0.56999999999999995</v>
      </c>
    </row>
    <row r="1441" spans="1:10" ht="42.75" x14ac:dyDescent="0.25">
      <c r="A1441" s="191" t="s">
        <v>62</v>
      </c>
      <c r="B1441" s="191" t="s">
        <v>1729</v>
      </c>
      <c r="C1441" s="191" t="s">
        <v>59</v>
      </c>
      <c r="D1441" s="191" t="s">
        <v>1730</v>
      </c>
      <c r="E1441" s="191" t="s">
        <v>120</v>
      </c>
      <c r="F1441" s="191"/>
      <c r="G1441" s="191" t="s">
        <v>61</v>
      </c>
      <c r="H1441" s="192">
        <v>1</v>
      </c>
      <c r="I1441" s="244">
        <v>0.84</v>
      </c>
      <c r="J1441" s="244">
        <v>0.84</v>
      </c>
    </row>
    <row r="1442" spans="1:10" x14ac:dyDescent="0.25">
      <c r="A1442" s="187"/>
      <c r="B1442" s="187"/>
      <c r="C1442" s="187"/>
      <c r="D1442" s="187"/>
      <c r="E1442" s="187" t="s">
        <v>756</v>
      </c>
      <c r="F1442" s="188">
        <v>6.05</v>
      </c>
      <c r="G1442" s="187" t="s">
        <v>757</v>
      </c>
      <c r="H1442" s="188">
        <v>0</v>
      </c>
      <c r="I1442" s="242" t="s">
        <v>758</v>
      </c>
      <c r="J1442" s="242">
        <v>6.05</v>
      </c>
    </row>
    <row r="1443" spans="1:10" x14ac:dyDescent="0.25">
      <c r="A1443" s="187"/>
      <c r="B1443" s="187"/>
      <c r="C1443" s="187"/>
      <c r="D1443" s="187"/>
      <c r="E1443" s="187" t="s">
        <v>759</v>
      </c>
      <c r="F1443" s="188">
        <v>0</v>
      </c>
      <c r="G1443" s="187"/>
      <c r="H1443" s="187" t="s">
        <v>760</v>
      </c>
      <c r="I1443" s="242"/>
      <c r="J1443" s="242">
        <v>10.039999999999999</v>
      </c>
    </row>
    <row r="1444" spans="1:10" x14ac:dyDescent="0.25">
      <c r="A1444" s="182"/>
      <c r="B1444" s="182"/>
      <c r="C1444" s="182"/>
      <c r="D1444" s="182"/>
      <c r="E1444" s="182"/>
      <c r="F1444" s="182"/>
      <c r="G1444" s="182" t="s">
        <v>761</v>
      </c>
      <c r="H1444" s="189" t="s">
        <v>1555</v>
      </c>
      <c r="I1444" s="239" t="s">
        <v>763</v>
      </c>
      <c r="J1444" s="239">
        <v>40.159999999999997</v>
      </c>
    </row>
    <row r="1445" spans="1:10" x14ac:dyDescent="0.25">
      <c r="A1445" s="183"/>
      <c r="B1445" s="183"/>
      <c r="C1445" s="183"/>
      <c r="D1445" s="183"/>
      <c r="E1445" s="183"/>
      <c r="F1445" s="183"/>
      <c r="G1445" s="183"/>
      <c r="H1445" s="183"/>
      <c r="I1445" s="240"/>
      <c r="J1445" s="240"/>
    </row>
    <row r="1446" spans="1:10" x14ac:dyDescent="0.25">
      <c r="A1446" s="182" t="s">
        <v>1731</v>
      </c>
      <c r="B1446" s="182" t="s">
        <v>66</v>
      </c>
      <c r="C1446" s="182" t="s">
        <v>64</v>
      </c>
      <c r="D1446" s="182" t="s">
        <v>67</v>
      </c>
      <c r="E1446" s="182" t="s">
        <v>65</v>
      </c>
      <c r="F1446" s="182"/>
      <c r="G1446" s="182" t="s">
        <v>744</v>
      </c>
      <c r="H1446" s="182" t="s">
        <v>69</v>
      </c>
      <c r="I1446" s="239" t="s">
        <v>745</v>
      </c>
      <c r="J1446" s="239" t="s">
        <v>0</v>
      </c>
    </row>
    <row r="1447" spans="1:10" ht="71.25" x14ac:dyDescent="0.25">
      <c r="A1447" s="183" t="s">
        <v>58</v>
      </c>
      <c r="B1447" s="183" t="s">
        <v>1732</v>
      </c>
      <c r="C1447" s="183" t="s">
        <v>59</v>
      </c>
      <c r="D1447" s="183" t="s">
        <v>1733</v>
      </c>
      <c r="E1447" s="183" t="s">
        <v>1681</v>
      </c>
      <c r="F1447" s="183"/>
      <c r="G1447" s="183" t="s">
        <v>61</v>
      </c>
      <c r="H1447" s="184">
        <v>1</v>
      </c>
      <c r="I1447" s="240">
        <v>20.78</v>
      </c>
      <c r="J1447" s="240">
        <v>20.78</v>
      </c>
    </row>
    <row r="1448" spans="1:10" ht="42.75" x14ac:dyDescent="0.25">
      <c r="A1448" s="185" t="s">
        <v>119</v>
      </c>
      <c r="B1448" s="185" t="s">
        <v>1481</v>
      </c>
      <c r="C1448" s="185" t="s">
        <v>59</v>
      </c>
      <c r="D1448" s="185" t="s">
        <v>1482</v>
      </c>
      <c r="E1448" s="185" t="s">
        <v>754</v>
      </c>
      <c r="F1448" s="185"/>
      <c r="G1448" s="185" t="s">
        <v>60</v>
      </c>
      <c r="H1448" s="186">
        <v>0.1013</v>
      </c>
      <c r="I1448" s="241">
        <v>31.42</v>
      </c>
      <c r="J1448" s="241">
        <v>3.18</v>
      </c>
    </row>
    <row r="1449" spans="1:10" ht="42.75" x14ac:dyDescent="0.25">
      <c r="A1449" s="185" t="s">
        <v>119</v>
      </c>
      <c r="B1449" s="185" t="s">
        <v>1479</v>
      </c>
      <c r="C1449" s="185" t="s">
        <v>59</v>
      </c>
      <c r="D1449" s="185" t="s">
        <v>1480</v>
      </c>
      <c r="E1449" s="185" t="s">
        <v>754</v>
      </c>
      <c r="F1449" s="185"/>
      <c r="G1449" s="185" t="s">
        <v>60</v>
      </c>
      <c r="H1449" s="186">
        <v>0.1013</v>
      </c>
      <c r="I1449" s="241">
        <v>22.16</v>
      </c>
      <c r="J1449" s="241">
        <v>2.2400000000000002</v>
      </c>
    </row>
    <row r="1450" spans="1:10" ht="42.75" x14ac:dyDescent="0.25">
      <c r="A1450" s="191" t="s">
        <v>62</v>
      </c>
      <c r="B1450" s="191" t="s">
        <v>1551</v>
      </c>
      <c r="C1450" s="191" t="s">
        <v>59</v>
      </c>
      <c r="D1450" s="191" t="s">
        <v>1552</v>
      </c>
      <c r="E1450" s="191" t="s">
        <v>120</v>
      </c>
      <c r="F1450" s="191"/>
      <c r="G1450" s="191" t="s">
        <v>61</v>
      </c>
      <c r="H1450" s="192">
        <v>8.0000000000000002E-3</v>
      </c>
      <c r="I1450" s="244">
        <v>71.48</v>
      </c>
      <c r="J1450" s="244">
        <v>0.56999999999999995</v>
      </c>
    </row>
    <row r="1451" spans="1:10" ht="28.5" x14ac:dyDescent="0.25">
      <c r="A1451" s="191" t="s">
        <v>62</v>
      </c>
      <c r="B1451" s="191" t="s">
        <v>1483</v>
      </c>
      <c r="C1451" s="191" t="s">
        <v>59</v>
      </c>
      <c r="D1451" s="191" t="s">
        <v>1484</v>
      </c>
      <c r="E1451" s="191" t="s">
        <v>120</v>
      </c>
      <c r="F1451" s="191"/>
      <c r="G1451" s="191" t="s">
        <v>61</v>
      </c>
      <c r="H1451" s="192">
        <v>3.3799999999999997E-2</v>
      </c>
      <c r="I1451" s="244">
        <v>2</v>
      </c>
      <c r="J1451" s="244">
        <v>0.06</v>
      </c>
    </row>
    <row r="1452" spans="1:10" ht="42.75" x14ac:dyDescent="0.25">
      <c r="A1452" s="191" t="s">
        <v>62</v>
      </c>
      <c r="B1452" s="191" t="s">
        <v>1734</v>
      </c>
      <c r="C1452" s="191" t="s">
        <v>59</v>
      </c>
      <c r="D1452" s="191" t="s">
        <v>1735</v>
      </c>
      <c r="E1452" s="191" t="s">
        <v>120</v>
      </c>
      <c r="F1452" s="191"/>
      <c r="G1452" s="191" t="s">
        <v>61</v>
      </c>
      <c r="H1452" s="192">
        <v>1</v>
      </c>
      <c r="I1452" s="244">
        <v>14.29</v>
      </c>
      <c r="J1452" s="244">
        <v>14.29</v>
      </c>
    </row>
    <row r="1453" spans="1:10" ht="28.5" x14ac:dyDescent="0.25">
      <c r="A1453" s="191" t="s">
        <v>62</v>
      </c>
      <c r="B1453" s="191" t="s">
        <v>1549</v>
      </c>
      <c r="C1453" s="191" t="s">
        <v>59</v>
      </c>
      <c r="D1453" s="191" t="s">
        <v>1550</v>
      </c>
      <c r="E1453" s="191" t="s">
        <v>120</v>
      </c>
      <c r="F1453" s="191"/>
      <c r="G1453" s="191" t="s">
        <v>61</v>
      </c>
      <c r="H1453" s="192">
        <v>7.1000000000000004E-3</v>
      </c>
      <c r="I1453" s="244">
        <v>63.09</v>
      </c>
      <c r="J1453" s="244">
        <v>0.44</v>
      </c>
    </row>
    <row r="1454" spans="1:10" x14ac:dyDescent="0.25">
      <c r="A1454" s="187"/>
      <c r="B1454" s="187"/>
      <c r="C1454" s="187"/>
      <c r="D1454" s="187"/>
      <c r="E1454" s="187" t="s">
        <v>756</v>
      </c>
      <c r="F1454" s="188">
        <v>4.0199999999999996</v>
      </c>
      <c r="G1454" s="187" t="s">
        <v>757</v>
      </c>
      <c r="H1454" s="188">
        <v>0</v>
      </c>
      <c r="I1454" s="242" t="s">
        <v>758</v>
      </c>
      <c r="J1454" s="242">
        <v>4.0199999999999996</v>
      </c>
    </row>
    <row r="1455" spans="1:10" x14ac:dyDescent="0.25">
      <c r="A1455" s="187"/>
      <c r="B1455" s="187"/>
      <c r="C1455" s="187"/>
      <c r="D1455" s="187"/>
      <c r="E1455" s="187" t="s">
        <v>759</v>
      </c>
      <c r="F1455" s="188">
        <v>0</v>
      </c>
      <c r="G1455" s="187"/>
      <c r="H1455" s="187" t="s">
        <v>760</v>
      </c>
      <c r="I1455" s="242"/>
      <c r="J1455" s="242">
        <v>20.78</v>
      </c>
    </row>
    <row r="1456" spans="1:10" x14ac:dyDescent="0.25">
      <c r="A1456" s="182"/>
      <c r="B1456" s="182"/>
      <c r="C1456" s="182"/>
      <c r="D1456" s="182"/>
      <c r="E1456" s="182"/>
      <c r="F1456" s="182"/>
      <c r="G1456" s="182" t="s">
        <v>761</v>
      </c>
      <c r="H1456" s="189" t="s">
        <v>1538</v>
      </c>
      <c r="I1456" s="239" t="s">
        <v>763</v>
      </c>
      <c r="J1456" s="239">
        <v>41.56</v>
      </c>
    </row>
    <row r="1457" spans="1:10" x14ac:dyDescent="0.25">
      <c r="A1457" s="183"/>
      <c r="B1457" s="183"/>
      <c r="C1457" s="183"/>
      <c r="D1457" s="183"/>
      <c r="E1457" s="183"/>
      <c r="F1457" s="183"/>
      <c r="G1457" s="183"/>
      <c r="H1457" s="183"/>
      <c r="I1457" s="240"/>
      <c r="J1457" s="240"/>
    </row>
    <row r="1458" spans="1:10" x14ac:dyDescent="0.25">
      <c r="A1458" s="182" t="s">
        <v>1736</v>
      </c>
      <c r="B1458" s="182" t="s">
        <v>66</v>
      </c>
      <c r="C1458" s="182" t="s">
        <v>64</v>
      </c>
      <c r="D1458" s="182" t="s">
        <v>67</v>
      </c>
      <c r="E1458" s="182" t="s">
        <v>65</v>
      </c>
      <c r="F1458" s="182"/>
      <c r="G1458" s="182" t="s">
        <v>744</v>
      </c>
      <c r="H1458" s="182" t="s">
        <v>69</v>
      </c>
      <c r="I1458" s="239" t="s">
        <v>745</v>
      </c>
      <c r="J1458" s="239" t="s">
        <v>0</v>
      </c>
    </row>
    <row r="1459" spans="1:10" ht="71.25" x14ac:dyDescent="0.25">
      <c r="A1459" s="183" t="s">
        <v>58</v>
      </c>
      <c r="B1459" s="183" t="s">
        <v>1737</v>
      </c>
      <c r="C1459" s="183" t="s">
        <v>59</v>
      </c>
      <c r="D1459" s="183" t="s">
        <v>1738</v>
      </c>
      <c r="E1459" s="183" t="s">
        <v>1681</v>
      </c>
      <c r="F1459" s="183"/>
      <c r="G1459" s="183" t="s">
        <v>61</v>
      </c>
      <c r="H1459" s="184">
        <v>1</v>
      </c>
      <c r="I1459" s="240">
        <v>13.84</v>
      </c>
      <c r="J1459" s="240">
        <v>13.84</v>
      </c>
    </row>
    <row r="1460" spans="1:10" ht="42.75" x14ac:dyDescent="0.25">
      <c r="A1460" s="185" t="s">
        <v>119</v>
      </c>
      <c r="B1460" s="185" t="s">
        <v>1481</v>
      </c>
      <c r="C1460" s="185" t="s">
        <v>59</v>
      </c>
      <c r="D1460" s="185" t="s">
        <v>1482</v>
      </c>
      <c r="E1460" s="185" t="s">
        <v>754</v>
      </c>
      <c r="F1460" s="185"/>
      <c r="G1460" s="185" t="s">
        <v>60</v>
      </c>
      <c r="H1460" s="186">
        <v>0.2026</v>
      </c>
      <c r="I1460" s="241">
        <v>31.42</v>
      </c>
      <c r="J1460" s="241">
        <v>6.36</v>
      </c>
    </row>
    <row r="1461" spans="1:10" ht="42.75" x14ac:dyDescent="0.25">
      <c r="A1461" s="185" t="s">
        <v>119</v>
      </c>
      <c r="B1461" s="185" t="s">
        <v>1479</v>
      </c>
      <c r="C1461" s="185" t="s">
        <v>59</v>
      </c>
      <c r="D1461" s="185" t="s">
        <v>1480</v>
      </c>
      <c r="E1461" s="185" t="s">
        <v>754</v>
      </c>
      <c r="F1461" s="185"/>
      <c r="G1461" s="185" t="s">
        <v>60</v>
      </c>
      <c r="H1461" s="186">
        <v>0.2026</v>
      </c>
      <c r="I1461" s="241">
        <v>22.16</v>
      </c>
      <c r="J1461" s="241">
        <v>4.4800000000000004</v>
      </c>
    </row>
    <row r="1462" spans="1:10" ht="42.75" x14ac:dyDescent="0.25">
      <c r="A1462" s="191" t="s">
        <v>62</v>
      </c>
      <c r="B1462" s="191" t="s">
        <v>1739</v>
      </c>
      <c r="C1462" s="191" t="s">
        <v>59</v>
      </c>
      <c r="D1462" s="191" t="s">
        <v>1740</v>
      </c>
      <c r="E1462" s="191" t="s">
        <v>120</v>
      </c>
      <c r="F1462" s="191"/>
      <c r="G1462" s="191" t="s">
        <v>61</v>
      </c>
      <c r="H1462" s="192">
        <v>1</v>
      </c>
      <c r="I1462" s="244">
        <v>1.39</v>
      </c>
      <c r="J1462" s="244">
        <v>1.39</v>
      </c>
    </row>
    <row r="1463" spans="1:10" ht="28.5" x14ac:dyDescent="0.25">
      <c r="A1463" s="191" t="s">
        <v>62</v>
      </c>
      <c r="B1463" s="191" t="s">
        <v>1549</v>
      </c>
      <c r="C1463" s="191" t="s">
        <v>59</v>
      </c>
      <c r="D1463" s="191" t="s">
        <v>1550</v>
      </c>
      <c r="E1463" s="191" t="s">
        <v>120</v>
      </c>
      <c r="F1463" s="191"/>
      <c r="G1463" s="191" t="s">
        <v>61</v>
      </c>
      <c r="H1463" s="192">
        <v>1.06E-2</v>
      </c>
      <c r="I1463" s="244">
        <v>63.09</v>
      </c>
      <c r="J1463" s="244">
        <v>0.66</v>
      </c>
    </row>
    <row r="1464" spans="1:10" ht="42.75" x14ac:dyDescent="0.25">
      <c r="A1464" s="191" t="s">
        <v>62</v>
      </c>
      <c r="B1464" s="191" t="s">
        <v>1551</v>
      </c>
      <c r="C1464" s="191" t="s">
        <v>59</v>
      </c>
      <c r="D1464" s="191" t="s">
        <v>1552</v>
      </c>
      <c r="E1464" s="191" t="s">
        <v>120</v>
      </c>
      <c r="F1464" s="191"/>
      <c r="G1464" s="191" t="s">
        <v>61</v>
      </c>
      <c r="H1464" s="192">
        <v>1.2E-2</v>
      </c>
      <c r="I1464" s="244">
        <v>71.48</v>
      </c>
      <c r="J1464" s="244">
        <v>0.85</v>
      </c>
    </row>
    <row r="1465" spans="1:10" ht="28.5" x14ac:dyDescent="0.25">
      <c r="A1465" s="191" t="s">
        <v>62</v>
      </c>
      <c r="B1465" s="191" t="s">
        <v>1483</v>
      </c>
      <c r="C1465" s="191" t="s">
        <v>59</v>
      </c>
      <c r="D1465" s="191" t="s">
        <v>1484</v>
      </c>
      <c r="E1465" s="191" t="s">
        <v>120</v>
      </c>
      <c r="F1465" s="191"/>
      <c r="G1465" s="191" t="s">
        <v>61</v>
      </c>
      <c r="H1465" s="192">
        <v>5.0700000000000002E-2</v>
      </c>
      <c r="I1465" s="244">
        <v>2</v>
      </c>
      <c r="J1465" s="244">
        <v>0.1</v>
      </c>
    </row>
    <row r="1466" spans="1:10" x14ac:dyDescent="0.25">
      <c r="A1466" s="187"/>
      <c r="B1466" s="187"/>
      <c r="C1466" s="187"/>
      <c r="D1466" s="187"/>
      <c r="E1466" s="187" t="s">
        <v>756</v>
      </c>
      <c r="F1466" s="188">
        <v>8.06</v>
      </c>
      <c r="G1466" s="187" t="s">
        <v>757</v>
      </c>
      <c r="H1466" s="188">
        <v>0</v>
      </c>
      <c r="I1466" s="242" t="s">
        <v>758</v>
      </c>
      <c r="J1466" s="242">
        <v>8.06</v>
      </c>
    </row>
    <row r="1467" spans="1:10" x14ac:dyDescent="0.25">
      <c r="A1467" s="187"/>
      <c r="B1467" s="187"/>
      <c r="C1467" s="187"/>
      <c r="D1467" s="187"/>
      <c r="E1467" s="187" t="s">
        <v>759</v>
      </c>
      <c r="F1467" s="188">
        <v>0</v>
      </c>
      <c r="G1467" s="187"/>
      <c r="H1467" s="187" t="s">
        <v>760</v>
      </c>
      <c r="I1467" s="242"/>
      <c r="J1467" s="242">
        <v>13.84</v>
      </c>
    </row>
    <row r="1468" spans="1:10" x14ac:dyDescent="0.25">
      <c r="A1468" s="182"/>
      <c r="B1468" s="182"/>
      <c r="C1468" s="182"/>
      <c r="D1468" s="182"/>
      <c r="E1468" s="182"/>
      <c r="F1468" s="182"/>
      <c r="G1468" s="182" t="s">
        <v>761</v>
      </c>
      <c r="H1468" s="189" t="s">
        <v>1538</v>
      </c>
      <c r="I1468" s="239" t="s">
        <v>763</v>
      </c>
      <c r="J1468" s="239">
        <v>27.68</v>
      </c>
    </row>
    <row r="1469" spans="1:10" x14ac:dyDescent="0.25">
      <c r="A1469" s="183"/>
      <c r="B1469" s="183"/>
      <c r="C1469" s="183"/>
      <c r="D1469" s="183"/>
      <c r="E1469" s="183"/>
      <c r="F1469" s="183"/>
      <c r="G1469" s="183"/>
      <c r="H1469" s="183"/>
      <c r="I1469" s="240"/>
      <c r="J1469" s="240"/>
    </row>
    <row r="1470" spans="1:10" x14ac:dyDescent="0.25">
      <c r="A1470" s="182" t="s">
        <v>1741</v>
      </c>
      <c r="B1470" s="182" t="s">
        <v>66</v>
      </c>
      <c r="C1470" s="182" t="s">
        <v>64</v>
      </c>
      <c r="D1470" s="182" t="s">
        <v>67</v>
      </c>
      <c r="E1470" s="182" t="s">
        <v>65</v>
      </c>
      <c r="F1470" s="182"/>
      <c r="G1470" s="182" t="s">
        <v>744</v>
      </c>
      <c r="H1470" s="182" t="s">
        <v>69</v>
      </c>
      <c r="I1470" s="239" t="s">
        <v>745</v>
      </c>
      <c r="J1470" s="239" t="s">
        <v>0</v>
      </c>
    </row>
    <row r="1471" spans="1:10" ht="42.75" x14ac:dyDescent="0.25">
      <c r="A1471" s="183" t="s">
        <v>58</v>
      </c>
      <c r="B1471" s="183" t="s">
        <v>1742</v>
      </c>
      <c r="C1471" s="183" t="s">
        <v>785</v>
      </c>
      <c r="D1471" s="183" t="s">
        <v>1743</v>
      </c>
      <c r="E1471" s="183">
        <v>813</v>
      </c>
      <c r="F1471" s="183"/>
      <c r="G1471" s="183" t="s">
        <v>1498</v>
      </c>
      <c r="H1471" s="184">
        <v>1</v>
      </c>
      <c r="I1471" s="240">
        <v>11.99</v>
      </c>
      <c r="J1471" s="240">
        <v>11.99</v>
      </c>
    </row>
    <row r="1472" spans="1:10" ht="42.75" x14ac:dyDescent="0.25">
      <c r="A1472" s="191" t="s">
        <v>62</v>
      </c>
      <c r="B1472" s="191" t="s">
        <v>1744</v>
      </c>
      <c r="C1472" s="191" t="s">
        <v>785</v>
      </c>
      <c r="D1472" s="191" t="s">
        <v>1743</v>
      </c>
      <c r="E1472" s="191" t="s">
        <v>120</v>
      </c>
      <c r="F1472" s="191"/>
      <c r="G1472" s="191" t="s">
        <v>129</v>
      </c>
      <c r="H1472" s="192">
        <v>1</v>
      </c>
      <c r="I1472" s="244">
        <v>5.99</v>
      </c>
      <c r="J1472" s="244">
        <v>5.99</v>
      </c>
    </row>
    <row r="1473" spans="1:10" ht="28.5" x14ac:dyDescent="0.25">
      <c r="A1473" s="191" t="s">
        <v>62</v>
      </c>
      <c r="B1473" s="191" t="s">
        <v>1567</v>
      </c>
      <c r="C1473" s="191" t="s">
        <v>785</v>
      </c>
      <c r="D1473" s="191" t="s">
        <v>1568</v>
      </c>
      <c r="E1473" s="191" t="s">
        <v>120</v>
      </c>
      <c r="F1473" s="191"/>
      <c r="G1473" s="191" t="s">
        <v>113</v>
      </c>
      <c r="H1473" s="192">
        <v>0.31</v>
      </c>
      <c r="I1473" s="244">
        <v>0.35</v>
      </c>
      <c r="J1473" s="244">
        <v>0.1</v>
      </c>
    </row>
    <row r="1474" spans="1:10" ht="28.5" x14ac:dyDescent="0.25">
      <c r="A1474" s="191" t="s">
        <v>62</v>
      </c>
      <c r="B1474" s="191" t="s">
        <v>1515</v>
      </c>
      <c r="C1474" s="191" t="s">
        <v>785</v>
      </c>
      <c r="D1474" s="191" t="s">
        <v>181</v>
      </c>
      <c r="E1474" s="191" t="s">
        <v>124</v>
      </c>
      <c r="F1474" s="191"/>
      <c r="G1474" s="191" t="s">
        <v>60</v>
      </c>
      <c r="H1474" s="192">
        <v>0.114</v>
      </c>
      <c r="I1474" s="244">
        <v>22.05</v>
      </c>
      <c r="J1474" s="244">
        <v>2.5099999999999998</v>
      </c>
    </row>
    <row r="1475" spans="1:10" ht="28.5" x14ac:dyDescent="0.25">
      <c r="A1475" s="191" t="s">
        <v>62</v>
      </c>
      <c r="B1475" s="191" t="s">
        <v>1569</v>
      </c>
      <c r="C1475" s="191" t="s">
        <v>785</v>
      </c>
      <c r="D1475" s="191" t="s">
        <v>1570</v>
      </c>
      <c r="E1475" s="191" t="s">
        <v>124</v>
      </c>
      <c r="F1475" s="191"/>
      <c r="G1475" s="191" t="s">
        <v>60</v>
      </c>
      <c r="H1475" s="192">
        <v>0.114</v>
      </c>
      <c r="I1475" s="244">
        <v>29.79</v>
      </c>
      <c r="J1475" s="244">
        <v>3.39</v>
      </c>
    </row>
    <row r="1476" spans="1:10" x14ac:dyDescent="0.25">
      <c r="A1476" s="187"/>
      <c r="B1476" s="187"/>
      <c r="C1476" s="187"/>
      <c r="D1476" s="187"/>
      <c r="E1476" s="187" t="s">
        <v>756</v>
      </c>
      <c r="F1476" s="188">
        <v>5.9</v>
      </c>
      <c r="G1476" s="187" t="s">
        <v>757</v>
      </c>
      <c r="H1476" s="188">
        <v>0</v>
      </c>
      <c r="I1476" s="242" t="s">
        <v>758</v>
      </c>
      <c r="J1476" s="242">
        <v>5.9</v>
      </c>
    </row>
    <row r="1477" spans="1:10" x14ac:dyDescent="0.25">
      <c r="A1477" s="187"/>
      <c r="B1477" s="187"/>
      <c r="C1477" s="187"/>
      <c r="D1477" s="187"/>
      <c r="E1477" s="187" t="s">
        <v>759</v>
      </c>
      <c r="F1477" s="188">
        <v>0</v>
      </c>
      <c r="G1477" s="187"/>
      <c r="H1477" s="187" t="s">
        <v>760</v>
      </c>
      <c r="I1477" s="242"/>
      <c r="J1477" s="242">
        <v>11.99</v>
      </c>
    </row>
    <row r="1478" spans="1:10" x14ac:dyDescent="0.25">
      <c r="A1478" s="182"/>
      <c r="B1478" s="182"/>
      <c r="C1478" s="182"/>
      <c r="D1478" s="182"/>
      <c r="E1478" s="182"/>
      <c r="F1478" s="182"/>
      <c r="G1478" s="182" t="s">
        <v>761</v>
      </c>
      <c r="H1478" s="189" t="s">
        <v>1555</v>
      </c>
      <c r="I1478" s="239" t="s">
        <v>763</v>
      </c>
      <c r="J1478" s="239">
        <v>47.96</v>
      </c>
    </row>
    <row r="1479" spans="1:10" x14ac:dyDescent="0.25">
      <c r="A1479" s="183"/>
      <c r="B1479" s="183"/>
      <c r="C1479" s="183"/>
      <c r="D1479" s="183"/>
      <c r="E1479" s="183"/>
      <c r="F1479" s="183"/>
      <c r="G1479" s="183"/>
      <c r="H1479" s="183"/>
      <c r="I1479" s="240"/>
      <c r="J1479" s="240"/>
    </row>
    <row r="1480" spans="1:10" x14ac:dyDescent="0.25">
      <c r="A1480" s="190" t="s">
        <v>1745</v>
      </c>
      <c r="B1480" s="190"/>
      <c r="C1480" s="190"/>
      <c r="D1480" s="190" t="s">
        <v>560</v>
      </c>
      <c r="E1480" s="190"/>
      <c r="F1480" s="190"/>
      <c r="G1480" s="190"/>
      <c r="H1480" s="190"/>
      <c r="I1480" s="243"/>
      <c r="J1480" s="243">
        <v>1063.6500000000001</v>
      </c>
    </row>
    <row r="1481" spans="1:10" x14ac:dyDescent="0.25">
      <c r="A1481" s="182" t="s">
        <v>1746</v>
      </c>
      <c r="B1481" s="182" t="s">
        <v>66</v>
      </c>
      <c r="C1481" s="182" t="s">
        <v>64</v>
      </c>
      <c r="D1481" s="182" t="s">
        <v>67</v>
      </c>
      <c r="E1481" s="182" t="s">
        <v>65</v>
      </c>
      <c r="F1481" s="182"/>
      <c r="G1481" s="182" t="s">
        <v>744</v>
      </c>
      <c r="H1481" s="182" t="s">
        <v>69</v>
      </c>
      <c r="I1481" s="239" t="s">
        <v>745</v>
      </c>
      <c r="J1481" s="239" t="s">
        <v>0</v>
      </c>
    </row>
    <row r="1482" spans="1:10" ht="71.25" x14ac:dyDescent="0.25">
      <c r="A1482" s="183" t="s">
        <v>58</v>
      </c>
      <c r="B1482" s="183" t="s">
        <v>1691</v>
      </c>
      <c r="C1482" s="183" t="s">
        <v>59</v>
      </c>
      <c r="D1482" s="183" t="s">
        <v>1692</v>
      </c>
      <c r="E1482" s="183" t="s">
        <v>1559</v>
      </c>
      <c r="F1482" s="183"/>
      <c r="G1482" s="183" t="s">
        <v>61</v>
      </c>
      <c r="H1482" s="184">
        <v>1</v>
      </c>
      <c r="I1482" s="240">
        <v>154.25</v>
      </c>
      <c r="J1482" s="240">
        <v>154.25</v>
      </c>
    </row>
    <row r="1483" spans="1:10" ht="42.75" x14ac:dyDescent="0.25">
      <c r="A1483" s="185" t="s">
        <v>119</v>
      </c>
      <c r="B1483" s="185" t="s">
        <v>1481</v>
      </c>
      <c r="C1483" s="185" t="s">
        <v>59</v>
      </c>
      <c r="D1483" s="185" t="s">
        <v>1482</v>
      </c>
      <c r="E1483" s="185" t="s">
        <v>754</v>
      </c>
      <c r="F1483" s="185"/>
      <c r="G1483" s="185" t="s">
        <v>60</v>
      </c>
      <c r="H1483" s="186">
        <v>9.6000000000000002E-2</v>
      </c>
      <c r="I1483" s="241">
        <v>31.42</v>
      </c>
      <c r="J1483" s="241">
        <v>3.01</v>
      </c>
    </row>
    <row r="1484" spans="1:10" ht="28.5" x14ac:dyDescent="0.25">
      <c r="A1484" s="185" t="s">
        <v>119</v>
      </c>
      <c r="B1484" s="185" t="s">
        <v>769</v>
      </c>
      <c r="C1484" s="185" t="s">
        <v>59</v>
      </c>
      <c r="D1484" s="185" t="s">
        <v>115</v>
      </c>
      <c r="E1484" s="185" t="s">
        <v>754</v>
      </c>
      <c r="F1484" s="185"/>
      <c r="G1484" s="185" t="s">
        <v>60</v>
      </c>
      <c r="H1484" s="186">
        <v>3.0300000000000001E-2</v>
      </c>
      <c r="I1484" s="241">
        <v>22.42</v>
      </c>
      <c r="J1484" s="241">
        <v>0.67</v>
      </c>
    </row>
    <row r="1485" spans="1:10" ht="42.75" x14ac:dyDescent="0.25">
      <c r="A1485" s="191" t="s">
        <v>62</v>
      </c>
      <c r="B1485" s="191" t="s">
        <v>1693</v>
      </c>
      <c r="C1485" s="191" t="s">
        <v>59</v>
      </c>
      <c r="D1485" s="191" t="s">
        <v>1694</v>
      </c>
      <c r="E1485" s="191" t="s">
        <v>120</v>
      </c>
      <c r="F1485" s="191"/>
      <c r="G1485" s="191" t="s">
        <v>61</v>
      </c>
      <c r="H1485" s="192">
        <v>1</v>
      </c>
      <c r="I1485" s="244">
        <v>150.51</v>
      </c>
      <c r="J1485" s="244">
        <v>150.51</v>
      </c>
    </row>
    <row r="1486" spans="1:10" ht="28.5" x14ac:dyDescent="0.25">
      <c r="A1486" s="191" t="s">
        <v>62</v>
      </c>
      <c r="B1486" s="191" t="s">
        <v>1560</v>
      </c>
      <c r="C1486" s="191" t="s">
        <v>59</v>
      </c>
      <c r="D1486" s="191" t="s">
        <v>1561</v>
      </c>
      <c r="E1486" s="191" t="s">
        <v>120</v>
      </c>
      <c r="F1486" s="191"/>
      <c r="G1486" s="191" t="s">
        <v>61</v>
      </c>
      <c r="H1486" s="192">
        <v>2.1000000000000001E-2</v>
      </c>
      <c r="I1486" s="244">
        <v>3.3</v>
      </c>
      <c r="J1486" s="244">
        <v>0.06</v>
      </c>
    </row>
    <row r="1487" spans="1:10" x14ac:dyDescent="0.25">
      <c r="A1487" s="187"/>
      <c r="B1487" s="187"/>
      <c r="C1487" s="187"/>
      <c r="D1487" s="187"/>
      <c r="E1487" s="187" t="s">
        <v>756</v>
      </c>
      <c r="F1487" s="188">
        <v>2.8</v>
      </c>
      <c r="G1487" s="187" t="s">
        <v>757</v>
      </c>
      <c r="H1487" s="188">
        <v>0</v>
      </c>
      <c r="I1487" s="242" t="s">
        <v>758</v>
      </c>
      <c r="J1487" s="242">
        <v>2.8</v>
      </c>
    </row>
    <row r="1488" spans="1:10" x14ac:dyDescent="0.25">
      <c r="A1488" s="187"/>
      <c r="B1488" s="187"/>
      <c r="C1488" s="187"/>
      <c r="D1488" s="187"/>
      <c r="E1488" s="187" t="s">
        <v>759</v>
      </c>
      <c r="F1488" s="188">
        <v>0</v>
      </c>
      <c r="G1488" s="187"/>
      <c r="H1488" s="187" t="s">
        <v>760</v>
      </c>
      <c r="I1488" s="242"/>
      <c r="J1488" s="242">
        <v>154.25</v>
      </c>
    </row>
    <row r="1489" spans="1:10" x14ac:dyDescent="0.25">
      <c r="A1489" s="182"/>
      <c r="B1489" s="182"/>
      <c r="C1489" s="182"/>
      <c r="D1489" s="182"/>
      <c r="E1489" s="182"/>
      <c r="F1489" s="182"/>
      <c r="G1489" s="182" t="s">
        <v>761</v>
      </c>
      <c r="H1489" s="189" t="s">
        <v>762</v>
      </c>
      <c r="I1489" s="239" t="s">
        <v>763</v>
      </c>
      <c r="J1489" s="239">
        <v>154.25</v>
      </c>
    </row>
    <row r="1490" spans="1:10" x14ac:dyDescent="0.25">
      <c r="A1490" s="183"/>
      <c r="B1490" s="183"/>
      <c r="C1490" s="183"/>
      <c r="D1490" s="183"/>
      <c r="E1490" s="183"/>
      <c r="F1490" s="183"/>
      <c r="G1490" s="183"/>
      <c r="H1490" s="183"/>
      <c r="I1490" s="240"/>
      <c r="J1490" s="240"/>
    </row>
    <row r="1491" spans="1:10" x14ac:dyDescent="0.25">
      <c r="A1491" s="182" t="s">
        <v>1747</v>
      </c>
      <c r="B1491" s="182" t="s">
        <v>66</v>
      </c>
      <c r="C1491" s="182" t="s">
        <v>64</v>
      </c>
      <c r="D1491" s="182" t="s">
        <v>67</v>
      </c>
      <c r="E1491" s="182" t="s">
        <v>65</v>
      </c>
      <c r="F1491" s="182"/>
      <c r="G1491" s="182" t="s">
        <v>744</v>
      </c>
      <c r="H1491" s="182" t="s">
        <v>69</v>
      </c>
      <c r="I1491" s="239" t="s">
        <v>745</v>
      </c>
      <c r="J1491" s="239" t="s">
        <v>0</v>
      </c>
    </row>
    <row r="1492" spans="1:10" ht="57" x14ac:dyDescent="0.25">
      <c r="A1492" s="183" t="s">
        <v>58</v>
      </c>
      <c r="B1492" s="183" t="s">
        <v>1696</v>
      </c>
      <c r="C1492" s="183" t="s">
        <v>59</v>
      </c>
      <c r="D1492" s="183" t="s">
        <v>1697</v>
      </c>
      <c r="E1492" s="183" t="s">
        <v>1559</v>
      </c>
      <c r="F1492" s="183"/>
      <c r="G1492" s="183" t="s">
        <v>61</v>
      </c>
      <c r="H1492" s="184">
        <v>1</v>
      </c>
      <c r="I1492" s="240">
        <v>513.45000000000005</v>
      </c>
      <c r="J1492" s="240">
        <v>513.45000000000005</v>
      </c>
    </row>
    <row r="1493" spans="1:10" ht="42.75" x14ac:dyDescent="0.25">
      <c r="A1493" s="185" t="s">
        <v>119</v>
      </c>
      <c r="B1493" s="185" t="s">
        <v>1481</v>
      </c>
      <c r="C1493" s="185" t="s">
        <v>59</v>
      </c>
      <c r="D1493" s="185" t="s">
        <v>1482</v>
      </c>
      <c r="E1493" s="185" t="s">
        <v>754</v>
      </c>
      <c r="F1493" s="185"/>
      <c r="G1493" s="185" t="s">
        <v>60</v>
      </c>
      <c r="H1493" s="186">
        <v>0.77910000000000001</v>
      </c>
      <c r="I1493" s="241">
        <v>31.42</v>
      </c>
      <c r="J1493" s="241">
        <v>24.47</v>
      </c>
    </row>
    <row r="1494" spans="1:10" ht="28.5" x14ac:dyDescent="0.25">
      <c r="A1494" s="185" t="s">
        <v>119</v>
      </c>
      <c r="B1494" s="185" t="s">
        <v>769</v>
      </c>
      <c r="C1494" s="185" t="s">
        <v>59</v>
      </c>
      <c r="D1494" s="185" t="s">
        <v>115</v>
      </c>
      <c r="E1494" s="185" t="s">
        <v>754</v>
      </c>
      <c r="F1494" s="185"/>
      <c r="G1494" s="185" t="s">
        <v>60</v>
      </c>
      <c r="H1494" s="186">
        <v>0.43840000000000001</v>
      </c>
      <c r="I1494" s="241">
        <v>22.42</v>
      </c>
      <c r="J1494" s="241">
        <v>9.82</v>
      </c>
    </row>
    <row r="1495" spans="1:10" ht="42.75" x14ac:dyDescent="0.25">
      <c r="A1495" s="191" t="s">
        <v>62</v>
      </c>
      <c r="B1495" s="191" t="s">
        <v>1698</v>
      </c>
      <c r="C1495" s="191" t="s">
        <v>59</v>
      </c>
      <c r="D1495" s="191" t="s">
        <v>1699</v>
      </c>
      <c r="E1495" s="191" t="s">
        <v>120</v>
      </c>
      <c r="F1495" s="191"/>
      <c r="G1495" s="191" t="s">
        <v>61</v>
      </c>
      <c r="H1495" s="192">
        <v>1</v>
      </c>
      <c r="I1495" s="244">
        <v>12.26</v>
      </c>
      <c r="J1495" s="244">
        <v>12.26</v>
      </c>
    </row>
    <row r="1496" spans="1:10" ht="28.5" x14ac:dyDescent="0.25">
      <c r="A1496" s="191" t="s">
        <v>62</v>
      </c>
      <c r="B1496" s="191" t="s">
        <v>1700</v>
      </c>
      <c r="C1496" s="191" t="s">
        <v>59</v>
      </c>
      <c r="D1496" s="191" t="s">
        <v>1701</v>
      </c>
      <c r="E1496" s="191" t="s">
        <v>120</v>
      </c>
      <c r="F1496" s="191"/>
      <c r="G1496" s="191" t="s">
        <v>121</v>
      </c>
      <c r="H1496" s="192">
        <v>8.8099999999999998E-2</v>
      </c>
      <c r="I1496" s="244">
        <v>98.93</v>
      </c>
      <c r="J1496" s="244">
        <v>8.7100000000000009</v>
      </c>
    </row>
    <row r="1497" spans="1:10" ht="57" x14ac:dyDescent="0.25">
      <c r="A1497" s="191" t="s">
        <v>62</v>
      </c>
      <c r="B1497" s="191" t="s">
        <v>1702</v>
      </c>
      <c r="C1497" s="191" t="s">
        <v>59</v>
      </c>
      <c r="D1497" s="191" t="s">
        <v>1703</v>
      </c>
      <c r="E1497" s="191" t="s">
        <v>120</v>
      </c>
      <c r="F1497" s="191"/>
      <c r="G1497" s="191" t="s">
        <v>61</v>
      </c>
      <c r="H1497" s="192">
        <v>1</v>
      </c>
      <c r="I1497" s="244">
        <v>416.63</v>
      </c>
      <c r="J1497" s="244">
        <v>416.63</v>
      </c>
    </row>
    <row r="1498" spans="1:10" ht="71.25" x14ac:dyDescent="0.25">
      <c r="A1498" s="191" t="s">
        <v>62</v>
      </c>
      <c r="B1498" s="191" t="s">
        <v>1704</v>
      </c>
      <c r="C1498" s="191" t="s">
        <v>59</v>
      </c>
      <c r="D1498" s="191" t="s">
        <v>1705</v>
      </c>
      <c r="E1498" s="191" t="s">
        <v>120</v>
      </c>
      <c r="F1498" s="191"/>
      <c r="G1498" s="191" t="s">
        <v>61</v>
      </c>
      <c r="H1498" s="192">
        <v>2</v>
      </c>
      <c r="I1498" s="244">
        <v>20.78</v>
      </c>
      <c r="J1498" s="244">
        <v>41.56</v>
      </c>
    </row>
    <row r="1499" spans="1:10" x14ac:dyDescent="0.25">
      <c r="A1499" s="187"/>
      <c r="B1499" s="187"/>
      <c r="C1499" s="187"/>
      <c r="D1499" s="187"/>
      <c r="E1499" s="187" t="s">
        <v>756</v>
      </c>
      <c r="F1499" s="188">
        <v>25.7</v>
      </c>
      <c r="G1499" s="187" t="s">
        <v>757</v>
      </c>
      <c r="H1499" s="188">
        <v>0</v>
      </c>
      <c r="I1499" s="242" t="s">
        <v>758</v>
      </c>
      <c r="J1499" s="242">
        <v>25.7</v>
      </c>
    </row>
    <row r="1500" spans="1:10" x14ac:dyDescent="0.25">
      <c r="A1500" s="187"/>
      <c r="B1500" s="187"/>
      <c r="C1500" s="187"/>
      <c r="D1500" s="187"/>
      <c r="E1500" s="187" t="s">
        <v>759</v>
      </c>
      <c r="F1500" s="188">
        <v>0</v>
      </c>
      <c r="G1500" s="187"/>
      <c r="H1500" s="187" t="s">
        <v>760</v>
      </c>
      <c r="I1500" s="242"/>
      <c r="J1500" s="242">
        <v>513.45000000000005</v>
      </c>
    </row>
    <row r="1501" spans="1:10" x14ac:dyDescent="0.25">
      <c r="A1501" s="182"/>
      <c r="B1501" s="182"/>
      <c r="C1501" s="182"/>
      <c r="D1501" s="182"/>
      <c r="E1501" s="182"/>
      <c r="F1501" s="182"/>
      <c r="G1501" s="182" t="s">
        <v>761</v>
      </c>
      <c r="H1501" s="189" t="s">
        <v>762</v>
      </c>
      <c r="I1501" s="239" t="s">
        <v>763</v>
      </c>
      <c r="J1501" s="239">
        <v>513.45000000000005</v>
      </c>
    </row>
    <row r="1502" spans="1:10" x14ac:dyDescent="0.25">
      <c r="A1502" s="183"/>
      <c r="B1502" s="183"/>
      <c r="C1502" s="183"/>
      <c r="D1502" s="183"/>
      <c r="E1502" s="183"/>
      <c r="F1502" s="183"/>
      <c r="G1502" s="183"/>
      <c r="H1502" s="183"/>
      <c r="I1502" s="240"/>
      <c r="J1502" s="240"/>
    </row>
    <row r="1503" spans="1:10" x14ac:dyDescent="0.25">
      <c r="A1503" s="182" t="s">
        <v>1748</v>
      </c>
      <c r="B1503" s="182" t="s">
        <v>66</v>
      </c>
      <c r="C1503" s="182" t="s">
        <v>64</v>
      </c>
      <c r="D1503" s="182" t="s">
        <v>67</v>
      </c>
      <c r="E1503" s="182" t="s">
        <v>65</v>
      </c>
      <c r="F1503" s="182"/>
      <c r="G1503" s="182" t="s">
        <v>744</v>
      </c>
      <c r="H1503" s="182" t="s">
        <v>69</v>
      </c>
      <c r="I1503" s="239" t="s">
        <v>745</v>
      </c>
      <c r="J1503" s="239" t="s">
        <v>0</v>
      </c>
    </row>
    <row r="1504" spans="1:10" ht="28.5" x14ac:dyDescent="0.25">
      <c r="A1504" s="183" t="s">
        <v>58</v>
      </c>
      <c r="B1504" s="183" t="s">
        <v>1707</v>
      </c>
      <c r="C1504" s="183" t="s">
        <v>785</v>
      </c>
      <c r="D1504" s="183" t="s">
        <v>1708</v>
      </c>
      <c r="E1504" s="183">
        <v>809</v>
      </c>
      <c r="F1504" s="183"/>
      <c r="G1504" s="183" t="s">
        <v>1498</v>
      </c>
      <c r="H1504" s="184">
        <v>1</v>
      </c>
      <c r="I1504" s="240">
        <v>133.19999999999999</v>
      </c>
      <c r="J1504" s="240">
        <v>133.19999999999999</v>
      </c>
    </row>
    <row r="1505" spans="1:10" ht="28.5" x14ac:dyDescent="0.25">
      <c r="A1505" s="191" t="s">
        <v>62</v>
      </c>
      <c r="B1505" s="191" t="s">
        <v>1709</v>
      </c>
      <c r="C1505" s="191" t="s">
        <v>785</v>
      </c>
      <c r="D1505" s="191" t="s">
        <v>1710</v>
      </c>
      <c r="E1505" s="191" t="s">
        <v>120</v>
      </c>
      <c r="F1505" s="191"/>
      <c r="G1505" s="191" t="s">
        <v>129</v>
      </c>
      <c r="H1505" s="192">
        <v>1</v>
      </c>
      <c r="I1505" s="244">
        <v>101.26</v>
      </c>
      <c r="J1505" s="244">
        <v>101.26</v>
      </c>
    </row>
    <row r="1506" spans="1:10" ht="28.5" x14ac:dyDescent="0.25">
      <c r="A1506" s="191" t="s">
        <v>62</v>
      </c>
      <c r="B1506" s="191" t="s">
        <v>1567</v>
      </c>
      <c r="C1506" s="191" t="s">
        <v>785</v>
      </c>
      <c r="D1506" s="191" t="s">
        <v>1568</v>
      </c>
      <c r="E1506" s="191" t="s">
        <v>120</v>
      </c>
      <c r="F1506" s="191"/>
      <c r="G1506" s="191" t="s">
        <v>113</v>
      </c>
      <c r="H1506" s="192">
        <v>0.94</v>
      </c>
      <c r="I1506" s="244">
        <v>0.35</v>
      </c>
      <c r="J1506" s="244">
        <v>0.32</v>
      </c>
    </row>
    <row r="1507" spans="1:10" ht="28.5" x14ac:dyDescent="0.25">
      <c r="A1507" s="191" t="s">
        <v>62</v>
      </c>
      <c r="B1507" s="191" t="s">
        <v>1515</v>
      </c>
      <c r="C1507" s="191" t="s">
        <v>785</v>
      </c>
      <c r="D1507" s="191" t="s">
        <v>181</v>
      </c>
      <c r="E1507" s="191" t="s">
        <v>124</v>
      </c>
      <c r="F1507" s="191"/>
      <c r="G1507" s="191" t="s">
        <v>60</v>
      </c>
      <c r="H1507" s="192">
        <v>0.61</v>
      </c>
      <c r="I1507" s="244">
        <v>22.05</v>
      </c>
      <c r="J1507" s="244">
        <v>13.45</v>
      </c>
    </row>
    <row r="1508" spans="1:10" ht="28.5" x14ac:dyDescent="0.25">
      <c r="A1508" s="191" t="s">
        <v>62</v>
      </c>
      <c r="B1508" s="191" t="s">
        <v>1569</v>
      </c>
      <c r="C1508" s="191" t="s">
        <v>785</v>
      </c>
      <c r="D1508" s="191" t="s">
        <v>1570</v>
      </c>
      <c r="E1508" s="191" t="s">
        <v>124</v>
      </c>
      <c r="F1508" s="191"/>
      <c r="G1508" s="191" t="s">
        <v>60</v>
      </c>
      <c r="H1508" s="192">
        <v>0.61</v>
      </c>
      <c r="I1508" s="244">
        <v>29.79</v>
      </c>
      <c r="J1508" s="244">
        <v>18.170000000000002</v>
      </c>
    </row>
    <row r="1509" spans="1:10" x14ac:dyDescent="0.25">
      <c r="A1509" s="187"/>
      <c r="B1509" s="187"/>
      <c r="C1509" s="187"/>
      <c r="D1509" s="187"/>
      <c r="E1509" s="187" t="s">
        <v>756</v>
      </c>
      <c r="F1509" s="188">
        <v>31.62</v>
      </c>
      <c r="G1509" s="187" t="s">
        <v>757</v>
      </c>
      <c r="H1509" s="188">
        <v>0</v>
      </c>
      <c r="I1509" s="242" t="s">
        <v>758</v>
      </c>
      <c r="J1509" s="242">
        <v>31.62</v>
      </c>
    </row>
    <row r="1510" spans="1:10" x14ac:dyDescent="0.25">
      <c r="A1510" s="187"/>
      <c r="B1510" s="187"/>
      <c r="C1510" s="187"/>
      <c r="D1510" s="187"/>
      <c r="E1510" s="187" t="s">
        <v>759</v>
      </c>
      <c r="F1510" s="188">
        <v>0</v>
      </c>
      <c r="G1510" s="187"/>
      <c r="H1510" s="187" t="s">
        <v>760</v>
      </c>
      <c r="I1510" s="242"/>
      <c r="J1510" s="242">
        <v>133.19999999999999</v>
      </c>
    </row>
    <row r="1511" spans="1:10" x14ac:dyDescent="0.25">
      <c r="A1511" s="182"/>
      <c r="B1511" s="182"/>
      <c r="C1511" s="182"/>
      <c r="D1511" s="182"/>
      <c r="E1511" s="182"/>
      <c r="F1511" s="182"/>
      <c r="G1511" s="182" t="s">
        <v>761</v>
      </c>
      <c r="H1511" s="189" t="s">
        <v>762</v>
      </c>
      <c r="I1511" s="239" t="s">
        <v>763</v>
      </c>
      <c r="J1511" s="239">
        <v>133.19999999999999</v>
      </c>
    </row>
    <row r="1512" spans="1:10" x14ac:dyDescent="0.25">
      <c r="A1512" s="183"/>
      <c r="B1512" s="183"/>
      <c r="C1512" s="183"/>
      <c r="D1512" s="183"/>
      <c r="E1512" s="183"/>
      <c r="F1512" s="183"/>
      <c r="G1512" s="183"/>
      <c r="H1512" s="183"/>
      <c r="I1512" s="240"/>
      <c r="J1512" s="240"/>
    </row>
    <row r="1513" spans="1:10" x14ac:dyDescent="0.25">
      <c r="A1513" s="182" t="s">
        <v>1749</v>
      </c>
      <c r="B1513" s="182" t="s">
        <v>66</v>
      </c>
      <c r="C1513" s="182" t="s">
        <v>64</v>
      </c>
      <c r="D1513" s="182" t="s">
        <v>67</v>
      </c>
      <c r="E1513" s="182" t="s">
        <v>65</v>
      </c>
      <c r="F1513" s="182"/>
      <c r="G1513" s="182" t="s">
        <v>744</v>
      </c>
      <c r="H1513" s="182" t="s">
        <v>69</v>
      </c>
      <c r="I1513" s="239" t="s">
        <v>745</v>
      </c>
      <c r="J1513" s="239" t="s">
        <v>0</v>
      </c>
    </row>
    <row r="1514" spans="1:10" ht="42.75" x14ac:dyDescent="0.25">
      <c r="A1514" s="183" t="s">
        <v>58</v>
      </c>
      <c r="B1514" s="183" t="s">
        <v>1712</v>
      </c>
      <c r="C1514" s="183" t="s">
        <v>59</v>
      </c>
      <c r="D1514" s="183" t="s">
        <v>1713</v>
      </c>
      <c r="E1514" s="183" t="s">
        <v>1559</v>
      </c>
      <c r="F1514" s="183"/>
      <c r="G1514" s="183" t="s">
        <v>61</v>
      </c>
      <c r="H1514" s="184">
        <v>1</v>
      </c>
      <c r="I1514" s="240">
        <v>55.78</v>
      </c>
      <c r="J1514" s="240">
        <v>55.78</v>
      </c>
    </row>
    <row r="1515" spans="1:10" ht="42.75" x14ac:dyDescent="0.25">
      <c r="A1515" s="185" t="s">
        <v>119</v>
      </c>
      <c r="B1515" s="185" t="s">
        <v>1481</v>
      </c>
      <c r="C1515" s="185" t="s">
        <v>59</v>
      </c>
      <c r="D1515" s="185" t="s">
        <v>1482</v>
      </c>
      <c r="E1515" s="185" t="s">
        <v>754</v>
      </c>
      <c r="F1515" s="185"/>
      <c r="G1515" s="185" t="s">
        <v>60</v>
      </c>
      <c r="H1515" s="186">
        <v>0.1525</v>
      </c>
      <c r="I1515" s="241">
        <v>31.42</v>
      </c>
      <c r="J1515" s="241">
        <v>4.79</v>
      </c>
    </row>
    <row r="1516" spans="1:10" ht="28.5" x14ac:dyDescent="0.25">
      <c r="A1516" s="185" t="s">
        <v>119</v>
      </c>
      <c r="B1516" s="185" t="s">
        <v>769</v>
      </c>
      <c r="C1516" s="185" t="s">
        <v>59</v>
      </c>
      <c r="D1516" s="185" t="s">
        <v>115</v>
      </c>
      <c r="E1516" s="185" t="s">
        <v>754</v>
      </c>
      <c r="F1516" s="185"/>
      <c r="G1516" s="185" t="s">
        <v>60</v>
      </c>
      <c r="H1516" s="186">
        <v>4.8099999999999997E-2</v>
      </c>
      <c r="I1516" s="241">
        <v>22.42</v>
      </c>
      <c r="J1516" s="241">
        <v>1.07</v>
      </c>
    </row>
    <row r="1517" spans="1:10" ht="28.5" x14ac:dyDescent="0.25">
      <c r="A1517" s="191" t="s">
        <v>62</v>
      </c>
      <c r="B1517" s="191" t="s">
        <v>1560</v>
      </c>
      <c r="C1517" s="191" t="s">
        <v>59</v>
      </c>
      <c r="D1517" s="191" t="s">
        <v>1561</v>
      </c>
      <c r="E1517" s="191" t="s">
        <v>120</v>
      </c>
      <c r="F1517" s="191"/>
      <c r="G1517" s="191" t="s">
        <v>61</v>
      </c>
      <c r="H1517" s="192">
        <v>2.1000000000000001E-2</v>
      </c>
      <c r="I1517" s="244">
        <v>3.3</v>
      </c>
      <c r="J1517" s="244">
        <v>0.06</v>
      </c>
    </row>
    <row r="1518" spans="1:10" ht="28.5" x14ac:dyDescent="0.25">
      <c r="A1518" s="191" t="s">
        <v>62</v>
      </c>
      <c r="B1518" s="191" t="s">
        <v>1714</v>
      </c>
      <c r="C1518" s="191" t="s">
        <v>59</v>
      </c>
      <c r="D1518" s="191" t="s">
        <v>1715</v>
      </c>
      <c r="E1518" s="191" t="s">
        <v>120</v>
      </c>
      <c r="F1518" s="191"/>
      <c r="G1518" s="191" t="s">
        <v>61</v>
      </c>
      <c r="H1518" s="192">
        <v>1</v>
      </c>
      <c r="I1518" s="244">
        <v>49.86</v>
      </c>
      <c r="J1518" s="244">
        <v>49.86</v>
      </c>
    </row>
    <row r="1519" spans="1:10" x14ac:dyDescent="0.25">
      <c r="A1519" s="187"/>
      <c r="B1519" s="187"/>
      <c r="C1519" s="187"/>
      <c r="D1519" s="187"/>
      <c r="E1519" s="187" t="s">
        <v>756</v>
      </c>
      <c r="F1519" s="188">
        <v>4.46</v>
      </c>
      <c r="G1519" s="187" t="s">
        <v>757</v>
      </c>
      <c r="H1519" s="188">
        <v>0</v>
      </c>
      <c r="I1519" s="242" t="s">
        <v>758</v>
      </c>
      <c r="J1519" s="242">
        <v>4.46</v>
      </c>
    </row>
    <row r="1520" spans="1:10" x14ac:dyDescent="0.25">
      <c r="A1520" s="187"/>
      <c r="B1520" s="187"/>
      <c r="C1520" s="187"/>
      <c r="D1520" s="187"/>
      <c r="E1520" s="187" t="s">
        <v>759</v>
      </c>
      <c r="F1520" s="188">
        <v>0</v>
      </c>
      <c r="G1520" s="187"/>
      <c r="H1520" s="187" t="s">
        <v>760</v>
      </c>
      <c r="I1520" s="242"/>
      <c r="J1520" s="242">
        <v>55.78</v>
      </c>
    </row>
    <row r="1521" spans="1:10" x14ac:dyDescent="0.25">
      <c r="A1521" s="182"/>
      <c r="B1521" s="182"/>
      <c r="C1521" s="182"/>
      <c r="D1521" s="182"/>
      <c r="E1521" s="182"/>
      <c r="F1521" s="182"/>
      <c r="G1521" s="182" t="s">
        <v>761</v>
      </c>
      <c r="H1521" s="189" t="s">
        <v>762</v>
      </c>
      <c r="I1521" s="239" t="s">
        <v>763</v>
      </c>
      <c r="J1521" s="239">
        <v>55.78</v>
      </c>
    </row>
    <row r="1522" spans="1:10" x14ac:dyDescent="0.25">
      <c r="A1522" s="183"/>
      <c r="B1522" s="183"/>
      <c r="C1522" s="183"/>
      <c r="D1522" s="183"/>
      <c r="E1522" s="183"/>
      <c r="F1522" s="183"/>
      <c r="G1522" s="183"/>
      <c r="H1522" s="183"/>
      <c r="I1522" s="240"/>
      <c r="J1522" s="240"/>
    </row>
    <row r="1523" spans="1:10" x14ac:dyDescent="0.25">
      <c r="A1523" s="182" t="s">
        <v>1750</v>
      </c>
      <c r="B1523" s="182" t="s">
        <v>66</v>
      </c>
      <c r="C1523" s="182" t="s">
        <v>64</v>
      </c>
      <c r="D1523" s="182" t="s">
        <v>67</v>
      </c>
      <c r="E1523" s="182" t="s">
        <v>65</v>
      </c>
      <c r="F1523" s="182"/>
      <c r="G1523" s="182" t="s">
        <v>744</v>
      </c>
      <c r="H1523" s="182" t="s">
        <v>69</v>
      </c>
      <c r="I1523" s="239" t="s">
        <v>745</v>
      </c>
      <c r="J1523" s="239" t="s">
        <v>0</v>
      </c>
    </row>
    <row r="1524" spans="1:10" ht="57" x14ac:dyDescent="0.25">
      <c r="A1524" s="183" t="s">
        <v>58</v>
      </c>
      <c r="B1524" s="183" t="s">
        <v>1717</v>
      </c>
      <c r="C1524" s="183" t="s">
        <v>59</v>
      </c>
      <c r="D1524" s="183" t="s">
        <v>1718</v>
      </c>
      <c r="E1524" s="183" t="s">
        <v>1559</v>
      </c>
      <c r="F1524" s="183"/>
      <c r="G1524" s="183" t="s">
        <v>61</v>
      </c>
      <c r="H1524" s="184">
        <v>1</v>
      </c>
      <c r="I1524" s="240">
        <v>10.76</v>
      </c>
      <c r="J1524" s="240">
        <v>10.76</v>
      </c>
    </row>
    <row r="1525" spans="1:10" ht="28.5" x14ac:dyDescent="0.25">
      <c r="A1525" s="185" t="s">
        <v>119</v>
      </c>
      <c r="B1525" s="185" t="s">
        <v>769</v>
      </c>
      <c r="C1525" s="185" t="s">
        <v>59</v>
      </c>
      <c r="D1525" s="185" t="s">
        <v>115</v>
      </c>
      <c r="E1525" s="185" t="s">
        <v>754</v>
      </c>
      <c r="F1525" s="185"/>
      <c r="G1525" s="185" t="s">
        <v>60</v>
      </c>
      <c r="H1525" s="186">
        <v>4.8099999999999997E-2</v>
      </c>
      <c r="I1525" s="241">
        <v>22.42</v>
      </c>
      <c r="J1525" s="241">
        <v>1.07</v>
      </c>
    </row>
    <row r="1526" spans="1:10" ht="42.75" x14ac:dyDescent="0.25">
      <c r="A1526" s="185" t="s">
        <v>119</v>
      </c>
      <c r="B1526" s="185" t="s">
        <v>1481</v>
      </c>
      <c r="C1526" s="185" t="s">
        <v>59</v>
      </c>
      <c r="D1526" s="185" t="s">
        <v>1482</v>
      </c>
      <c r="E1526" s="185" t="s">
        <v>754</v>
      </c>
      <c r="F1526" s="185"/>
      <c r="G1526" s="185" t="s">
        <v>60</v>
      </c>
      <c r="H1526" s="186">
        <v>0.1525</v>
      </c>
      <c r="I1526" s="241">
        <v>31.42</v>
      </c>
      <c r="J1526" s="241">
        <v>4.79</v>
      </c>
    </row>
    <row r="1527" spans="1:10" ht="42.75" x14ac:dyDescent="0.25">
      <c r="A1527" s="191" t="s">
        <v>62</v>
      </c>
      <c r="B1527" s="191" t="s">
        <v>1719</v>
      </c>
      <c r="C1527" s="191" t="s">
        <v>59</v>
      </c>
      <c r="D1527" s="191" t="s">
        <v>1720</v>
      </c>
      <c r="E1527" s="191" t="s">
        <v>120</v>
      </c>
      <c r="F1527" s="191"/>
      <c r="G1527" s="191" t="s">
        <v>61</v>
      </c>
      <c r="H1527" s="192">
        <v>1</v>
      </c>
      <c r="I1527" s="244">
        <v>4.84</v>
      </c>
      <c r="J1527" s="244">
        <v>4.84</v>
      </c>
    </row>
    <row r="1528" spans="1:10" ht="28.5" x14ac:dyDescent="0.25">
      <c r="A1528" s="191" t="s">
        <v>62</v>
      </c>
      <c r="B1528" s="191" t="s">
        <v>1560</v>
      </c>
      <c r="C1528" s="191" t="s">
        <v>59</v>
      </c>
      <c r="D1528" s="191" t="s">
        <v>1561</v>
      </c>
      <c r="E1528" s="191" t="s">
        <v>120</v>
      </c>
      <c r="F1528" s="191"/>
      <c r="G1528" s="191" t="s">
        <v>61</v>
      </c>
      <c r="H1528" s="192">
        <v>2.1000000000000001E-2</v>
      </c>
      <c r="I1528" s="244">
        <v>3.3</v>
      </c>
      <c r="J1528" s="244">
        <v>0.06</v>
      </c>
    </row>
    <row r="1529" spans="1:10" x14ac:dyDescent="0.25">
      <c r="A1529" s="187"/>
      <c r="B1529" s="187"/>
      <c r="C1529" s="187"/>
      <c r="D1529" s="187"/>
      <c r="E1529" s="187" t="s">
        <v>756</v>
      </c>
      <c r="F1529" s="188">
        <v>4.46</v>
      </c>
      <c r="G1529" s="187" t="s">
        <v>757</v>
      </c>
      <c r="H1529" s="188">
        <v>0</v>
      </c>
      <c r="I1529" s="242" t="s">
        <v>758</v>
      </c>
      <c r="J1529" s="242">
        <v>4.46</v>
      </c>
    </row>
    <row r="1530" spans="1:10" x14ac:dyDescent="0.25">
      <c r="A1530" s="187"/>
      <c r="B1530" s="187"/>
      <c r="C1530" s="187"/>
      <c r="D1530" s="187"/>
      <c r="E1530" s="187" t="s">
        <v>759</v>
      </c>
      <c r="F1530" s="188">
        <v>0</v>
      </c>
      <c r="G1530" s="187"/>
      <c r="H1530" s="187" t="s">
        <v>760</v>
      </c>
      <c r="I1530" s="242"/>
      <c r="J1530" s="242">
        <v>10.76</v>
      </c>
    </row>
    <row r="1531" spans="1:10" x14ac:dyDescent="0.25">
      <c r="A1531" s="182"/>
      <c r="B1531" s="182"/>
      <c r="C1531" s="182"/>
      <c r="D1531" s="182"/>
      <c r="E1531" s="182"/>
      <c r="F1531" s="182"/>
      <c r="G1531" s="182" t="s">
        <v>761</v>
      </c>
      <c r="H1531" s="189" t="s">
        <v>762</v>
      </c>
      <c r="I1531" s="239" t="s">
        <v>763</v>
      </c>
      <c r="J1531" s="239">
        <v>10.76</v>
      </c>
    </row>
    <row r="1532" spans="1:10" x14ac:dyDescent="0.25">
      <c r="A1532" s="183"/>
      <c r="B1532" s="183"/>
      <c r="C1532" s="183"/>
      <c r="D1532" s="183"/>
      <c r="E1532" s="183"/>
      <c r="F1532" s="183"/>
      <c r="G1532" s="183"/>
      <c r="H1532" s="183"/>
      <c r="I1532" s="240"/>
      <c r="J1532" s="240"/>
    </row>
    <row r="1533" spans="1:10" x14ac:dyDescent="0.25">
      <c r="A1533" s="182" t="s">
        <v>1751</v>
      </c>
      <c r="B1533" s="182" t="s">
        <v>66</v>
      </c>
      <c r="C1533" s="182" t="s">
        <v>64</v>
      </c>
      <c r="D1533" s="182" t="s">
        <v>67</v>
      </c>
      <c r="E1533" s="182" t="s">
        <v>65</v>
      </c>
      <c r="F1533" s="182"/>
      <c r="G1533" s="182" t="s">
        <v>744</v>
      </c>
      <c r="H1533" s="182" t="s">
        <v>69</v>
      </c>
      <c r="I1533" s="239" t="s">
        <v>745</v>
      </c>
      <c r="J1533" s="239" t="s">
        <v>0</v>
      </c>
    </row>
    <row r="1534" spans="1:10" ht="99.75" x14ac:dyDescent="0.25">
      <c r="A1534" s="183" t="s">
        <v>58</v>
      </c>
      <c r="B1534" s="183" t="s">
        <v>1722</v>
      </c>
      <c r="C1534" s="183" t="s">
        <v>59</v>
      </c>
      <c r="D1534" s="183" t="s">
        <v>1723</v>
      </c>
      <c r="E1534" s="183" t="s">
        <v>1681</v>
      </c>
      <c r="F1534" s="183"/>
      <c r="G1534" s="183" t="s">
        <v>61</v>
      </c>
      <c r="H1534" s="184">
        <v>1</v>
      </c>
      <c r="I1534" s="240">
        <v>7.01</v>
      </c>
      <c r="J1534" s="240">
        <v>7.01</v>
      </c>
    </row>
    <row r="1535" spans="1:10" ht="42.75" x14ac:dyDescent="0.25">
      <c r="A1535" s="185" t="s">
        <v>119</v>
      </c>
      <c r="B1535" s="185" t="s">
        <v>1481</v>
      </c>
      <c r="C1535" s="185" t="s">
        <v>59</v>
      </c>
      <c r="D1535" s="185" t="s">
        <v>1482</v>
      </c>
      <c r="E1535" s="185" t="s">
        <v>754</v>
      </c>
      <c r="F1535" s="185"/>
      <c r="G1535" s="185" t="s">
        <v>60</v>
      </c>
      <c r="H1535" s="186">
        <v>9.4399999999999998E-2</v>
      </c>
      <c r="I1535" s="241">
        <v>31.42</v>
      </c>
      <c r="J1535" s="241">
        <v>2.96</v>
      </c>
    </row>
    <row r="1536" spans="1:10" ht="42.75" x14ac:dyDescent="0.25">
      <c r="A1536" s="185" t="s">
        <v>119</v>
      </c>
      <c r="B1536" s="185" t="s">
        <v>1479</v>
      </c>
      <c r="C1536" s="185" t="s">
        <v>59</v>
      </c>
      <c r="D1536" s="185" t="s">
        <v>1480</v>
      </c>
      <c r="E1536" s="185" t="s">
        <v>754</v>
      </c>
      <c r="F1536" s="185"/>
      <c r="G1536" s="185" t="s">
        <v>60</v>
      </c>
      <c r="H1536" s="186">
        <v>9.4399999999999998E-2</v>
      </c>
      <c r="I1536" s="241">
        <v>22.16</v>
      </c>
      <c r="J1536" s="241">
        <v>2.09</v>
      </c>
    </row>
    <row r="1537" spans="1:10" ht="42.75" x14ac:dyDescent="0.25">
      <c r="A1537" s="191" t="s">
        <v>62</v>
      </c>
      <c r="B1537" s="191" t="s">
        <v>1724</v>
      </c>
      <c r="C1537" s="191" t="s">
        <v>59</v>
      </c>
      <c r="D1537" s="191" t="s">
        <v>1725</v>
      </c>
      <c r="E1537" s="191" t="s">
        <v>120</v>
      </c>
      <c r="F1537" s="191"/>
      <c r="G1537" s="191" t="s">
        <v>61</v>
      </c>
      <c r="H1537" s="192">
        <v>1</v>
      </c>
      <c r="I1537" s="244">
        <v>1.03</v>
      </c>
      <c r="J1537" s="244">
        <v>1.03</v>
      </c>
    </row>
    <row r="1538" spans="1:10" ht="42.75" x14ac:dyDescent="0.25">
      <c r="A1538" s="191" t="s">
        <v>62</v>
      </c>
      <c r="B1538" s="191" t="s">
        <v>1551</v>
      </c>
      <c r="C1538" s="191" t="s">
        <v>59</v>
      </c>
      <c r="D1538" s="191" t="s">
        <v>1552</v>
      </c>
      <c r="E1538" s="191" t="s">
        <v>120</v>
      </c>
      <c r="F1538" s="191"/>
      <c r="G1538" s="191" t="s">
        <v>61</v>
      </c>
      <c r="H1538" s="192">
        <v>7.0000000000000001E-3</v>
      </c>
      <c r="I1538" s="244">
        <v>71.48</v>
      </c>
      <c r="J1538" s="244">
        <v>0.5</v>
      </c>
    </row>
    <row r="1539" spans="1:10" ht="28.5" x14ac:dyDescent="0.25">
      <c r="A1539" s="191" t="s">
        <v>62</v>
      </c>
      <c r="B1539" s="191" t="s">
        <v>1483</v>
      </c>
      <c r="C1539" s="191" t="s">
        <v>59</v>
      </c>
      <c r="D1539" s="191" t="s">
        <v>1484</v>
      </c>
      <c r="E1539" s="191" t="s">
        <v>120</v>
      </c>
      <c r="F1539" s="191"/>
      <c r="G1539" s="191" t="s">
        <v>61</v>
      </c>
      <c r="H1539" s="192">
        <v>3.15E-2</v>
      </c>
      <c r="I1539" s="244">
        <v>2</v>
      </c>
      <c r="J1539" s="244">
        <v>0.06</v>
      </c>
    </row>
    <row r="1540" spans="1:10" ht="28.5" x14ac:dyDescent="0.25">
      <c r="A1540" s="191" t="s">
        <v>62</v>
      </c>
      <c r="B1540" s="191" t="s">
        <v>1549</v>
      </c>
      <c r="C1540" s="191" t="s">
        <v>59</v>
      </c>
      <c r="D1540" s="191" t="s">
        <v>1550</v>
      </c>
      <c r="E1540" s="191" t="s">
        <v>120</v>
      </c>
      <c r="F1540" s="191"/>
      <c r="G1540" s="191" t="s">
        <v>61</v>
      </c>
      <c r="H1540" s="192">
        <v>5.8999999999999999E-3</v>
      </c>
      <c r="I1540" s="244">
        <v>63.09</v>
      </c>
      <c r="J1540" s="244">
        <v>0.37</v>
      </c>
    </row>
    <row r="1541" spans="1:10" x14ac:dyDescent="0.25">
      <c r="A1541" s="187"/>
      <c r="B1541" s="187"/>
      <c r="C1541" s="187"/>
      <c r="D1541" s="187"/>
      <c r="E1541" s="187" t="s">
        <v>756</v>
      </c>
      <c r="F1541" s="188">
        <v>3.75</v>
      </c>
      <c r="G1541" s="187" t="s">
        <v>757</v>
      </c>
      <c r="H1541" s="188">
        <v>0</v>
      </c>
      <c r="I1541" s="242" t="s">
        <v>758</v>
      </c>
      <c r="J1541" s="242">
        <v>3.75</v>
      </c>
    </row>
    <row r="1542" spans="1:10" x14ac:dyDescent="0.25">
      <c r="A1542" s="187"/>
      <c r="B1542" s="187"/>
      <c r="C1542" s="187"/>
      <c r="D1542" s="187"/>
      <c r="E1542" s="187" t="s">
        <v>759</v>
      </c>
      <c r="F1542" s="188">
        <v>0</v>
      </c>
      <c r="G1542" s="187"/>
      <c r="H1542" s="187" t="s">
        <v>760</v>
      </c>
      <c r="I1542" s="242"/>
      <c r="J1542" s="242">
        <v>7.01</v>
      </c>
    </row>
    <row r="1543" spans="1:10" x14ac:dyDescent="0.25">
      <c r="A1543" s="182"/>
      <c r="B1543" s="182"/>
      <c r="C1543" s="182"/>
      <c r="D1543" s="182"/>
      <c r="E1543" s="182"/>
      <c r="F1543" s="182"/>
      <c r="G1543" s="182" t="s">
        <v>761</v>
      </c>
      <c r="H1543" s="189" t="s">
        <v>1538</v>
      </c>
      <c r="I1543" s="239" t="s">
        <v>763</v>
      </c>
      <c r="J1543" s="239">
        <v>14.02</v>
      </c>
    </row>
    <row r="1544" spans="1:10" x14ac:dyDescent="0.25">
      <c r="A1544" s="183"/>
      <c r="B1544" s="183"/>
      <c r="C1544" s="183"/>
      <c r="D1544" s="183"/>
      <c r="E1544" s="183"/>
      <c r="F1544" s="183"/>
      <c r="G1544" s="183"/>
      <c r="H1544" s="183"/>
      <c r="I1544" s="240"/>
      <c r="J1544" s="240"/>
    </row>
    <row r="1545" spans="1:10" x14ac:dyDescent="0.25">
      <c r="A1545" s="182" t="s">
        <v>1752</v>
      </c>
      <c r="B1545" s="182" t="s">
        <v>66</v>
      </c>
      <c r="C1545" s="182" t="s">
        <v>64</v>
      </c>
      <c r="D1545" s="182" t="s">
        <v>67</v>
      </c>
      <c r="E1545" s="182" t="s">
        <v>65</v>
      </c>
      <c r="F1545" s="182"/>
      <c r="G1545" s="182" t="s">
        <v>744</v>
      </c>
      <c r="H1545" s="182" t="s">
        <v>69</v>
      </c>
      <c r="I1545" s="239" t="s">
        <v>745</v>
      </c>
      <c r="J1545" s="239" t="s">
        <v>0</v>
      </c>
    </row>
    <row r="1546" spans="1:10" ht="71.25" x14ac:dyDescent="0.25">
      <c r="A1546" s="183" t="s">
        <v>58</v>
      </c>
      <c r="B1546" s="183" t="s">
        <v>1727</v>
      </c>
      <c r="C1546" s="183" t="s">
        <v>59</v>
      </c>
      <c r="D1546" s="183" t="s">
        <v>1728</v>
      </c>
      <c r="E1546" s="183" t="s">
        <v>1681</v>
      </c>
      <c r="F1546" s="183"/>
      <c r="G1546" s="183" t="s">
        <v>61</v>
      </c>
      <c r="H1546" s="184">
        <v>1</v>
      </c>
      <c r="I1546" s="240">
        <v>10.039999999999999</v>
      </c>
      <c r="J1546" s="240">
        <v>10.039999999999999</v>
      </c>
    </row>
    <row r="1547" spans="1:10" ht="42.75" x14ac:dyDescent="0.25">
      <c r="A1547" s="185" t="s">
        <v>119</v>
      </c>
      <c r="B1547" s="185" t="s">
        <v>1481</v>
      </c>
      <c r="C1547" s="185" t="s">
        <v>59</v>
      </c>
      <c r="D1547" s="185" t="s">
        <v>1482</v>
      </c>
      <c r="E1547" s="185" t="s">
        <v>754</v>
      </c>
      <c r="F1547" s="185"/>
      <c r="G1547" s="185" t="s">
        <v>60</v>
      </c>
      <c r="H1547" s="186">
        <v>0.152</v>
      </c>
      <c r="I1547" s="241">
        <v>31.42</v>
      </c>
      <c r="J1547" s="241">
        <v>4.7699999999999996</v>
      </c>
    </row>
    <row r="1548" spans="1:10" ht="42.75" x14ac:dyDescent="0.25">
      <c r="A1548" s="185" t="s">
        <v>119</v>
      </c>
      <c r="B1548" s="185" t="s">
        <v>1479</v>
      </c>
      <c r="C1548" s="185" t="s">
        <v>59</v>
      </c>
      <c r="D1548" s="185" t="s">
        <v>1480</v>
      </c>
      <c r="E1548" s="185" t="s">
        <v>754</v>
      </c>
      <c r="F1548" s="185"/>
      <c r="G1548" s="185" t="s">
        <v>60</v>
      </c>
      <c r="H1548" s="186">
        <v>0.152</v>
      </c>
      <c r="I1548" s="241">
        <v>22.16</v>
      </c>
      <c r="J1548" s="241">
        <v>3.36</v>
      </c>
    </row>
    <row r="1549" spans="1:10" ht="28.5" x14ac:dyDescent="0.25">
      <c r="A1549" s="191" t="s">
        <v>62</v>
      </c>
      <c r="B1549" s="191" t="s">
        <v>1549</v>
      </c>
      <c r="C1549" s="191" t="s">
        <v>59</v>
      </c>
      <c r="D1549" s="191" t="s">
        <v>1550</v>
      </c>
      <c r="E1549" s="191" t="s">
        <v>120</v>
      </c>
      <c r="F1549" s="191"/>
      <c r="G1549" s="191" t="s">
        <v>61</v>
      </c>
      <c r="H1549" s="192">
        <v>7.1000000000000004E-3</v>
      </c>
      <c r="I1549" s="244">
        <v>63.09</v>
      </c>
      <c r="J1549" s="244">
        <v>0.44</v>
      </c>
    </row>
    <row r="1550" spans="1:10" ht="28.5" x14ac:dyDescent="0.25">
      <c r="A1550" s="191" t="s">
        <v>62</v>
      </c>
      <c r="B1550" s="191" t="s">
        <v>1483</v>
      </c>
      <c r="C1550" s="191" t="s">
        <v>59</v>
      </c>
      <c r="D1550" s="191" t="s">
        <v>1484</v>
      </c>
      <c r="E1550" s="191" t="s">
        <v>120</v>
      </c>
      <c r="F1550" s="191"/>
      <c r="G1550" s="191" t="s">
        <v>61</v>
      </c>
      <c r="H1550" s="192">
        <v>3.3799999999999997E-2</v>
      </c>
      <c r="I1550" s="244">
        <v>2</v>
      </c>
      <c r="J1550" s="244">
        <v>0.06</v>
      </c>
    </row>
    <row r="1551" spans="1:10" ht="42.75" x14ac:dyDescent="0.25">
      <c r="A1551" s="191" t="s">
        <v>62</v>
      </c>
      <c r="B1551" s="191" t="s">
        <v>1551</v>
      </c>
      <c r="C1551" s="191" t="s">
        <v>59</v>
      </c>
      <c r="D1551" s="191" t="s">
        <v>1552</v>
      </c>
      <c r="E1551" s="191" t="s">
        <v>120</v>
      </c>
      <c r="F1551" s="191"/>
      <c r="G1551" s="191" t="s">
        <v>61</v>
      </c>
      <c r="H1551" s="192">
        <v>8.0000000000000002E-3</v>
      </c>
      <c r="I1551" s="244">
        <v>71.48</v>
      </c>
      <c r="J1551" s="244">
        <v>0.56999999999999995</v>
      </c>
    </row>
    <row r="1552" spans="1:10" ht="42.75" x14ac:dyDescent="0.25">
      <c r="A1552" s="191" t="s">
        <v>62</v>
      </c>
      <c r="B1552" s="191" t="s">
        <v>1729</v>
      </c>
      <c r="C1552" s="191" t="s">
        <v>59</v>
      </c>
      <c r="D1552" s="191" t="s">
        <v>1730</v>
      </c>
      <c r="E1552" s="191" t="s">
        <v>120</v>
      </c>
      <c r="F1552" s="191"/>
      <c r="G1552" s="191" t="s">
        <v>61</v>
      </c>
      <c r="H1552" s="192">
        <v>1</v>
      </c>
      <c r="I1552" s="244">
        <v>0.84</v>
      </c>
      <c r="J1552" s="244">
        <v>0.84</v>
      </c>
    </row>
    <row r="1553" spans="1:10" x14ac:dyDescent="0.25">
      <c r="A1553" s="187"/>
      <c r="B1553" s="187"/>
      <c r="C1553" s="187"/>
      <c r="D1553" s="187"/>
      <c r="E1553" s="187" t="s">
        <v>756</v>
      </c>
      <c r="F1553" s="188">
        <v>6.05</v>
      </c>
      <c r="G1553" s="187" t="s">
        <v>757</v>
      </c>
      <c r="H1553" s="188">
        <v>0</v>
      </c>
      <c r="I1553" s="242" t="s">
        <v>758</v>
      </c>
      <c r="J1553" s="242">
        <v>6.05</v>
      </c>
    </row>
    <row r="1554" spans="1:10" x14ac:dyDescent="0.25">
      <c r="A1554" s="187"/>
      <c r="B1554" s="187"/>
      <c r="C1554" s="187"/>
      <c r="D1554" s="187"/>
      <c r="E1554" s="187" t="s">
        <v>759</v>
      </c>
      <c r="F1554" s="188">
        <v>0</v>
      </c>
      <c r="G1554" s="187"/>
      <c r="H1554" s="187" t="s">
        <v>760</v>
      </c>
      <c r="I1554" s="242"/>
      <c r="J1554" s="242">
        <v>10.039999999999999</v>
      </c>
    </row>
    <row r="1555" spans="1:10" x14ac:dyDescent="0.25">
      <c r="A1555" s="182"/>
      <c r="B1555" s="182"/>
      <c r="C1555" s="182"/>
      <c r="D1555" s="182"/>
      <c r="E1555" s="182"/>
      <c r="F1555" s="182"/>
      <c r="G1555" s="182" t="s">
        <v>761</v>
      </c>
      <c r="H1555" s="189" t="s">
        <v>1538</v>
      </c>
      <c r="I1555" s="239" t="s">
        <v>763</v>
      </c>
      <c r="J1555" s="239">
        <v>20.079999999999998</v>
      </c>
    </row>
    <row r="1556" spans="1:10" x14ac:dyDescent="0.25">
      <c r="A1556" s="183"/>
      <c r="B1556" s="183"/>
      <c r="C1556" s="183"/>
      <c r="D1556" s="183"/>
      <c r="E1556" s="183"/>
      <c r="F1556" s="183"/>
      <c r="G1556" s="183"/>
      <c r="H1556" s="183"/>
      <c r="I1556" s="240"/>
      <c r="J1556" s="240"/>
    </row>
    <row r="1557" spans="1:10" x14ac:dyDescent="0.25">
      <c r="A1557" s="182" t="s">
        <v>1753</v>
      </c>
      <c r="B1557" s="182" t="s">
        <v>66</v>
      </c>
      <c r="C1557" s="182" t="s">
        <v>64</v>
      </c>
      <c r="D1557" s="182" t="s">
        <v>67</v>
      </c>
      <c r="E1557" s="182" t="s">
        <v>65</v>
      </c>
      <c r="F1557" s="182"/>
      <c r="G1557" s="182" t="s">
        <v>744</v>
      </c>
      <c r="H1557" s="182" t="s">
        <v>69</v>
      </c>
      <c r="I1557" s="239" t="s">
        <v>745</v>
      </c>
      <c r="J1557" s="239" t="s">
        <v>0</v>
      </c>
    </row>
    <row r="1558" spans="1:10" ht="71.25" x14ac:dyDescent="0.25">
      <c r="A1558" s="183" t="s">
        <v>58</v>
      </c>
      <c r="B1558" s="183" t="s">
        <v>1732</v>
      </c>
      <c r="C1558" s="183" t="s">
        <v>59</v>
      </c>
      <c r="D1558" s="183" t="s">
        <v>1733</v>
      </c>
      <c r="E1558" s="183" t="s">
        <v>1681</v>
      </c>
      <c r="F1558" s="183"/>
      <c r="G1558" s="183" t="s">
        <v>61</v>
      </c>
      <c r="H1558" s="184">
        <v>1</v>
      </c>
      <c r="I1558" s="240">
        <v>20.78</v>
      </c>
      <c r="J1558" s="240">
        <v>20.78</v>
      </c>
    </row>
    <row r="1559" spans="1:10" ht="42.75" x14ac:dyDescent="0.25">
      <c r="A1559" s="185" t="s">
        <v>119</v>
      </c>
      <c r="B1559" s="185" t="s">
        <v>1481</v>
      </c>
      <c r="C1559" s="185" t="s">
        <v>59</v>
      </c>
      <c r="D1559" s="185" t="s">
        <v>1482</v>
      </c>
      <c r="E1559" s="185" t="s">
        <v>754</v>
      </c>
      <c r="F1559" s="185"/>
      <c r="G1559" s="185" t="s">
        <v>60</v>
      </c>
      <c r="H1559" s="186">
        <v>0.1013</v>
      </c>
      <c r="I1559" s="241">
        <v>31.42</v>
      </c>
      <c r="J1559" s="241">
        <v>3.18</v>
      </c>
    </row>
    <row r="1560" spans="1:10" ht="42.75" x14ac:dyDescent="0.25">
      <c r="A1560" s="185" t="s">
        <v>119</v>
      </c>
      <c r="B1560" s="185" t="s">
        <v>1479</v>
      </c>
      <c r="C1560" s="185" t="s">
        <v>59</v>
      </c>
      <c r="D1560" s="185" t="s">
        <v>1480</v>
      </c>
      <c r="E1560" s="185" t="s">
        <v>754</v>
      </c>
      <c r="F1560" s="185"/>
      <c r="G1560" s="185" t="s">
        <v>60</v>
      </c>
      <c r="H1560" s="186">
        <v>0.1013</v>
      </c>
      <c r="I1560" s="241">
        <v>22.16</v>
      </c>
      <c r="J1560" s="241">
        <v>2.2400000000000002</v>
      </c>
    </row>
    <row r="1561" spans="1:10" ht="42.75" x14ac:dyDescent="0.25">
      <c r="A1561" s="191" t="s">
        <v>62</v>
      </c>
      <c r="B1561" s="191" t="s">
        <v>1551</v>
      </c>
      <c r="C1561" s="191" t="s">
        <v>59</v>
      </c>
      <c r="D1561" s="191" t="s">
        <v>1552</v>
      </c>
      <c r="E1561" s="191" t="s">
        <v>120</v>
      </c>
      <c r="F1561" s="191"/>
      <c r="G1561" s="191" t="s">
        <v>61</v>
      </c>
      <c r="H1561" s="192">
        <v>8.0000000000000002E-3</v>
      </c>
      <c r="I1561" s="244">
        <v>71.48</v>
      </c>
      <c r="J1561" s="244">
        <v>0.56999999999999995</v>
      </c>
    </row>
    <row r="1562" spans="1:10" ht="28.5" x14ac:dyDescent="0.25">
      <c r="A1562" s="191" t="s">
        <v>62</v>
      </c>
      <c r="B1562" s="191" t="s">
        <v>1483</v>
      </c>
      <c r="C1562" s="191" t="s">
        <v>59</v>
      </c>
      <c r="D1562" s="191" t="s">
        <v>1484</v>
      </c>
      <c r="E1562" s="191" t="s">
        <v>120</v>
      </c>
      <c r="F1562" s="191"/>
      <c r="G1562" s="191" t="s">
        <v>61</v>
      </c>
      <c r="H1562" s="192">
        <v>3.3799999999999997E-2</v>
      </c>
      <c r="I1562" s="244">
        <v>2</v>
      </c>
      <c r="J1562" s="244">
        <v>0.06</v>
      </c>
    </row>
    <row r="1563" spans="1:10" ht="42.75" x14ac:dyDescent="0.25">
      <c r="A1563" s="191" t="s">
        <v>62</v>
      </c>
      <c r="B1563" s="191" t="s">
        <v>1734</v>
      </c>
      <c r="C1563" s="191" t="s">
        <v>59</v>
      </c>
      <c r="D1563" s="191" t="s">
        <v>1735</v>
      </c>
      <c r="E1563" s="191" t="s">
        <v>120</v>
      </c>
      <c r="F1563" s="191"/>
      <c r="G1563" s="191" t="s">
        <v>61</v>
      </c>
      <c r="H1563" s="192">
        <v>1</v>
      </c>
      <c r="I1563" s="244">
        <v>14.29</v>
      </c>
      <c r="J1563" s="244">
        <v>14.29</v>
      </c>
    </row>
    <row r="1564" spans="1:10" ht="28.5" x14ac:dyDescent="0.25">
      <c r="A1564" s="191" t="s">
        <v>62</v>
      </c>
      <c r="B1564" s="191" t="s">
        <v>1549</v>
      </c>
      <c r="C1564" s="191" t="s">
        <v>59</v>
      </c>
      <c r="D1564" s="191" t="s">
        <v>1550</v>
      </c>
      <c r="E1564" s="191" t="s">
        <v>120</v>
      </c>
      <c r="F1564" s="191"/>
      <c r="G1564" s="191" t="s">
        <v>61</v>
      </c>
      <c r="H1564" s="192">
        <v>7.1000000000000004E-3</v>
      </c>
      <c r="I1564" s="244">
        <v>63.09</v>
      </c>
      <c r="J1564" s="244">
        <v>0.44</v>
      </c>
    </row>
    <row r="1565" spans="1:10" x14ac:dyDescent="0.25">
      <c r="A1565" s="187"/>
      <c r="B1565" s="187"/>
      <c r="C1565" s="187"/>
      <c r="D1565" s="187"/>
      <c r="E1565" s="187" t="s">
        <v>756</v>
      </c>
      <c r="F1565" s="188">
        <v>4.0199999999999996</v>
      </c>
      <c r="G1565" s="187" t="s">
        <v>757</v>
      </c>
      <c r="H1565" s="188">
        <v>0</v>
      </c>
      <c r="I1565" s="242" t="s">
        <v>758</v>
      </c>
      <c r="J1565" s="242">
        <v>4.0199999999999996</v>
      </c>
    </row>
    <row r="1566" spans="1:10" x14ac:dyDescent="0.25">
      <c r="A1566" s="187"/>
      <c r="B1566" s="187"/>
      <c r="C1566" s="187"/>
      <c r="D1566" s="187"/>
      <c r="E1566" s="187" t="s">
        <v>759</v>
      </c>
      <c r="F1566" s="188">
        <v>0</v>
      </c>
      <c r="G1566" s="187"/>
      <c r="H1566" s="187" t="s">
        <v>760</v>
      </c>
      <c r="I1566" s="242"/>
      <c r="J1566" s="242">
        <v>20.78</v>
      </c>
    </row>
    <row r="1567" spans="1:10" x14ac:dyDescent="0.25">
      <c r="A1567" s="182"/>
      <c r="B1567" s="182"/>
      <c r="C1567" s="182"/>
      <c r="D1567" s="182"/>
      <c r="E1567" s="182"/>
      <c r="F1567" s="182"/>
      <c r="G1567" s="182" t="s">
        <v>761</v>
      </c>
      <c r="H1567" s="189" t="s">
        <v>762</v>
      </c>
      <c r="I1567" s="239" t="s">
        <v>763</v>
      </c>
      <c r="J1567" s="239">
        <v>20.78</v>
      </c>
    </row>
    <row r="1568" spans="1:10" x14ac:dyDescent="0.25">
      <c r="A1568" s="183"/>
      <c r="B1568" s="183"/>
      <c r="C1568" s="183"/>
      <c r="D1568" s="183"/>
      <c r="E1568" s="183"/>
      <c r="F1568" s="183"/>
      <c r="G1568" s="183"/>
      <c r="H1568" s="183"/>
      <c r="I1568" s="240"/>
      <c r="J1568" s="240"/>
    </row>
    <row r="1569" spans="1:10" x14ac:dyDescent="0.25">
      <c r="A1569" s="182" t="s">
        <v>1754</v>
      </c>
      <c r="B1569" s="182" t="s">
        <v>66</v>
      </c>
      <c r="C1569" s="182" t="s">
        <v>64</v>
      </c>
      <c r="D1569" s="182" t="s">
        <v>67</v>
      </c>
      <c r="E1569" s="182" t="s">
        <v>65</v>
      </c>
      <c r="F1569" s="182"/>
      <c r="G1569" s="182" t="s">
        <v>744</v>
      </c>
      <c r="H1569" s="182" t="s">
        <v>69</v>
      </c>
      <c r="I1569" s="239" t="s">
        <v>745</v>
      </c>
      <c r="J1569" s="239" t="s">
        <v>0</v>
      </c>
    </row>
    <row r="1570" spans="1:10" ht="71.25" x14ac:dyDescent="0.25">
      <c r="A1570" s="183" t="s">
        <v>58</v>
      </c>
      <c r="B1570" s="183" t="s">
        <v>1685</v>
      </c>
      <c r="C1570" s="183" t="s">
        <v>59</v>
      </c>
      <c r="D1570" s="183" t="s">
        <v>1686</v>
      </c>
      <c r="E1570" s="183" t="s">
        <v>1681</v>
      </c>
      <c r="F1570" s="183"/>
      <c r="G1570" s="183" t="s">
        <v>116</v>
      </c>
      <c r="H1570" s="184">
        <v>1</v>
      </c>
      <c r="I1570" s="240">
        <v>25.56</v>
      </c>
      <c r="J1570" s="240">
        <v>25.56</v>
      </c>
    </row>
    <row r="1571" spans="1:10" ht="42.75" x14ac:dyDescent="0.25">
      <c r="A1571" s="185" t="s">
        <v>119</v>
      </c>
      <c r="B1571" s="185" t="s">
        <v>1481</v>
      </c>
      <c r="C1571" s="185" t="s">
        <v>59</v>
      </c>
      <c r="D1571" s="185" t="s">
        <v>1482</v>
      </c>
      <c r="E1571" s="185" t="s">
        <v>754</v>
      </c>
      <c r="F1571" s="185"/>
      <c r="G1571" s="185" t="s">
        <v>60</v>
      </c>
      <c r="H1571" s="186">
        <v>0.38</v>
      </c>
      <c r="I1571" s="241">
        <v>31.42</v>
      </c>
      <c r="J1571" s="241">
        <v>11.93</v>
      </c>
    </row>
    <row r="1572" spans="1:10" ht="42.75" x14ac:dyDescent="0.25">
      <c r="A1572" s="185" t="s">
        <v>119</v>
      </c>
      <c r="B1572" s="185" t="s">
        <v>1479</v>
      </c>
      <c r="C1572" s="185" t="s">
        <v>59</v>
      </c>
      <c r="D1572" s="185" t="s">
        <v>1480</v>
      </c>
      <c r="E1572" s="185" t="s">
        <v>754</v>
      </c>
      <c r="F1572" s="185"/>
      <c r="G1572" s="185" t="s">
        <v>60</v>
      </c>
      <c r="H1572" s="186">
        <v>0.38</v>
      </c>
      <c r="I1572" s="241">
        <v>22.16</v>
      </c>
      <c r="J1572" s="241">
        <v>8.42</v>
      </c>
    </row>
    <row r="1573" spans="1:10" ht="28.5" x14ac:dyDescent="0.25">
      <c r="A1573" s="191" t="s">
        <v>62</v>
      </c>
      <c r="B1573" s="191" t="s">
        <v>1687</v>
      </c>
      <c r="C1573" s="191" t="s">
        <v>59</v>
      </c>
      <c r="D1573" s="191" t="s">
        <v>1688</v>
      </c>
      <c r="E1573" s="191" t="s">
        <v>120</v>
      </c>
      <c r="F1573" s="191"/>
      <c r="G1573" s="191" t="s">
        <v>116</v>
      </c>
      <c r="H1573" s="192">
        <v>1.0492999999999999</v>
      </c>
      <c r="I1573" s="244">
        <v>4.8099999999999996</v>
      </c>
      <c r="J1573" s="244">
        <v>5.04</v>
      </c>
    </row>
    <row r="1574" spans="1:10" ht="28.5" x14ac:dyDescent="0.25">
      <c r="A1574" s="191" t="s">
        <v>62</v>
      </c>
      <c r="B1574" s="191" t="s">
        <v>1483</v>
      </c>
      <c r="C1574" s="191" t="s">
        <v>59</v>
      </c>
      <c r="D1574" s="191" t="s">
        <v>1484</v>
      </c>
      <c r="E1574" s="191" t="s">
        <v>120</v>
      </c>
      <c r="F1574" s="191"/>
      <c r="G1574" s="191" t="s">
        <v>61</v>
      </c>
      <c r="H1574" s="192">
        <v>8.8599999999999998E-2</v>
      </c>
      <c r="I1574" s="244">
        <v>2</v>
      </c>
      <c r="J1574" s="244">
        <v>0.17</v>
      </c>
    </row>
    <row r="1575" spans="1:10" x14ac:dyDescent="0.25">
      <c r="A1575" s="187"/>
      <c r="B1575" s="187"/>
      <c r="C1575" s="187"/>
      <c r="D1575" s="187"/>
      <c r="E1575" s="187" t="s">
        <v>756</v>
      </c>
      <c r="F1575" s="188">
        <v>15.14</v>
      </c>
      <c r="G1575" s="187" t="s">
        <v>757</v>
      </c>
      <c r="H1575" s="188">
        <v>0</v>
      </c>
      <c r="I1575" s="242" t="s">
        <v>758</v>
      </c>
      <c r="J1575" s="242">
        <v>15.14</v>
      </c>
    </row>
    <row r="1576" spans="1:10" x14ac:dyDescent="0.25">
      <c r="A1576" s="187"/>
      <c r="B1576" s="187"/>
      <c r="C1576" s="187"/>
      <c r="D1576" s="187"/>
      <c r="E1576" s="187" t="s">
        <v>759</v>
      </c>
      <c r="F1576" s="188">
        <v>0</v>
      </c>
      <c r="G1576" s="187"/>
      <c r="H1576" s="187" t="s">
        <v>760</v>
      </c>
      <c r="I1576" s="242"/>
      <c r="J1576" s="242">
        <v>25.56</v>
      </c>
    </row>
    <row r="1577" spans="1:10" x14ac:dyDescent="0.25">
      <c r="A1577" s="182"/>
      <c r="B1577" s="182"/>
      <c r="C1577" s="182"/>
      <c r="D1577" s="182"/>
      <c r="E1577" s="182"/>
      <c r="F1577" s="182"/>
      <c r="G1577" s="182" t="s">
        <v>761</v>
      </c>
      <c r="H1577" s="189" t="s">
        <v>1755</v>
      </c>
      <c r="I1577" s="239" t="s">
        <v>763</v>
      </c>
      <c r="J1577" s="239">
        <v>103.51</v>
      </c>
    </row>
    <row r="1578" spans="1:10" x14ac:dyDescent="0.25">
      <c r="A1578" s="183"/>
      <c r="B1578" s="183"/>
      <c r="C1578" s="183"/>
      <c r="D1578" s="183"/>
      <c r="E1578" s="183"/>
      <c r="F1578" s="183"/>
      <c r="G1578" s="183"/>
      <c r="H1578" s="183"/>
      <c r="I1578" s="240"/>
      <c r="J1578" s="240"/>
    </row>
    <row r="1579" spans="1:10" x14ac:dyDescent="0.25">
      <c r="A1579" s="182" t="s">
        <v>1756</v>
      </c>
      <c r="B1579" s="182" t="s">
        <v>66</v>
      </c>
      <c r="C1579" s="182" t="s">
        <v>64</v>
      </c>
      <c r="D1579" s="182" t="s">
        <v>67</v>
      </c>
      <c r="E1579" s="182" t="s">
        <v>65</v>
      </c>
      <c r="F1579" s="182"/>
      <c r="G1579" s="182" t="s">
        <v>744</v>
      </c>
      <c r="H1579" s="182" t="s">
        <v>69</v>
      </c>
      <c r="I1579" s="239" t="s">
        <v>745</v>
      </c>
      <c r="J1579" s="239" t="s">
        <v>0</v>
      </c>
    </row>
    <row r="1580" spans="1:10" ht="71.25" x14ac:dyDescent="0.25">
      <c r="A1580" s="183" t="s">
        <v>58</v>
      </c>
      <c r="B1580" s="183" t="s">
        <v>1737</v>
      </c>
      <c r="C1580" s="183" t="s">
        <v>59</v>
      </c>
      <c r="D1580" s="183" t="s">
        <v>1738</v>
      </c>
      <c r="E1580" s="183" t="s">
        <v>1681</v>
      </c>
      <c r="F1580" s="183"/>
      <c r="G1580" s="183" t="s">
        <v>61</v>
      </c>
      <c r="H1580" s="184">
        <v>1</v>
      </c>
      <c r="I1580" s="240">
        <v>13.84</v>
      </c>
      <c r="J1580" s="240">
        <v>13.84</v>
      </c>
    </row>
    <row r="1581" spans="1:10" ht="42.75" x14ac:dyDescent="0.25">
      <c r="A1581" s="185" t="s">
        <v>119</v>
      </c>
      <c r="B1581" s="185" t="s">
        <v>1481</v>
      </c>
      <c r="C1581" s="185" t="s">
        <v>59</v>
      </c>
      <c r="D1581" s="185" t="s">
        <v>1482</v>
      </c>
      <c r="E1581" s="185" t="s">
        <v>754</v>
      </c>
      <c r="F1581" s="185"/>
      <c r="G1581" s="185" t="s">
        <v>60</v>
      </c>
      <c r="H1581" s="186">
        <v>0.2026</v>
      </c>
      <c r="I1581" s="241">
        <v>31.42</v>
      </c>
      <c r="J1581" s="241">
        <v>6.36</v>
      </c>
    </row>
    <row r="1582" spans="1:10" ht="42.75" x14ac:dyDescent="0.25">
      <c r="A1582" s="185" t="s">
        <v>119</v>
      </c>
      <c r="B1582" s="185" t="s">
        <v>1479</v>
      </c>
      <c r="C1582" s="185" t="s">
        <v>59</v>
      </c>
      <c r="D1582" s="185" t="s">
        <v>1480</v>
      </c>
      <c r="E1582" s="185" t="s">
        <v>754</v>
      </c>
      <c r="F1582" s="185"/>
      <c r="G1582" s="185" t="s">
        <v>60</v>
      </c>
      <c r="H1582" s="186">
        <v>0.2026</v>
      </c>
      <c r="I1582" s="241">
        <v>22.16</v>
      </c>
      <c r="J1582" s="241">
        <v>4.4800000000000004</v>
      </c>
    </row>
    <row r="1583" spans="1:10" ht="42.75" x14ac:dyDescent="0.25">
      <c r="A1583" s="191" t="s">
        <v>62</v>
      </c>
      <c r="B1583" s="191" t="s">
        <v>1739</v>
      </c>
      <c r="C1583" s="191" t="s">
        <v>59</v>
      </c>
      <c r="D1583" s="191" t="s">
        <v>1740</v>
      </c>
      <c r="E1583" s="191" t="s">
        <v>120</v>
      </c>
      <c r="F1583" s="191"/>
      <c r="G1583" s="191" t="s">
        <v>61</v>
      </c>
      <c r="H1583" s="192">
        <v>1</v>
      </c>
      <c r="I1583" s="244">
        <v>1.39</v>
      </c>
      <c r="J1583" s="244">
        <v>1.39</v>
      </c>
    </row>
    <row r="1584" spans="1:10" ht="28.5" x14ac:dyDescent="0.25">
      <c r="A1584" s="191" t="s">
        <v>62</v>
      </c>
      <c r="B1584" s="191" t="s">
        <v>1549</v>
      </c>
      <c r="C1584" s="191" t="s">
        <v>59</v>
      </c>
      <c r="D1584" s="191" t="s">
        <v>1550</v>
      </c>
      <c r="E1584" s="191" t="s">
        <v>120</v>
      </c>
      <c r="F1584" s="191"/>
      <c r="G1584" s="191" t="s">
        <v>61</v>
      </c>
      <c r="H1584" s="192">
        <v>1.06E-2</v>
      </c>
      <c r="I1584" s="244">
        <v>63.09</v>
      </c>
      <c r="J1584" s="244">
        <v>0.66</v>
      </c>
    </row>
    <row r="1585" spans="1:10" ht="42.75" x14ac:dyDescent="0.25">
      <c r="A1585" s="191" t="s">
        <v>62</v>
      </c>
      <c r="B1585" s="191" t="s">
        <v>1551</v>
      </c>
      <c r="C1585" s="191" t="s">
        <v>59</v>
      </c>
      <c r="D1585" s="191" t="s">
        <v>1552</v>
      </c>
      <c r="E1585" s="191" t="s">
        <v>120</v>
      </c>
      <c r="F1585" s="191"/>
      <c r="G1585" s="191" t="s">
        <v>61</v>
      </c>
      <c r="H1585" s="192">
        <v>1.2E-2</v>
      </c>
      <c r="I1585" s="244">
        <v>71.48</v>
      </c>
      <c r="J1585" s="244">
        <v>0.85</v>
      </c>
    </row>
    <row r="1586" spans="1:10" ht="28.5" x14ac:dyDescent="0.25">
      <c r="A1586" s="191" t="s">
        <v>62</v>
      </c>
      <c r="B1586" s="191" t="s">
        <v>1483</v>
      </c>
      <c r="C1586" s="191" t="s">
        <v>59</v>
      </c>
      <c r="D1586" s="191" t="s">
        <v>1484</v>
      </c>
      <c r="E1586" s="191" t="s">
        <v>120</v>
      </c>
      <c r="F1586" s="191"/>
      <c r="G1586" s="191" t="s">
        <v>61</v>
      </c>
      <c r="H1586" s="192">
        <v>5.0700000000000002E-2</v>
      </c>
      <c r="I1586" s="244">
        <v>2</v>
      </c>
      <c r="J1586" s="244">
        <v>0.1</v>
      </c>
    </row>
    <row r="1587" spans="1:10" x14ac:dyDescent="0.25">
      <c r="A1587" s="187"/>
      <c r="B1587" s="187"/>
      <c r="C1587" s="187"/>
      <c r="D1587" s="187"/>
      <c r="E1587" s="187" t="s">
        <v>756</v>
      </c>
      <c r="F1587" s="188">
        <v>8.06</v>
      </c>
      <c r="G1587" s="187" t="s">
        <v>757</v>
      </c>
      <c r="H1587" s="188">
        <v>0</v>
      </c>
      <c r="I1587" s="242" t="s">
        <v>758</v>
      </c>
      <c r="J1587" s="242">
        <v>8.06</v>
      </c>
    </row>
    <row r="1588" spans="1:10" x14ac:dyDescent="0.25">
      <c r="A1588" s="187"/>
      <c r="B1588" s="187"/>
      <c r="C1588" s="187"/>
      <c r="D1588" s="187"/>
      <c r="E1588" s="187" t="s">
        <v>759</v>
      </c>
      <c r="F1588" s="188">
        <v>0</v>
      </c>
      <c r="G1588" s="187"/>
      <c r="H1588" s="187" t="s">
        <v>760</v>
      </c>
      <c r="I1588" s="242"/>
      <c r="J1588" s="242">
        <v>13.84</v>
      </c>
    </row>
    <row r="1589" spans="1:10" x14ac:dyDescent="0.25">
      <c r="A1589" s="182"/>
      <c r="B1589" s="182"/>
      <c r="C1589" s="182"/>
      <c r="D1589" s="182"/>
      <c r="E1589" s="182"/>
      <c r="F1589" s="182"/>
      <c r="G1589" s="182" t="s">
        <v>761</v>
      </c>
      <c r="H1589" s="189" t="s">
        <v>762</v>
      </c>
      <c r="I1589" s="239" t="s">
        <v>763</v>
      </c>
      <c r="J1589" s="239">
        <v>13.84</v>
      </c>
    </row>
    <row r="1590" spans="1:10" x14ac:dyDescent="0.25">
      <c r="A1590" s="183"/>
      <c r="B1590" s="183"/>
      <c r="C1590" s="183"/>
      <c r="D1590" s="183"/>
      <c r="E1590" s="183"/>
      <c r="F1590" s="183"/>
      <c r="G1590" s="183"/>
      <c r="H1590" s="183"/>
      <c r="I1590" s="240"/>
      <c r="J1590" s="240"/>
    </row>
    <row r="1591" spans="1:10" x14ac:dyDescent="0.25">
      <c r="A1591" s="182" t="s">
        <v>1757</v>
      </c>
      <c r="B1591" s="182" t="s">
        <v>66</v>
      </c>
      <c r="C1591" s="182" t="s">
        <v>64</v>
      </c>
      <c r="D1591" s="182" t="s">
        <v>67</v>
      </c>
      <c r="E1591" s="182" t="s">
        <v>65</v>
      </c>
      <c r="F1591" s="182"/>
      <c r="G1591" s="182" t="s">
        <v>744</v>
      </c>
      <c r="H1591" s="182" t="s">
        <v>69</v>
      </c>
      <c r="I1591" s="239" t="s">
        <v>745</v>
      </c>
      <c r="J1591" s="239" t="s">
        <v>0</v>
      </c>
    </row>
    <row r="1592" spans="1:10" ht="42.75" x14ac:dyDescent="0.25">
      <c r="A1592" s="183" t="s">
        <v>58</v>
      </c>
      <c r="B1592" s="183" t="s">
        <v>1742</v>
      </c>
      <c r="C1592" s="183" t="s">
        <v>785</v>
      </c>
      <c r="D1592" s="183" t="s">
        <v>1743</v>
      </c>
      <c r="E1592" s="183">
        <v>813</v>
      </c>
      <c r="F1592" s="183"/>
      <c r="G1592" s="183" t="s">
        <v>1498</v>
      </c>
      <c r="H1592" s="184">
        <v>1</v>
      </c>
      <c r="I1592" s="240">
        <v>11.99</v>
      </c>
      <c r="J1592" s="240">
        <v>11.99</v>
      </c>
    </row>
    <row r="1593" spans="1:10" ht="42.75" x14ac:dyDescent="0.25">
      <c r="A1593" s="191" t="s">
        <v>62</v>
      </c>
      <c r="B1593" s="191" t="s">
        <v>1744</v>
      </c>
      <c r="C1593" s="191" t="s">
        <v>785</v>
      </c>
      <c r="D1593" s="191" t="s">
        <v>1743</v>
      </c>
      <c r="E1593" s="191" t="s">
        <v>120</v>
      </c>
      <c r="F1593" s="191"/>
      <c r="G1593" s="191" t="s">
        <v>129</v>
      </c>
      <c r="H1593" s="192">
        <v>1</v>
      </c>
      <c r="I1593" s="244">
        <v>5.99</v>
      </c>
      <c r="J1593" s="244">
        <v>5.99</v>
      </c>
    </row>
    <row r="1594" spans="1:10" ht="28.5" x14ac:dyDescent="0.25">
      <c r="A1594" s="191" t="s">
        <v>62</v>
      </c>
      <c r="B1594" s="191" t="s">
        <v>1567</v>
      </c>
      <c r="C1594" s="191" t="s">
        <v>785</v>
      </c>
      <c r="D1594" s="191" t="s">
        <v>1568</v>
      </c>
      <c r="E1594" s="191" t="s">
        <v>120</v>
      </c>
      <c r="F1594" s="191"/>
      <c r="G1594" s="191" t="s">
        <v>113</v>
      </c>
      <c r="H1594" s="192">
        <v>0.31</v>
      </c>
      <c r="I1594" s="244">
        <v>0.35</v>
      </c>
      <c r="J1594" s="244">
        <v>0.1</v>
      </c>
    </row>
    <row r="1595" spans="1:10" ht="28.5" x14ac:dyDescent="0.25">
      <c r="A1595" s="191" t="s">
        <v>62</v>
      </c>
      <c r="B1595" s="191" t="s">
        <v>1515</v>
      </c>
      <c r="C1595" s="191" t="s">
        <v>785</v>
      </c>
      <c r="D1595" s="191" t="s">
        <v>181</v>
      </c>
      <c r="E1595" s="191" t="s">
        <v>124</v>
      </c>
      <c r="F1595" s="191"/>
      <c r="G1595" s="191" t="s">
        <v>60</v>
      </c>
      <c r="H1595" s="192">
        <v>0.114</v>
      </c>
      <c r="I1595" s="244">
        <v>22.05</v>
      </c>
      <c r="J1595" s="244">
        <v>2.5099999999999998</v>
      </c>
    </row>
    <row r="1596" spans="1:10" ht="28.5" x14ac:dyDescent="0.25">
      <c r="A1596" s="191" t="s">
        <v>62</v>
      </c>
      <c r="B1596" s="191" t="s">
        <v>1569</v>
      </c>
      <c r="C1596" s="191" t="s">
        <v>785</v>
      </c>
      <c r="D1596" s="191" t="s">
        <v>1570</v>
      </c>
      <c r="E1596" s="191" t="s">
        <v>124</v>
      </c>
      <c r="F1596" s="191"/>
      <c r="G1596" s="191" t="s">
        <v>60</v>
      </c>
      <c r="H1596" s="192">
        <v>0.114</v>
      </c>
      <c r="I1596" s="244">
        <v>29.79</v>
      </c>
      <c r="J1596" s="244">
        <v>3.39</v>
      </c>
    </row>
    <row r="1597" spans="1:10" x14ac:dyDescent="0.25">
      <c r="A1597" s="187"/>
      <c r="B1597" s="187"/>
      <c r="C1597" s="187"/>
      <c r="D1597" s="187"/>
      <c r="E1597" s="187" t="s">
        <v>756</v>
      </c>
      <c r="F1597" s="188">
        <v>5.9</v>
      </c>
      <c r="G1597" s="187" t="s">
        <v>757</v>
      </c>
      <c r="H1597" s="188">
        <v>0</v>
      </c>
      <c r="I1597" s="242" t="s">
        <v>758</v>
      </c>
      <c r="J1597" s="242">
        <v>5.9</v>
      </c>
    </row>
    <row r="1598" spans="1:10" x14ac:dyDescent="0.25">
      <c r="A1598" s="187"/>
      <c r="B1598" s="187"/>
      <c r="C1598" s="187"/>
      <c r="D1598" s="187"/>
      <c r="E1598" s="187" t="s">
        <v>759</v>
      </c>
      <c r="F1598" s="188">
        <v>0</v>
      </c>
      <c r="G1598" s="187"/>
      <c r="H1598" s="187" t="s">
        <v>760</v>
      </c>
      <c r="I1598" s="242"/>
      <c r="J1598" s="242">
        <v>11.99</v>
      </c>
    </row>
    <row r="1599" spans="1:10" x14ac:dyDescent="0.25">
      <c r="A1599" s="182"/>
      <c r="B1599" s="182"/>
      <c r="C1599" s="182"/>
      <c r="D1599" s="182"/>
      <c r="E1599" s="182"/>
      <c r="F1599" s="182"/>
      <c r="G1599" s="182" t="s">
        <v>761</v>
      </c>
      <c r="H1599" s="189" t="s">
        <v>1538</v>
      </c>
      <c r="I1599" s="239" t="s">
        <v>763</v>
      </c>
      <c r="J1599" s="239">
        <v>23.98</v>
      </c>
    </row>
    <row r="1600" spans="1:10" x14ac:dyDescent="0.25">
      <c r="A1600" s="183"/>
      <c r="B1600" s="183"/>
      <c r="C1600" s="183"/>
      <c r="D1600" s="183"/>
      <c r="E1600" s="183"/>
      <c r="F1600" s="183"/>
      <c r="G1600" s="183"/>
      <c r="H1600" s="183"/>
      <c r="I1600" s="240"/>
      <c r="J1600" s="240"/>
    </row>
    <row r="1601" spans="1:10" x14ac:dyDescent="0.25">
      <c r="A1601" s="190" t="s">
        <v>1758</v>
      </c>
      <c r="B1601" s="190"/>
      <c r="C1601" s="190"/>
      <c r="D1601" s="190" t="s">
        <v>559</v>
      </c>
      <c r="E1601" s="190"/>
      <c r="F1601" s="190"/>
      <c r="G1601" s="190"/>
      <c r="H1601" s="190"/>
      <c r="I1601" s="243"/>
      <c r="J1601" s="243">
        <v>1039.22</v>
      </c>
    </row>
    <row r="1602" spans="1:10" x14ac:dyDescent="0.25">
      <c r="A1602" s="182" t="s">
        <v>1759</v>
      </c>
      <c r="B1602" s="182" t="s">
        <v>66</v>
      </c>
      <c r="C1602" s="182" t="s">
        <v>64</v>
      </c>
      <c r="D1602" s="182" t="s">
        <v>67</v>
      </c>
      <c r="E1602" s="182" t="s">
        <v>65</v>
      </c>
      <c r="F1602" s="182"/>
      <c r="G1602" s="182" t="s">
        <v>744</v>
      </c>
      <c r="H1602" s="182" t="s">
        <v>69</v>
      </c>
      <c r="I1602" s="239" t="s">
        <v>745</v>
      </c>
      <c r="J1602" s="239" t="s">
        <v>0</v>
      </c>
    </row>
    <row r="1603" spans="1:10" ht="71.25" x14ac:dyDescent="0.25">
      <c r="A1603" s="183" t="s">
        <v>58</v>
      </c>
      <c r="B1603" s="183" t="s">
        <v>1760</v>
      </c>
      <c r="C1603" s="183" t="s">
        <v>59</v>
      </c>
      <c r="D1603" s="183" t="s">
        <v>1761</v>
      </c>
      <c r="E1603" s="183" t="s">
        <v>1559</v>
      </c>
      <c r="F1603" s="183"/>
      <c r="G1603" s="183" t="s">
        <v>61</v>
      </c>
      <c r="H1603" s="184">
        <v>1</v>
      </c>
      <c r="I1603" s="240">
        <v>140.22999999999999</v>
      </c>
      <c r="J1603" s="240">
        <v>140.22999999999999</v>
      </c>
    </row>
    <row r="1604" spans="1:10" ht="28.5" x14ac:dyDescent="0.25">
      <c r="A1604" s="185" t="s">
        <v>119</v>
      </c>
      <c r="B1604" s="185" t="s">
        <v>769</v>
      </c>
      <c r="C1604" s="185" t="s">
        <v>59</v>
      </c>
      <c r="D1604" s="185" t="s">
        <v>115</v>
      </c>
      <c r="E1604" s="185" t="s">
        <v>754</v>
      </c>
      <c r="F1604" s="185"/>
      <c r="G1604" s="185" t="s">
        <v>60</v>
      </c>
      <c r="H1604" s="186">
        <v>5.2499999999999998E-2</v>
      </c>
      <c r="I1604" s="241">
        <v>22.42</v>
      </c>
      <c r="J1604" s="241">
        <v>1.17</v>
      </c>
    </row>
    <row r="1605" spans="1:10" ht="42.75" x14ac:dyDescent="0.25">
      <c r="A1605" s="185" t="s">
        <v>119</v>
      </c>
      <c r="B1605" s="185" t="s">
        <v>1481</v>
      </c>
      <c r="C1605" s="185" t="s">
        <v>59</v>
      </c>
      <c r="D1605" s="185" t="s">
        <v>1482</v>
      </c>
      <c r="E1605" s="185" t="s">
        <v>754</v>
      </c>
      <c r="F1605" s="185"/>
      <c r="G1605" s="185" t="s">
        <v>60</v>
      </c>
      <c r="H1605" s="186">
        <v>0.16669999999999999</v>
      </c>
      <c r="I1605" s="241">
        <v>31.42</v>
      </c>
      <c r="J1605" s="241">
        <v>5.23</v>
      </c>
    </row>
    <row r="1606" spans="1:10" ht="28.5" x14ac:dyDescent="0.25">
      <c r="A1606" s="191" t="s">
        <v>62</v>
      </c>
      <c r="B1606" s="191" t="s">
        <v>1560</v>
      </c>
      <c r="C1606" s="191" t="s">
        <v>59</v>
      </c>
      <c r="D1606" s="191" t="s">
        <v>1561</v>
      </c>
      <c r="E1606" s="191" t="s">
        <v>120</v>
      </c>
      <c r="F1606" s="191"/>
      <c r="G1606" s="191" t="s">
        <v>61</v>
      </c>
      <c r="H1606" s="192">
        <v>2.1000000000000001E-2</v>
      </c>
      <c r="I1606" s="244">
        <v>3.3</v>
      </c>
      <c r="J1606" s="244">
        <v>0.06</v>
      </c>
    </row>
    <row r="1607" spans="1:10" ht="57" x14ac:dyDescent="0.25">
      <c r="A1607" s="191" t="s">
        <v>62</v>
      </c>
      <c r="B1607" s="191" t="s">
        <v>1762</v>
      </c>
      <c r="C1607" s="191" t="s">
        <v>59</v>
      </c>
      <c r="D1607" s="191" t="s">
        <v>1763</v>
      </c>
      <c r="E1607" s="191" t="s">
        <v>120</v>
      </c>
      <c r="F1607" s="191"/>
      <c r="G1607" s="191" t="s">
        <v>61</v>
      </c>
      <c r="H1607" s="192">
        <v>1</v>
      </c>
      <c r="I1607" s="244">
        <v>133.77000000000001</v>
      </c>
      <c r="J1607" s="244">
        <v>133.77000000000001</v>
      </c>
    </row>
    <row r="1608" spans="1:10" x14ac:dyDescent="0.25">
      <c r="A1608" s="187"/>
      <c r="B1608" s="187"/>
      <c r="C1608" s="187"/>
      <c r="D1608" s="187"/>
      <c r="E1608" s="187" t="s">
        <v>756</v>
      </c>
      <c r="F1608" s="188">
        <v>4.87</v>
      </c>
      <c r="G1608" s="187" t="s">
        <v>757</v>
      </c>
      <c r="H1608" s="188">
        <v>0</v>
      </c>
      <c r="I1608" s="242" t="s">
        <v>758</v>
      </c>
      <c r="J1608" s="242">
        <v>4.87</v>
      </c>
    </row>
    <row r="1609" spans="1:10" x14ac:dyDescent="0.25">
      <c r="A1609" s="187"/>
      <c r="B1609" s="187"/>
      <c r="C1609" s="187"/>
      <c r="D1609" s="187"/>
      <c r="E1609" s="187" t="s">
        <v>759</v>
      </c>
      <c r="F1609" s="188">
        <v>0</v>
      </c>
      <c r="G1609" s="187"/>
      <c r="H1609" s="187" t="s">
        <v>760</v>
      </c>
      <c r="I1609" s="242"/>
      <c r="J1609" s="242">
        <v>140.22999999999999</v>
      </c>
    </row>
    <row r="1610" spans="1:10" x14ac:dyDescent="0.25">
      <c r="A1610" s="182"/>
      <c r="B1610" s="182"/>
      <c r="C1610" s="182"/>
      <c r="D1610" s="182"/>
      <c r="E1610" s="182"/>
      <c r="F1610" s="182"/>
      <c r="G1610" s="182" t="s">
        <v>761</v>
      </c>
      <c r="H1610" s="189" t="s">
        <v>762</v>
      </c>
      <c r="I1610" s="239" t="s">
        <v>763</v>
      </c>
      <c r="J1610" s="239">
        <v>140.22999999999999</v>
      </c>
    </row>
    <row r="1611" spans="1:10" x14ac:dyDescent="0.25">
      <c r="A1611" s="183"/>
      <c r="B1611" s="183"/>
      <c r="C1611" s="183"/>
      <c r="D1611" s="183"/>
      <c r="E1611" s="183"/>
      <c r="F1611" s="183"/>
      <c r="G1611" s="183"/>
      <c r="H1611" s="183"/>
      <c r="I1611" s="240"/>
      <c r="J1611" s="240"/>
    </row>
    <row r="1612" spans="1:10" x14ac:dyDescent="0.25">
      <c r="A1612" s="182" t="s">
        <v>1764</v>
      </c>
      <c r="B1612" s="182" t="s">
        <v>66</v>
      </c>
      <c r="C1612" s="182" t="s">
        <v>64</v>
      </c>
      <c r="D1612" s="182" t="s">
        <v>67</v>
      </c>
      <c r="E1612" s="182" t="s">
        <v>65</v>
      </c>
      <c r="F1612" s="182"/>
      <c r="G1612" s="182" t="s">
        <v>744</v>
      </c>
      <c r="H1612" s="182" t="s">
        <v>69</v>
      </c>
      <c r="I1612" s="239" t="s">
        <v>745</v>
      </c>
      <c r="J1612" s="239" t="s">
        <v>0</v>
      </c>
    </row>
    <row r="1613" spans="1:10" ht="71.25" x14ac:dyDescent="0.25">
      <c r="A1613" s="183" t="s">
        <v>58</v>
      </c>
      <c r="B1613" s="183" t="s">
        <v>1691</v>
      </c>
      <c r="C1613" s="183" t="s">
        <v>59</v>
      </c>
      <c r="D1613" s="183" t="s">
        <v>1692</v>
      </c>
      <c r="E1613" s="183" t="s">
        <v>1559</v>
      </c>
      <c r="F1613" s="183"/>
      <c r="G1613" s="183" t="s">
        <v>61</v>
      </c>
      <c r="H1613" s="184">
        <v>1</v>
      </c>
      <c r="I1613" s="240">
        <v>154.25</v>
      </c>
      <c r="J1613" s="240">
        <v>154.25</v>
      </c>
    </row>
    <row r="1614" spans="1:10" ht="42.75" x14ac:dyDescent="0.25">
      <c r="A1614" s="185" t="s">
        <v>119</v>
      </c>
      <c r="B1614" s="185" t="s">
        <v>1481</v>
      </c>
      <c r="C1614" s="185" t="s">
        <v>59</v>
      </c>
      <c r="D1614" s="185" t="s">
        <v>1482</v>
      </c>
      <c r="E1614" s="185" t="s">
        <v>754</v>
      </c>
      <c r="F1614" s="185"/>
      <c r="G1614" s="185" t="s">
        <v>60</v>
      </c>
      <c r="H1614" s="186">
        <v>9.6000000000000002E-2</v>
      </c>
      <c r="I1614" s="241">
        <v>31.42</v>
      </c>
      <c r="J1614" s="241">
        <v>3.01</v>
      </c>
    </row>
    <row r="1615" spans="1:10" ht="28.5" x14ac:dyDescent="0.25">
      <c r="A1615" s="185" t="s">
        <v>119</v>
      </c>
      <c r="B1615" s="185" t="s">
        <v>769</v>
      </c>
      <c r="C1615" s="185" t="s">
        <v>59</v>
      </c>
      <c r="D1615" s="185" t="s">
        <v>115</v>
      </c>
      <c r="E1615" s="185" t="s">
        <v>754</v>
      </c>
      <c r="F1615" s="185"/>
      <c r="G1615" s="185" t="s">
        <v>60</v>
      </c>
      <c r="H1615" s="186">
        <v>3.0300000000000001E-2</v>
      </c>
      <c r="I1615" s="241">
        <v>22.42</v>
      </c>
      <c r="J1615" s="241">
        <v>0.67</v>
      </c>
    </row>
    <row r="1616" spans="1:10" ht="42.75" x14ac:dyDescent="0.25">
      <c r="A1616" s="191" t="s">
        <v>62</v>
      </c>
      <c r="B1616" s="191" t="s">
        <v>1693</v>
      </c>
      <c r="C1616" s="191" t="s">
        <v>59</v>
      </c>
      <c r="D1616" s="191" t="s">
        <v>1694</v>
      </c>
      <c r="E1616" s="191" t="s">
        <v>120</v>
      </c>
      <c r="F1616" s="191"/>
      <c r="G1616" s="191" t="s">
        <v>61</v>
      </c>
      <c r="H1616" s="192">
        <v>1</v>
      </c>
      <c r="I1616" s="244">
        <v>150.51</v>
      </c>
      <c r="J1616" s="244">
        <v>150.51</v>
      </c>
    </row>
    <row r="1617" spans="1:10" ht="28.5" x14ac:dyDescent="0.25">
      <c r="A1617" s="191" t="s">
        <v>62</v>
      </c>
      <c r="B1617" s="191" t="s">
        <v>1560</v>
      </c>
      <c r="C1617" s="191" t="s">
        <v>59</v>
      </c>
      <c r="D1617" s="191" t="s">
        <v>1561</v>
      </c>
      <c r="E1617" s="191" t="s">
        <v>120</v>
      </c>
      <c r="F1617" s="191"/>
      <c r="G1617" s="191" t="s">
        <v>61</v>
      </c>
      <c r="H1617" s="192">
        <v>2.1000000000000001E-2</v>
      </c>
      <c r="I1617" s="244">
        <v>3.3</v>
      </c>
      <c r="J1617" s="244">
        <v>0.06</v>
      </c>
    </row>
    <row r="1618" spans="1:10" x14ac:dyDescent="0.25">
      <c r="A1618" s="187"/>
      <c r="B1618" s="187"/>
      <c r="C1618" s="187"/>
      <c r="D1618" s="187"/>
      <c r="E1618" s="187" t="s">
        <v>756</v>
      </c>
      <c r="F1618" s="188">
        <v>2.8</v>
      </c>
      <c r="G1618" s="187" t="s">
        <v>757</v>
      </c>
      <c r="H1618" s="188">
        <v>0</v>
      </c>
      <c r="I1618" s="242" t="s">
        <v>758</v>
      </c>
      <c r="J1618" s="242">
        <v>2.8</v>
      </c>
    </row>
    <row r="1619" spans="1:10" x14ac:dyDescent="0.25">
      <c r="A1619" s="187"/>
      <c r="B1619" s="187"/>
      <c r="C1619" s="187"/>
      <c r="D1619" s="187"/>
      <c r="E1619" s="187" t="s">
        <v>759</v>
      </c>
      <c r="F1619" s="188">
        <v>0</v>
      </c>
      <c r="G1619" s="187"/>
      <c r="H1619" s="187" t="s">
        <v>760</v>
      </c>
      <c r="I1619" s="242"/>
      <c r="J1619" s="242">
        <v>154.25</v>
      </c>
    </row>
    <row r="1620" spans="1:10" x14ac:dyDescent="0.25">
      <c r="A1620" s="182"/>
      <c r="B1620" s="182"/>
      <c r="C1620" s="182"/>
      <c r="D1620" s="182"/>
      <c r="E1620" s="182"/>
      <c r="F1620" s="182"/>
      <c r="G1620" s="182" t="s">
        <v>761</v>
      </c>
      <c r="H1620" s="189" t="s">
        <v>762</v>
      </c>
      <c r="I1620" s="239" t="s">
        <v>763</v>
      </c>
      <c r="J1620" s="239">
        <v>154.25</v>
      </c>
    </row>
    <row r="1621" spans="1:10" x14ac:dyDescent="0.25">
      <c r="A1621" s="183"/>
      <c r="B1621" s="183"/>
      <c r="C1621" s="183"/>
      <c r="D1621" s="183"/>
      <c r="E1621" s="183"/>
      <c r="F1621" s="183"/>
      <c r="G1621" s="183"/>
      <c r="H1621" s="183"/>
      <c r="I1621" s="240"/>
      <c r="J1621" s="240"/>
    </row>
    <row r="1622" spans="1:10" x14ac:dyDescent="0.25">
      <c r="A1622" s="182" t="s">
        <v>1765</v>
      </c>
      <c r="B1622" s="182" t="s">
        <v>66</v>
      </c>
      <c r="C1622" s="182" t="s">
        <v>64</v>
      </c>
      <c r="D1622" s="182" t="s">
        <v>67</v>
      </c>
      <c r="E1622" s="182" t="s">
        <v>65</v>
      </c>
      <c r="F1622" s="182"/>
      <c r="G1622" s="182" t="s">
        <v>744</v>
      </c>
      <c r="H1622" s="182" t="s">
        <v>69</v>
      </c>
      <c r="I1622" s="239" t="s">
        <v>745</v>
      </c>
      <c r="J1622" s="239" t="s">
        <v>0</v>
      </c>
    </row>
    <row r="1623" spans="1:10" ht="28.5" x14ac:dyDescent="0.25">
      <c r="A1623" s="183" t="s">
        <v>58</v>
      </c>
      <c r="B1623" s="183" t="s">
        <v>1707</v>
      </c>
      <c r="C1623" s="183" t="s">
        <v>785</v>
      </c>
      <c r="D1623" s="183" t="s">
        <v>1708</v>
      </c>
      <c r="E1623" s="183">
        <v>809</v>
      </c>
      <c r="F1623" s="183"/>
      <c r="G1623" s="183" t="s">
        <v>1498</v>
      </c>
      <c r="H1623" s="184">
        <v>1</v>
      </c>
      <c r="I1623" s="240">
        <v>133.19999999999999</v>
      </c>
      <c r="J1623" s="240">
        <v>133.19999999999999</v>
      </c>
    </row>
    <row r="1624" spans="1:10" ht="28.5" x14ac:dyDescent="0.25">
      <c r="A1624" s="191" t="s">
        <v>62</v>
      </c>
      <c r="B1624" s="191" t="s">
        <v>1709</v>
      </c>
      <c r="C1624" s="191" t="s">
        <v>785</v>
      </c>
      <c r="D1624" s="191" t="s">
        <v>1710</v>
      </c>
      <c r="E1624" s="191" t="s">
        <v>120</v>
      </c>
      <c r="F1624" s="191"/>
      <c r="G1624" s="191" t="s">
        <v>129</v>
      </c>
      <c r="H1624" s="192">
        <v>1</v>
      </c>
      <c r="I1624" s="244">
        <v>101.26</v>
      </c>
      <c r="J1624" s="244">
        <v>101.26</v>
      </c>
    </row>
    <row r="1625" spans="1:10" ht="28.5" x14ac:dyDescent="0.25">
      <c r="A1625" s="191" t="s">
        <v>62</v>
      </c>
      <c r="B1625" s="191" t="s">
        <v>1567</v>
      </c>
      <c r="C1625" s="191" t="s">
        <v>785</v>
      </c>
      <c r="D1625" s="191" t="s">
        <v>1568</v>
      </c>
      <c r="E1625" s="191" t="s">
        <v>120</v>
      </c>
      <c r="F1625" s="191"/>
      <c r="G1625" s="191" t="s">
        <v>113</v>
      </c>
      <c r="H1625" s="192">
        <v>0.94</v>
      </c>
      <c r="I1625" s="244">
        <v>0.35</v>
      </c>
      <c r="J1625" s="244">
        <v>0.32</v>
      </c>
    </row>
    <row r="1626" spans="1:10" ht="28.5" x14ac:dyDescent="0.25">
      <c r="A1626" s="191" t="s">
        <v>62</v>
      </c>
      <c r="B1626" s="191" t="s">
        <v>1515</v>
      </c>
      <c r="C1626" s="191" t="s">
        <v>785</v>
      </c>
      <c r="D1626" s="191" t="s">
        <v>181</v>
      </c>
      <c r="E1626" s="191" t="s">
        <v>124</v>
      </c>
      <c r="F1626" s="191"/>
      <c r="G1626" s="191" t="s">
        <v>60</v>
      </c>
      <c r="H1626" s="192">
        <v>0.61</v>
      </c>
      <c r="I1626" s="244">
        <v>22.05</v>
      </c>
      <c r="J1626" s="244">
        <v>13.45</v>
      </c>
    </row>
    <row r="1627" spans="1:10" ht="28.5" x14ac:dyDescent="0.25">
      <c r="A1627" s="191" t="s">
        <v>62</v>
      </c>
      <c r="B1627" s="191" t="s">
        <v>1569</v>
      </c>
      <c r="C1627" s="191" t="s">
        <v>785</v>
      </c>
      <c r="D1627" s="191" t="s">
        <v>1570</v>
      </c>
      <c r="E1627" s="191" t="s">
        <v>124</v>
      </c>
      <c r="F1627" s="191"/>
      <c r="G1627" s="191" t="s">
        <v>60</v>
      </c>
      <c r="H1627" s="192">
        <v>0.61</v>
      </c>
      <c r="I1627" s="244">
        <v>29.79</v>
      </c>
      <c r="J1627" s="244">
        <v>18.170000000000002</v>
      </c>
    </row>
    <row r="1628" spans="1:10" x14ac:dyDescent="0.25">
      <c r="A1628" s="187"/>
      <c r="B1628" s="187"/>
      <c r="C1628" s="187"/>
      <c r="D1628" s="187"/>
      <c r="E1628" s="187" t="s">
        <v>756</v>
      </c>
      <c r="F1628" s="188">
        <v>31.62</v>
      </c>
      <c r="G1628" s="187" t="s">
        <v>757</v>
      </c>
      <c r="H1628" s="188">
        <v>0</v>
      </c>
      <c r="I1628" s="242" t="s">
        <v>758</v>
      </c>
      <c r="J1628" s="242">
        <v>31.62</v>
      </c>
    </row>
    <row r="1629" spans="1:10" x14ac:dyDescent="0.25">
      <c r="A1629" s="187"/>
      <c r="B1629" s="187"/>
      <c r="C1629" s="187"/>
      <c r="D1629" s="187"/>
      <c r="E1629" s="187" t="s">
        <v>759</v>
      </c>
      <c r="F1629" s="188">
        <v>0</v>
      </c>
      <c r="G1629" s="187"/>
      <c r="H1629" s="187" t="s">
        <v>760</v>
      </c>
      <c r="I1629" s="242"/>
      <c r="J1629" s="242">
        <v>133.19999999999999</v>
      </c>
    </row>
    <row r="1630" spans="1:10" x14ac:dyDescent="0.25">
      <c r="A1630" s="182"/>
      <c r="B1630" s="182"/>
      <c r="C1630" s="182"/>
      <c r="D1630" s="182"/>
      <c r="E1630" s="182"/>
      <c r="F1630" s="182"/>
      <c r="G1630" s="182" t="s">
        <v>761</v>
      </c>
      <c r="H1630" s="189" t="s">
        <v>1260</v>
      </c>
      <c r="I1630" s="239" t="s">
        <v>763</v>
      </c>
      <c r="J1630" s="239">
        <v>399.6</v>
      </c>
    </row>
    <row r="1631" spans="1:10" x14ac:dyDescent="0.25">
      <c r="A1631" s="183"/>
      <c r="B1631" s="183"/>
      <c r="C1631" s="183"/>
      <c r="D1631" s="183"/>
      <c r="E1631" s="183"/>
      <c r="F1631" s="183"/>
      <c r="G1631" s="183"/>
      <c r="H1631" s="183"/>
      <c r="I1631" s="240"/>
      <c r="J1631" s="240"/>
    </row>
    <row r="1632" spans="1:10" x14ac:dyDescent="0.25">
      <c r="A1632" s="182" t="s">
        <v>1766</v>
      </c>
      <c r="B1632" s="182" t="s">
        <v>66</v>
      </c>
      <c r="C1632" s="182" t="s">
        <v>64</v>
      </c>
      <c r="D1632" s="182" t="s">
        <v>67</v>
      </c>
      <c r="E1632" s="182" t="s">
        <v>65</v>
      </c>
      <c r="F1632" s="182"/>
      <c r="G1632" s="182" t="s">
        <v>744</v>
      </c>
      <c r="H1632" s="182" t="s">
        <v>69</v>
      </c>
      <c r="I1632" s="239" t="s">
        <v>745</v>
      </c>
      <c r="J1632" s="239" t="s">
        <v>0</v>
      </c>
    </row>
    <row r="1633" spans="1:10" ht="99.75" x14ac:dyDescent="0.25">
      <c r="A1633" s="183" t="s">
        <v>58</v>
      </c>
      <c r="B1633" s="183" t="s">
        <v>1722</v>
      </c>
      <c r="C1633" s="183" t="s">
        <v>59</v>
      </c>
      <c r="D1633" s="183" t="s">
        <v>1723</v>
      </c>
      <c r="E1633" s="183" t="s">
        <v>1681</v>
      </c>
      <c r="F1633" s="183"/>
      <c r="G1633" s="183" t="s">
        <v>61</v>
      </c>
      <c r="H1633" s="184">
        <v>1</v>
      </c>
      <c r="I1633" s="240">
        <v>7.01</v>
      </c>
      <c r="J1633" s="240">
        <v>7.01</v>
      </c>
    </row>
    <row r="1634" spans="1:10" ht="42.75" x14ac:dyDescent="0.25">
      <c r="A1634" s="185" t="s">
        <v>119</v>
      </c>
      <c r="B1634" s="185" t="s">
        <v>1481</v>
      </c>
      <c r="C1634" s="185" t="s">
        <v>59</v>
      </c>
      <c r="D1634" s="185" t="s">
        <v>1482</v>
      </c>
      <c r="E1634" s="185" t="s">
        <v>754</v>
      </c>
      <c r="F1634" s="185"/>
      <c r="G1634" s="185" t="s">
        <v>60</v>
      </c>
      <c r="H1634" s="186">
        <v>9.4399999999999998E-2</v>
      </c>
      <c r="I1634" s="241">
        <v>31.42</v>
      </c>
      <c r="J1634" s="241">
        <v>2.96</v>
      </c>
    </row>
    <row r="1635" spans="1:10" ht="42.75" x14ac:dyDescent="0.25">
      <c r="A1635" s="185" t="s">
        <v>119</v>
      </c>
      <c r="B1635" s="185" t="s">
        <v>1479</v>
      </c>
      <c r="C1635" s="185" t="s">
        <v>59</v>
      </c>
      <c r="D1635" s="185" t="s">
        <v>1480</v>
      </c>
      <c r="E1635" s="185" t="s">
        <v>754</v>
      </c>
      <c r="F1635" s="185"/>
      <c r="G1635" s="185" t="s">
        <v>60</v>
      </c>
      <c r="H1635" s="186">
        <v>9.4399999999999998E-2</v>
      </c>
      <c r="I1635" s="241">
        <v>22.16</v>
      </c>
      <c r="J1635" s="241">
        <v>2.09</v>
      </c>
    </row>
    <row r="1636" spans="1:10" ht="42.75" x14ac:dyDescent="0.25">
      <c r="A1636" s="191" t="s">
        <v>62</v>
      </c>
      <c r="B1636" s="191" t="s">
        <v>1724</v>
      </c>
      <c r="C1636" s="191" t="s">
        <v>59</v>
      </c>
      <c r="D1636" s="191" t="s">
        <v>1725</v>
      </c>
      <c r="E1636" s="191" t="s">
        <v>120</v>
      </c>
      <c r="F1636" s="191"/>
      <c r="G1636" s="191" t="s">
        <v>61</v>
      </c>
      <c r="H1636" s="192">
        <v>1</v>
      </c>
      <c r="I1636" s="244">
        <v>1.03</v>
      </c>
      <c r="J1636" s="244">
        <v>1.03</v>
      </c>
    </row>
    <row r="1637" spans="1:10" ht="42.75" x14ac:dyDescent="0.25">
      <c r="A1637" s="191" t="s">
        <v>62</v>
      </c>
      <c r="B1637" s="191" t="s">
        <v>1551</v>
      </c>
      <c r="C1637" s="191" t="s">
        <v>59</v>
      </c>
      <c r="D1637" s="191" t="s">
        <v>1552</v>
      </c>
      <c r="E1637" s="191" t="s">
        <v>120</v>
      </c>
      <c r="F1637" s="191"/>
      <c r="G1637" s="191" t="s">
        <v>61</v>
      </c>
      <c r="H1637" s="192">
        <v>7.0000000000000001E-3</v>
      </c>
      <c r="I1637" s="244">
        <v>71.48</v>
      </c>
      <c r="J1637" s="244">
        <v>0.5</v>
      </c>
    </row>
    <row r="1638" spans="1:10" ht="28.5" x14ac:dyDescent="0.25">
      <c r="A1638" s="191" t="s">
        <v>62</v>
      </c>
      <c r="B1638" s="191" t="s">
        <v>1483</v>
      </c>
      <c r="C1638" s="191" t="s">
        <v>59</v>
      </c>
      <c r="D1638" s="191" t="s">
        <v>1484</v>
      </c>
      <c r="E1638" s="191" t="s">
        <v>120</v>
      </c>
      <c r="F1638" s="191"/>
      <c r="G1638" s="191" t="s">
        <v>61</v>
      </c>
      <c r="H1638" s="192">
        <v>3.15E-2</v>
      </c>
      <c r="I1638" s="244">
        <v>2</v>
      </c>
      <c r="J1638" s="244">
        <v>0.06</v>
      </c>
    </row>
    <row r="1639" spans="1:10" ht="28.5" x14ac:dyDescent="0.25">
      <c r="A1639" s="191" t="s">
        <v>62</v>
      </c>
      <c r="B1639" s="191" t="s">
        <v>1549</v>
      </c>
      <c r="C1639" s="191" t="s">
        <v>59</v>
      </c>
      <c r="D1639" s="191" t="s">
        <v>1550</v>
      </c>
      <c r="E1639" s="191" t="s">
        <v>120</v>
      </c>
      <c r="F1639" s="191"/>
      <c r="G1639" s="191" t="s">
        <v>61</v>
      </c>
      <c r="H1639" s="192">
        <v>5.8999999999999999E-3</v>
      </c>
      <c r="I1639" s="244">
        <v>63.09</v>
      </c>
      <c r="J1639" s="244">
        <v>0.37</v>
      </c>
    </row>
    <row r="1640" spans="1:10" x14ac:dyDescent="0.25">
      <c r="A1640" s="187"/>
      <c r="B1640" s="187"/>
      <c r="C1640" s="187"/>
      <c r="D1640" s="187"/>
      <c r="E1640" s="187" t="s">
        <v>756</v>
      </c>
      <c r="F1640" s="188">
        <v>3.75</v>
      </c>
      <c r="G1640" s="187" t="s">
        <v>757</v>
      </c>
      <c r="H1640" s="188">
        <v>0</v>
      </c>
      <c r="I1640" s="242" t="s">
        <v>758</v>
      </c>
      <c r="J1640" s="242">
        <v>3.75</v>
      </c>
    </row>
    <row r="1641" spans="1:10" x14ac:dyDescent="0.25">
      <c r="A1641" s="187"/>
      <c r="B1641" s="187"/>
      <c r="C1641" s="187"/>
      <c r="D1641" s="187"/>
      <c r="E1641" s="187" t="s">
        <v>759</v>
      </c>
      <c r="F1641" s="188">
        <v>0</v>
      </c>
      <c r="G1641" s="187"/>
      <c r="H1641" s="187" t="s">
        <v>760</v>
      </c>
      <c r="I1641" s="242"/>
      <c r="J1641" s="242">
        <v>7.01</v>
      </c>
    </row>
    <row r="1642" spans="1:10" x14ac:dyDescent="0.25">
      <c r="A1642" s="182"/>
      <c r="B1642" s="182"/>
      <c r="C1642" s="182"/>
      <c r="D1642" s="182"/>
      <c r="E1642" s="182"/>
      <c r="F1642" s="182"/>
      <c r="G1642" s="182" t="s">
        <v>761</v>
      </c>
      <c r="H1642" s="189" t="s">
        <v>800</v>
      </c>
      <c r="I1642" s="239" t="s">
        <v>763</v>
      </c>
      <c r="J1642" s="239">
        <v>42.06</v>
      </c>
    </row>
    <row r="1643" spans="1:10" x14ac:dyDescent="0.25">
      <c r="A1643" s="183"/>
      <c r="B1643" s="183"/>
      <c r="C1643" s="183"/>
      <c r="D1643" s="183"/>
      <c r="E1643" s="183"/>
      <c r="F1643" s="183"/>
      <c r="G1643" s="183"/>
      <c r="H1643" s="183"/>
      <c r="I1643" s="240"/>
      <c r="J1643" s="240"/>
    </row>
    <row r="1644" spans="1:10" x14ac:dyDescent="0.25">
      <c r="A1644" s="182" t="s">
        <v>1767</v>
      </c>
      <c r="B1644" s="182" t="s">
        <v>66</v>
      </c>
      <c r="C1644" s="182" t="s">
        <v>64</v>
      </c>
      <c r="D1644" s="182" t="s">
        <v>67</v>
      </c>
      <c r="E1644" s="182" t="s">
        <v>65</v>
      </c>
      <c r="F1644" s="182"/>
      <c r="G1644" s="182" t="s">
        <v>744</v>
      </c>
      <c r="H1644" s="182" t="s">
        <v>69</v>
      </c>
      <c r="I1644" s="239" t="s">
        <v>745</v>
      </c>
      <c r="J1644" s="239" t="s">
        <v>0</v>
      </c>
    </row>
    <row r="1645" spans="1:10" ht="71.25" x14ac:dyDescent="0.25">
      <c r="A1645" s="183" t="s">
        <v>58</v>
      </c>
      <c r="B1645" s="183" t="s">
        <v>1727</v>
      </c>
      <c r="C1645" s="183" t="s">
        <v>59</v>
      </c>
      <c r="D1645" s="183" t="s">
        <v>1728</v>
      </c>
      <c r="E1645" s="183" t="s">
        <v>1681</v>
      </c>
      <c r="F1645" s="183"/>
      <c r="G1645" s="183" t="s">
        <v>61</v>
      </c>
      <c r="H1645" s="184">
        <v>1</v>
      </c>
      <c r="I1645" s="240">
        <v>10.039999999999999</v>
      </c>
      <c r="J1645" s="240">
        <v>10.039999999999999</v>
      </c>
    </row>
    <row r="1646" spans="1:10" ht="42.75" x14ac:dyDescent="0.25">
      <c r="A1646" s="185" t="s">
        <v>119</v>
      </c>
      <c r="B1646" s="185" t="s">
        <v>1481</v>
      </c>
      <c r="C1646" s="185" t="s">
        <v>59</v>
      </c>
      <c r="D1646" s="185" t="s">
        <v>1482</v>
      </c>
      <c r="E1646" s="185" t="s">
        <v>754</v>
      </c>
      <c r="F1646" s="185"/>
      <c r="G1646" s="185" t="s">
        <v>60</v>
      </c>
      <c r="H1646" s="186">
        <v>0.152</v>
      </c>
      <c r="I1646" s="241">
        <v>31.42</v>
      </c>
      <c r="J1646" s="241">
        <v>4.7699999999999996</v>
      </c>
    </row>
    <row r="1647" spans="1:10" ht="42.75" x14ac:dyDescent="0.25">
      <c r="A1647" s="185" t="s">
        <v>119</v>
      </c>
      <c r="B1647" s="185" t="s">
        <v>1479</v>
      </c>
      <c r="C1647" s="185" t="s">
        <v>59</v>
      </c>
      <c r="D1647" s="185" t="s">
        <v>1480</v>
      </c>
      <c r="E1647" s="185" t="s">
        <v>754</v>
      </c>
      <c r="F1647" s="185"/>
      <c r="G1647" s="185" t="s">
        <v>60</v>
      </c>
      <c r="H1647" s="186">
        <v>0.152</v>
      </c>
      <c r="I1647" s="241">
        <v>22.16</v>
      </c>
      <c r="J1647" s="241">
        <v>3.36</v>
      </c>
    </row>
    <row r="1648" spans="1:10" ht="28.5" x14ac:dyDescent="0.25">
      <c r="A1648" s="191" t="s">
        <v>62</v>
      </c>
      <c r="B1648" s="191" t="s">
        <v>1549</v>
      </c>
      <c r="C1648" s="191" t="s">
        <v>59</v>
      </c>
      <c r="D1648" s="191" t="s">
        <v>1550</v>
      </c>
      <c r="E1648" s="191" t="s">
        <v>120</v>
      </c>
      <c r="F1648" s="191"/>
      <c r="G1648" s="191" t="s">
        <v>61</v>
      </c>
      <c r="H1648" s="192">
        <v>7.1000000000000004E-3</v>
      </c>
      <c r="I1648" s="244">
        <v>63.09</v>
      </c>
      <c r="J1648" s="244">
        <v>0.44</v>
      </c>
    </row>
    <row r="1649" spans="1:10" ht="28.5" x14ac:dyDescent="0.25">
      <c r="A1649" s="191" t="s">
        <v>62</v>
      </c>
      <c r="B1649" s="191" t="s">
        <v>1483</v>
      </c>
      <c r="C1649" s="191" t="s">
        <v>59</v>
      </c>
      <c r="D1649" s="191" t="s">
        <v>1484</v>
      </c>
      <c r="E1649" s="191" t="s">
        <v>120</v>
      </c>
      <c r="F1649" s="191"/>
      <c r="G1649" s="191" t="s">
        <v>61</v>
      </c>
      <c r="H1649" s="192">
        <v>3.3799999999999997E-2</v>
      </c>
      <c r="I1649" s="244">
        <v>2</v>
      </c>
      <c r="J1649" s="244">
        <v>0.06</v>
      </c>
    </row>
    <row r="1650" spans="1:10" ht="42.75" x14ac:dyDescent="0.25">
      <c r="A1650" s="191" t="s">
        <v>62</v>
      </c>
      <c r="B1650" s="191" t="s">
        <v>1551</v>
      </c>
      <c r="C1650" s="191" t="s">
        <v>59</v>
      </c>
      <c r="D1650" s="191" t="s">
        <v>1552</v>
      </c>
      <c r="E1650" s="191" t="s">
        <v>120</v>
      </c>
      <c r="F1650" s="191"/>
      <c r="G1650" s="191" t="s">
        <v>61</v>
      </c>
      <c r="H1650" s="192">
        <v>8.0000000000000002E-3</v>
      </c>
      <c r="I1650" s="244">
        <v>71.48</v>
      </c>
      <c r="J1650" s="244">
        <v>0.56999999999999995</v>
      </c>
    </row>
    <row r="1651" spans="1:10" ht="42.75" x14ac:dyDescent="0.25">
      <c r="A1651" s="191" t="s">
        <v>62</v>
      </c>
      <c r="B1651" s="191" t="s">
        <v>1729</v>
      </c>
      <c r="C1651" s="191" t="s">
        <v>59</v>
      </c>
      <c r="D1651" s="191" t="s">
        <v>1730</v>
      </c>
      <c r="E1651" s="191" t="s">
        <v>120</v>
      </c>
      <c r="F1651" s="191"/>
      <c r="G1651" s="191" t="s">
        <v>61</v>
      </c>
      <c r="H1651" s="192">
        <v>1</v>
      </c>
      <c r="I1651" s="244">
        <v>0.84</v>
      </c>
      <c r="J1651" s="244">
        <v>0.84</v>
      </c>
    </row>
    <row r="1652" spans="1:10" x14ac:dyDescent="0.25">
      <c r="A1652" s="187"/>
      <c r="B1652" s="187"/>
      <c r="C1652" s="187"/>
      <c r="D1652" s="187"/>
      <c r="E1652" s="187" t="s">
        <v>756</v>
      </c>
      <c r="F1652" s="188">
        <v>6.05</v>
      </c>
      <c r="G1652" s="187" t="s">
        <v>757</v>
      </c>
      <c r="H1652" s="188">
        <v>0</v>
      </c>
      <c r="I1652" s="242" t="s">
        <v>758</v>
      </c>
      <c r="J1652" s="242">
        <v>6.05</v>
      </c>
    </row>
    <row r="1653" spans="1:10" x14ac:dyDescent="0.25">
      <c r="A1653" s="187"/>
      <c r="B1653" s="187"/>
      <c r="C1653" s="187"/>
      <c r="D1653" s="187"/>
      <c r="E1653" s="187" t="s">
        <v>759</v>
      </c>
      <c r="F1653" s="188">
        <v>0</v>
      </c>
      <c r="G1653" s="187"/>
      <c r="H1653" s="187" t="s">
        <v>760</v>
      </c>
      <c r="I1653" s="242"/>
      <c r="J1653" s="242">
        <v>10.039999999999999</v>
      </c>
    </row>
    <row r="1654" spans="1:10" x14ac:dyDescent="0.25">
      <c r="A1654" s="182"/>
      <c r="B1654" s="182"/>
      <c r="C1654" s="182"/>
      <c r="D1654" s="182"/>
      <c r="E1654" s="182"/>
      <c r="F1654" s="182"/>
      <c r="G1654" s="182" t="s">
        <v>761</v>
      </c>
      <c r="H1654" s="189" t="s">
        <v>1555</v>
      </c>
      <c r="I1654" s="239" t="s">
        <v>763</v>
      </c>
      <c r="J1654" s="239">
        <v>40.159999999999997</v>
      </c>
    </row>
    <row r="1655" spans="1:10" x14ac:dyDescent="0.25">
      <c r="A1655" s="183"/>
      <c r="B1655" s="183"/>
      <c r="C1655" s="183"/>
      <c r="D1655" s="183"/>
      <c r="E1655" s="183"/>
      <c r="F1655" s="183"/>
      <c r="G1655" s="183"/>
      <c r="H1655" s="183"/>
      <c r="I1655" s="240"/>
      <c r="J1655" s="240"/>
    </row>
    <row r="1656" spans="1:10" x14ac:dyDescent="0.25">
      <c r="A1656" s="182" t="s">
        <v>1768</v>
      </c>
      <c r="B1656" s="182" t="s">
        <v>66</v>
      </c>
      <c r="C1656" s="182" t="s">
        <v>64</v>
      </c>
      <c r="D1656" s="182" t="s">
        <v>67</v>
      </c>
      <c r="E1656" s="182" t="s">
        <v>65</v>
      </c>
      <c r="F1656" s="182"/>
      <c r="G1656" s="182" t="s">
        <v>744</v>
      </c>
      <c r="H1656" s="182" t="s">
        <v>69</v>
      </c>
      <c r="I1656" s="239" t="s">
        <v>745</v>
      </c>
      <c r="J1656" s="239" t="s">
        <v>0</v>
      </c>
    </row>
    <row r="1657" spans="1:10" ht="71.25" x14ac:dyDescent="0.25">
      <c r="A1657" s="183" t="s">
        <v>58</v>
      </c>
      <c r="B1657" s="183" t="s">
        <v>1732</v>
      </c>
      <c r="C1657" s="183" t="s">
        <v>59</v>
      </c>
      <c r="D1657" s="183" t="s">
        <v>1733</v>
      </c>
      <c r="E1657" s="183" t="s">
        <v>1681</v>
      </c>
      <c r="F1657" s="183"/>
      <c r="G1657" s="183" t="s">
        <v>61</v>
      </c>
      <c r="H1657" s="184">
        <v>1</v>
      </c>
      <c r="I1657" s="240">
        <v>20.78</v>
      </c>
      <c r="J1657" s="240">
        <v>20.78</v>
      </c>
    </row>
    <row r="1658" spans="1:10" ht="42.75" x14ac:dyDescent="0.25">
      <c r="A1658" s="185" t="s">
        <v>119</v>
      </c>
      <c r="B1658" s="185" t="s">
        <v>1481</v>
      </c>
      <c r="C1658" s="185" t="s">
        <v>59</v>
      </c>
      <c r="D1658" s="185" t="s">
        <v>1482</v>
      </c>
      <c r="E1658" s="185" t="s">
        <v>754</v>
      </c>
      <c r="F1658" s="185"/>
      <c r="G1658" s="185" t="s">
        <v>60</v>
      </c>
      <c r="H1658" s="186">
        <v>0.1013</v>
      </c>
      <c r="I1658" s="241">
        <v>31.42</v>
      </c>
      <c r="J1658" s="241">
        <v>3.18</v>
      </c>
    </row>
    <row r="1659" spans="1:10" ht="42.75" x14ac:dyDescent="0.25">
      <c r="A1659" s="185" t="s">
        <v>119</v>
      </c>
      <c r="B1659" s="185" t="s">
        <v>1479</v>
      </c>
      <c r="C1659" s="185" t="s">
        <v>59</v>
      </c>
      <c r="D1659" s="185" t="s">
        <v>1480</v>
      </c>
      <c r="E1659" s="185" t="s">
        <v>754</v>
      </c>
      <c r="F1659" s="185"/>
      <c r="G1659" s="185" t="s">
        <v>60</v>
      </c>
      <c r="H1659" s="186">
        <v>0.1013</v>
      </c>
      <c r="I1659" s="241">
        <v>22.16</v>
      </c>
      <c r="J1659" s="241">
        <v>2.2400000000000002</v>
      </c>
    </row>
    <row r="1660" spans="1:10" ht="42.75" x14ac:dyDescent="0.25">
      <c r="A1660" s="191" t="s">
        <v>62</v>
      </c>
      <c r="B1660" s="191" t="s">
        <v>1551</v>
      </c>
      <c r="C1660" s="191" t="s">
        <v>59</v>
      </c>
      <c r="D1660" s="191" t="s">
        <v>1552</v>
      </c>
      <c r="E1660" s="191" t="s">
        <v>120</v>
      </c>
      <c r="F1660" s="191"/>
      <c r="G1660" s="191" t="s">
        <v>61</v>
      </c>
      <c r="H1660" s="192">
        <v>8.0000000000000002E-3</v>
      </c>
      <c r="I1660" s="244">
        <v>71.48</v>
      </c>
      <c r="J1660" s="244">
        <v>0.56999999999999995</v>
      </c>
    </row>
    <row r="1661" spans="1:10" ht="28.5" x14ac:dyDescent="0.25">
      <c r="A1661" s="191" t="s">
        <v>62</v>
      </c>
      <c r="B1661" s="191" t="s">
        <v>1483</v>
      </c>
      <c r="C1661" s="191" t="s">
        <v>59</v>
      </c>
      <c r="D1661" s="191" t="s">
        <v>1484</v>
      </c>
      <c r="E1661" s="191" t="s">
        <v>120</v>
      </c>
      <c r="F1661" s="191"/>
      <c r="G1661" s="191" t="s">
        <v>61</v>
      </c>
      <c r="H1661" s="192">
        <v>3.3799999999999997E-2</v>
      </c>
      <c r="I1661" s="244">
        <v>2</v>
      </c>
      <c r="J1661" s="244">
        <v>0.06</v>
      </c>
    </row>
    <row r="1662" spans="1:10" ht="42.75" x14ac:dyDescent="0.25">
      <c r="A1662" s="191" t="s">
        <v>62</v>
      </c>
      <c r="B1662" s="191" t="s">
        <v>1734</v>
      </c>
      <c r="C1662" s="191" t="s">
        <v>59</v>
      </c>
      <c r="D1662" s="191" t="s">
        <v>1735</v>
      </c>
      <c r="E1662" s="191" t="s">
        <v>120</v>
      </c>
      <c r="F1662" s="191"/>
      <c r="G1662" s="191" t="s">
        <v>61</v>
      </c>
      <c r="H1662" s="192">
        <v>1</v>
      </c>
      <c r="I1662" s="244">
        <v>14.29</v>
      </c>
      <c r="J1662" s="244">
        <v>14.29</v>
      </c>
    </row>
    <row r="1663" spans="1:10" ht="28.5" x14ac:dyDescent="0.25">
      <c r="A1663" s="191" t="s">
        <v>62</v>
      </c>
      <c r="B1663" s="191" t="s">
        <v>1549</v>
      </c>
      <c r="C1663" s="191" t="s">
        <v>59</v>
      </c>
      <c r="D1663" s="191" t="s">
        <v>1550</v>
      </c>
      <c r="E1663" s="191" t="s">
        <v>120</v>
      </c>
      <c r="F1663" s="191"/>
      <c r="G1663" s="191" t="s">
        <v>61</v>
      </c>
      <c r="H1663" s="192">
        <v>7.1000000000000004E-3</v>
      </c>
      <c r="I1663" s="244">
        <v>63.09</v>
      </c>
      <c r="J1663" s="244">
        <v>0.44</v>
      </c>
    </row>
    <row r="1664" spans="1:10" x14ac:dyDescent="0.25">
      <c r="A1664" s="187"/>
      <c r="B1664" s="187"/>
      <c r="C1664" s="187"/>
      <c r="D1664" s="187"/>
      <c r="E1664" s="187" t="s">
        <v>756</v>
      </c>
      <c r="F1664" s="188">
        <v>4.0199999999999996</v>
      </c>
      <c r="G1664" s="187" t="s">
        <v>757</v>
      </c>
      <c r="H1664" s="188">
        <v>0</v>
      </c>
      <c r="I1664" s="242" t="s">
        <v>758</v>
      </c>
      <c r="J1664" s="242">
        <v>4.0199999999999996</v>
      </c>
    </row>
    <row r="1665" spans="1:10" x14ac:dyDescent="0.25">
      <c r="A1665" s="187"/>
      <c r="B1665" s="187"/>
      <c r="C1665" s="187"/>
      <c r="D1665" s="187"/>
      <c r="E1665" s="187" t="s">
        <v>759</v>
      </c>
      <c r="F1665" s="188">
        <v>0</v>
      </c>
      <c r="G1665" s="187"/>
      <c r="H1665" s="187" t="s">
        <v>760</v>
      </c>
      <c r="I1665" s="242"/>
      <c r="J1665" s="242">
        <v>20.78</v>
      </c>
    </row>
    <row r="1666" spans="1:10" x14ac:dyDescent="0.25">
      <c r="A1666" s="182"/>
      <c r="B1666" s="182"/>
      <c r="C1666" s="182"/>
      <c r="D1666" s="182"/>
      <c r="E1666" s="182"/>
      <c r="F1666" s="182"/>
      <c r="G1666" s="182" t="s">
        <v>761</v>
      </c>
      <c r="H1666" s="189" t="s">
        <v>1260</v>
      </c>
      <c r="I1666" s="239" t="s">
        <v>763</v>
      </c>
      <c r="J1666" s="239">
        <v>62.34</v>
      </c>
    </row>
    <row r="1667" spans="1:10" x14ac:dyDescent="0.25">
      <c r="A1667" s="183"/>
      <c r="B1667" s="183"/>
      <c r="C1667" s="183"/>
      <c r="D1667" s="183"/>
      <c r="E1667" s="183"/>
      <c r="F1667" s="183"/>
      <c r="G1667" s="183"/>
      <c r="H1667" s="183"/>
      <c r="I1667" s="240"/>
      <c r="J1667" s="240"/>
    </row>
    <row r="1668" spans="1:10" x14ac:dyDescent="0.25">
      <c r="A1668" s="182" t="s">
        <v>1769</v>
      </c>
      <c r="B1668" s="182" t="s">
        <v>66</v>
      </c>
      <c r="C1668" s="182" t="s">
        <v>64</v>
      </c>
      <c r="D1668" s="182" t="s">
        <v>67</v>
      </c>
      <c r="E1668" s="182" t="s">
        <v>65</v>
      </c>
      <c r="F1668" s="182"/>
      <c r="G1668" s="182" t="s">
        <v>744</v>
      </c>
      <c r="H1668" s="182" t="s">
        <v>69</v>
      </c>
      <c r="I1668" s="239" t="s">
        <v>745</v>
      </c>
      <c r="J1668" s="239" t="s">
        <v>0</v>
      </c>
    </row>
    <row r="1669" spans="1:10" ht="71.25" x14ac:dyDescent="0.25">
      <c r="A1669" s="183" t="s">
        <v>58</v>
      </c>
      <c r="B1669" s="183" t="s">
        <v>1685</v>
      </c>
      <c r="C1669" s="183" t="s">
        <v>59</v>
      </c>
      <c r="D1669" s="183" t="s">
        <v>1686</v>
      </c>
      <c r="E1669" s="183" t="s">
        <v>1681</v>
      </c>
      <c r="F1669" s="183"/>
      <c r="G1669" s="183" t="s">
        <v>116</v>
      </c>
      <c r="H1669" s="184">
        <v>1</v>
      </c>
      <c r="I1669" s="240">
        <v>25.56</v>
      </c>
      <c r="J1669" s="240">
        <v>25.56</v>
      </c>
    </row>
    <row r="1670" spans="1:10" ht="42.75" x14ac:dyDescent="0.25">
      <c r="A1670" s="185" t="s">
        <v>119</v>
      </c>
      <c r="B1670" s="185" t="s">
        <v>1481</v>
      </c>
      <c r="C1670" s="185" t="s">
        <v>59</v>
      </c>
      <c r="D1670" s="185" t="s">
        <v>1482</v>
      </c>
      <c r="E1670" s="185" t="s">
        <v>754</v>
      </c>
      <c r="F1670" s="185"/>
      <c r="G1670" s="185" t="s">
        <v>60</v>
      </c>
      <c r="H1670" s="186">
        <v>0.38</v>
      </c>
      <c r="I1670" s="241">
        <v>31.42</v>
      </c>
      <c r="J1670" s="241">
        <v>11.93</v>
      </c>
    </row>
    <row r="1671" spans="1:10" ht="42.75" x14ac:dyDescent="0.25">
      <c r="A1671" s="185" t="s">
        <v>119</v>
      </c>
      <c r="B1671" s="185" t="s">
        <v>1479</v>
      </c>
      <c r="C1671" s="185" t="s">
        <v>59</v>
      </c>
      <c r="D1671" s="185" t="s">
        <v>1480</v>
      </c>
      <c r="E1671" s="185" t="s">
        <v>754</v>
      </c>
      <c r="F1671" s="185"/>
      <c r="G1671" s="185" t="s">
        <v>60</v>
      </c>
      <c r="H1671" s="186">
        <v>0.38</v>
      </c>
      <c r="I1671" s="241">
        <v>22.16</v>
      </c>
      <c r="J1671" s="241">
        <v>8.42</v>
      </c>
    </row>
    <row r="1672" spans="1:10" ht="28.5" x14ac:dyDescent="0.25">
      <c r="A1672" s="191" t="s">
        <v>62</v>
      </c>
      <c r="B1672" s="191" t="s">
        <v>1687</v>
      </c>
      <c r="C1672" s="191" t="s">
        <v>59</v>
      </c>
      <c r="D1672" s="191" t="s">
        <v>1688</v>
      </c>
      <c r="E1672" s="191" t="s">
        <v>120</v>
      </c>
      <c r="F1672" s="191"/>
      <c r="G1672" s="191" t="s">
        <v>116</v>
      </c>
      <c r="H1672" s="192">
        <v>1.0492999999999999</v>
      </c>
      <c r="I1672" s="244">
        <v>4.8099999999999996</v>
      </c>
      <c r="J1672" s="244">
        <v>5.04</v>
      </c>
    </row>
    <row r="1673" spans="1:10" ht="28.5" x14ac:dyDescent="0.25">
      <c r="A1673" s="191" t="s">
        <v>62</v>
      </c>
      <c r="B1673" s="191" t="s">
        <v>1483</v>
      </c>
      <c r="C1673" s="191" t="s">
        <v>59</v>
      </c>
      <c r="D1673" s="191" t="s">
        <v>1484</v>
      </c>
      <c r="E1673" s="191" t="s">
        <v>120</v>
      </c>
      <c r="F1673" s="191"/>
      <c r="G1673" s="191" t="s">
        <v>61</v>
      </c>
      <c r="H1673" s="192">
        <v>8.8599999999999998E-2</v>
      </c>
      <c r="I1673" s="244">
        <v>2</v>
      </c>
      <c r="J1673" s="244">
        <v>0.17</v>
      </c>
    </row>
    <row r="1674" spans="1:10" x14ac:dyDescent="0.25">
      <c r="A1674" s="187"/>
      <c r="B1674" s="187"/>
      <c r="C1674" s="187"/>
      <c r="D1674" s="187"/>
      <c r="E1674" s="187" t="s">
        <v>756</v>
      </c>
      <c r="F1674" s="188">
        <v>15.14</v>
      </c>
      <c r="G1674" s="187" t="s">
        <v>757</v>
      </c>
      <c r="H1674" s="188">
        <v>0</v>
      </c>
      <c r="I1674" s="242" t="s">
        <v>758</v>
      </c>
      <c r="J1674" s="242">
        <v>15.14</v>
      </c>
    </row>
    <row r="1675" spans="1:10" x14ac:dyDescent="0.25">
      <c r="A1675" s="187"/>
      <c r="B1675" s="187"/>
      <c r="C1675" s="187"/>
      <c r="D1675" s="187"/>
      <c r="E1675" s="187" t="s">
        <v>759</v>
      </c>
      <c r="F1675" s="188">
        <v>0</v>
      </c>
      <c r="G1675" s="187"/>
      <c r="H1675" s="187" t="s">
        <v>760</v>
      </c>
      <c r="I1675" s="242"/>
      <c r="J1675" s="242">
        <v>25.56</v>
      </c>
    </row>
    <row r="1676" spans="1:10" x14ac:dyDescent="0.25">
      <c r="A1676" s="182"/>
      <c r="B1676" s="182"/>
      <c r="C1676" s="182"/>
      <c r="D1676" s="182"/>
      <c r="E1676" s="182"/>
      <c r="F1676" s="182"/>
      <c r="G1676" s="182" t="s">
        <v>761</v>
      </c>
      <c r="H1676" s="189" t="s">
        <v>1770</v>
      </c>
      <c r="I1676" s="239" t="s">
        <v>763</v>
      </c>
      <c r="J1676" s="239">
        <v>175.34</v>
      </c>
    </row>
    <row r="1677" spans="1:10" x14ac:dyDescent="0.25">
      <c r="A1677" s="183"/>
      <c r="B1677" s="183"/>
      <c r="C1677" s="183"/>
      <c r="D1677" s="183"/>
      <c r="E1677" s="183"/>
      <c r="F1677" s="183"/>
      <c r="G1677" s="183"/>
      <c r="H1677" s="183"/>
      <c r="I1677" s="240"/>
      <c r="J1677" s="240"/>
    </row>
    <row r="1678" spans="1:10" x14ac:dyDescent="0.25">
      <c r="A1678" s="182" t="s">
        <v>1771</v>
      </c>
      <c r="B1678" s="182" t="s">
        <v>66</v>
      </c>
      <c r="C1678" s="182" t="s">
        <v>64</v>
      </c>
      <c r="D1678" s="182" t="s">
        <v>67</v>
      </c>
      <c r="E1678" s="182" t="s">
        <v>65</v>
      </c>
      <c r="F1678" s="182"/>
      <c r="G1678" s="182" t="s">
        <v>744</v>
      </c>
      <c r="H1678" s="182" t="s">
        <v>69</v>
      </c>
      <c r="I1678" s="239" t="s">
        <v>745</v>
      </c>
      <c r="J1678" s="239" t="s">
        <v>0</v>
      </c>
    </row>
    <row r="1679" spans="1:10" ht="28.5" x14ac:dyDescent="0.25">
      <c r="A1679" s="183" t="s">
        <v>58</v>
      </c>
      <c r="B1679" s="183" t="s">
        <v>1772</v>
      </c>
      <c r="C1679" s="183" t="s">
        <v>785</v>
      </c>
      <c r="D1679" s="183" t="s">
        <v>1773</v>
      </c>
      <c r="E1679" s="183">
        <v>813</v>
      </c>
      <c r="F1679" s="183"/>
      <c r="G1679" s="183" t="s">
        <v>1498</v>
      </c>
      <c r="H1679" s="184">
        <v>1</v>
      </c>
      <c r="I1679" s="240">
        <v>12.62</v>
      </c>
      <c r="J1679" s="240">
        <v>12.62</v>
      </c>
    </row>
    <row r="1680" spans="1:10" ht="28.5" x14ac:dyDescent="0.25">
      <c r="A1680" s="191" t="s">
        <v>62</v>
      </c>
      <c r="B1680" s="191" t="s">
        <v>1515</v>
      </c>
      <c r="C1680" s="191" t="s">
        <v>785</v>
      </c>
      <c r="D1680" s="191" t="s">
        <v>181</v>
      </c>
      <c r="E1680" s="191" t="s">
        <v>124</v>
      </c>
      <c r="F1680" s="191"/>
      <c r="G1680" s="191" t="s">
        <v>60</v>
      </c>
      <c r="H1680" s="192">
        <v>0.114</v>
      </c>
      <c r="I1680" s="244">
        <v>22.05</v>
      </c>
      <c r="J1680" s="244">
        <v>2.5099999999999998</v>
      </c>
    </row>
    <row r="1681" spans="1:10" ht="28.5" x14ac:dyDescent="0.25">
      <c r="A1681" s="191" t="s">
        <v>62</v>
      </c>
      <c r="B1681" s="191" t="s">
        <v>1569</v>
      </c>
      <c r="C1681" s="191" t="s">
        <v>785</v>
      </c>
      <c r="D1681" s="191" t="s">
        <v>1570</v>
      </c>
      <c r="E1681" s="191" t="s">
        <v>124</v>
      </c>
      <c r="F1681" s="191"/>
      <c r="G1681" s="191" t="s">
        <v>60</v>
      </c>
      <c r="H1681" s="192">
        <v>0.114</v>
      </c>
      <c r="I1681" s="244">
        <v>29.79</v>
      </c>
      <c r="J1681" s="244">
        <v>3.39</v>
      </c>
    </row>
    <row r="1682" spans="1:10" ht="28.5" x14ac:dyDescent="0.25">
      <c r="A1682" s="191" t="s">
        <v>62</v>
      </c>
      <c r="B1682" s="191" t="s">
        <v>1567</v>
      </c>
      <c r="C1682" s="191" t="s">
        <v>785</v>
      </c>
      <c r="D1682" s="191" t="s">
        <v>1568</v>
      </c>
      <c r="E1682" s="191" t="s">
        <v>120</v>
      </c>
      <c r="F1682" s="191"/>
      <c r="G1682" s="191" t="s">
        <v>113</v>
      </c>
      <c r="H1682" s="192">
        <v>0.39</v>
      </c>
      <c r="I1682" s="244">
        <v>0.35</v>
      </c>
      <c r="J1682" s="244">
        <v>0.13</v>
      </c>
    </row>
    <row r="1683" spans="1:10" ht="42.75" x14ac:dyDescent="0.25">
      <c r="A1683" s="191" t="s">
        <v>62</v>
      </c>
      <c r="B1683" s="191" t="s">
        <v>1774</v>
      </c>
      <c r="C1683" s="191" t="s">
        <v>785</v>
      </c>
      <c r="D1683" s="191" t="s">
        <v>1775</v>
      </c>
      <c r="E1683" s="191" t="s">
        <v>120</v>
      </c>
      <c r="F1683" s="191"/>
      <c r="G1683" s="191" t="s">
        <v>129</v>
      </c>
      <c r="H1683" s="192">
        <v>1</v>
      </c>
      <c r="I1683" s="244">
        <v>6.59</v>
      </c>
      <c r="J1683" s="244">
        <v>6.59</v>
      </c>
    </row>
    <row r="1684" spans="1:10" x14ac:dyDescent="0.25">
      <c r="A1684" s="187"/>
      <c r="B1684" s="187"/>
      <c r="C1684" s="187"/>
      <c r="D1684" s="187"/>
      <c r="E1684" s="187" t="s">
        <v>756</v>
      </c>
      <c r="F1684" s="188">
        <v>5.9</v>
      </c>
      <c r="G1684" s="187" t="s">
        <v>757</v>
      </c>
      <c r="H1684" s="188">
        <v>0</v>
      </c>
      <c r="I1684" s="242" t="s">
        <v>758</v>
      </c>
      <c r="J1684" s="242">
        <v>5.9</v>
      </c>
    </row>
    <row r="1685" spans="1:10" x14ac:dyDescent="0.25">
      <c r="A1685" s="187"/>
      <c r="B1685" s="187"/>
      <c r="C1685" s="187"/>
      <c r="D1685" s="187"/>
      <c r="E1685" s="187" t="s">
        <v>759</v>
      </c>
      <c r="F1685" s="188">
        <v>0</v>
      </c>
      <c r="G1685" s="187"/>
      <c r="H1685" s="187" t="s">
        <v>760</v>
      </c>
      <c r="I1685" s="242"/>
      <c r="J1685" s="242">
        <v>12.62</v>
      </c>
    </row>
    <row r="1686" spans="1:10" x14ac:dyDescent="0.25">
      <c r="A1686" s="182"/>
      <c r="B1686" s="182"/>
      <c r="C1686" s="182"/>
      <c r="D1686" s="182"/>
      <c r="E1686" s="182"/>
      <c r="F1686" s="182"/>
      <c r="G1686" s="182" t="s">
        <v>761</v>
      </c>
      <c r="H1686" s="189" t="s">
        <v>1538</v>
      </c>
      <c r="I1686" s="239" t="s">
        <v>763</v>
      </c>
      <c r="J1686" s="239">
        <v>25.24</v>
      </c>
    </row>
    <row r="1687" spans="1:10" x14ac:dyDescent="0.25">
      <c r="A1687" s="183"/>
      <c r="B1687" s="183"/>
      <c r="C1687" s="183"/>
      <c r="D1687" s="183"/>
      <c r="E1687" s="183"/>
      <c r="F1687" s="183"/>
      <c r="G1687" s="183"/>
      <c r="H1687" s="183"/>
      <c r="I1687" s="240"/>
      <c r="J1687" s="240"/>
    </row>
    <row r="1688" spans="1:10" x14ac:dyDescent="0.25">
      <c r="A1688" s="190" t="s">
        <v>1776</v>
      </c>
      <c r="B1688" s="190"/>
      <c r="C1688" s="190"/>
      <c r="D1688" s="190" t="s">
        <v>562</v>
      </c>
      <c r="E1688" s="190"/>
      <c r="F1688" s="190"/>
      <c r="G1688" s="190"/>
      <c r="H1688" s="190"/>
      <c r="I1688" s="243"/>
      <c r="J1688" s="243">
        <v>625.22</v>
      </c>
    </row>
    <row r="1689" spans="1:10" x14ac:dyDescent="0.25">
      <c r="A1689" s="182" t="s">
        <v>1777</v>
      </c>
      <c r="B1689" s="182" t="s">
        <v>66</v>
      </c>
      <c r="C1689" s="182" t="s">
        <v>64</v>
      </c>
      <c r="D1689" s="182" t="s">
        <v>67</v>
      </c>
      <c r="E1689" s="182" t="s">
        <v>65</v>
      </c>
      <c r="F1689" s="182"/>
      <c r="G1689" s="182" t="s">
        <v>744</v>
      </c>
      <c r="H1689" s="182" t="s">
        <v>69</v>
      </c>
      <c r="I1689" s="239" t="s">
        <v>745</v>
      </c>
      <c r="J1689" s="239" t="s">
        <v>0</v>
      </c>
    </row>
    <row r="1690" spans="1:10" ht="71.25" x14ac:dyDescent="0.25">
      <c r="A1690" s="183" t="s">
        <v>58</v>
      </c>
      <c r="B1690" s="183" t="s">
        <v>1760</v>
      </c>
      <c r="C1690" s="183" t="s">
        <v>59</v>
      </c>
      <c r="D1690" s="183" t="s">
        <v>1761</v>
      </c>
      <c r="E1690" s="183" t="s">
        <v>1559</v>
      </c>
      <c r="F1690" s="183"/>
      <c r="G1690" s="183" t="s">
        <v>61</v>
      </c>
      <c r="H1690" s="184">
        <v>1</v>
      </c>
      <c r="I1690" s="240">
        <v>140.22999999999999</v>
      </c>
      <c r="J1690" s="240">
        <v>140.22999999999999</v>
      </c>
    </row>
    <row r="1691" spans="1:10" ht="28.5" x14ac:dyDescent="0.25">
      <c r="A1691" s="185" t="s">
        <v>119</v>
      </c>
      <c r="B1691" s="185" t="s">
        <v>769</v>
      </c>
      <c r="C1691" s="185" t="s">
        <v>59</v>
      </c>
      <c r="D1691" s="185" t="s">
        <v>115</v>
      </c>
      <c r="E1691" s="185" t="s">
        <v>754</v>
      </c>
      <c r="F1691" s="185"/>
      <c r="G1691" s="185" t="s">
        <v>60</v>
      </c>
      <c r="H1691" s="186">
        <v>5.2499999999999998E-2</v>
      </c>
      <c r="I1691" s="241">
        <v>22.42</v>
      </c>
      <c r="J1691" s="241">
        <v>1.17</v>
      </c>
    </row>
    <row r="1692" spans="1:10" ht="42.75" x14ac:dyDescent="0.25">
      <c r="A1692" s="185" t="s">
        <v>119</v>
      </c>
      <c r="B1692" s="185" t="s">
        <v>1481</v>
      </c>
      <c r="C1692" s="185" t="s">
        <v>59</v>
      </c>
      <c r="D1692" s="185" t="s">
        <v>1482</v>
      </c>
      <c r="E1692" s="185" t="s">
        <v>754</v>
      </c>
      <c r="F1692" s="185"/>
      <c r="G1692" s="185" t="s">
        <v>60</v>
      </c>
      <c r="H1692" s="186">
        <v>0.16669999999999999</v>
      </c>
      <c r="I1692" s="241">
        <v>31.42</v>
      </c>
      <c r="J1692" s="241">
        <v>5.23</v>
      </c>
    </row>
    <row r="1693" spans="1:10" ht="28.5" x14ac:dyDescent="0.25">
      <c r="A1693" s="191" t="s">
        <v>62</v>
      </c>
      <c r="B1693" s="191" t="s">
        <v>1560</v>
      </c>
      <c r="C1693" s="191" t="s">
        <v>59</v>
      </c>
      <c r="D1693" s="191" t="s">
        <v>1561</v>
      </c>
      <c r="E1693" s="191" t="s">
        <v>120</v>
      </c>
      <c r="F1693" s="191"/>
      <c r="G1693" s="191" t="s">
        <v>61</v>
      </c>
      <c r="H1693" s="192">
        <v>2.1000000000000001E-2</v>
      </c>
      <c r="I1693" s="244">
        <v>3.3</v>
      </c>
      <c r="J1693" s="244">
        <v>0.06</v>
      </c>
    </row>
    <row r="1694" spans="1:10" ht="57" x14ac:dyDescent="0.25">
      <c r="A1694" s="191" t="s">
        <v>62</v>
      </c>
      <c r="B1694" s="191" t="s">
        <v>1762</v>
      </c>
      <c r="C1694" s="191" t="s">
        <v>59</v>
      </c>
      <c r="D1694" s="191" t="s">
        <v>1763</v>
      </c>
      <c r="E1694" s="191" t="s">
        <v>120</v>
      </c>
      <c r="F1694" s="191"/>
      <c r="G1694" s="191" t="s">
        <v>61</v>
      </c>
      <c r="H1694" s="192">
        <v>1</v>
      </c>
      <c r="I1694" s="244">
        <v>133.77000000000001</v>
      </c>
      <c r="J1694" s="244">
        <v>133.77000000000001</v>
      </c>
    </row>
    <row r="1695" spans="1:10" x14ac:dyDescent="0.25">
      <c r="A1695" s="187"/>
      <c r="B1695" s="187"/>
      <c r="C1695" s="187"/>
      <c r="D1695" s="187"/>
      <c r="E1695" s="187" t="s">
        <v>756</v>
      </c>
      <c r="F1695" s="188">
        <v>4.87</v>
      </c>
      <c r="G1695" s="187" t="s">
        <v>757</v>
      </c>
      <c r="H1695" s="188">
        <v>0</v>
      </c>
      <c r="I1695" s="242" t="s">
        <v>758</v>
      </c>
      <c r="J1695" s="242">
        <v>4.87</v>
      </c>
    </row>
    <row r="1696" spans="1:10" x14ac:dyDescent="0.25">
      <c r="A1696" s="187"/>
      <c r="B1696" s="187"/>
      <c r="C1696" s="187"/>
      <c r="D1696" s="187"/>
      <c r="E1696" s="187" t="s">
        <v>759</v>
      </c>
      <c r="F1696" s="188">
        <v>0</v>
      </c>
      <c r="G1696" s="187"/>
      <c r="H1696" s="187" t="s">
        <v>760</v>
      </c>
      <c r="I1696" s="242"/>
      <c r="J1696" s="242">
        <v>140.22999999999999</v>
      </c>
    </row>
    <row r="1697" spans="1:10" x14ac:dyDescent="0.25">
      <c r="A1697" s="182"/>
      <c r="B1697" s="182"/>
      <c r="C1697" s="182"/>
      <c r="D1697" s="182"/>
      <c r="E1697" s="182"/>
      <c r="F1697" s="182"/>
      <c r="G1697" s="182" t="s">
        <v>761</v>
      </c>
      <c r="H1697" s="189" t="s">
        <v>762</v>
      </c>
      <c r="I1697" s="239" t="s">
        <v>763</v>
      </c>
      <c r="J1697" s="239">
        <v>140.22999999999999</v>
      </c>
    </row>
    <row r="1698" spans="1:10" x14ac:dyDescent="0.25">
      <c r="A1698" s="183"/>
      <c r="B1698" s="183"/>
      <c r="C1698" s="183"/>
      <c r="D1698" s="183"/>
      <c r="E1698" s="183"/>
      <c r="F1698" s="183"/>
      <c r="G1698" s="183"/>
      <c r="H1698" s="183"/>
      <c r="I1698" s="240"/>
      <c r="J1698" s="240"/>
    </row>
    <row r="1699" spans="1:10" x14ac:dyDescent="0.25">
      <c r="A1699" s="182" t="s">
        <v>1778</v>
      </c>
      <c r="B1699" s="182" t="s">
        <v>66</v>
      </c>
      <c r="C1699" s="182" t="s">
        <v>64</v>
      </c>
      <c r="D1699" s="182" t="s">
        <v>67</v>
      </c>
      <c r="E1699" s="182" t="s">
        <v>65</v>
      </c>
      <c r="F1699" s="182"/>
      <c r="G1699" s="182" t="s">
        <v>744</v>
      </c>
      <c r="H1699" s="182" t="s">
        <v>69</v>
      </c>
      <c r="I1699" s="239" t="s">
        <v>745</v>
      </c>
      <c r="J1699" s="239" t="s">
        <v>0</v>
      </c>
    </row>
    <row r="1700" spans="1:10" ht="28.5" x14ac:dyDescent="0.25">
      <c r="A1700" s="183" t="s">
        <v>58</v>
      </c>
      <c r="B1700" s="183" t="s">
        <v>1707</v>
      </c>
      <c r="C1700" s="183" t="s">
        <v>785</v>
      </c>
      <c r="D1700" s="183" t="s">
        <v>1708</v>
      </c>
      <c r="E1700" s="183">
        <v>809</v>
      </c>
      <c r="F1700" s="183"/>
      <c r="G1700" s="183" t="s">
        <v>1498</v>
      </c>
      <c r="H1700" s="184">
        <v>1</v>
      </c>
      <c r="I1700" s="240">
        <v>133.19999999999999</v>
      </c>
      <c r="J1700" s="240">
        <v>133.19999999999999</v>
      </c>
    </row>
    <row r="1701" spans="1:10" ht="28.5" x14ac:dyDescent="0.25">
      <c r="A1701" s="191" t="s">
        <v>62</v>
      </c>
      <c r="B1701" s="191" t="s">
        <v>1709</v>
      </c>
      <c r="C1701" s="191" t="s">
        <v>785</v>
      </c>
      <c r="D1701" s="191" t="s">
        <v>1710</v>
      </c>
      <c r="E1701" s="191" t="s">
        <v>120</v>
      </c>
      <c r="F1701" s="191"/>
      <c r="G1701" s="191" t="s">
        <v>129</v>
      </c>
      <c r="H1701" s="192">
        <v>1</v>
      </c>
      <c r="I1701" s="244">
        <v>101.26</v>
      </c>
      <c r="J1701" s="244">
        <v>101.26</v>
      </c>
    </row>
    <row r="1702" spans="1:10" ht="28.5" x14ac:dyDescent="0.25">
      <c r="A1702" s="191" t="s">
        <v>62</v>
      </c>
      <c r="B1702" s="191" t="s">
        <v>1567</v>
      </c>
      <c r="C1702" s="191" t="s">
        <v>785</v>
      </c>
      <c r="D1702" s="191" t="s">
        <v>1568</v>
      </c>
      <c r="E1702" s="191" t="s">
        <v>120</v>
      </c>
      <c r="F1702" s="191"/>
      <c r="G1702" s="191" t="s">
        <v>113</v>
      </c>
      <c r="H1702" s="192">
        <v>0.94</v>
      </c>
      <c r="I1702" s="244">
        <v>0.35</v>
      </c>
      <c r="J1702" s="244">
        <v>0.32</v>
      </c>
    </row>
    <row r="1703" spans="1:10" ht="28.5" x14ac:dyDescent="0.25">
      <c r="A1703" s="191" t="s">
        <v>62</v>
      </c>
      <c r="B1703" s="191" t="s">
        <v>1515</v>
      </c>
      <c r="C1703" s="191" t="s">
        <v>785</v>
      </c>
      <c r="D1703" s="191" t="s">
        <v>181</v>
      </c>
      <c r="E1703" s="191" t="s">
        <v>124</v>
      </c>
      <c r="F1703" s="191"/>
      <c r="G1703" s="191" t="s">
        <v>60</v>
      </c>
      <c r="H1703" s="192">
        <v>0.61</v>
      </c>
      <c r="I1703" s="244">
        <v>22.05</v>
      </c>
      <c r="J1703" s="244">
        <v>13.45</v>
      </c>
    </row>
    <row r="1704" spans="1:10" ht="28.5" x14ac:dyDescent="0.25">
      <c r="A1704" s="191" t="s">
        <v>62</v>
      </c>
      <c r="B1704" s="191" t="s">
        <v>1569</v>
      </c>
      <c r="C1704" s="191" t="s">
        <v>785</v>
      </c>
      <c r="D1704" s="191" t="s">
        <v>1570</v>
      </c>
      <c r="E1704" s="191" t="s">
        <v>124</v>
      </c>
      <c r="F1704" s="191"/>
      <c r="G1704" s="191" t="s">
        <v>60</v>
      </c>
      <c r="H1704" s="192">
        <v>0.61</v>
      </c>
      <c r="I1704" s="244">
        <v>29.79</v>
      </c>
      <c r="J1704" s="244">
        <v>18.170000000000002</v>
      </c>
    </row>
    <row r="1705" spans="1:10" x14ac:dyDescent="0.25">
      <c r="A1705" s="187"/>
      <c r="B1705" s="187"/>
      <c r="C1705" s="187"/>
      <c r="D1705" s="187"/>
      <c r="E1705" s="187" t="s">
        <v>756</v>
      </c>
      <c r="F1705" s="188">
        <v>31.62</v>
      </c>
      <c r="G1705" s="187" t="s">
        <v>757</v>
      </c>
      <c r="H1705" s="188">
        <v>0</v>
      </c>
      <c r="I1705" s="242" t="s">
        <v>758</v>
      </c>
      <c r="J1705" s="242">
        <v>31.62</v>
      </c>
    </row>
    <row r="1706" spans="1:10" x14ac:dyDescent="0.25">
      <c r="A1706" s="187"/>
      <c r="B1706" s="187"/>
      <c r="C1706" s="187"/>
      <c r="D1706" s="187"/>
      <c r="E1706" s="187" t="s">
        <v>759</v>
      </c>
      <c r="F1706" s="188">
        <v>0</v>
      </c>
      <c r="G1706" s="187"/>
      <c r="H1706" s="187" t="s">
        <v>760</v>
      </c>
      <c r="I1706" s="242"/>
      <c r="J1706" s="242">
        <v>133.19999999999999</v>
      </c>
    </row>
    <row r="1707" spans="1:10" x14ac:dyDescent="0.25">
      <c r="A1707" s="182"/>
      <c r="B1707" s="182"/>
      <c r="C1707" s="182"/>
      <c r="D1707" s="182"/>
      <c r="E1707" s="182"/>
      <c r="F1707" s="182"/>
      <c r="G1707" s="182" t="s">
        <v>761</v>
      </c>
      <c r="H1707" s="189" t="s">
        <v>1538</v>
      </c>
      <c r="I1707" s="239" t="s">
        <v>763</v>
      </c>
      <c r="J1707" s="239">
        <v>266.39999999999998</v>
      </c>
    </row>
    <row r="1708" spans="1:10" x14ac:dyDescent="0.25">
      <c r="A1708" s="183"/>
      <c r="B1708" s="183"/>
      <c r="C1708" s="183"/>
      <c r="D1708" s="183"/>
      <c r="E1708" s="183"/>
      <c r="F1708" s="183"/>
      <c r="G1708" s="183"/>
      <c r="H1708" s="183"/>
      <c r="I1708" s="240"/>
      <c r="J1708" s="240"/>
    </row>
    <row r="1709" spans="1:10" x14ac:dyDescent="0.25">
      <c r="A1709" s="182" t="s">
        <v>1779</v>
      </c>
      <c r="B1709" s="182" t="s">
        <v>66</v>
      </c>
      <c r="C1709" s="182" t="s">
        <v>64</v>
      </c>
      <c r="D1709" s="182" t="s">
        <v>67</v>
      </c>
      <c r="E1709" s="182" t="s">
        <v>65</v>
      </c>
      <c r="F1709" s="182"/>
      <c r="G1709" s="182" t="s">
        <v>744</v>
      </c>
      <c r="H1709" s="182" t="s">
        <v>69</v>
      </c>
      <c r="I1709" s="239" t="s">
        <v>745</v>
      </c>
      <c r="J1709" s="239" t="s">
        <v>0</v>
      </c>
    </row>
    <row r="1710" spans="1:10" ht="99.75" x14ac:dyDescent="0.25">
      <c r="A1710" s="183" t="s">
        <v>58</v>
      </c>
      <c r="B1710" s="183" t="s">
        <v>1722</v>
      </c>
      <c r="C1710" s="183" t="s">
        <v>59</v>
      </c>
      <c r="D1710" s="183" t="s">
        <v>1723</v>
      </c>
      <c r="E1710" s="183" t="s">
        <v>1681</v>
      </c>
      <c r="F1710" s="183"/>
      <c r="G1710" s="183" t="s">
        <v>61</v>
      </c>
      <c r="H1710" s="184">
        <v>1</v>
      </c>
      <c r="I1710" s="240">
        <v>7.01</v>
      </c>
      <c r="J1710" s="240">
        <v>7.01</v>
      </c>
    </row>
    <row r="1711" spans="1:10" ht="42.75" x14ac:dyDescent="0.25">
      <c r="A1711" s="185" t="s">
        <v>119</v>
      </c>
      <c r="B1711" s="185" t="s">
        <v>1481</v>
      </c>
      <c r="C1711" s="185" t="s">
        <v>59</v>
      </c>
      <c r="D1711" s="185" t="s">
        <v>1482</v>
      </c>
      <c r="E1711" s="185" t="s">
        <v>754</v>
      </c>
      <c r="F1711" s="185"/>
      <c r="G1711" s="185" t="s">
        <v>60</v>
      </c>
      <c r="H1711" s="186">
        <v>9.4399999999999998E-2</v>
      </c>
      <c r="I1711" s="241">
        <v>31.42</v>
      </c>
      <c r="J1711" s="241">
        <v>2.96</v>
      </c>
    </row>
    <row r="1712" spans="1:10" ht="42.75" x14ac:dyDescent="0.25">
      <c r="A1712" s="185" t="s">
        <v>119</v>
      </c>
      <c r="B1712" s="185" t="s">
        <v>1479</v>
      </c>
      <c r="C1712" s="185" t="s">
        <v>59</v>
      </c>
      <c r="D1712" s="185" t="s">
        <v>1480</v>
      </c>
      <c r="E1712" s="185" t="s">
        <v>754</v>
      </c>
      <c r="F1712" s="185"/>
      <c r="G1712" s="185" t="s">
        <v>60</v>
      </c>
      <c r="H1712" s="186">
        <v>9.4399999999999998E-2</v>
      </c>
      <c r="I1712" s="241">
        <v>22.16</v>
      </c>
      <c r="J1712" s="241">
        <v>2.09</v>
      </c>
    </row>
    <row r="1713" spans="1:10" ht="42.75" x14ac:dyDescent="0.25">
      <c r="A1713" s="191" t="s">
        <v>62</v>
      </c>
      <c r="B1713" s="191" t="s">
        <v>1724</v>
      </c>
      <c r="C1713" s="191" t="s">
        <v>59</v>
      </c>
      <c r="D1713" s="191" t="s">
        <v>1725</v>
      </c>
      <c r="E1713" s="191" t="s">
        <v>120</v>
      </c>
      <c r="F1713" s="191"/>
      <c r="G1713" s="191" t="s">
        <v>61</v>
      </c>
      <c r="H1713" s="192">
        <v>1</v>
      </c>
      <c r="I1713" s="244">
        <v>1.03</v>
      </c>
      <c r="J1713" s="244">
        <v>1.03</v>
      </c>
    </row>
    <row r="1714" spans="1:10" ht="42.75" x14ac:dyDescent="0.25">
      <c r="A1714" s="191" t="s">
        <v>62</v>
      </c>
      <c r="B1714" s="191" t="s">
        <v>1551</v>
      </c>
      <c r="C1714" s="191" t="s">
        <v>59</v>
      </c>
      <c r="D1714" s="191" t="s">
        <v>1552</v>
      </c>
      <c r="E1714" s="191" t="s">
        <v>120</v>
      </c>
      <c r="F1714" s="191"/>
      <c r="G1714" s="191" t="s">
        <v>61</v>
      </c>
      <c r="H1714" s="192">
        <v>7.0000000000000001E-3</v>
      </c>
      <c r="I1714" s="244">
        <v>71.48</v>
      </c>
      <c r="J1714" s="244">
        <v>0.5</v>
      </c>
    </row>
    <row r="1715" spans="1:10" ht="28.5" x14ac:dyDescent="0.25">
      <c r="A1715" s="191" t="s">
        <v>62</v>
      </c>
      <c r="B1715" s="191" t="s">
        <v>1483</v>
      </c>
      <c r="C1715" s="191" t="s">
        <v>59</v>
      </c>
      <c r="D1715" s="191" t="s">
        <v>1484</v>
      </c>
      <c r="E1715" s="191" t="s">
        <v>120</v>
      </c>
      <c r="F1715" s="191"/>
      <c r="G1715" s="191" t="s">
        <v>61</v>
      </c>
      <c r="H1715" s="192">
        <v>3.15E-2</v>
      </c>
      <c r="I1715" s="244">
        <v>2</v>
      </c>
      <c r="J1715" s="244">
        <v>0.06</v>
      </c>
    </row>
    <row r="1716" spans="1:10" ht="28.5" x14ac:dyDescent="0.25">
      <c r="A1716" s="191" t="s">
        <v>62</v>
      </c>
      <c r="B1716" s="191" t="s">
        <v>1549</v>
      </c>
      <c r="C1716" s="191" t="s">
        <v>59</v>
      </c>
      <c r="D1716" s="191" t="s">
        <v>1550</v>
      </c>
      <c r="E1716" s="191" t="s">
        <v>120</v>
      </c>
      <c r="F1716" s="191"/>
      <c r="G1716" s="191" t="s">
        <v>61</v>
      </c>
      <c r="H1716" s="192">
        <v>5.8999999999999999E-3</v>
      </c>
      <c r="I1716" s="244">
        <v>63.09</v>
      </c>
      <c r="J1716" s="244">
        <v>0.37</v>
      </c>
    </row>
    <row r="1717" spans="1:10" x14ac:dyDescent="0.25">
      <c r="A1717" s="187"/>
      <c r="B1717" s="187"/>
      <c r="C1717" s="187"/>
      <c r="D1717" s="187"/>
      <c r="E1717" s="187" t="s">
        <v>756</v>
      </c>
      <c r="F1717" s="188">
        <v>3.75</v>
      </c>
      <c r="G1717" s="187" t="s">
        <v>757</v>
      </c>
      <c r="H1717" s="188">
        <v>0</v>
      </c>
      <c r="I1717" s="242" t="s">
        <v>758</v>
      </c>
      <c r="J1717" s="242">
        <v>3.75</v>
      </c>
    </row>
    <row r="1718" spans="1:10" x14ac:dyDescent="0.25">
      <c r="A1718" s="187"/>
      <c r="B1718" s="187"/>
      <c r="C1718" s="187"/>
      <c r="D1718" s="187"/>
      <c r="E1718" s="187" t="s">
        <v>759</v>
      </c>
      <c r="F1718" s="188">
        <v>0</v>
      </c>
      <c r="G1718" s="187"/>
      <c r="H1718" s="187" t="s">
        <v>760</v>
      </c>
      <c r="I1718" s="242"/>
      <c r="J1718" s="242">
        <v>7.01</v>
      </c>
    </row>
    <row r="1719" spans="1:10" x14ac:dyDescent="0.25">
      <c r="A1719" s="182"/>
      <c r="B1719" s="182"/>
      <c r="C1719" s="182"/>
      <c r="D1719" s="182"/>
      <c r="E1719" s="182"/>
      <c r="F1719" s="182"/>
      <c r="G1719" s="182" t="s">
        <v>761</v>
      </c>
      <c r="H1719" s="189" t="s">
        <v>1555</v>
      </c>
      <c r="I1719" s="239" t="s">
        <v>763</v>
      </c>
      <c r="J1719" s="239">
        <v>28.04</v>
      </c>
    </row>
    <row r="1720" spans="1:10" x14ac:dyDescent="0.25">
      <c r="A1720" s="183"/>
      <c r="B1720" s="183"/>
      <c r="C1720" s="183"/>
      <c r="D1720" s="183"/>
      <c r="E1720" s="183"/>
      <c r="F1720" s="183"/>
      <c r="G1720" s="183"/>
      <c r="H1720" s="183"/>
      <c r="I1720" s="240"/>
      <c r="J1720" s="240"/>
    </row>
    <row r="1721" spans="1:10" x14ac:dyDescent="0.25">
      <c r="A1721" s="182" t="s">
        <v>1780</v>
      </c>
      <c r="B1721" s="182" t="s">
        <v>66</v>
      </c>
      <c r="C1721" s="182" t="s">
        <v>64</v>
      </c>
      <c r="D1721" s="182" t="s">
        <v>67</v>
      </c>
      <c r="E1721" s="182" t="s">
        <v>65</v>
      </c>
      <c r="F1721" s="182"/>
      <c r="G1721" s="182" t="s">
        <v>744</v>
      </c>
      <c r="H1721" s="182" t="s">
        <v>69</v>
      </c>
      <c r="I1721" s="239" t="s">
        <v>745</v>
      </c>
      <c r="J1721" s="239" t="s">
        <v>0</v>
      </c>
    </row>
    <row r="1722" spans="1:10" ht="71.25" x14ac:dyDescent="0.25">
      <c r="A1722" s="183" t="s">
        <v>58</v>
      </c>
      <c r="B1722" s="183" t="s">
        <v>1727</v>
      </c>
      <c r="C1722" s="183" t="s">
        <v>59</v>
      </c>
      <c r="D1722" s="183" t="s">
        <v>1728</v>
      </c>
      <c r="E1722" s="183" t="s">
        <v>1681</v>
      </c>
      <c r="F1722" s="183"/>
      <c r="G1722" s="183" t="s">
        <v>61</v>
      </c>
      <c r="H1722" s="184">
        <v>1</v>
      </c>
      <c r="I1722" s="240">
        <v>10.039999999999999</v>
      </c>
      <c r="J1722" s="240">
        <v>10.039999999999999</v>
      </c>
    </row>
    <row r="1723" spans="1:10" ht="42.75" x14ac:dyDescent="0.25">
      <c r="A1723" s="185" t="s">
        <v>119</v>
      </c>
      <c r="B1723" s="185" t="s">
        <v>1481</v>
      </c>
      <c r="C1723" s="185" t="s">
        <v>59</v>
      </c>
      <c r="D1723" s="185" t="s">
        <v>1482</v>
      </c>
      <c r="E1723" s="185" t="s">
        <v>754</v>
      </c>
      <c r="F1723" s="185"/>
      <c r="G1723" s="185" t="s">
        <v>60</v>
      </c>
      <c r="H1723" s="186">
        <v>0.152</v>
      </c>
      <c r="I1723" s="241">
        <v>31.42</v>
      </c>
      <c r="J1723" s="241">
        <v>4.7699999999999996</v>
      </c>
    </row>
    <row r="1724" spans="1:10" ht="42.75" x14ac:dyDescent="0.25">
      <c r="A1724" s="185" t="s">
        <v>119</v>
      </c>
      <c r="B1724" s="185" t="s">
        <v>1479</v>
      </c>
      <c r="C1724" s="185" t="s">
        <v>59</v>
      </c>
      <c r="D1724" s="185" t="s">
        <v>1480</v>
      </c>
      <c r="E1724" s="185" t="s">
        <v>754</v>
      </c>
      <c r="F1724" s="185"/>
      <c r="G1724" s="185" t="s">
        <v>60</v>
      </c>
      <c r="H1724" s="186">
        <v>0.152</v>
      </c>
      <c r="I1724" s="241">
        <v>22.16</v>
      </c>
      <c r="J1724" s="241">
        <v>3.36</v>
      </c>
    </row>
    <row r="1725" spans="1:10" ht="28.5" x14ac:dyDescent="0.25">
      <c r="A1725" s="191" t="s">
        <v>62</v>
      </c>
      <c r="B1725" s="191" t="s">
        <v>1549</v>
      </c>
      <c r="C1725" s="191" t="s">
        <v>59</v>
      </c>
      <c r="D1725" s="191" t="s">
        <v>1550</v>
      </c>
      <c r="E1725" s="191" t="s">
        <v>120</v>
      </c>
      <c r="F1725" s="191"/>
      <c r="G1725" s="191" t="s">
        <v>61</v>
      </c>
      <c r="H1725" s="192">
        <v>7.1000000000000004E-3</v>
      </c>
      <c r="I1725" s="244">
        <v>63.09</v>
      </c>
      <c r="J1725" s="244">
        <v>0.44</v>
      </c>
    </row>
    <row r="1726" spans="1:10" ht="28.5" x14ac:dyDescent="0.25">
      <c r="A1726" s="191" t="s">
        <v>62</v>
      </c>
      <c r="B1726" s="191" t="s">
        <v>1483</v>
      </c>
      <c r="C1726" s="191" t="s">
        <v>59</v>
      </c>
      <c r="D1726" s="191" t="s">
        <v>1484</v>
      </c>
      <c r="E1726" s="191" t="s">
        <v>120</v>
      </c>
      <c r="F1726" s="191"/>
      <c r="G1726" s="191" t="s">
        <v>61</v>
      </c>
      <c r="H1726" s="192">
        <v>3.3799999999999997E-2</v>
      </c>
      <c r="I1726" s="244">
        <v>2</v>
      </c>
      <c r="J1726" s="244">
        <v>0.06</v>
      </c>
    </row>
    <row r="1727" spans="1:10" ht="42.75" x14ac:dyDescent="0.25">
      <c r="A1727" s="191" t="s">
        <v>62</v>
      </c>
      <c r="B1727" s="191" t="s">
        <v>1551</v>
      </c>
      <c r="C1727" s="191" t="s">
        <v>59</v>
      </c>
      <c r="D1727" s="191" t="s">
        <v>1552</v>
      </c>
      <c r="E1727" s="191" t="s">
        <v>120</v>
      </c>
      <c r="F1727" s="191"/>
      <c r="G1727" s="191" t="s">
        <v>61</v>
      </c>
      <c r="H1727" s="192">
        <v>8.0000000000000002E-3</v>
      </c>
      <c r="I1727" s="244">
        <v>71.48</v>
      </c>
      <c r="J1727" s="244">
        <v>0.56999999999999995</v>
      </c>
    </row>
    <row r="1728" spans="1:10" ht="42.75" x14ac:dyDescent="0.25">
      <c r="A1728" s="191" t="s">
        <v>62</v>
      </c>
      <c r="B1728" s="191" t="s">
        <v>1729</v>
      </c>
      <c r="C1728" s="191" t="s">
        <v>59</v>
      </c>
      <c r="D1728" s="191" t="s">
        <v>1730</v>
      </c>
      <c r="E1728" s="191" t="s">
        <v>120</v>
      </c>
      <c r="F1728" s="191"/>
      <c r="G1728" s="191" t="s">
        <v>61</v>
      </c>
      <c r="H1728" s="192">
        <v>1</v>
      </c>
      <c r="I1728" s="244">
        <v>0.84</v>
      </c>
      <c r="J1728" s="244">
        <v>0.84</v>
      </c>
    </row>
    <row r="1729" spans="1:10" x14ac:dyDescent="0.25">
      <c r="A1729" s="187"/>
      <c r="B1729" s="187"/>
      <c r="C1729" s="187"/>
      <c r="D1729" s="187"/>
      <c r="E1729" s="187" t="s">
        <v>756</v>
      </c>
      <c r="F1729" s="188">
        <v>6.05</v>
      </c>
      <c r="G1729" s="187" t="s">
        <v>757</v>
      </c>
      <c r="H1729" s="188">
        <v>0</v>
      </c>
      <c r="I1729" s="242" t="s">
        <v>758</v>
      </c>
      <c r="J1729" s="242">
        <v>6.05</v>
      </c>
    </row>
    <row r="1730" spans="1:10" x14ac:dyDescent="0.25">
      <c r="A1730" s="187"/>
      <c r="B1730" s="187"/>
      <c r="C1730" s="187"/>
      <c r="D1730" s="187"/>
      <c r="E1730" s="187" t="s">
        <v>759</v>
      </c>
      <c r="F1730" s="188">
        <v>0</v>
      </c>
      <c r="G1730" s="187"/>
      <c r="H1730" s="187" t="s">
        <v>760</v>
      </c>
      <c r="I1730" s="242"/>
      <c r="J1730" s="242">
        <v>10.039999999999999</v>
      </c>
    </row>
    <row r="1731" spans="1:10" x14ac:dyDescent="0.25">
      <c r="A1731" s="182"/>
      <c r="B1731" s="182"/>
      <c r="C1731" s="182"/>
      <c r="D1731" s="182"/>
      <c r="E1731" s="182"/>
      <c r="F1731" s="182"/>
      <c r="G1731" s="182" t="s">
        <v>761</v>
      </c>
      <c r="H1731" s="189" t="s">
        <v>1538</v>
      </c>
      <c r="I1731" s="239" t="s">
        <v>763</v>
      </c>
      <c r="J1731" s="239">
        <v>20.079999999999998</v>
      </c>
    </row>
    <row r="1732" spans="1:10" x14ac:dyDescent="0.25">
      <c r="A1732" s="183"/>
      <c r="B1732" s="183"/>
      <c r="C1732" s="183"/>
      <c r="D1732" s="183"/>
      <c r="E1732" s="183"/>
      <c r="F1732" s="183"/>
      <c r="G1732" s="183"/>
      <c r="H1732" s="183"/>
      <c r="I1732" s="240"/>
      <c r="J1732" s="240"/>
    </row>
    <row r="1733" spans="1:10" x14ac:dyDescent="0.25">
      <c r="A1733" s="182" t="s">
        <v>1781</v>
      </c>
      <c r="B1733" s="182" t="s">
        <v>66</v>
      </c>
      <c r="C1733" s="182" t="s">
        <v>64</v>
      </c>
      <c r="D1733" s="182" t="s">
        <v>67</v>
      </c>
      <c r="E1733" s="182" t="s">
        <v>65</v>
      </c>
      <c r="F1733" s="182"/>
      <c r="G1733" s="182" t="s">
        <v>744</v>
      </c>
      <c r="H1733" s="182" t="s">
        <v>69</v>
      </c>
      <c r="I1733" s="239" t="s">
        <v>745</v>
      </c>
      <c r="J1733" s="239" t="s">
        <v>0</v>
      </c>
    </row>
    <row r="1734" spans="1:10" ht="71.25" x14ac:dyDescent="0.25">
      <c r="A1734" s="183" t="s">
        <v>58</v>
      </c>
      <c r="B1734" s="183" t="s">
        <v>1732</v>
      </c>
      <c r="C1734" s="183" t="s">
        <v>59</v>
      </c>
      <c r="D1734" s="183" t="s">
        <v>1733</v>
      </c>
      <c r="E1734" s="183" t="s">
        <v>1681</v>
      </c>
      <c r="F1734" s="183"/>
      <c r="G1734" s="183" t="s">
        <v>61</v>
      </c>
      <c r="H1734" s="184">
        <v>1</v>
      </c>
      <c r="I1734" s="240">
        <v>20.78</v>
      </c>
      <c r="J1734" s="240">
        <v>20.78</v>
      </c>
    </row>
    <row r="1735" spans="1:10" ht="42.75" x14ac:dyDescent="0.25">
      <c r="A1735" s="185" t="s">
        <v>119</v>
      </c>
      <c r="B1735" s="185" t="s">
        <v>1481</v>
      </c>
      <c r="C1735" s="185" t="s">
        <v>59</v>
      </c>
      <c r="D1735" s="185" t="s">
        <v>1482</v>
      </c>
      <c r="E1735" s="185" t="s">
        <v>754</v>
      </c>
      <c r="F1735" s="185"/>
      <c r="G1735" s="185" t="s">
        <v>60</v>
      </c>
      <c r="H1735" s="186">
        <v>0.1013</v>
      </c>
      <c r="I1735" s="241">
        <v>31.42</v>
      </c>
      <c r="J1735" s="241">
        <v>3.18</v>
      </c>
    </row>
    <row r="1736" spans="1:10" ht="42.75" x14ac:dyDescent="0.25">
      <c r="A1736" s="185" t="s">
        <v>119</v>
      </c>
      <c r="B1736" s="185" t="s">
        <v>1479</v>
      </c>
      <c r="C1736" s="185" t="s">
        <v>59</v>
      </c>
      <c r="D1736" s="185" t="s">
        <v>1480</v>
      </c>
      <c r="E1736" s="185" t="s">
        <v>754</v>
      </c>
      <c r="F1736" s="185"/>
      <c r="G1736" s="185" t="s">
        <v>60</v>
      </c>
      <c r="H1736" s="186">
        <v>0.1013</v>
      </c>
      <c r="I1736" s="241">
        <v>22.16</v>
      </c>
      <c r="J1736" s="241">
        <v>2.2400000000000002</v>
      </c>
    </row>
    <row r="1737" spans="1:10" ht="42.75" x14ac:dyDescent="0.25">
      <c r="A1737" s="191" t="s">
        <v>62</v>
      </c>
      <c r="B1737" s="191" t="s">
        <v>1551</v>
      </c>
      <c r="C1737" s="191" t="s">
        <v>59</v>
      </c>
      <c r="D1737" s="191" t="s">
        <v>1552</v>
      </c>
      <c r="E1737" s="191" t="s">
        <v>120</v>
      </c>
      <c r="F1737" s="191"/>
      <c r="G1737" s="191" t="s">
        <v>61</v>
      </c>
      <c r="H1737" s="192">
        <v>8.0000000000000002E-3</v>
      </c>
      <c r="I1737" s="244">
        <v>71.48</v>
      </c>
      <c r="J1737" s="244">
        <v>0.56999999999999995</v>
      </c>
    </row>
    <row r="1738" spans="1:10" ht="28.5" x14ac:dyDescent="0.25">
      <c r="A1738" s="191" t="s">
        <v>62</v>
      </c>
      <c r="B1738" s="191" t="s">
        <v>1483</v>
      </c>
      <c r="C1738" s="191" t="s">
        <v>59</v>
      </c>
      <c r="D1738" s="191" t="s">
        <v>1484</v>
      </c>
      <c r="E1738" s="191" t="s">
        <v>120</v>
      </c>
      <c r="F1738" s="191"/>
      <c r="G1738" s="191" t="s">
        <v>61</v>
      </c>
      <c r="H1738" s="192">
        <v>3.3799999999999997E-2</v>
      </c>
      <c r="I1738" s="244">
        <v>2</v>
      </c>
      <c r="J1738" s="244">
        <v>0.06</v>
      </c>
    </row>
    <row r="1739" spans="1:10" ht="42.75" x14ac:dyDescent="0.25">
      <c r="A1739" s="191" t="s">
        <v>62</v>
      </c>
      <c r="B1739" s="191" t="s">
        <v>1734</v>
      </c>
      <c r="C1739" s="191" t="s">
        <v>59</v>
      </c>
      <c r="D1739" s="191" t="s">
        <v>1735</v>
      </c>
      <c r="E1739" s="191" t="s">
        <v>120</v>
      </c>
      <c r="F1739" s="191"/>
      <c r="G1739" s="191" t="s">
        <v>61</v>
      </c>
      <c r="H1739" s="192">
        <v>1</v>
      </c>
      <c r="I1739" s="244">
        <v>14.29</v>
      </c>
      <c r="J1739" s="244">
        <v>14.29</v>
      </c>
    </row>
    <row r="1740" spans="1:10" ht="28.5" x14ac:dyDescent="0.25">
      <c r="A1740" s="191" t="s">
        <v>62</v>
      </c>
      <c r="B1740" s="191" t="s">
        <v>1549</v>
      </c>
      <c r="C1740" s="191" t="s">
        <v>59</v>
      </c>
      <c r="D1740" s="191" t="s">
        <v>1550</v>
      </c>
      <c r="E1740" s="191" t="s">
        <v>120</v>
      </c>
      <c r="F1740" s="191"/>
      <c r="G1740" s="191" t="s">
        <v>61</v>
      </c>
      <c r="H1740" s="192">
        <v>7.1000000000000004E-3</v>
      </c>
      <c r="I1740" s="244">
        <v>63.09</v>
      </c>
      <c r="J1740" s="244">
        <v>0.44</v>
      </c>
    </row>
    <row r="1741" spans="1:10" x14ac:dyDescent="0.25">
      <c r="A1741" s="187"/>
      <c r="B1741" s="187"/>
      <c r="C1741" s="187"/>
      <c r="D1741" s="187"/>
      <c r="E1741" s="187" t="s">
        <v>756</v>
      </c>
      <c r="F1741" s="188">
        <v>4.0199999999999996</v>
      </c>
      <c r="G1741" s="187" t="s">
        <v>757</v>
      </c>
      <c r="H1741" s="188">
        <v>0</v>
      </c>
      <c r="I1741" s="242" t="s">
        <v>758</v>
      </c>
      <c r="J1741" s="242">
        <v>4.0199999999999996</v>
      </c>
    </row>
    <row r="1742" spans="1:10" x14ac:dyDescent="0.25">
      <c r="A1742" s="187"/>
      <c r="B1742" s="187"/>
      <c r="C1742" s="187"/>
      <c r="D1742" s="187"/>
      <c r="E1742" s="187" t="s">
        <v>759</v>
      </c>
      <c r="F1742" s="188">
        <v>0</v>
      </c>
      <c r="G1742" s="187"/>
      <c r="H1742" s="187" t="s">
        <v>760</v>
      </c>
      <c r="I1742" s="242"/>
      <c r="J1742" s="242">
        <v>20.78</v>
      </c>
    </row>
    <row r="1743" spans="1:10" x14ac:dyDescent="0.25">
      <c r="A1743" s="182"/>
      <c r="B1743" s="182"/>
      <c r="C1743" s="182"/>
      <c r="D1743" s="182"/>
      <c r="E1743" s="182"/>
      <c r="F1743" s="182"/>
      <c r="G1743" s="182" t="s">
        <v>761</v>
      </c>
      <c r="H1743" s="189" t="s">
        <v>1538</v>
      </c>
      <c r="I1743" s="239" t="s">
        <v>763</v>
      </c>
      <c r="J1743" s="239">
        <v>41.56</v>
      </c>
    </row>
    <row r="1744" spans="1:10" x14ac:dyDescent="0.25">
      <c r="A1744" s="183"/>
      <c r="B1744" s="183"/>
      <c r="C1744" s="183"/>
      <c r="D1744" s="183"/>
      <c r="E1744" s="183"/>
      <c r="F1744" s="183"/>
      <c r="G1744" s="183"/>
      <c r="H1744" s="183"/>
      <c r="I1744" s="240"/>
      <c r="J1744" s="240"/>
    </row>
    <row r="1745" spans="1:10" x14ac:dyDescent="0.25">
      <c r="A1745" s="182" t="s">
        <v>1782</v>
      </c>
      <c r="B1745" s="182" t="s">
        <v>66</v>
      </c>
      <c r="C1745" s="182" t="s">
        <v>64</v>
      </c>
      <c r="D1745" s="182" t="s">
        <v>67</v>
      </c>
      <c r="E1745" s="182" t="s">
        <v>65</v>
      </c>
      <c r="F1745" s="182"/>
      <c r="G1745" s="182" t="s">
        <v>744</v>
      </c>
      <c r="H1745" s="182" t="s">
        <v>69</v>
      </c>
      <c r="I1745" s="239" t="s">
        <v>745</v>
      </c>
      <c r="J1745" s="239" t="s">
        <v>0</v>
      </c>
    </row>
    <row r="1746" spans="1:10" ht="71.25" x14ac:dyDescent="0.25">
      <c r="A1746" s="183" t="s">
        <v>58</v>
      </c>
      <c r="B1746" s="183" t="s">
        <v>1685</v>
      </c>
      <c r="C1746" s="183" t="s">
        <v>59</v>
      </c>
      <c r="D1746" s="183" t="s">
        <v>1686</v>
      </c>
      <c r="E1746" s="183" t="s">
        <v>1681</v>
      </c>
      <c r="F1746" s="183"/>
      <c r="G1746" s="183" t="s">
        <v>116</v>
      </c>
      <c r="H1746" s="184">
        <v>1</v>
      </c>
      <c r="I1746" s="240">
        <v>25.56</v>
      </c>
      <c r="J1746" s="240">
        <v>25.56</v>
      </c>
    </row>
    <row r="1747" spans="1:10" ht="42.75" x14ac:dyDescent="0.25">
      <c r="A1747" s="185" t="s">
        <v>119</v>
      </c>
      <c r="B1747" s="185" t="s">
        <v>1481</v>
      </c>
      <c r="C1747" s="185" t="s">
        <v>59</v>
      </c>
      <c r="D1747" s="185" t="s">
        <v>1482</v>
      </c>
      <c r="E1747" s="185" t="s">
        <v>754</v>
      </c>
      <c r="F1747" s="185"/>
      <c r="G1747" s="185" t="s">
        <v>60</v>
      </c>
      <c r="H1747" s="186">
        <v>0.38</v>
      </c>
      <c r="I1747" s="241">
        <v>31.42</v>
      </c>
      <c r="J1747" s="241">
        <v>11.93</v>
      </c>
    </row>
    <row r="1748" spans="1:10" ht="42.75" x14ac:dyDescent="0.25">
      <c r="A1748" s="185" t="s">
        <v>119</v>
      </c>
      <c r="B1748" s="185" t="s">
        <v>1479</v>
      </c>
      <c r="C1748" s="185" t="s">
        <v>59</v>
      </c>
      <c r="D1748" s="185" t="s">
        <v>1480</v>
      </c>
      <c r="E1748" s="185" t="s">
        <v>754</v>
      </c>
      <c r="F1748" s="185"/>
      <c r="G1748" s="185" t="s">
        <v>60</v>
      </c>
      <c r="H1748" s="186">
        <v>0.38</v>
      </c>
      <c r="I1748" s="241">
        <v>22.16</v>
      </c>
      <c r="J1748" s="241">
        <v>8.42</v>
      </c>
    </row>
    <row r="1749" spans="1:10" ht="28.5" x14ac:dyDescent="0.25">
      <c r="A1749" s="191" t="s">
        <v>62</v>
      </c>
      <c r="B1749" s="191" t="s">
        <v>1687</v>
      </c>
      <c r="C1749" s="191" t="s">
        <v>59</v>
      </c>
      <c r="D1749" s="191" t="s">
        <v>1688</v>
      </c>
      <c r="E1749" s="191" t="s">
        <v>120</v>
      </c>
      <c r="F1749" s="191"/>
      <c r="G1749" s="191" t="s">
        <v>116</v>
      </c>
      <c r="H1749" s="192">
        <v>1.0492999999999999</v>
      </c>
      <c r="I1749" s="244">
        <v>4.8099999999999996</v>
      </c>
      <c r="J1749" s="244">
        <v>5.04</v>
      </c>
    </row>
    <row r="1750" spans="1:10" ht="28.5" x14ac:dyDescent="0.25">
      <c r="A1750" s="191" t="s">
        <v>62</v>
      </c>
      <c r="B1750" s="191" t="s">
        <v>1483</v>
      </c>
      <c r="C1750" s="191" t="s">
        <v>59</v>
      </c>
      <c r="D1750" s="191" t="s">
        <v>1484</v>
      </c>
      <c r="E1750" s="191" t="s">
        <v>120</v>
      </c>
      <c r="F1750" s="191"/>
      <c r="G1750" s="191" t="s">
        <v>61</v>
      </c>
      <c r="H1750" s="192">
        <v>8.8599999999999998E-2</v>
      </c>
      <c r="I1750" s="244">
        <v>2</v>
      </c>
      <c r="J1750" s="244">
        <v>0.17</v>
      </c>
    </row>
    <row r="1751" spans="1:10" x14ac:dyDescent="0.25">
      <c r="A1751" s="187"/>
      <c r="B1751" s="187"/>
      <c r="C1751" s="187"/>
      <c r="D1751" s="187"/>
      <c r="E1751" s="187" t="s">
        <v>756</v>
      </c>
      <c r="F1751" s="188">
        <v>15.14</v>
      </c>
      <c r="G1751" s="187" t="s">
        <v>757</v>
      </c>
      <c r="H1751" s="188">
        <v>0</v>
      </c>
      <c r="I1751" s="242" t="s">
        <v>758</v>
      </c>
      <c r="J1751" s="242">
        <v>15.14</v>
      </c>
    </row>
    <row r="1752" spans="1:10" x14ac:dyDescent="0.25">
      <c r="A1752" s="187"/>
      <c r="B1752" s="187"/>
      <c r="C1752" s="187"/>
      <c r="D1752" s="187"/>
      <c r="E1752" s="187" t="s">
        <v>759</v>
      </c>
      <c r="F1752" s="188">
        <v>0</v>
      </c>
      <c r="G1752" s="187"/>
      <c r="H1752" s="187" t="s">
        <v>760</v>
      </c>
      <c r="I1752" s="242"/>
      <c r="J1752" s="242">
        <v>25.56</v>
      </c>
    </row>
    <row r="1753" spans="1:10" x14ac:dyDescent="0.25">
      <c r="A1753" s="182"/>
      <c r="B1753" s="182"/>
      <c r="C1753" s="182"/>
      <c r="D1753" s="182"/>
      <c r="E1753" s="182"/>
      <c r="F1753" s="182"/>
      <c r="G1753" s="182" t="s">
        <v>761</v>
      </c>
      <c r="H1753" s="189" t="s">
        <v>1783</v>
      </c>
      <c r="I1753" s="239" t="s">
        <v>763</v>
      </c>
      <c r="J1753" s="239">
        <v>116.29</v>
      </c>
    </row>
    <row r="1754" spans="1:10" x14ac:dyDescent="0.25">
      <c r="A1754" s="183"/>
      <c r="B1754" s="183"/>
      <c r="C1754" s="183"/>
      <c r="D1754" s="183"/>
      <c r="E1754" s="183"/>
      <c r="F1754" s="183"/>
      <c r="G1754" s="183"/>
      <c r="H1754" s="183"/>
      <c r="I1754" s="240"/>
      <c r="J1754" s="240"/>
    </row>
    <row r="1755" spans="1:10" x14ac:dyDescent="0.25">
      <c r="A1755" s="182" t="s">
        <v>1784</v>
      </c>
      <c r="B1755" s="182" t="s">
        <v>66</v>
      </c>
      <c r="C1755" s="182" t="s">
        <v>64</v>
      </c>
      <c r="D1755" s="182" t="s">
        <v>67</v>
      </c>
      <c r="E1755" s="182" t="s">
        <v>65</v>
      </c>
      <c r="F1755" s="182"/>
      <c r="G1755" s="182" t="s">
        <v>744</v>
      </c>
      <c r="H1755" s="182" t="s">
        <v>69</v>
      </c>
      <c r="I1755" s="239" t="s">
        <v>745</v>
      </c>
      <c r="J1755" s="239" t="s">
        <v>0</v>
      </c>
    </row>
    <row r="1756" spans="1:10" ht="28.5" x14ac:dyDescent="0.25">
      <c r="A1756" s="183" t="s">
        <v>58</v>
      </c>
      <c r="B1756" s="183" t="s">
        <v>1772</v>
      </c>
      <c r="C1756" s="183" t="s">
        <v>785</v>
      </c>
      <c r="D1756" s="183" t="s">
        <v>1773</v>
      </c>
      <c r="E1756" s="183">
        <v>813</v>
      </c>
      <c r="F1756" s="183"/>
      <c r="G1756" s="183" t="s">
        <v>1498</v>
      </c>
      <c r="H1756" s="184">
        <v>1</v>
      </c>
      <c r="I1756" s="240">
        <v>12.62</v>
      </c>
      <c r="J1756" s="240">
        <v>12.62</v>
      </c>
    </row>
    <row r="1757" spans="1:10" ht="28.5" x14ac:dyDescent="0.25">
      <c r="A1757" s="191" t="s">
        <v>62</v>
      </c>
      <c r="B1757" s="191" t="s">
        <v>1515</v>
      </c>
      <c r="C1757" s="191" t="s">
        <v>785</v>
      </c>
      <c r="D1757" s="191" t="s">
        <v>181</v>
      </c>
      <c r="E1757" s="191" t="s">
        <v>124</v>
      </c>
      <c r="F1757" s="191"/>
      <c r="G1757" s="191" t="s">
        <v>60</v>
      </c>
      <c r="H1757" s="192">
        <v>0.114</v>
      </c>
      <c r="I1757" s="244">
        <v>22.05</v>
      </c>
      <c r="J1757" s="244">
        <v>2.5099999999999998</v>
      </c>
    </row>
    <row r="1758" spans="1:10" ht="28.5" x14ac:dyDescent="0.25">
      <c r="A1758" s="191" t="s">
        <v>62</v>
      </c>
      <c r="B1758" s="191" t="s">
        <v>1569</v>
      </c>
      <c r="C1758" s="191" t="s">
        <v>785</v>
      </c>
      <c r="D1758" s="191" t="s">
        <v>1570</v>
      </c>
      <c r="E1758" s="191" t="s">
        <v>124</v>
      </c>
      <c r="F1758" s="191"/>
      <c r="G1758" s="191" t="s">
        <v>60</v>
      </c>
      <c r="H1758" s="192">
        <v>0.114</v>
      </c>
      <c r="I1758" s="244">
        <v>29.79</v>
      </c>
      <c r="J1758" s="244">
        <v>3.39</v>
      </c>
    </row>
    <row r="1759" spans="1:10" ht="28.5" x14ac:dyDescent="0.25">
      <c r="A1759" s="191" t="s">
        <v>62</v>
      </c>
      <c r="B1759" s="191" t="s">
        <v>1567</v>
      </c>
      <c r="C1759" s="191" t="s">
        <v>785</v>
      </c>
      <c r="D1759" s="191" t="s">
        <v>1568</v>
      </c>
      <c r="E1759" s="191" t="s">
        <v>120</v>
      </c>
      <c r="F1759" s="191"/>
      <c r="G1759" s="191" t="s">
        <v>113</v>
      </c>
      <c r="H1759" s="192">
        <v>0.39</v>
      </c>
      <c r="I1759" s="244">
        <v>0.35</v>
      </c>
      <c r="J1759" s="244">
        <v>0.13</v>
      </c>
    </row>
    <row r="1760" spans="1:10" ht="42.75" x14ac:dyDescent="0.25">
      <c r="A1760" s="191" t="s">
        <v>62</v>
      </c>
      <c r="B1760" s="191" t="s">
        <v>1774</v>
      </c>
      <c r="C1760" s="191" t="s">
        <v>785</v>
      </c>
      <c r="D1760" s="191" t="s">
        <v>1775</v>
      </c>
      <c r="E1760" s="191" t="s">
        <v>120</v>
      </c>
      <c r="F1760" s="191"/>
      <c r="G1760" s="191" t="s">
        <v>129</v>
      </c>
      <c r="H1760" s="192">
        <v>1</v>
      </c>
      <c r="I1760" s="244">
        <v>6.59</v>
      </c>
      <c r="J1760" s="244">
        <v>6.59</v>
      </c>
    </row>
    <row r="1761" spans="1:10" x14ac:dyDescent="0.25">
      <c r="A1761" s="187"/>
      <c r="B1761" s="187"/>
      <c r="C1761" s="187"/>
      <c r="D1761" s="187"/>
      <c r="E1761" s="187" t="s">
        <v>756</v>
      </c>
      <c r="F1761" s="188">
        <v>5.9</v>
      </c>
      <c r="G1761" s="187" t="s">
        <v>757</v>
      </c>
      <c r="H1761" s="188">
        <v>0</v>
      </c>
      <c r="I1761" s="242" t="s">
        <v>758</v>
      </c>
      <c r="J1761" s="242">
        <v>5.9</v>
      </c>
    </row>
    <row r="1762" spans="1:10" x14ac:dyDescent="0.25">
      <c r="A1762" s="187"/>
      <c r="B1762" s="187"/>
      <c r="C1762" s="187"/>
      <c r="D1762" s="187"/>
      <c r="E1762" s="187" t="s">
        <v>759</v>
      </c>
      <c r="F1762" s="188">
        <v>0</v>
      </c>
      <c r="G1762" s="187"/>
      <c r="H1762" s="187" t="s">
        <v>760</v>
      </c>
      <c r="I1762" s="242"/>
      <c r="J1762" s="242">
        <v>12.62</v>
      </c>
    </row>
    <row r="1763" spans="1:10" x14ac:dyDescent="0.25">
      <c r="A1763" s="182"/>
      <c r="B1763" s="182"/>
      <c r="C1763" s="182"/>
      <c r="D1763" s="182"/>
      <c r="E1763" s="182"/>
      <c r="F1763" s="182"/>
      <c r="G1763" s="182" t="s">
        <v>761</v>
      </c>
      <c r="H1763" s="189" t="s">
        <v>762</v>
      </c>
      <c r="I1763" s="239" t="s">
        <v>763</v>
      </c>
      <c r="J1763" s="239">
        <v>12.62</v>
      </c>
    </row>
    <row r="1764" spans="1:10" x14ac:dyDescent="0.25">
      <c r="A1764" s="183"/>
      <c r="B1764" s="183"/>
      <c r="C1764" s="183"/>
      <c r="D1764" s="183"/>
      <c r="E1764" s="183"/>
      <c r="F1764" s="183"/>
      <c r="G1764" s="183"/>
      <c r="H1764" s="183"/>
      <c r="I1764" s="240"/>
      <c r="J1764" s="240"/>
    </row>
    <row r="1765" spans="1:10" x14ac:dyDescent="0.25">
      <c r="A1765" s="190" t="s">
        <v>1785</v>
      </c>
      <c r="B1765" s="190"/>
      <c r="C1765" s="190"/>
      <c r="D1765" s="190" t="s">
        <v>565</v>
      </c>
      <c r="E1765" s="190"/>
      <c r="F1765" s="190"/>
      <c r="G1765" s="190"/>
      <c r="H1765" s="190"/>
      <c r="I1765" s="243"/>
      <c r="J1765" s="243">
        <v>2384.61</v>
      </c>
    </row>
    <row r="1766" spans="1:10" x14ac:dyDescent="0.25">
      <c r="A1766" s="182" t="s">
        <v>1786</v>
      </c>
      <c r="B1766" s="182" t="s">
        <v>66</v>
      </c>
      <c r="C1766" s="182" t="s">
        <v>64</v>
      </c>
      <c r="D1766" s="182" t="s">
        <v>67</v>
      </c>
      <c r="E1766" s="182" t="s">
        <v>65</v>
      </c>
      <c r="F1766" s="182"/>
      <c r="G1766" s="182" t="s">
        <v>744</v>
      </c>
      <c r="H1766" s="182" t="s">
        <v>69</v>
      </c>
      <c r="I1766" s="239" t="s">
        <v>745</v>
      </c>
      <c r="J1766" s="239" t="s">
        <v>0</v>
      </c>
    </row>
    <row r="1767" spans="1:10" ht="28.5" x14ac:dyDescent="0.25">
      <c r="A1767" s="183" t="s">
        <v>58</v>
      </c>
      <c r="B1767" s="183" t="s">
        <v>1787</v>
      </c>
      <c r="C1767" s="183" t="s">
        <v>785</v>
      </c>
      <c r="D1767" s="183" t="s">
        <v>1788</v>
      </c>
      <c r="E1767" s="183">
        <v>809</v>
      </c>
      <c r="F1767" s="183"/>
      <c r="G1767" s="183" t="s">
        <v>1498</v>
      </c>
      <c r="H1767" s="184">
        <v>1</v>
      </c>
      <c r="I1767" s="240">
        <v>179.86</v>
      </c>
      <c r="J1767" s="240">
        <v>179.86</v>
      </c>
    </row>
    <row r="1768" spans="1:10" ht="28.5" x14ac:dyDescent="0.25">
      <c r="A1768" s="191" t="s">
        <v>62</v>
      </c>
      <c r="B1768" s="191" t="s">
        <v>1569</v>
      </c>
      <c r="C1768" s="191" t="s">
        <v>785</v>
      </c>
      <c r="D1768" s="191" t="s">
        <v>1570</v>
      </c>
      <c r="E1768" s="191" t="s">
        <v>124</v>
      </c>
      <c r="F1768" s="191"/>
      <c r="G1768" s="191" t="s">
        <v>60</v>
      </c>
      <c r="H1768" s="192">
        <v>0.61</v>
      </c>
      <c r="I1768" s="244">
        <v>29.79</v>
      </c>
      <c r="J1768" s="244">
        <v>18.170000000000002</v>
      </c>
    </row>
    <row r="1769" spans="1:10" ht="28.5" x14ac:dyDescent="0.25">
      <c r="A1769" s="191" t="s">
        <v>62</v>
      </c>
      <c r="B1769" s="191" t="s">
        <v>1789</v>
      </c>
      <c r="C1769" s="191" t="s">
        <v>785</v>
      </c>
      <c r="D1769" s="191" t="s">
        <v>1790</v>
      </c>
      <c r="E1769" s="191" t="s">
        <v>120</v>
      </c>
      <c r="F1769" s="191"/>
      <c r="G1769" s="191" t="s">
        <v>129</v>
      </c>
      <c r="H1769" s="192">
        <v>1</v>
      </c>
      <c r="I1769" s="244">
        <v>147.82</v>
      </c>
      <c r="J1769" s="244">
        <v>147.82</v>
      </c>
    </row>
    <row r="1770" spans="1:10" ht="28.5" x14ac:dyDescent="0.25">
      <c r="A1770" s="191" t="s">
        <v>62</v>
      </c>
      <c r="B1770" s="191" t="s">
        <v>1515</v>
      </c>
      <c r="C1770" s="191" t="s">
        <v>785</v>
      </c>
      <c r="D1770" s="191" t="s">
        <v>181</v>
      </c>
      <c r="E1770" s="191" t="s">
        <v>124</v>
      </c>
      <c r="F1770" s="191"/>
      <c r="G1770" s="191" t="s">
        <v>60</v>
      </c>
      <c r="H1770" s="192">
        <v>0.61</v>
      </c>
      <c r="I1770" s="244">
        <v>22.05</v>
      </c>
      <c r="J1770" s="244">
        <v>13.45</v>
      </c>
    </row>
    <row r="1771" spans="1:10" ht="28.5" x14ac:dyDescent="0.25">
      <c r="A1771" s="191" t="s">
        <v>62</v>
      </c>
      <c r="B1771" s="191" t="s">
        <v>1567</v>
      </c>
      <c r="C1771" s="191" t="s">
        <v>785</v>
      </c>
      <c r="D1771" s="191" t="s">
        <v>1568</v>
      </c>
      <c r="E1771" s="191" t="s">
        <v>120</v>
      </c>
      <c r="F1771" s="191"/>
      <c r="G1771" s="191" t="s">
        <v>113</v>
      </c>
      <c r="H1771" s="192">
        <v>1.2</v>
      </c>
      <c r="I1771" s="244">
        <v>0.35</v>
      </c>
      <c r="J1771" s="244">
        <v>0.42</v>
      </c>
    </row>
    <row r="1772" spans="1:10" x14ac:dyDescent="0.25">
      <c r="A1772" s="187"/>
      <c r="B1772" s="187"/>
      <c r="C1772" s="187"/>
      <c r="D1772" s="187"/>
      <c r="E1772" s="187" t="s">
        <v>756</v>
      </c>
      <c r="F1772" s="188">
        <v>31.62</v>
      </c>
      <c r="G1772" s="187" t="s">
        <v>757</v>
      </c>
      <c r="H1772" s="188">
        <v>0</v>
      </c>
      <c r="I1772" s="242" t="s">
        <v>758</v>
      </c>
      <c r="J1772" s="242">
        <v>31.62</v>
      </c>
    </row>
    <row r="1773" spans="1:10" x14ac:dyDescent="0.25">
      <c r="A1773" s="187"/>
      <c r="B1773" s="187"/>
      <c r="C1773" s="187"/>
      <c r="D1773" s="187"/>
      <c r="E1773" s="187" t="s">
        <v>759</v>
      </c>
      <c r="F1773" s="188">
        <v>0</v>
      </c>
      <c r="G1773" s="187"/>
      <c r="H1773" s="187" t="s">
        <v>760</v>
      </c>
      <c r="I1773" s="242"/>
      <c r="J1773" s="242">
        <v>179.86</v>
      </c>
    </row>
    <row r="1774" spans="1:10" x14ac:dyDescent="0.25">
      <c r="A1774" s="182"/>
      <c r="B1774" s="182"/>
      <c r="C1774" s="182"/>
      <c r="D1774" s="182"/>
      <c r="E1774" s="182"/>
      <c r="F1774" s="182"/>
      <c r="G1774" s="182" t="s">
        <v>761</v>
      </c>
      <c r="H1774" s="189" t="s">
        <v>762</v>
      </c>
      <c r="I1774" s="239" t="s">
        <v>763</v>
      </c>
      <c r="J1774" s="239">
        <v>179.86</v>
      </c>
    </row>
    <row r="1775" spans="1:10" x14ac:dyDescent="0.25">
      <c r="A1775" s="183"/>
      <c r="B1775" s="183"/>
      <c r="C1775" s="183"/>
      <c r="D1775" s="183"/>
      <c r="E1775" s="183"/>
      <c r="F1775" s="183"/>
      <c r="G1775" s="183"/>
      <c r="H1775" s="183"/>
      <c r="I1775" s="240"/>
      <c r="J1775" s="240"/>
    </row>
    <row r="1776" spans="1:10" x14ac:dyDescent="0.25">
      <c r="A1776" s="182" t="s">
        <v>1791</v>
      </c>
      <c r="B1776" s="182" t="s">
        <v>66</v>
      </c>
      <c r="C1776" s="182" t="s">
        <v>64</v>
      </c>
      <c r="D1776" s="182" t="s">
        <v>67</v>
      </c>
      <c r="E1776" s="182" t="s">
        <v>65</v>
      </c>
      <c r="F1776" s="182"/>
      <c r="G1776" s="182" t="s">
        <v>744</v>
      </c>
      <c r="H1776" s="182" t="s">
        <v>69</v>
      </c>
      <c r="I1776" s="239" t="s">
        <v>745</v>
      </c>
      <c r="J1776" s="239" t="s">
        <v>0</v>
      </c>
    </row>
    <row r="1777" spans="1:10" ht="28.5" x14ac:dyDescent="0.25">
      <c r="A1777" s="183" t="s">
        <v>58</v>
      </c>
      <c r="B1777" s="183" t="s">
        <v>1792</v>
      </c>
      <c r="C1777" s="183" t="s">
        <v>785</v>
      </c>
      <c r="D1777" s="183" t="s">
        <v>1793</v>
      </c>
      <c r="E1777" s="183">
        <v>809</v>
      </c>
      <c r="F1777" s="183"/>
      <c r="G1777" s="183" t="s">
        <v>1498</v>
      </c>
      <c r="H1777" s="184">
        <v>1</v>
      </c>
      <c r="I1777" s="240">
        <v>209.44</v>
      </c>
      <c r="J1777" s="240">
        <v>209.44</v>
      </c>
    </row>
    <row r="1778" spans="1:10" ht="28.5" x14ac:dyDescent="0.25">
      <c r="A1778" s="191" t="s">
        <v>62</v>
      </c>
      <c r="B1778" s="191" t="s">
        <v>1794</v>
      </c>
      <c r="C1778" s="191" t="s">
        <v>785</v>
      </c>
      <c r="D1778" s="191" t="s">
        <v>1795</v>
      </c>
      <c r="E1778" s="191" t="s">
        <v>120</v>
      </c>
      <c r="F1778" s="191"/>
      <c r="G1778" s="191" t="s">
        <v>129</v>
      </c>
      <c r="H1778" s="192">
        <v>1</v>
      </c>
      <c r="I1778" s="244">
        <v>159.68</v>
      </c>
      <c r="J1778" s="244">
        <v>159.68</v>
      </c>
    </row>
    <row r="1779" spans="1:10" ht="28.5" x14ac:dyDescent="0.25">
      <c r="A1779" s="191" t="s">
        <v>62</v>
      </c>
      <c r="B1779" s="191" t="s">
        <v>1569</v>
      </c>
      <c r="C1779" s="191" t="s">
        <v>785</v>
      </c>
      <c r="D1779" s="191" t="s">
        <v>1570</v>
      </c>
      <c r="E1779" s="191" t="s">
        <v>124</v>
      </c>
      <c r="F1779" s="191"/>
      <c r="G1779" s="191" t="s">
        <v>60</v>
      </c>
      <c r="H1779" s="192">
        <v>0.95</v>
      </c>
      <c r="I1779" s="244">
        <v>29.79</v>
      </c>
      <c r="J1779" s="244">
        <v>28.3</v>
      </c>
    </row>
    <row r="1780" spans="1:10" ht="28.5" x14ac:dyDescent="0.25">
      <c r="A1780" s="191" t="s">
        <v>62</v>
      </c>
      <c r="B1780" s="191" t="s">
        <v>1567</v>
      </c>
      <c r="C1780" s="191" t="s">
        <v>785</v>
      </c>
      <c r="D1780" s="191" t="s">
        <v>1568</v>
      </c>
      <c r="E1780" s="191" t="s">
        <v>120</v>
      </c>
      <c r="F1780" s="191"/>
      <c r="G1780" s="191" t="s">
        <v>113</v>
      </c>
      <c r="H1780" s="192">
        <v>1.5</v>
      </c>
      <c r="I1780" s="244">
        <v>0.35</v>
      </c>
      <c r="J1780" s="244">
        <v>0.52</v>
      </c>
    </row>
    <row r="1781" spans="1:10" ht="28.5" x14ac:dyDescent="0.25">
      <c r="A1781" s="191" t="s">
        <v>62</v>
      </c>
      <c r="B1781" s="191" t="s">
        <v>1515</v>
      </c>
      <c r="C1781" s="191" t="s">
        <v>785</v>
      </c>
      <c r="D1781" s="191" t="s">
        <v>181</v>
      </c>
      <c r="E1781" s="191" t="s">
        <v>124</v>
      </c>
      <c r="F1781" s="191"/>
      <c r="G1781" s="191" t="s">
        <v>60</v>
      </c>
      <c r="H1781" s="192">
        <v>0.95</v>
      </c>
      <c r="I1781" s="244">
        <v>22.05</v>
      </c>
      <c r="J1781" s="244">
        <v>20.94</v>
      </c>
    </row>
    <row r="1782" spans="1:10" x14ac:dyDescent="0.25">
      <c r="A1782" s="187"/>
      <c r="B1782" s="187"/>
      <c r="C1782" s="187"/>
      <c r="D1782" s="187"/>
      <c r="E1782" s="187" t="s">
        <v>756</v>
      </c>
      <c r="F1782" s="188">
        <v>49.24</v>
      </c>
      <c r="G1782" s="187" t="s">
        <v>757</v>
      </c>
      <c r="H1782" s="188">
        <v>0</v>
      </c>
      <c r="I1782" s="242" t="s">
        <v>758</v>
      </c>
      <c r="J1782" s="242">
        <v>49.24</v>
      </c>
    </row>
    <row r="1783" spans="1:10" x14ac:dyDescent="0.25">
      <c r="A1783" s="187"/>
      <c r="B1783" s="187"/>
      <c r="C1783" s="187"/>
      <c r="D1783" s="187"/>
      <c r="E1783" s="187" t="s">
        <v>759</v>
      </c>
      <c r="F1783" s="188">
        <v>0</v>
      </c>
      <c r="G1783" s="187"/>
      <c r="H1783" s="187" t="s">
        <v>760</v>
      </c>
      <c r="I1783" s="242"/>
      <c r="J1783" s="242">
        <v>209.44</v>
      </c>
    </row>
    <row r="1784" spans="1:10" x14ac:dyDescent="0.25">
      <c r="A1784" s="182"/>
      <c r="B1784" s="182"/>
      <c r="C1784" s="182"/>
      <c r="D1784" s="182"/>
      <c r="E1784" s="182"/>
      <c r="F1784" s="182"/>
      <c r="G1784" s="182" t="s">
        <v>761</v>
      </c>
      <c r="H1784" s="189" t="s">
        <v>1538</v>
      </c>
      <c r="I1784" s="239" t="s">
        <v>763</v>
      </c>
      <c r="J1784" s="239">
        <v>418.88</v>
      </c>
    </row>
    <row r="1785" spans="1:10" x14ac:dyDescent="0.25">
      <c r="A1785" s="183"/>
      <c r="B1785" s="183"/>
      <c r="C1785" s="183"/>
      <c r="D1785" s="183"/>
      <c r="E1785" s="183"/>
      <c r="F1785" s="183"/>
      <c r="G1785" s="183"/>
      <c r="H1785" s="183"/>
      <c r="I1785" s="240"/>
      <c r="J1785" s="240"/>
    </row>
    <row r="1786" spans="1:10" x14ac:dyDescent="0.25">
      <c r="A1786" s="182" t="s">
        <v>1796</v>
      </c>
      <c r="B1786" s="182" t="s">
        <v>66</v>
      </c>
      <c r="C1786" s="182" t="s">
        <v>64</v>
      </c>
      <c r="D1786" s="182" t="s">
        <v>67</v>
      </c>
      <c r="E1786" s="182" t="s">
        <v>65</v>
      </c>
      <c r="F1786" s="182"/>
      <c r="G1786" s="182" t="s">
        <v>744</v>
      </c>
      <c r="H1786" s="182" t="s">
        <v>69</v>
      </c>
      <c r="I1786" s="239" t="s">
        <v>745</v>
      </c>
      <c r="J1786" s="239" t="s">
        <v>0</v>
      </c>
    </row>
    <row r="1787" spans="1:10" ht="85.5" x14ac:dyDescent="0.25">
      <c r="A1787" s="183" t="s">
        <v>58</v>
      </c>
      <c r="B1787" s="183" t="s">
        <v>1797</v>
      </c>
      <c r="C1787" s="183" t="s">
        <v>59</v>
      </c>
      <c r="D1787" s="183" t="s">
        <v>1798</v>
      </c>
      <c r="E1787" s="183" t="s">
        <v>1681</v>
      </c>
      <c r="F1787" s="183"/>
      <c r="G1787" s="183" t="s">
        <v>61</v>
      </c>
      <c r="H1787" s="184">
        <v>1</v>
      </c>
      <c r="I1787" s="240">
        <v>19.899999999999999</v>
      </c>
      <c r="J1787" s="240">
        <v>19.899999999999999</v>
      </c>
    </row>
    <row r="1788" spans="1:10" ht="42.75" x14ac:dyDescent="0.25">
      <c r="A1788" s="185" t="s">
        <v>119</v>
      </c>
      <c r="B1788" s="185" t="s">
        <v>1481</v>
      </c>
      <c r="C1788" s="185" t="s">
        <v>59</v>
      </c>
      <c r="D1788" s="185" t="s">
        <v>1482</v>
      </c>
      <c r="E1788" s="185" t="s">
        <v>754</v>
      </c>
      <c r="F1788" s="185"/>
      <c r="G1788" s="185" t="s">
        <v>60</v>
      </c>
      <c r="H1788" s="186">
        <v>0.1181</v>
      </c>
      <c r="I1788" s="241">
        <v>31.42</v>
      </c>
      <c r="J1788" s="241">
        <v>3.71</v>
      </c>
    </row>
    <row r="1789" spans="1:10" ht="42.75" x14ac:dyDescent="0.25">
      <c r="A1789" s="185" t="s">
        <v>119</v>
      </c>
      <c r="B1789" s="185" t="s">
        <v>1479</v>
      </c>
      <c r="C1789" s="185" t="s">
        <v>59</v>
      </c>
      <c r="D1789" s="185" t="s">
        <v>1480</v>
      </c>
      <c r="E1789" s="185" t="s">
        <v>754</v>
      </c>
      <c r="F1789" s="185"/>
      <c r="G1789" s="185" t="s">
        <v>60</v>
      </c>
      <c r="H1789" s="186">
        <v>0.1181</v>
      </c>
      <c r="I1789" s="241">
        <v>22.16</v>
      </c>
      <c r="J1789" s="241">
        <v>2.61</v>
      </c>
    </row>
    <row r="1790" spans="1:10" ht="28.5" x14ac:dyDescent="0.25">
      <c r="A1790" s="191" t="s">
        <v>62</v>
      </c>
      <c r="B1790" s="191" t="s">
        <v>1549</v>
      </c>
      <c r="C1790" s="191" t="s">
        <v>59</v>
      </c>
      <c r="D1790" s="191" t="s">
        <v>1550</v>
      </c>
      <c r="E1790" s="191" t="s">
        <v>120</v>
      </c>
      <c r="F1790" s="191"/>
      <c r="G1790" s="191" t="s">
        <v>61</v>
      </c>
      <c r="H1790" s="192">
        <v>1.06E-2</v>
      </c>
      <c r="I1790" s="244">
        <v>63.09</v>
      </c>
      <c r="J1790" s="244">
        <v>0.66</v>
      </c>
    </row>
    <row r="1791" spans="1:10" ht="42.75" x14ac:dyDescent="0.25">
      <c r="A1791" s="191" t="s">
        <v>62</v>
      </c>
      <c r="B1791" s="191" t="s">
        <v>1799</v>
      </c>
      <c r="C1791" s="191" t="s">
        <v>59</v>
      </c>
      <c r="D1791" s="191" t="s">
        <v>1800</v>
      </c>
      <c r="E1791" s="191" t="s">
        <v>120</v>
      </c>
      <c r="F1791" s="191"/>
      <c r="G1791" s="191" t="s">
        <v>61</v>
      </c>
      <c r="H1791" s="192">
        <v>1</v>
      </c>
      <c r="I1791" s="244">
        <v>11.96</v>
      </c>
      <c r="J1791" s="244">
        <v>11.96</v>
      </c>
    </row>
    <row r="1792" spans="1:10" ht="42.75" x14ac:dyDescent="0.25">
      <c r="A1792" s="191" t="s">
        <v>62</v>
      </c>
      <c r="B1792" s="191" t="s">
        <v>1551</v>
      </c>
      <c r="C1792" s="191" t="s">
        <v>59</v>
      </c>
      <c r="D1792" s="191" t="s">
        <v>1552</v>
      </c>
      <c r="E1792" s="191" t="s">
        <v>120</v>
      </c>
      <c r="F1792" s="191"/>
      <c r="G1792" s="191" t="s">
        <v>61</v>
      </c>
      <c r="H1792" s="192">
        <v>1.2500000000000001E-2</v>
      </c>
      <c r="I1792" s="244">
        <v>71.48</v>
      </c>
      <c r="J1792" s="244">
        <v>0.89</v>
      </c>
    </row>
    <row r="1793" spans="1:10" ht="28.5" x14ac:dyDescent="0.25">
      <c r="A1793" s="191" t="s">
        <v>62</v>
      </c>
      <c r="B1793" s="191" t="s">
        <v>1483</v>
      </c>
      <c r="C1793" s="191" t="s">
        <v>59</v>
      </c>
      <c r="D1793" s="191" t="s">
        <v>1484</v>
      </c>
      <c r="E1793" s="191" t="s">
        <v>120</v>
      </c>
      <c r="F1793" s="191"/>
      <c r="G1793" s="191" t="s">
        <v>61</v>
      </c>
      <c r="H1793" s="192">
        <v>3.9399999999999998E-2</v>
      </c>
      <c r="I1793" s="244">
        <v>2</v>
      </c>
      <c r="J1793" s="244">
        <v>7.0000000000000007E-2</v>
      </c>
    </row>
    <row r="1794" spans="1:10" x14ac:dyDescent="0.25">
      <c r="A1794" s="187"/>
      <c r="B1794" s="187"/>
      <c r="C1794" s="187"/>
      <c r="D1794" s="187"/>
      <c r="E1794" s="187" t="s">
        <v>756</v>
      </c>
      <c r="F1794" s="188">
        <v>4.7</v>
      </c>
      <c r="G1794" s="187" t="s">
        <v>757</v>
      </c>
      <c r="H1794" s="188">
        <v>0</v>
      </c>
      <c r="I1794" s="242" t="s">
        <v>758</v>
      </c>
      <c r="J1794" s="242">
        <v>4.7</v>
      </c>
    </row>
    <row r="1795" spans="1:10" x14ac:dyDescent="0.25">
      <c r="A1795" s="187"/>
      <c r="B1795" s="187"/>
      <c r="C1795" s="187"/>
      <c r="D1795" s="187"/>
      <c r="E1795" s="187" t="s">
        <v>759</v>
      </c>
      <c r="F1795" s="188">
        <v>0</v>
      </c>
      <c r="G1795" s="187"/>
      <c r="H1795" s="187" t="s">
        <v>760</v>
      </c>
      <c r="I1795" s="242"/>
      <c r="J1795" s="242">
        <v>19.899999999999999</v>
      </c>
    </row>
    <row r="1796" spans="1:10" x14ac:dyDescent="0.25">
      <c r="A1796" s="182"/>
      <c r="B1796" s="182"/>
      <c r="C1796" s="182"/>
      <c r="D1796" s="182"/>
      <c r="E1796" s="182"/>
      <c r="F1796" s="182"/>
      <c r="G1796" s="182" t="s">
        <v>761</v>
      </c>
      <c r="H1796" s="189" t="s">
        <v>762</v>
      </c>
      <c r="I1796" s="239" t="s">
        <v>763</v>
      </c>
      <c r="J1796" s="239">
        <v>19.899999999999999</v>
      </c>
    </row>
    <row r="1797" spans="1:10" x14ac:dyDescent="0.25">
      <c r="A1797" s="183"/>
      <c r="B1797" s="183"/>
      <c r="C1797" s="183"/>
      <c r="D1797" s="183"/>
      <c r="E1797" s="183"/>
      <c r="F1797" s="183"/>
      <c r="G1797" s="183"/>
      <c r="H1797" s="183"/>
      <c r="I1797" s="240"/>
      <c r="J1797" s="240"/>
    </row>
    <row r="1798" spans="1:10" x14ac:dyDescent="0.25">
      <c r="A1798" s="182" t="s">
        <v>1801</v>
      </c>
      <c r="B1798" s="182" t="s">
        <v>66</v>
      </c>
      <c r="C1798" s="182" t="s">
        <v>64</v>
      </c>
      <c r="D1798" s="182" t="s">
        <v>67</v>
      </c>
      <c r="E1798" s="182" t="s">
        <v>65</v>
      </c>
      <c r="F1798" s="182"/>
      <c r="G1798" s="182" t="s">
        <v>744</v>
      </c>
      <c r="H1798" s="182" t="s">
        <v>69</v>
      </c>
      <c r="I1798" s="239" t="s">
        <v>745</v>
      </c>
      <c r="J1798" s="239" t="s">
        <v>0</v>
      </c>
    </row>
    <row r="1799" spans="1:10" ht="42.75" x14ac:dyDescent="0.25">
      <c r="A1799" s="183" t="s">
        <v>58</v>
      </c>
      <c r="B1799" s="183" t="s">
        <v>1802</v>
      </c>
      <c r="C1799" s="183" t="s">
        <v>785</v>
      </c>
      <c r="D1799" s="183" t="s">
        <v>1803</v>
      </c>
      <c r="E1799" s="183">
        <v>810</v>
      </c>
      <c r="F1799" s="183"/>
      <c r="G1799" s="183" t="s">
        <v>1498</v>
      </c>
      <c r="H1799" s="184">
        <v>1</v>
      </c>
      <c r="I1799" s="240">
        <v>22.55</v>
      </c>
      <c r="J1799" s="240">
        <v>22.55</v>
      </c>
    </row>
    <row r="1800" spans="1:10" ht="28.5" x14ac:dyDescent="0.25">
      <c r="A1800" s="191" t="s">
        <v>62</v>
      </c>
      <c r="B1800" s="191" t="s">
        <v>1569</v>
      </c>
      <c r="C1800" s="191" t="s">
        <v>785</v>
      </c>
      <c r="D1800" s="191" t="s">
        <v>1570</v>
      </c>
      <c r="E1800" s="191" t="s">
        <v>124</v>
      </c>
      <c r="F1800" s="191"/>
      <c r="G1800" s="191" t="s">
        <v>60</v>
      </c>
      <c r="H1800" s="192">
        <v>0.09</v>
      </c>
      <c r="I1800" s="244">
        <v>29.79</v>
      </c>
      <c r="J1800" s="244">
        <v>2.68</v>
      </c>
    </row>
    <row r="1801" spans="1:10" ht="28.5" x14ac:dyDescent="0.25">
      <c r="A1801" s="191" t="s">
        <v>62</v>
      </c>
      <c r="B1801" s="191" t="s">
        <v>1515</v>
      </c>
      <c r="C1801" s="191" t="s">
        <v>785</v>
      </c>
      <c r="D1801" s="191" t="s">
        <v>181</v>
      </c>
      <c r="E1801" s="191" t="s">
        <v>124</v>
      </c>
      <c r="F1801" s="191"/>
      <c r="G1801" s="191" t="s">
        <v>60</v>
      </c>
      <c r="H1801" s="192">
        <v>0.09</v>
      </c>
      <c r="I1801" s="244">
        <v>22.05</v>
      </c>
      <c r="J1801" s="244">
        <v>1.98</v>
      </c>
    </row>
    <row r="1802" spans="1:10" ht="42.75" x14ac:dyDescent="0.25">
      <c r="A1802" s="191" t="s">
        <v>62</v>
      </c>
      <c r="B1802" s="191" t="s">
        <v>1804</v>
      </c>
      <c r="C1802" s="191" t="s">
        <v>785</v>
      </c>
      <c r="D1802" s="191" t="s">
        <v>1803</v>
      </c>
      <c r="E1802" s="191" t="s">
        <v>120</v>
      </c>
      <c r="F1802" s="191"/>
      <c r="G1802" s="191" t="s">
        <v>129</v>
      </c>
      <c r="H1802" s="192">
        <v>1</v>
      </c>
      <c r="I1802" s="244">
        <v>17.89</v>
      </c>
      <c r="J1802" s="244">
        <v>17.89</v>
      </c>
    </row>
    <row r="1803" spans="1:10" x14ac:dyDescent="0.25">
      <c r="A1803" s="187"/>
      <c r="B1803" s="187"/>
      <c r="C1803" s="187"/>
      <c r="D1803" s="187"/>
      <c r="E1803" s="187" t="s">
        <v>756</v>
      </c>
      <c r="F1803" s="188">
        <v>4.66</v>
      </c>
      <c r="G1803" s="187" t="s">
        <v>757</v>
      </c>
      <c r="H1803" s="188">
        <v>0</v>
      </c>
      <c r="I1803" s="242" t="s">
        <v>758</v>
      </c>
      <c r="J1803" s="242">
        <v>4.66</v>
      </c>
    </row>
    <row r="1804" spans="1:10" x14ac:dyDescent="0.25">
      <c r="A1804" s="187"/>
      <c r="B1804" s="187"/>
      <c r="C1804" s="187"/>
      <c r="D1804" s="187"/>
      <c r="E1804" s="187" t="s">
        <v>759</v>
      </c>
      <c r="F1804" s="188">
        <v>0</v>
      </c>
      <c r="G1804" s="187"/>
      <c r="H1804" s="187" t="s">
        <v>760</v>
      </c>
      <c r="I1804" s="242"/>
      <c r="J1804" s="242">
        <v>22.55</v>
      </c>
    </row>
    <row r="1805" spans="1:10" x14ac:dyDescent="0.25">
      <c r="A1805" s="182"/>
      <c r="B1805" s="182"/>
      <c r="C1805" s="182"/>
      <c r="D1805" s="182"/>
      <c r="E1805" s="182"/>
      <c r="F1805" s="182"/>
      <c r="G1805" s="182" t="s">
        <v>761</v>
      </c>
      <c r="H1805" s="189" t="s">
        <v>1260</v>
      </c>
      <c r="I1805" s="239" t="s">
        <v>763</v>
      </c>
      <c r="J1805" s="239">
        <v>67.650000000000006</v>
      </c>
    </row>
    <row r="1806" spans="1:10" x14ac:dyDescent="0.25">
      <c r="A1806" s="183"/>
      <c r="B1806" s="183"/>
      <c r="C1806" s="183"/>
      <c r="D1806" s="183"/>
      <c r="E1806" s="183"/>
      <c r="F1806" s="183"/>
      <c r="G1806" s="183"/>
      <c r="H1806" s="183"/>
      <c r="I1806" s="240"/>
      <c r="J1806" s="240"/>
    </row>
    <row r="1807" spans="1:10" x14ac:dyDescent="0.25">
      <c r="A1807" s="182" t="s">
        <v>1805</v>
      </c>
      <c r="B1807" s="182" t="s">
        <v>66</v>
      </c>
      <c r="C1807" s="182" t="s">
        <v>64</v>
      </c>
      <c r="D1807" s="182" t="s">
        <v>67</v>
      </c>
      <c r="E1807" s="182" t="s">
        <v>65</v>
      </c>
      <c r="F1807" s="182"/>
      <c r="G1807" s="182" t="s">
        <v>744</v>
      </c>
      <c r="H1807" s="182" t="s">
        <v>69</v>
      </c>
      <c r="I1807" s="239" t="s">
        <v>745</v>
      </c>
      <c r="J1807" s="239" t="s">
        <v>0</v>
      </c>
    </row>
    <row r="1808" spans="1:10" ht="42.75" x14ac:dyDescent="0.25">
      <c r="A1808" s="183" t="s">
        <v>58</v>
      </c>
      <c r="B1808" s="183" t="s">
        <v>1806</v>
      </c>
      <c r="C1808" s="183" t="s">
        <v>785</v>
      </c>
      <c r="D1808" s="183" t="s">
        <v>1807</v>
      </c>
      <c r="E1808" s="183">
        <v>810</v>
      </c>
      <c r="F1808" s="183"/>
      <c r="G1808" s="183" t="s">
        <v>1498</v>
      </c>
      <c r="H1808" s="184">
        <v>1</v>
      </c>
      <c r="I1808" s="240">
        <v>7.03</v>
      </c>
      <c r="J1808" s="240">
        <v>7.03</v>
      </c>
    </row>
    <row r="1809" spans="1:10" ht="28.5" x14ac:dyDescent="0.25">
      <c r="A1809" s="191" t="s">
        <v>62</v>
      </c>
      <c r="B1809" s="191" t="s">
        <v>1567</v>
      </c>
      <c r="C1809" s="191" t="s">
        <v>785</v>
      </c>
      <c r="D1809" s="191" t="s">
        <v>1568</v>
      </c>
      <c r="E1809" s="191" t="s">
        <v>120</v>
      </c>
      <c r="F1809" s="191"/>
      <c r="G1809" s="191" t="s">
        <v>113</v>
      </c>
      <c r="H1809" s="192">
        <v>0.5</v>
      </c>
      <c r="I1809" s="244">
        <v>0.35</v>
      </c>
      <c r="J1809" s="244">
        <v>0.17</v>
      </c>
    </row>
    <row r="1810" spans="1:10" ht="28.5" x14ac:dyDescent="0.25">
      <c r="A1810" s="191" t="s">
        <v>62</v>
      </c>
      <c r="B1810" s="191" t="s">
        <v>1515</v>
      </c>
      <c r="C1810" s="191" t="s">
        <v>785</v>
      </c>
      <c r="D1810" s="191" t="s">
        <v>181</v>
      </c>
      <c r="E1810" s="191" t="s">
        <v>124</v>
      </c>
      <c r="F1810" s="191"/>
      <c r="G1810" s="191" t="s">
        <v>60</v>
      </c>
      <c r="H1810" s="192">
        <v>0.09</v>
      </c>
      <c r="I1810" s="244">
        <v>22.05</v>
      </c>
      <c r="J1810" s="244">
        <v>1.98</v>
      </c>
    </row>
    <row r="1811" spans="1:10" ht="28.5" x14ac:dyDescent="0.25">
      <c r="A1811" s="191" t="s">
        <v>62</v>
      </c>
      <c r="B1811" s="191" t="s">
        <v>1569</v>
      </c>
      <c r="C1811" s="191" t="s">
        <v>785</v>
      </c>
      <c r="D1811" s="191" t="s">
        <v>1570</v>
      </c>
      <c r="E1811" s="191" t="s">
        <v>124</v>
      </c>
      <c r="F1811" s="191"/>
      <c r="G1811" s="191" t="s">
        <v>60</v>
      </c>
      <c r="H1811" s="192">
        <v>0.09</v>
      </c>
      <c r="I1811" s="244">
        <v>29.79</v>
      </c>
      <c r="J1811" s="244">
        <v>2.68</v>
      </c>
    </row>
    <row r="1812" spans="1:10" ht="42.75" x14ac:dyDescent="0.25">
      <c r="A1812" s="191" t="s">
        <v>62</v>
      </c>
      <c r="B1812" s="191" t="s">
        <v>1808</v>
      </c>
      <c r="C1812" s="191" t="s">
        <v>785</v>
      </c>
      <c r="D1812" s="191" t="s">
        <v>1809</v>
      </c>
      <c r="E1812" s="191" t="s">
        <v>120</v>
      </c>
      <c r="F1812" s="191"/>
      <c r="G1812" s="191" t="s">
        <v>129</v>
      </c>
      <c r="H1812" s="192">
        <v>1</v>
      </c>
      <c r="I1812" s="244">
        <v>2.2000000000000002</v>
      </c>
      <c r="J1812" s="244">
        <v>2.2000000000000002</v>
      </c>
    </row>
    <row r="1813" spans="1:10" x14ac:dyDescent="0.25">
      <c r="A1813" s="187"/>
      <c r="B1813" s="187"/>
      <c r="C1813" s="187"/>
      <c r="D1813" s="187"/>
      <c r="E1813" s="187" t="s">
        <v>756</v>
      </c>
      <c r="F1813" s="188">
        <v>4.66</v>
      </c>
      <c r="G1813" s="187" t="s">
        <v>757</v>
      </c>
      <c r="H1813" s="188">
        <v>0</v>
      </c>
      <c r="I1813" s="242" t="s">
        <v>758</v>
      </c>
      <c r="J1813" s="242">
        <v>4.66</v>
      </c>
    </row>
    <row r="1814" spans="1:10" x14ac:dyDescent="0.25">
      <c r="A1814" s="187"/>
      <c r="B1814" s="187"/>
      <c r="C1814" s="187"/>
      <c r="D1814" s="187"/>
      <c r="E1814" s="187" t="s">
        <v>759</v>
      </c>
      <c r="F1814" s="188">
        <v>0</v>
      </c>
      <c r="G1814" s="187"/>
      <c r="H1814" s="187" t="s">
        <v>760</v>
      </c>
      <c r="I1814" s="242"/>
      <c r="J1814" s="242">
        <v>7.03</v>
      </c>
    </row>
    <row r="1815" spans="1:10" x14ac:dyDescent="0.25">
      <c r="A1815" s="182"/>
      <c r="B1815" s="182"/>
      <c r="C1815" s="182"/>
      <c r="D1815" s="182"/>
      <c r="E1815" s="182"/>
      <c r="F1815" s="182"/>
      <c r="G1815" s="182" t="s">
        <v>761</v>
      </c>
      <c r="H1815" s="189" t="s">
        <v>1538</v>
      </c>
      <c r="I1815" s="239" t="s">
        <v>763</v>
      </c>
      <c r="J1815" s="239">
        <v>14.06</v>
      </c>
    </row>
    <row r="1816" spans="1:10" x14ac:dyDescent="0.25">
      <c r="A1816" s="183"/>
      <c r="B1816" s="183"/>
      <c r="C1816" s="183"/>
      <c r="D1816" s="183"/>
      <c r="E1816" s="183"/>
      <c r="F1816" s="183"/>
      <c r="G1816" s="183"/>
      <c r="H1816" s="183"/>
      <c r="I1816" s="240"/>
      <c r="J1816" s="240"/>
    </row>
    <row r="1817" spans="1:10" x14ac:dyDescent="0.25">
      <c r="A1817" s="182" t="s">
        <v>1810</v>
      </c>
      <c r="B1817" s="182" t="s">
        <v>66</v>
      </c>
      <c r="C1817" s="182" t="s">
        <v>64</v>
      </c>
      <c r="D1817" s="182" t="s">
        <v>67</v>
      </c>
      <c r="E1817" s="182" t="s">
        <v>65</v>
      </c>
      <c r="F1817" s="182"/>
      <c r="G1817" s="182" t="s">
        <v>744</v>
      </c>
      <c r="H1817" s="182" t="s">
        <v>69</v>
      </c>
      <c r="I1817" s="239" t="s">
        <v>745</v>
      </c>
      <c r="J1817" s="239" t="s">
        <v>0</v>
      </c>
    </row>
    <row r="1818" spans="1:10" ht="42.75" x14ac:dyDescent="0.25">
      <c r="A1818" s="183" t="s">
        <v>58</v>
      </c>
      <c r="B1818" s="183" t="s">
        <v>1811</v>
      </c>
      <c r="C1818" s="183" t="s">
        <v>785</v>
      </c>
      <c r="D1818" s="183" t="s">
        <v>1812</v>
      </c>
      <c r="E1818" s="183">
        <v>810</v>
      </c>
      <c r="F1818" s="183"/>
      <c r="G1818" s="183" t="s">
        <v>1498</v>
      </c>
      <c r="H1818" s="184">
        <v>1</v>
      </c>
      <c r="I1818" s="240">
        <v>11.68</v>
      </c>
      <c r="J1818" s="240">
        <v>11.68</v>
      </c>
    </row>
    <row r="1819" spans="1:10" ht="28.5" x14ac:dyDescent="0.25">
      <c r="A1819" s="191" t="s">
        <v>62</v>
      </c>
      <c r="B1819" s="191" t="s">
        <v>1515</v>
      </c>
      <c r="C1819" s="191" t="s">
        <v>785</v>
      </c>
      <c r="D1819" s="191" t="s">
        <v>181</v>
      </c>
      <c r="E1819" s="191" t="s">
        <v>124</v>
      </c>
      <c r="F1819" s="191"/>
      <c r="G1819" s="191" t="s">
        <v>60</v>
      </c>
      <c r="H1819" s="192">
        <v>0.14000000000000001</v>
      </c>
      <c r="I1819" s="244">
        <v>22.05</v>
      </c>
      <c r="J1819" s="244">
        <v>3.08</v>
      </c>
    </row>
    <row r="1820" spans="1:10" ht="42.75" x14ac:dyDescent="0.25">
      <c r="A1820" s="191" t="s">
        <v>62</v>
      </c>
      <c r="B1820" s="191" t="s">
        <v>1813</v>
      </c>
      <c r="C1820" s="191" t="s">
        <v>785</v>
      </c>
      <c r="D1820" s="191" t="s">
        <v>1814</v>
      </c>
      <c r="E1820" s="191" t="s">
        <v>120</v>
      </c>
      <c r="F1820" s="191"/>
      <c r="G1820" s="191" t="s">
        <v>129</v>
      </c>
      <c r="H1820" s="192">
        <v>1</v>
      </c>
      <c r="I1820" s="244">
        <v>4.21</v>
      </c>
      <c r="J1820" s="244">
        <v>4.21</v>
      </c>
    </row>
    <row r="1821" spans="1:10" ht="28.5" x14ac:dyDescent="0.25">
      <c r="A1821" s="191" t="s">
        <v>62</v>
      </c>
      <c r="B1821" s="191" t="s">
        <v>1569</v>
      </c>
      <c r="C1821" s="191" t="s">
        <v>785</v>
      </c>
      <c r="D1821" s="191" t="s">
        <v>1570</v>
      </c>
      <c r="E1821" s="191" t="s">
        <v>124</v>
      </c>
      <c r="F1821" s="191"/>
      <c r="G1821" s="191" t="s">
        <v>60</v>
      </c>
      <c r="H1821" s="192">
        <v>0.14000000000000001</v>
      </c>
      <c r="I1821" s="244">
        <v>29.79</v>
      </c>
      <c r="J1821" s="244">
        <v>4.17</v>
      </c>
    </row>
    <row r="1822" spans="1:10" ht="28.5" x14ac:dyDescent="0.25">
      <c r="A1822" s="191" t="s">
        <v>62</v>
      </c>
      <c r="B1822" s="191" t="s">
        <v>1567</v>
      </c>
      <c r="C1822" s="191" t="s">
        <v>785</v>
      </c>
      <c r="D1822" s="191" t="s">
        <v>1568</v>
      </c>
      <c r="E1822" s="191" t="s">
        <v>120</v>
      </c>
      <c r="F1822" s="191"/>
      <c r="G1822" s="191" t="s">
        <v>113</v>
      </c>
      <c r="H1822" s="192">
        <v>0.63</v>
      </c>
      <c r="I1822" s="244">
        <v>0.35</v>
      </c>
      <c r="J1822" s="244">
        <v>0.22</v>
      </c>
    </row>
    <row r="1823" spans="1:10" x14ac:dyDescent="0.25">
      <c r="A1823" s="187"/>
      <c r="B1823" s="187"/>
      <c r="C1823" s="187"/>
      <c r="D1823" s="187"/>
      <c r="E1823" s="187" t="s">
        <v>756</v>
      </c>
      <c r="F1823" s="188">
        <v>7.25</v>
      </c>
      <c r="G1823" s="187" t="s">
        <v>757</v>
      </c>
      <c r="H1823" s="188">
        <v>0</v>
      </c>
      <c r="I1823" s="242" t="s">
        <v>758</v>
      </c>
      <c r="J1823" s="242">
        <v>7.25</v>
      </c>
    </row>
    <row r="1824" spans="1:10" x14ac:dyDescent="0.25">
      <c r="A1824" s="187"/>
      <c r="B1824" s="187"/>
      <c r="C1824" s="187"/>
      <c r="D1824" s="187"/>
      <c r="E1824" s="187" t="s">
        <v>759</v>
      </c>
      <c r="F1824" s="188">
        <v>0</v>
      </c>
      <c r="G1824" s="187"/>
      <c r="H1824" s="187" t="s">
        <v>760</v>
      </c>
      <c r="I1824" s="242"/>
      <c r="J1824" s="242">
        <v>11.68</v>
      </c>
    </row>
    <row r="1825" spans="1:10" x14ac:dyDescent="0.25">
      <c r="A1825" s="182"/>
      <c r="B1825" s="182"/>
      <c r="C1825" s="182"/>
      <c r="D1825" s="182"/>
      <c r="E1825" s="182"/>
      <c r="F1825" s="182"/>
      <c r="G1825" s="182" t="s">
        <v>761</v>
      </c>
      <c r="H1825" s="189" t="s">
        <v>1555</v>
      </c>
      <c r="I1825" s="239" t="s">
        <v>763</v>
      </c>
      <c r="J1825" s="239">
        <v>46.72</v>
      </c>
    </row>
    <row r="1826" spans="1:10" x14ac:dyDescent="0.25">
      <c r="A1826" s="183"/>
      <c r="B1826" s="183"/>
      <c r="C1826" s="183"/>
      <c r="D1826" s="183"/>
      <c r="E1826" s="183"/>
      <c r="F1826" s="183"/>
      <c r="G1826" s="183"/>
      <c r="H1826" s="183"/>
      <c r="I1826" s="240"/>
      <c r="J1826" s="240"/>
    </row>
    <row r="1827" spans="1:10" x14ac:dyDescent="0.25">
      <c r="A1827" s="182" t="s">
        <v>1815</v>
      </c>
      <c r="B1827" s="182" t="s">
        <v>66</v>
      </c>
      <c r="C1827" s="182" t="s">
        <v>64</v>
      </c>
      <c r="D1827" s="182" t="s">
        <v>67</v>
      </c>
      <c r="E1827" s="182" t="s">
        <v>65</v>
      </c>
      <c r="F1827" s="182"/>
      <c r="G1827" s="182" t="s">
        <v>744</v>
      </c>
      <c r="H1827" s="182" t="s">
        <v>69</v>
      </c>
      <c r="I1827" s="239" t="s">
        <v>745</v>
      </c>
      <c r="J1827" s="239" t="s">
        <v>0</v>
      </c>
    </row>
    <row r="1828" spans="1:10" ht="85.5" x14ac:dyDescent="0.25">
      <c r="A1828" s="183" t="s">
        <v>58</v>
      </c>
      <c r="B1828" s="183" t="s">
        <v>1816</v>
      </c>
      <c r="C1828" s="183" t="s">
        <v>59</v>
      </c>
      <c r="D1828" s="183" t="s">
        <v>1817</v>
      </c>
      <c r="E1828" s="183" t="s">
        <v>1818</v>
      </c>
      <c r="F1828" s="183"/>
      <c r="G1828" s="183" t="s">
        <v>61</v>
      </c>
      <c r="H1828" s="184">
        <v>1</v>
      </c>
      <c r="I1828" s="240">
        <v>8.41</v>
      </c>
      <c r="J1828" s="240">
        <v>8.41</v>
      </c>
    </row>
    <row r="1829" spans="1:10" ht="42.75" x14ac:dyDescent="0.25">
      <c r="A1829" s="185" t="s">
        <v>119</v>
      </c>
      <c r="B1829" s="185" t="s">
        <v>1481</v>
      </c>
      <c r="C1829" s="185" t="s">
        <v>59</v>
      </c>
      <c r="D1829" s="185" t="s">
        <v>1482</v>
      </c>
      <c r="E1829" s="185" t="s">
        <v>754</v>
      </c>
      <c r="F1829" s="185"/>
      <c r="G1829" s="185" t="s">
        <v>60</v>
      </c>
      <c r="H1829" s="186">
        <v>5.2699999999999997E-2</v>
      </c>
      <c r="I1829" s="241">
        <v>31.42</v>
      </c>
      <c r="J1829" s="241">
        <v>1.65</v>
      </c>
    </row>
    <row r="1830" spans="1:10" ht="42.75" x14ac:dyDescent="0.25">
      <c r="A1830" s="185" t="s">
        <v>119</v>
      </c>
      <c r="B1830" s="185" t="s">
        <v>1479</v>
      </c>
      <c r="C1830" s="185" t="s">
        <v>59</v>
      </c>
      <c r="D1830" s="185" t="s">
        <v>1480</v>
      </c>
      <c r="E1830" s="185" t="s">
        <v>754</v>
      </c>
      <c r="F1830" s="185"/>
      <c r="G1830" s="185" t="s">
        <v>60</v>
      </c>
      <c r="H1830" s="186">
        <v>5.2699999999999997E-2</v>
      </c>
      <c r="I1830" s="241">
        <v>22.16</v>
      </c>
      <c r="J1830" s="241">
        <v>1.1599999999999999</v>
      </c>
    </row>
    <row r="1831" spans="1:10" ht="28.5" x14ac:dyDescent="0.25">
      <c r="A1831" s="191" t="s">
        <v>62</v>
      </c>
      <c r="B1831" s="191" t="s">
        <v>1483</v>
      </c>
      <c r="C1831" s="191" t="s">
        <v>59</v>
      </c>
      <c r="D1831" s="191" t="s">
        <v>1484</v>
      </c>
      <c r="E1831" s="191" t="s">
        <v>120</v>
      </c>
      <c r="F1831" s="191"/>
      <c r="G1831" s="191" t="s">
        <v>61</v>
      </c>
      <c r="H1831" s="192">
        <v>8.8000000000000005E-3</v>
      </c>
      <c r="I1831" s="244">
        <v>2</v>
      </c>
      <c r="J1831" s="244">
        <v>0.01</v>
      </c>
    </row>
    <row r="1832" spans="1:10" ht="42.75" x14ac:dyDescent="0.25">
      <c r="A1832" s="191" t="s">
        <v>62</v>
      </c>
      <c r="B1832" s="191" t="s">
        <v>1551</v>
      </c>
      <c r="C1832" s="191" t="s">
        <v>59</v>
      </c>
      <c r="D1832" s="191" t="s">
        <v>1552</v>
      </c>
      <c r="E1832" s="191" t="s">
        <v>120</v>
      </c>
      <c r="F1832" s="191"/>
      <c r="G1832" s="191" t="s">
        <v>61</v>
      </c>
      <c r="H1832" s="192">
        <v>1.0999999999999999E-2</v>
      </c>
      <c r="I1832" s="244">
        <v>71.48</v>
      </c>
      <c r="J1832" s="244">
        <v>0.78</v>
      </c>
    </row>
    <row r="1833" spans="1:10" ht="28.5" x14ac:dyDescent="0.25">
      <c r="A1833" s="191" t="s">
        <v>62</v>
      </c>
      <c r="B1833" s="191" t="s">
        <v>1549</v>
      </c>
      <c r="C1833" s="191" t="s">
        <v>59</v>
      </c>
      <c r="D1833" s="191" t="s">
        <v>1550</v>
      </c>
      <c r="E1833" s="191" t="s">
        <v>120</v>
      </c>
      <c r="F1833" s="191"/>
      <c r="G1833" s="191" t="s">
        <v>61</v>
      </c>
      <c r="H1833" s="192">
        <v>9.4999999999999998E-3</v>
      </c>
      <c r="I1833" s="244">
        <v>63.09</v>
      </c>
      <c r="J1833" s="244">
        <v>0.59</v>
      </c>
    </row>
    <row r="1834" spans="1:10" ht="42.75" x14ac:dyDescent="0.25">
      <c r="A1834" s="191" t="s">
        <v>62</v>
      </c>
      <c r="B1834" s="191" t="s">
        <v>1819</v>
      </c>
      <c r="C1834" s="191" t="s">
        <v>59</v>
      </c>
      <c r="D1834" s="191" t="s">
        <v>1820</v>
      </c>
      <c r="E1834" s="191" t="s">
        <v>120</v>
      </c>
      <c r="F1834" s="191"/>
      <c r="G1834" s="191" t="s">
        <v>61</v>
      </c>
      <c r="H1834" s="192">
        <v>1</v>
      </c>
      <c r="I1834" s="244">
        <v>4.22</v>
      </c>
      <c r="J1834" s="244">
        <v>4.22</v>
      </c>
    </row>
    <row r="1835" spans="1:10" x14ac:dyDescent="0.25">
      <c r="A1835" s="187"/>
      <c r="B1835" s="187"/>
      <c r="C1835" s="187"/>
      <c r="D1835" s="187"/>
      <c r="E1835" s="187" t="s">
        <v>756</v>
      </c>
      <c r="F1835" s="188">
        <v>2.09</v>
      </c>
      <c r="G1835" s="187" t="s">
        <v>757</v>
      </c>
      <c r="H1835" s="188">
        <v>0</v>
      </c>
      <c r="I1835" s="242" t="s">
        <v>758</v>
      </c>
      <c r="J1835" s="242">
        <v>2.09</v>
      </c>
    </row>
    <row r="1836" spans="1:10" x14ac:dyDescent="0.25">
      <c r="A1836" s="187"/>
      <c r="B1836" s="187"/>
      <c r="C1836" s="187"/>
      <c r="D1836" s="187"/>
      <c r="E1836" s="187" t="s">
        <v>759</v>
      </c>
      <c r="F1836" s="188">
        <v>0</v>
      </c>
      <c r="G1836" s="187"/>
      <c r="H1836" s="187" t="s">
        <v>760</v>
      </c>
      <c r="I1836" s="242"/>
      <c r="J1836" s="242">
        <v>8.41</v>
      </c>
    </row>
    <row r="1837" spans="1:10" x14ac:dyDescent="0.25">
      <c r="A1837" s="182"/>
      <c r="B1837" s="182"/>
      <c r="C1837" s="182"/>
      <c r="D1837" s="182"/>
      <c r="E1837" s="182"/>
      <c r="F1837" s="182"/>
      <c r="G1837" s="182" t="s">
        <v>761</v>
      </c>
      <c r="H1837" s="189" t="s">
        <v>1543</v>
      </c>
      <c r="I1837" s="239" t="s">
        <v>763</v>
      </c>
      <c r="J1837" s="239">
        <v>84.1</v>
      </c>
    </row>
    <row r="1838" spans="1:10" x14ac:dyDescent="0.25">
      <c r="A1838" s="183"/>
      <c r="B1838" s="183"/>
      <c r="C1838" s="183"/>
      <c r="D1838" s="183"/>
      <c r="E1838" s="183"/>
      <c r="F1838" s="183"/>
      <c r="G1838" s="183"/>
      <c r="H1838" s="183"/>
      <c r="I1838" s="240"/>
      <c r="J1838" s="240"/>
    </row>
    <row r="1839" spans="1:10" x14ac:dyDescent="0.25">
      <c r="A1839" s="182" t="s">
        <v>1821</v>
      </c>
      <c r="B1839" s="182" t="s">
        <v>66</v>
      </c>
      <c r="C1839" s="182" t="s">
        <v>64</v>
      </c>
      <c r="D1839" s="182" t="s">
        <v>67</v>
      </c>
      <c r="E1839" s="182" t="s">
        <v>65</v>
      </c>
      <c r="F1839" s="182"/>
      <c r="G1839" s="182" t="s">
        <v>744</v>
      </c>
      <c r="H1839" s="182" t="s">
        <v>69</v>
      </c>
      <c r="I1839" s="239" t="s">
        <v>745</v>
      </c>
      <c r="J1839" s="239" t="s">
        <v>0</v>
      </c>
    </row>
    <row r="1840" spans="1:10" ht="85.5" x14ac:dyDescent="0.25">
      <c r="A1840" s="183" t="s">
        <v>58</v>
      </c>
      <c r="B1840" s="183" t="s">
        <v>1822</v>
      </c>
      <c r="C1840" s="183" t="s">
        <v>59</v>
      </c>
      <c r="D1840" s="183" t="s">
        <v>1823</v>
      </c>
      <c r="E1840" s="183" t="s">
        <v>1818</v>
      </c>
      <c r="F1840" s="183"/>
      <c r="G1840" s="183" t="s">
        <v>61</v>
      </c>
      <c r="H1840" s="184">
        <v>1</v>
      </c>
      <c r="I1840" s="240">
        <v>7.55</v>
      </c>
      <c r="J1840" s="240">
        <v>7.55</v>
      </c>
    </row>
    <row r="1841" spans="1:10" ht="42.75" x14ac:dyDescent="0.25">
      <c r="A1841" s="185" t="s">
        <v>119</v>
      </c>
      <c r="B1841" s="185" t="s">
        <v>1481</v>
      </c>
      <c r="C1841" s="185" t="s">
        <v>59</v>
      </c>
      <c r="D1841" s="185" t="s">
        <v>1482</v>
      </c>
      <c r="E1841" s="185" t="s">
        <v>754</v>
      </c>
      <c r="F1841" s="185"/>
      <c r="G1841" s="185" t="s">
        <v>60</v>
      </c>
      <c r="H1841" s="186">
        <v>5.7599999999999998E-2</v>
      </c>
      <c r="I1841" s="241">
        <v>31.42</v>
      </c>
      <c r="J1841" s="241">
        <v>1.8</v>
      </c>
    </row>
    <row r="1842" spans="1:10" ht="42.75" x14ac:dyDescent="0.25">
      <c r="A1842" s="185" t="s">
        <v>119</v>
      </c>
      <c r="B1842" s="185" t="s">
        <v>1479</v>
      </c>
      <c r="C1842" s="185" t="s">
        <v>59</v>
      </c>
      <c r="D1842" s="185" t="s">
        <v>1480</v>
      </c>
      <c r="E1842" s="185" t="s">
        <v>754</v>
      </c>
      <c r="F1842" s="185"/>
      <c r="G1842" s="185" t="s">
        <v>60</v>
      </c>
      <c r="H1842" s="186">
        <v>5.7599999999999998E-2</v>
      </c>
      <c r="I1842" s="241">
        <v>22.16</v>
      </c>
      <c r="J1842" s="241">
        <v>1.27</v>
      </c>
    </row>
    <row r="1843" spans="1:10" ht="42.75" x14ac:dyDescent="0.25">
      <c r="A1843" s="191" t="s">
        <v>62</v>
      </c>
      <c r="B1843" s="191" t="s">
        <v>1551</v>
      </c>
      <c r="C1843" s="191" t="s">
        <v>59</v>
      </c>
      <c r="D1843" s="191" t="s">
        <v>1552</v>
      </c>
      <c r="E1843" s="191" t="s">
        <v>120</v>
      </c>
      <c r="F1843" s="191"/>
      <c r="G1843" s="191" t="s">
        <v>61</v>
      </c>
      <c r="H1843" s="192">
        <v>8.0000000000000002E-3</v>
      </c>
      <c r="I1843" s="244">
        <v>71.48</v>
      </c>
      <c r="J1843" s="244">
        <v>0.56999999999999995</v>
      </c>
    </row>
    <row r="1844" spans="1:10" ht="28.5" x14ac:dyDescent="0.25">
      <c r="A1844" s="191" t="s">
        <v>62</v>
      </c>
      <c r="B1844" s="191" t="s">
        <v>1483</v>
      </c>
      <c r="C1844" s="191" t="s">
        <v>59</v>
      </c>
      <c r="D1844" s="191" t="s">
        <v>1484</v>
      </c>
      <c r="E1844" s="191" t="s">
        <v>120</v>
      </c>
      <c r="F1844" s="191"/>
      <c r="G1844" s="191" t="s">
        <v>61</v>
      </c>
      <c r="H1844" s="192">
        <v>6.4000000000000003E-3</v>
      </c>
      <c r="I1844" s="244">
        <v>2</v>
      </c>
      <c r="J1844" s="244">
        <v>0.01</v>
      </c>
    </row>
    <row r="1845" spans="1:10" ht="28.5" x14ac:dyDescent="0.25">
      <c r="A1845" s="191" t="s">
        <v>62</v>
      </c>
      <c r="B1845" s="191" t="s">
        <v>1549</v>
      </c>
      <c r="C1845" s="191" t="s">
        <v>59</v>
      </c>
      <c r="D1845" s="191" t="s">
        <v>1550</v>
      </c>
      <c r="E1845" s="191" t="s">
        <v>120</v>
      </c>
      <c r="F1845" s="191"/>
      <c r="G1845" s="191" t="s">
        <v>61</v>
      </c>
      <c r="H1845" s="192">
        <v>7.1000000000000004E-3</v>
      </c>
      <c r="I1845" s="244">
        <v>63.09</v>
      </c>
      <c r="J1845" s="244">
        <v>0.44</v>
      </c>
    </row>
    <row r="1846" spans="1:10" ht="57" x14ac:dyDescent="0.25">
      <c r="A1846" s="191" t="s">
        <v>62</v>
      </c>
      <c r="B1846" s="191" t="s">
        <v>1682</v>
      </c>
      <c r="C1846" s="191" t="s">
        <v>59</v>
      </c>
      <c r="D1846" s="191" t="s">
        <v>1683</v>
      </c>
      <c r="E1846" s="191" t="s">
        <v>120</v>
      </c>
      <c r="F1846" s="191"/>
      <c r="G1846" s="191" t="s">
        <v>61</v>
      </c>
      <c r="H1846" s="192">
        <v>1</v>
      </c>
      <c r="I1846" s="244">
        <v>3.46</v>
      </c>
      <c r="J1846" s="244">
        <v>3.46</v>
      </c>
    </row>
    <row r="1847" spans="1:10" x14ac:dyDescent="0.25">
      <c r="A1847" s="187"/>
      <c r="B1847" s="187"/>
      <c r="C1847" s="187"/>
      <c r="D1847" s="187"/>
      <c r="E1847" s="187" t="s">
        <v>756</v>
      </c>
      <c r="F1847" s="188">
        <v>2.29</v>
      </c>
      <c r="G1847" s="187" t="s">
        <v>757</v>
      </c>
      <c r="H1847" s="188">
        <v>0</v>
      </c>
      <c r="I1847" s="242" t="s">
        <v>758</v>
      </c>
      <c r="J1847" s="242">
        <v>2.29</v>
      </c>
    </row>
    <row r="1848" spans="1:10" x14ac:dyDescent="0.25">
      <c r="A1848" s="187"/>
      <c r="B1848" s="187"/>
      <c r="C1848" s="187"/>
      <c r="D1848" s="187"/>
      <c r="E1848" s="187" t="s">
        <v>759</v>
      </c>
      <c r="F1848" s="188">
        <v>0</v>
      </c>
      <c r="G1848" s="187"/>
      <c r="H1848" s="187" t="s">
        <v>760</v>
      </c>
      <c r="I1848" s="242"/>
      <c r="J1848" s="242">
        <v>7.55</v>
      </c>
    </row>
    <row r="1849" spans="1:10" x14ac:dyDescent="0.25">
      <c r="A1849" s="182"/>
      <c r="B1849" s="182"/>
      <c r="C1849" s="182"/>
      <c r="D1849" s="182"/>
      <c r="E1849" s="182"/>
      <c r="F1849" s="182"/>
      <c r="G1849" s="182" t="s">
        <v>761</v>
      </c>
      <c r="H1849" s="189" t="s">
        <v>1543</v>
      </c>
      <c r="I1849" s="239" t="s">
        <v>763</v>
      </c>
      <c r="J1849" s="239">
        <v>75.5</v>
      </c>
    </row>
    <row r="1850" spans="1:10" x14ac:dyDescent="0.25">
      <c r="A1850" s="183"/>
      <c r="B1850" s="183"/>
      <c r="C1850" s="183"/>
      <c r="D1850" s="183"/>
      <c r="E1850" s="183"/>
      <c r="F1850" s="183"/>
      <c r="G1850" s="183"/>
      <c r="H1850" s="183"/>
      <c r="I1850" s="240"/>
      <c r="J1850" s="240"/>
    </row>
    <row r="1851" spans="1:10" x14ac:dyDescent="0.25">
      <c r="A1851" s="182" t="s">
        <v>1824</v>
      </c>
      <c r="B1851" s="182" t="s">
        <v>66</v>
      </c>
      <c r="C1851" s="182" t="s">
        <v>64</v>
      </c>
      <c r="D1851" s="182" t="s">
        <v>67</v>
      </c>
      <c r="E1851" s="182" t="s">
        <v>65</v>
      </c>
      <c r="F1851" s="182"/>
      <c r="G1851" s="182" t="s">
        <v>744</v>
      </c>
      <c r="H1851" s="182" t="s">
        <v>69</v>
      </c>
      <c r="I1851" s="239" t="s">
        <v>745</v>
      </c>
      <c r="J1851" s="239" t="s">
        <v>0</v>
      </c>
    </row>
    <row r="1852" spans="1:10" ht="85.5" x14ac:dyDescent="0.25">
      <c r="A1852" s="183" t="s">
        <v>58</v>
      </c>
      <c r="B1852" s="183" t="s">
        <v>1825</v>
      </c>
      <c r="C1852" s="183" t="s">
        <v>59</v>
      </c>
      <c r="D1852" s="183" t="s">
        <v>1826</v>
      </c>
      <c r="E1852" s="183" t="s">
        <v>1818</v>
      </c>
      <c r="F1852" s="183"/>
      <c r="G1852" s="183" t="s">
        <v>61</v>
      </c>
      <c r="H1852" s="184">
        <v>1</v>
      </c>
      <c r="I1852" s="240">
        <v>12.87</v>
      </c>
      <c r="J1852" s="240">
        <v>12.87</v>
      </c>
    </row>
    <row r="1853" spans="1:10" ht="42.75" x14ac:dyDescent="0.25">
      <c r="A1853" s="185" t="s">
        <v>119</v>
      </c>
      <c r="B1853" s="185" t="s">
        <v>1481</v>
      </c>
      <c r="C1853" s="185" t="s">
        <v>59</v>
      </c>
      <c r="D1853" s="185" t="s">
        <v>1482</v>
      </c>
      <c r="E1853" s="185" t="s">
        <v>754</v>
      </c>
      <c r="F1853" s="185"/>
      <c r="G1853" s="185" t="s">
        <v>60</v>
      </c>
      <c r="H1853" s="186">
        <v>7.51E-2</v>
      </c>
      <c r="I1853" s="241">
        <v>31.42</v>
      </c>
      <c r="J1853" s="241">
        <v>2.35</v>
      </c>
    </row>
    <row r="1854" spans="1:10" ht="42.75" x14ac:dyDescent="0.25">
      <c r="A1854" s="185" t="s">
        <v>119</v>
      </c>
      <c r="B1854" s="185" t="s">
        <v>1479</v>
      </c>
      <c r="C1854" s="185" t="s">
        <v>59</v>
      </c>
      <c r="D1854" s="185" t="s">
        <v>1480</v>
      </c>
      <c r="E1854" s="185" t="s">
        <v>754</v>
      </c>
      <c r="F1854" s="185"/>
      <c r="G1854" s="185" t="s">
        <v>60</v>
      </c>
      <c r="H1854" s="186">
        <v>7.51E-2</v>
      </c>
      <c r="I1854" s="241">
        <v>22.16</v>
      </c>
      <c r="J1854" s="241">
        <v>1.66</v>
      </c>
    </row>
    <row r="1855" spans="1:10" ht="57" x14ac:dyDescent="0.25">
      <c r="A1855" s="191" t="s">
        <v>62</v>
      </c>
      <c r="B1855" s="191" t="s">
        <v>1827</v>
      </c>
      <c r="C1855" s="191" t="s">
        <v>59</v>
      </c>
      <c r="D1855" s="191" t="s">
        <v>1828</v>
      </c>
      <c r="E1855" s="191" t="s">
        <v>120</v>
      </c>
      <c r="F1855" s="191"/>
      <c r="G1855" s="191" t="s">
        <v>61</v>
      </c>
      <c r="H1855" s="192">
        <v>1</v>
      </c>
      <c r="I1855" s="244">
        <v>7.48</v>
      </c>
      <c r="J1855" s="244">
        <v>7.48</v>
      </c>
    </row>
    <row r="1856" spans="1:10" ht="28.5" x14ac:dyDescent="0.25">
      <c r="A1856" s="191" t="s">
        <v>62</v>
      </c>
      <c r="B1856" s="191" t="s">
        <v>1483</v>
      </c>
      <c r="C1856" s="191" t="s">
        <v>59</v>
      </c>
      <c r="D1856" s="191" t="s">
        <v>1484</v>
      </c>
      <c r="E1856" s="191" t="s">
        <v>120</v>
      </c>
      <c r="F1856" s="191"/>
      <c r="G1856" s="191" t="s">
        <v>61</v>
      </c>
      <c r="H1856" s="192">
        <v>8.3999999999999995E-3</v>
      </c>
      <c r="I1856" s="244">
        <v>2</v>
      </c>
      <c r="J1856" s="244">
        <v>0.01</v>
      </c>
    </row>
    <row r="1857" spans="1:10" ht="28.5" x14ac:dyDescent="0.25">
      <c r="A1857" s="191" t="s">
        <v>62</v>
      </c>
      <c r="B1857" s="191" t="s">
        <v>1549</v>
      </c>
      <c r="C1857" s="191" t="s">
        <v>59</v>
      </c>
      <c r="D1857" s="191" t="s">
        <v>1550</v>
      </c>
      <c r="E1857" s="191" t="s">
        <v>120</v>
      </c>
      <c r="F1857" s="191"/>
      <c r="G1857" s="191" t="s">
        <v>61</v>
      </c>
      <c r="H1857" s="192">
        <v>9.4000000000000004E-3</v>
      </c>
      <c r="I1857" s="244">
        <v>63.09</v>
      </c>
      <c r="J1857" s="244">
        <v>0.59</v>
      </c>
    </row>
    <row r="1858" spans="1:10" ht="42.75" x14ac:dyDescent="0.25">
      <c r="A1858" s="191" t="s">
        <v>62</v>
      </c>
      <c r="B1858" s="191" t="s">
        <v>1551</v>
      </c>
      <c r="C1858" s="191" t="s">
        <v>59</v>
      </c>
      <c r="D1858" s="191" t="s">
        <v>1552</v>
      </c>
      <c r="E1858" s="191" t="s">
        <v>120</v>
      </c>
      <c r="F1858" s="191"/>
      <c r="G1858" s="191" t="s">
        <v>61</v>
      </c>
      <c r="H1858" s="192">
        <v>1.0999999999999999E-2</v>
      </c>
      <c r="I1858" s="244">
        <v>71.48</v>
      </c>
      <c r="J1858" s="244">
        <v>0.78</v>
      </c>
    </row>
    <row r="1859" spans="1:10" x14ac:dyDescent="0.25">
      <c r="A1859" s="187"/>
      <c r="B1859" s="187"/>
      <c r="C1859" s="187"/>
      <c r="D1859" s="187"/>
      <c r="E1859" s="187" t="s">
        <v>756</v>
      </c>
      <c r="F1859" s="188">
        <v>2.98</v>
      </c>
      <c r="G1859" s="187" t="s">
        <v>757</v>
      </c>
      <c r="H1859" s="188">
        <v>0</v>
      </c>
      <c r="I1859" s="242" t="s">
        <v>758</v>
      </c>
      <c r="J1859" s="242">
        <v>2.98</v>
      </c>
    </row>
    <row r="1860" spans="1:10" x14ac:dyDescent="0.25">
      <c r="A1860" s="187"/>
      <c r="B1860" s="187"/>
      <c r="C1860" s="187"/>
      <c r="D1860" s="187"/>
      <c r="E1860" s="187" t="s">
        <v>759</v>
      </c>
      <c r="F1860" s="188">
        <v>0</v>
      </c>
      <c r="G1860" s="187"/>
      <c r="H1860" s="187" t="s">
        <v>760</v>
      </c>
      <c r="I1860" s="242"/>
      <c r="J1860" s="242">
        <v>12.87</v>
      </c>
    </row>
    <row r="1861" spans="1:10" x14ac:dyDescent="0.25">
      <c r="A1861" s="182"/>
      <c r="B1861" s="182"/>
      <c r="C1861" s="182"/>
      <c r="D1861" s="182"/>
      <c r="E1861" s="182"/>
      <c r="F1861" s="182"/>
      <c r="G1861" s="182" t="s">
        <v>761</v>
      </c>
      <c r="H1861" s="189" t="s">
        <v>762</v>
      </c>
      <c r="I1861" s="239" t="s">
        <v>763</v>
      </c>
      <c r="J1861" s="239">
        <v>12.87</v>
      </c>
    </row>
    <row r="1862" spans="1:10" x14ac:dyDescent="0.25">
      <c r="A1862" s="183"/>
      <c r="B1862" s="183"/>
      <c r="C1862" s="183"/>
      <c r="D1862" s="183"/>
      <c r="E1862" s="183"/>
      <c r="F1862" s="183"/>
      <c r="G1862" s="183"/>
      <c r="H1862" s="183"/>
      <c r="I1862" s="240"/>
      <c r="J1862" s="240"/>
    </row>
    <row r="1863" spans="1:10" x14ac:dyDescent="0.25">
      <c r="A1863" s="182" t="s">
        <v>1829</v>
      </c>
      <c r="B1863" s="182" t="s">
        <v>66</v>
      </c>
      <c r="C1863" s="182" t="s">
        <v>64</v>
      </c>
      <c r="D1863" s="182" t="s">
        <v>67</v>
      </c>
      <c r="E1863" s="182" t="s">
        <v>65</v>
      </c>
      <c r="F1863" s="182"/>
      <c r="G1863" s="182" t="s">
        <v>744</v>
      </c>
      <c r="H1863" s="182" t="s">
        <v>69</v>
      </c>
      <c r="I1863" s="239" t="s">
        <v>745</v>
      </c>
      <c r="J1863" s="239" t="s">
        <v>0</v>
      </c>
    </row>
    <row r="1864" spans="1:10" ht="71.25" x14ac:dyDescent="0.25">
      <c r="A1864" s="183" t="s">
        <v>58</v>
      </c>
      <c r="B1864" s="183" t="s">
        <v>1830</v>
      </c>
      <c r="C1864" s="183" t="s">
        <v>59</v>
      </c>
      <c r="D1864" s="183" t="s">
        <v>1831</v>
      </c>
      <c r="E1864" s="183" t="s">
        <v>1818</v>
      </c>
      <c r="F1864" s="183"/>
      <c r="G1864" s="183" t="s">
        <v>61</v>
      </c>
      <c r="H1864" s="184">
        <v>1</v>
      </c>
      <c r="I1864" s="240">
        <v>8.64</v>
      </c>
      <c r="J1864" s="240">
        <v>8.64</v>
      </c>
    </row>
    <row r="1865" spans="1:10" ht="42.75" x14ac:dyDescent="0.25">
      <c r="A1865" s="185" t="s">
        <v>119</v>
      </c>
      <c r="B1865" s="185" t="s">
        <v>1479</v>
      </c>
      <c r="C1865" s="185" t="s">
        <v>59</v>
      </c>
      <c r="D1865" s="185" t="s">
        <v>1480</v>
      </c>
      <c r="E1865" s="185" t="s">
        <v>754</v>
      </c>
      <c r="F1865" s="185"/>
      <c r="G1865" s="185" t="s">
        <v>60</v>
      </c>
      <c r="H1865" s="186">
        <v>0.1108</v>
      </c>
      <c r="I1865" s="241">
        <v>22.16</v>
      </c>
      <c r="J1865" s="241">
        <v>2.4500000000000002</v>
      </c>
    </row>
    <row r="1866" spans="1:10" ht="71.25" x14ac:dyDescent="0.25">
      <c r="A1866" s="185" t="s">
        <v>119</v>
      </c>
      <c r="B1866" s="185" t="s">
        <v>1832</v>
      </c>
      <c r="C1866" s="185" t="s">
        <v>59</v>
      </c>
      <c r="D1866" s="185" t="s">
        <v>1833</v>
      </c>
      <c r="E1866" s="185" t="s">
        <v>807</v>
      </c>
      <c r="F1866" s="185"/>
      <c r="G1866" s="185" t="s">
        <v>117</v>
      </c>
      <c r="H1866" s="186">
        <v>7.5899999999999995E-2</v>
      </c>
      <c r="I1866" s="241">
        <v>0.79</v>
      </c>
      <c r="J1866" s="241">
        <v>0.05</v>
      </c>
    </row>
    <row r="1867" spans="1:10" ht="71.25" x14ac:dyDescent="0.25">
      <c r="A1867" s="185" t="s">
        <v>119</v>
      </c>
      <c r="B1867" s="185" t="s">
        <v>1834</v>
      </c>
      <c r="C1867" s="185" t="s">
        <v>59</v>
      </c>
      <c r="D1867" s="185" t="s">
        <v>1835</v>
      </c>
      <c r="E1867" s="185" t="s">
        <v>807</v>
      </c>
      <c r="F1867" s="185"/>
      <c r="G1867" s="185" t="s">
        <v>125</v>
      </c>
      <c r="H1867" s="186">
        <v>3.49E-2</v>
      </c>
      <c r="I1867" s="241">
        <v>0.03</v>
      </c>
      <c r="J1867" s="241">
        <v>0</v>
      </c>
    </row>
    <row r="1868" spans="1:10" ht="42.75" x14ac:dyDescent="0.25">
      <c r="A1868" s="185" t="s">
        <v>119</v>
      </c>
      <c r="B1868" s="185" t="s">
        <v>1481</v>
      </c>
      <c r="C1868" s="185" t="s">
        <v>59</v>
      </c>
      <c r="D1868" s="185" t="s">
        <v>1482</v>
      </c>
      <c r="E1868" s="185" t="s">
        <v>754</v>
      </c>
      <c r="F1868" s="185"/>
      <c r="G1868" s="185" t="s">
        <v>60</v>
      </c>
      <c r="H1868" s="186">
        <v>0.1108</v>
      </c>
      <c r="I1868" s="241">
        <v>31.42</v>
      </c>
      <c r="J1868" s="241">
        <v>3.48</v>
      </c>
    </row>
    <row r="1869" spans="1:10" ht="42.75" x14ac:dyDescent="0.25">
      <c r="A1869" s="191" t="s">
        <v>62</v>
      </c>
      <c r="B1869" s="191" t="s">
        <v>1836</v>
      </c>
      <c r="C1869" s="191" t="s">
        <v>59</v>
      </c>
      <c r="D1869" s="191" t="s">
        <v>1837</v>
      </c>
      <c r="E1869" s="191" t="s">
        <v>120</v>
      </c>
      <c r="F1869" s="191"/>
      <c r="G1869" s="191" t="s">
        <v>61</v>
      </c>
      <c r="H1869" s="192">
        <v>1</v>
      </c>
      <c r="I1869" s="244">
        <v>2.66</v>
      </c>
      <c r="J1869" s="244">
        <v>2.66</v>
      </c>
    </row>
    <row r="1870" spans="1:10" x14ac:dyDescent="0.25">
      <c r="A1870" s="187"/>
      <c r="B1870" s="187"/>
      <c r="C1870" s="187"/>
      <c r="D1870" s="187"/>
      <c r="E1870" s="187" t="s">
        <v>756</v>
      </c>
      <c r="F1870" s="188">
        <v>4.41</v>
      </c>
      <c r="G1870" s="187" t="s">
        <v>757</v>
      </c>
      <c r="H1870" s="188">
        <v>0</v>
      </c>
      <c r="I1870" s="242" t="s">
        <v>758</v>
      </c>
      <c r="J1870" s="242">
        <v>4.41</v>
      </c>
    </row>
    <row r="1871" spans="1:10" x14ac:dyDescent="0.25">
      <c r="A1871" s="187"/>
      <c r="B1871" s="187"/>
      <c r="C1871" s="187"/>
      <c r="D1871" s="187"/>
      <c r="E1871" s="187" t="s">
        <v>759</v>
      </c>
      <c r="F1871" s="188">
        <v>0</v>
      </c>
      <c r="G1871" s="187"/>
      <c r="H1871" s="187" t="s">
        <v>760</v>
      </c>
      <c r="I1871" s="242"/>
      <c r="J1871" s="242">
        <v>8.64</v>
      </c>
    </row>
    <row r="1872" spans="1:10" x14ac:dyDescent="0.25">
      <c r="A1872" s="182"/>
      <c r="B1872" s="182"/>
      <c r="C1872" s="182"/>
      <c r="D1872" s="182"/>
      <c r="E1872" s="182"/>
      <c r="F1872" s="182"/>
      <c r="G1872" s="182" t="s">
        <v>761</v>
      </c>
      <c r="H1872" s="189" t="s">
        <v>800</v>
      </c>
      <c r="I1872" s="239" t="s">
        <v>763</v>
      </c>
      <c r="J1872" s="239">
        <v>51.84</v>
      </c>
    </row>
    <row r="1873" spans="1:10" x14ac:dyDescent="0.25">
      <c r="A1873" s="183"/>
      <c r="B1873" s="183"/>
      <c r="C1873" s="183"/>
      <c r="D1873" s="183"/>
      <c r="E1873" s="183"/>
      <c r="F1873" s="183"/>
      <c r="G1873" s="183"/>
      <c r="H1873" s="183"/>
      <c r="I1873" s="240"/>
      <c r="J1873" s="240"/>
    </row>
    <row r="1874" spans="1:10" x14ac:dyDescent="0.25">
      <c r="A1874" s="182" t="s">
        <v>1838</v>
      </c>
      <c r="B1874" s="182" t="s">
        <v>66</v>
      </c>
      <c r="C1874" s="182" t="s">
        <v>64</v>
      </c>
      <c r="D1874" s="182" t="s">
        <v>67</v>
      </c>
      <c r="E1874" s="182" t="s">
        <v>65</v>
      </c>
      <c r="F1874" s="182"/>
      <c r="G1874" s="182" t="s">
        <v>744</v>
      </c>
      <c r="H1874" s="182" t="s">
        <v>69</v>
      </c>
      <c r="I1874" s="239" t="s">
        <v>745</v>
      </c>
      <c r="J1874" s="239" t="s">
        <v>0</v>
      </c>
    </row>
    <row r="1875" spans="1:10" ht="71.25" x14ac:dyDescent="0.25">
      <c r="A1875" s="183" t="s">
        <v>58</v>
      </c>
      <c r="B1875" s="183" t="s">
        <v>1839</v>
      </c>
      <c r="C1875" s="183" t="s">
        <v>59</v>
      </c>
      <c r="D1875" s="183" t="s">
        <v>1840</v>
      </c>
      <c r="E1875" s="183" t="s">
        <v>1681</v>
      </c>
      <c r="F1875" s="183"/>
      <c r="G1875" s="183" t="s">
        <v>61</v>
      </c>
      <c r="H1875" s="184">
        <v>1</v>
      </c>
      <c r="I1875" s="240">
        <v>17.829999999999998</v>
      </c>
      <c r="J1875" s="240">
        <v>17.829999999999998</v>
      </c>
    </row>
    <row r="1876" spans="1:10" ht="42.75" x14ac:dyDescent="0.25">
      <c r="A1876" s="185" t="s">
        <v>119</v>
      </c>
      <c r="B1876" s="185" t="s">
        <v>1481</v>
      </c>
      <c r="C1876" s="185" t="s">
        <v>59</v>
      </c>
      <c r="D1876" s="185" t="s">
        <v>1482</v>
      </c>
      <c r="E1876" s="185" t="s">
        <v>754</v>
      </c>
      <c r="F1876" s="185"/>
      <c r="G1876" s="185" t="s">
        <v>60</v>
      </c>
      <c r="H1876" s="186">
        <v>4.7100000000000003E-2</v>
      </c>
      <c r="I1876" s="241">
        <v>31.42</v>
      </c>
      <c r="J1876" s="241">
        <v>1.47</v>
      </c>
    </row>
    <row r="1877" spans="1:10" ht="42.75" x14ac:dyDescent="0.25">
      <c r="A1877" s="185" t="s">
        <v>119</v>
      </c>
      <c r="B1877" s="185" t="s">
        <v>1479</v>
      </c>
      <c r="C1877" s="185" t="s">
        <v>59</v>
      </c>
      <c r="D1877" s="185" t="s">
        <v>1480</v>
      </c>
      <c r="E1877" s="185" t="s">
        <v>754</v>
      </c>
      <c r="F1877" s="185"/>
      <c r="G1877" s="185" t="s">
        <v>60</v>
      </c>
      <c r="H1877" s="186">
        <v>4.7100000000000003E-2</v>
      </c>
      <c r="I1877" s="241">
        <v>22.16</v>
      </c>
      <c r="J1877" s="241">
        <v>1.04</v>
      </c>
    </row>
    <row r="1878" spans="1:10" ht="28.5" x14ac:dyDescent="0.25">
      <c r="A1878" s="191" t="s">
        <v>62</v>
      </c>
      <c r="B1878" s="191" t="s">
        <v>1483</v>
      </c>
      <c r="C1878" s="191" t="s">
        <v>59</v>
      </c>
      <c r="D1878" s="191" t="s">
        <v>1484</v>
      </c>
      <c r="E1878" s="191" t="s">
        <v>120</v>
      </c>
      <c r="F1878" s="191"/>
      <c r="G1878" s="191" t="s">
        <v>61</v>
      </c>
      <c r="H1878" s="192">
        <v>1.0800000000000001E-2</v>
      </c>
      <c r="I1878" s="244">
        <v>2</v>
      </c>
      <c r="J1878" s="244">
        <v>0.02</v>
      </c>
    </row>
    <row r="1879" spans="1:10" ht="42.75" x14ac:dyDescent="0.25">
      <c r="A1879" s="191" t="s">
        <v>62</v>
      </c>
      <c r="B1879" s="191" t="s">
        <v>1551</v>
      </c>
      <c r="C1879" s="191" t="s">
        <v>59</v>
      </c>
      <c r="D1879" s="191" t="s">
        <v>1552</v>
      </c>
      <c r="E1879" s="191" t="s">
        <v>120</v>
      </c>
      <c r="F1879" s="191"/>
      <c r="G1879" s="191" t="s">
        <v>61</v>
      </c>
      <c r="H1879" s="192">
        <v>8.0000000000000002E-3</v>
      </c>
      <c r="I1879" s="244">
        <v>71.48</v>
      </c>
      <c r="J1879" s="244">
        <v>0.56999999999999995</v>
      </c>
    </row>
    <row r="1880" spans="1:10" ht="42.75" x14ac:dyDescent="0.25">
      <c r="A1880" s="191" t="s">
        <v>62</v>
      </c>
      <c r="B1880" s="191" t="s">
        <v>1734</v>
      </c>
      <c r="C1880" s="191" t="s">
        <v>59</v>
      </c>
      <c r="D1880" s="191" t="s">
        <v>1735</v>
      </c>
      <c r="E1880" s="191" t="s">
        <v>120</v>
      </c>
      <c r="F1880" s="191"/>
      <c r="G1880" s="191" t="s">
        <v>61</v>
      </c>
      <c r="H1880" s="192">
        <v>1</v>
      </c>
      <c r="I1880" s="244">
        <v>14.29</v>
      </c>
      <c r="J1880" s="244">
        <v>14.29</v>
      </c>
    </row>
    <row r="1881" spans="1:10" ht="28.5" x14ac:dyDescent="0.25">
      <c r="A1881" s="191" t="s">
        <v>62</v>
      </c>
      <c r="B1881" s="191" t="s">
        <v>1549</v>
      </c>
      <c r="C1881" s="191" t="s">
        <v>59</v>
      </c>
      <c r="D1881" s="191" t="s">
        <v>1550</v>
      </c>
      <c r="E1881" s="191" t="s">
        <v>120</v>
      </c>
      <c r="F1881" s="191"/>
      <c r="G1881" s="191" t="s">
        <v>61</v>
      </c>
      <c r="H1881" s="192">
        <v>7.1000000000000004E-3</v>
      </c>
      <c r="I1881" s="244">
        <v>63.09</v>
      </c>
      <c r="J1881" s="244">
        <v>0.44</v>
      </c>
    </row>
    <row r="1882" spans="1:10" x14ac:dyDescent="0.25">
      <c r="A1882" s="187"/>
      <c r="B1882" s="187"/>
      <c r="C1882" s="187"/>
      <c r="D1882" s="187"/>
      <c r="E1882" s="187" t="s">
        <v>756</v>
      </c>
      <c r="F1882" s="188">
        <v>1.87</v>
      </c>
      <c r="G1882" s="187" t="s">
        <v>757</v>
      </c>
      <c r="H1882" s="188">
        <v>0</v>
      </c>
      <c r="I1882" s="242" t="s">
        <v>758</v>
      </c>
      <c r="J1882" s="242">
        <v>1.87</v>
      </c>
    </row>
    <row r="1883" spans="1:10" x14ac:dyDescent="0.25">
      <c r="A1883" s="187"/>
      <c r="B1883" s="187"/>
      <c r="C1883" s="187"/>
      <c r="D1883" s="187"/>
      <c r="E1883" s="187" t="s">
        <v>759</v>
      </c>
      <c r="F1883" s="188">
        <v>0</v>
      </c>
      <c r="G1883" s="187"/>
      <c r="H1883" s="187" t="s">
        <v>760</v>
      </c>
      <c r="I1883" s="242"/>
      <c r="J1883" s="242">
        <v>17.829999999999998</v>
      </c>
    </row>
    <row r="1884" spans="1:10" x14ac:dyDescent="0.25">
      <c r="A1884" s="182"/>
      <c r="B1884" s="182"/>
      <c r="C1884" s="182"/>
      <c r="D1884" s="182"/>
      <c r="E1884" s="182"/>
      <c r="F1884" s="182"/>
      <c r="G1884" s="182" t="s">
        <v>761</v>
      </c>
      <c r="H1884" s="189" t="s">
        <v>762</v>
      </c>
      <c r="I1884" s="239" t="s">
        <v>763</v>
      </c>
      <c r="J1884" s="239">
        <v>17.829999999999998</v>
      </c>
    </row>
    <row r="1885" spans="1:10" x14ac:dyDescent="0.25">
      <c r="A1885" s="183"/>
      <c r="B1885" s="183"/>
      <c r="C1885" s="183"/>
      <c r="D1885" s="183"/>
      <c r="E1885" s="183"/>
      <c r="F1885" s="183"/>
      <c r="G1885" s="183"/>
      <c r="H1885" s="183"/>
      <c r="I1885" s="240"/>
      <c r="J1885" s="240"/>
    </row>
    <row r="1886" spans="1:10" x14ac:dyDescent="0.25">
      <c r="A1886" s="182" t="s">
        <v>1841</v>
      </c>
      <c r="B1886" s="182" t="s">
        <v>66</v>
      </c>
      <c r="C1886" s="182" t="s">
        <v>64</v>
      </c>
      <c r="D1886" s="182" t="s">
        <v>67</v>
      </c>
      <c r="E1886" s="182" t="s">
        <v>65</v>
      </c>
      <c r="F1886" s="182"/>
      <c r="G1886" s="182" t="s">
        <v>744</v>
      </c>
      <c r="H1886" s="182" t="s">
        <v>69</v>
      </c>
      <c r="I1886" s="239" t="s">
        <v>745</v>
      </c>
      <c r="J1886" s="239" t="s">
        <v>0</v>
      </c>
    </row>
    <row r="1887" spans="1:10" ht="71.25" x14ac:dyDescent="0.25">
      <c r="A1887" s="183" t="s">
        <v>58</v>
      </c>
      <c r="B1887" s="183" t="s">
        <v>1842</v>
      </c>
      <c r="C1887" s="183" t="s">
        <v>59</v>
      </c>
      <c r="D1887" s="183" t="s">
        <v>1843</v>
      </c>
      <c r="E1887" s="183" t="s">
        <v>1818</v>
      </c>
      <c r="F1887" s="183"/>
      <c r="G1887" s="183" t="s">
        <v>61</v>
      </c>
      <c r="H1887" s="184">
        <v>1</v>
      </c>
      <c r="I1887" s="240">
        <v>10.27</v>
      </c>
      <c r="J1887" s="240">
        <v>10.27</v>
      </c>
    </row>
    <row r="1888" spans="1:10" ht="42.75" x14ac:dyDescent="0.25">
      <c r="A1888" s="185" t="s">
        <v>119</v>
      </c>
      <c r="B1888" s="185" t="s">
        <v>1481</v>
      </c>
      <c r="C1888" s="185" t="s">
        <v>59</v>
      </c>
      <c r="D1888" s="185" t="s">
        <v>1482</v>
      </c>
      <c r="E1888" s="185" t="s">
        <v>754</v>
      </c>
      <c r="F1888" s="185"/>
      <c r="G1888" s="185" t="s">
        <v>60</v>
      </c>
      <c r="H1888" s="186">
        <v>6.7000000000000004E-2</v>
      </c>
      <c r="I1888" s="241">
        <v>31.42</v>
      </c>
      <c r="J1888" s="241">
        <v>2.1</v>
      </c>
    </row>
    <row r="1889" spans="1:10" ht="42.75" x14ac:dyDescent="0.25">
      <c r="A1889" s="185" t="s">
        <v>119</v>
      </c>
      <c r="B1889" s="185" t="s">
        <v>1479</v>
      </c>
      <c r="C1889" s="185" t="s">
        <v>59</v>
      </c>
      <c r="D1889" s="185" t="s">
        <v>1480</v>
      </c>
      <c r="E1889" s="185" t="s">
        <v>754</v>
      </c>
      <c r="F1889" s="185"/>
      <c r="G1889" s="185" t="s">
        <v>60</v>
      </c>
      <c r="H1889" s="186">
        <v>6.7000000000000004E-2</v>
      </c>
      <c r="I1889" s="241">
        <v>22.16</v>
      </c>
      <c r="J1889" s="241">
        <v>1.48</v>
      </c>
    </row>
    <row r="1890" spans="1:10" ht="28.5" x14ac:dyDescent="0.25">
      <c r="A1890" s="191" t="s">
        <v>62</v>
      </c>
      <c r="B1890" s="191" t="s">
        <v>1549</v>
      </c>
      <c r="C1890" s="191" t="s">
        <v>59</v>
      </c>
      <c r="D1890" s="191" t="s">
        <v>1550</v>
      </c>
      <c r="E1890" s="191" t="s">
        <v>120</v>
      </c>
      <c r="F1890" s="191"/>
      <c r="G1890" s="191" t="s">
        <v>61</v>
      </c>
      <c r="H1890" s="192">
        <v>1.18E-2</v>
      </c>
      <c r="I1890" s="244">
        <v>63.09</v>
      </c>
      <c r="J1890" s="244">
        <v>0.74</v>
      </c>
    </row>
    <row r="1891" spans="1:10" ht="42.75" x14ac:dyDescent="0.25">
      <c r="A1891" s="191" t="s">
        <v>62</v>
      </c>
      <c r="B1891" s="191" t="s">
        <v>1551</v>
      </c>
      <c r="C1891" s="191" t="s">
        <v>59</v>
      </c>
      <c r="D1891" s="191" t="s">
        <v>1552</v>
      </c>
      <c r="E1891" s="191" t="s">
        <v>120</v>
      </c>
      <c r="F1891" s="191"/>
      <c r="G1891" s="191" t="s">
        <v>61</v>
      </c>
      <c r="H1891" s="192">
        <v>1.4E-2</v>
      </c>
      <c r="I1891" s="244">
        <v>71.48</v>
      </c>
      <c r="J1891" s="244">
        <v>1</v>
      </c>
    </row>
    <row r="1892" spans="1:10" ht="28.5" x14ac:dyDescent="0.25">
      <c r="A1892" s="191" t="s">
        <v>62</v>
      </c>
      <c r="B1892" s="191" t="s">
        <v>1483</v>
      </c>
      <c r="C1892" s="191" t="s">
        <v>59</v>
      </c>
      <c r="D1892" s="191" t="s">
        <v>1484</v>
      </c>
      <c r="E1892" s="191" t="s">
        <v>120</v>
      </c>
      <c r="F1892" s="191"/>
      <c r="G1892" s="191" t="s">
        <v>61</v>
      </c>
      <c r="H1892" s="192">
        <v>1.12E-2</v>
      </c>
      <c r="I1892" s="244">
        <v>2</v>
      </c>
      <c r="J1892" s="244">
        <v>0.02</v>
      </c>
    </row>
    <row r="1893" spans="1:10" ht="28.5" x14ac:dyDescent="0.25">
      <c r="A1893" s="191" t="s">
        <v>62</v>
      </c>
      <c r="B1893" s="191" t="s">
        <v>1844</v>
      </c>
      <c r="C1893" s="191" t="s">
        <v>59</v>
      </c>
      <c r="D1893" s="191" t="s">
        <v>1845</v>
      </c>
      <c r="E1893" s="191" t="s">
        <v>120</v>
      </c>
      <c r="F1893" s="191"/>
      <c r="G1893" s="191" t="s">
        <v>61</v>
      </c>
      <c r="H1893" s="192">
        <v>1</v>
      </c>
      <c r="I1893" s="244">
        <v>4.93</v>
      </c>
      <c r="J1893" s="244">
        <v>4.93</v>
      </c>
    </row>
    <row r="1894" spans="1:10" x14ac:dyDescent="0.25">
      <c r="A1894" s="187"/>
      <c r="B1894" s="187"/>
      <c r="C1894" s="187"/>
      <c r="D1894" s="187"/>
      <c r="E1894" s="187" t="s">
        <v>756</v>
      </c>
      <c r="F1894" s="188">
        <v>2.66</v>
      </c>
      <c r="G1894" s="187" t="s">
        <v>757</v>
      </c>
      <c r="H1894" s="188">
        <v>0</v>
      </c>
      <c r="I1894" s="242" t="s">
        <v>758</v>
      </c>
      <c r="J1894" s="242">
        <v>2.66</v>
      </c>
    </row>
    <row r="1895" spans="1:10" x14ac:dyDescent="0.25">
      <c r="A1895" s="187"/>
      <c r="B1895" s="187"/>
      <c r="C1895" s="187"/>
      <c r="D1895" s="187"/>
      <c r="E1895" s="187" t="s">
        <v>759</v>
      </c>
      <c r="F1895" s="188">
        <v>0</v>
      </c>
      <c r="G1895" s="187"/>
      <c r="H1895" s="187" t="s">
        <v>760</v>
      </c>
      <c r="I1895" s="242"/>
      <c r="J1895" s="242">
        <v>10.27</v>
      </c>
    </row>
    <row r="1896" spans="1:10" x14ac:dyDescent="0.25">
      <c r="A1896" s="182"/>
      <c r="B1896" s="182"/>
      <c r="C1896" s="182"/>
      <c r="D1896" s="182"/>
      <c r="E1896" s="182"/>
      <c r="F1896" s="182"/>
      <c r="G1896" s="182" t="s">
        <v>761</v>
      </c>
      <c r="H1896" s="189" t="s">
        <v>1260</v>
      </c>
      <c r="I1896" s="239" t="s">
        <v>763</v>
      </c>
      <c r="J1896" s="239">
        <v>30.81</v>
      </c>
    </row>
    <row r="1897" spans="1:10" x14ac:dyDescent="0.25">
      <c r="A1897" s="183"/>
      <c r="B1897" s="183"/>
      <c r="C1897" s="183"/>
      <c r="D1897" s="183"/>
      <c r="E1897" s="183"/>
      <c r="F1897" s="183"/>
      <c r="G1897" s="183"/>
      <c r="H1897" s="183"/>
      <c r="I1897" s="240"/>
      <c r="J1897" s="240"/>
    </row>
    <row r="1898" spans="1:10" x14ac:dyDescent="0.25">
      <c r="A1898" s="182" t="s">
        <v>1846</v>
      </c>
      <c r="B1898" s="182" t="s">
        <v>66</v>
      </c>
      <c r="C1898" s="182" t="s">
        <v>64</v>
      </c>
      <c r="D1898" s="182" t="s">
        <v>67</v>
      </c>
      <c r="E1898" s="182" t="s">
        <v>65</v>
      </c>
      <c r="F1898" s="182"/>
      <c r="G1898" s="182" t="s">
        <v>744</v>
      </c>
      <c r="H1898" s="182" t="s">
        <v>69</v>
      </c>
      <c r="I1898" s="239" t="s">
        <v>745</v>
      </c>
      <c r="J1898" s="239" t="s">
        <v>0</v>
      </c>
    </row>
    <row r="1899" spans="1:10" ht="57" x14ac:dyDescent="0.25">
      <c r="A1899" s="183" t="s">
        <v>58</v>
      </c>
      <c r="B1899" s="183" t="s">
        <v>1847</v>
      </c>
      <c r="C1899" s="183" t="s">
        <v>59</v>
      </c>
      <c r="D1899" s="183" t="s">
        <v>1848</v>
      </c>
      <c r="E1899" s="183" t="s">
        <v>1849</v>
      </c>
      <c r="F1899" s="183"/>
      <c r="G1899" s="183" t="s">
        <v>61</v>
      </c>
      <c r="H1899" s="184">
        <v>1</v>
      </c>
      <c r="I1899" s="240">
        <v>43.02</v>
      </c>
      <c r="J1899" s="240">
        <v>43.02</v>
      </c>
    </row>
    <row r="1900" spans="1:10" ht="42.75" x14ac:dyDescent="0.25">
      <c r="A1900" s="185" t="s">
        <v>119</v>
      </c>
      <c r="B1900" s="185" t="s">
        <v>1481</v>
      </c>
      <c r="C1900" s="185" t="s">
        <v>59</v>
      </c>
      <c r="D1900" s="185" t="s">
        <v>1482</v>
      </c>
      <c r="E1900" s="185" t="s">
        <v>754</v>
      </c>
      <c r="F1900" s="185"/>
      <c r="G1900" s="185" t="s">
        <v>60</v>
      </c>
      <c r="H1900" s="186">
        <v>0.1242</v>
      </c>
      <c r="I1900" s="241">
        <v>31.42</v>
      </c>
      <c r="J1900" s="241">
        <v>3.9</v>
      </c>
    </row>
    <row r="1901" spans="1:10" ht="42.75" x14ac:dyDescent="0.25">
      <c r="A1901" s="185" t="s">
        <v>119</v>
      </c>
      <c r="B1901" s="185" t="s">
        <v>1479</v>
      </c>
      <c r="C1901" s="185" t="s">
        <v>59</v>
      </c>
      <c r="D1901" s="185" t="s">
        <v>1480</v>
      </c>
      <c r="E1901" s="185" t="s">
        <v>754</v>
      </c>
      <c r="F1901" s="185"/>
      <c r="G1901" s="185" t="s">
        <v>60</v>
      </c>
      <c r="H1901" s="186">
        <v>0.1242</v>
      </c>
      <c r="I1901" s="241">
        <v>22.16</v>
      </c>
      <c r="J1901" s="241">
        <v>2.75</v>
      </c>
    </row>
    <row r="1902" spans="1:10" ht="71.25" x14ac:dyDescent="0.25">
      <c r="A1902" s="191" t="s">
        <v>62</v>
      </c>
      <c r="B1902" s="191" t="s">
        <v>1850</v>
      </c>
      <c r="C1902" s="191" t="s">
        <v>59</v>
      </c>
      <c r="D1902" s="191" t="s">
        <v>1851</v>
      </c>
      <c r="E1902" s="191" t="s">
        <v>120</v>
      </c>
      <c r="F1902" s="191"/>
      <c r="G1902" s="191" t="s">
        <v>61</v>
      </c>
      <c r="H1902" s="192">
        <v>1</v>
      </c>
      <c r="I1902" s="244">
        <v>36.32</v>
      </c>
      <c r="J1902" s="244">
        <v>36.32</v>
      </c>
    </row>
    <row r="1903" spans="1:10" ht="28.5" x14ac:dyDescent="0.25">
      <c r="A1903" s="191" t="s">
        <v>62</v>
      </c>
      <c r="B1903" s="191" t="s">
        <v>1852</v>
      </c>
      <c r="C1903" s="191" t="s">
        <v>59</v>
      </c>
      <c r="D1903" s="191" t="s">
        <v>1853</v>
      </c>
      <c r="E1903" s="191" t="s">
        <v>120</v>
      </c>
      <c r="F1903" s="191"/>
      <c r="G1903" s="191" t="s">
        <v>61</v>
      </c>
      <c r="H1903" s="192">
        <v>4.1999999999999997E-3</v>
      </c>
      <c r="I1903" s="244">
        <v>12.17</v>
      </c>
      <c r="J1903" s="244">
        <v>0.05</v>
      </c>
    </row>
    <row r="1904" spans="1:10" x14ac:dyDescent="0.25">
      <c r="A1904" s="187"/>
      <c r="B1904" s="187"/>
      <c r="C1904" s="187"/>
      <c r="D1904" s="187"/>
      <c r="E1904" s="187" t="s">
        <v>756</v>
      </c>
      <c r="F1904" s="188">
        <v>4.95</v>
      </c>
      <c r="G1904" s="187" t="s">
        <v>757</v>
      </c>
      <c r="H1904" s="188">
        <v>0</v>
      </c>
      <c r="I1904" s="242" t="s">
        <v>758</v>
      </c>
      <c r="J1904" s="242">
        <v>4.95</v>
      </c>
    </row>
    <row r="1905" spans="1:10" x14ac:dyDescent="0.25">
      <c r="A1905" s="187"/>
      <c r="B1905" s="187"/>
      <c r="C1905" s="187"/>
      <c r="D1905" s="187"/>
      <c r="E1905" s="187" t="s">
        <v>759</v>
      </c>
      <c r="F1905" s="188">
        <v>0</v>
      </c>
      <c r="G1905" s="187"/>
      <c r="H1905" s="187" t="s">
        <v>760</v>
      </c>
      <c r="I1905" s="242"/>
      <c r="J1905" s="242">
        <v>43.02</v>
      </c>
    </row>
    <row r="1906" spans="1:10" x14ac:dyDescent="0.25">
      <c r="A1906" s="182"/>
      <c r="B1906" s="182"/>
      <c r="C1906" s="182"/>
      <c r="D1906" s="182"/>
      <c r="E1906" s="182"/>
      <c r="F1906" s="182"/>
      <c r="G1906" s="182" t="s">
        <v>761</v>
      </c>
      <c r="H1906" s="189" t="s">
        <v>762</v>
      </c>
      <c r="I1906" s="239" t="s">
        <v>763</v>
      </c>
      <c r="J1906" s="239">
        <v>43.02</v>
      </c>
    </row>
    <row r="1907" spans="1:10" x14ac:dyDescent="0.25">
      <c r="A1907" s="183"/>
      <c r="B1907" s="183"/>
      <c r="C1907" s="183"/>
      <c r="D1907" s="183"/>
      <c r="E1907" s="183"/>
      <c r="F1907" s="183"/>
      <c r="G1907" s="183"/>
      <c r="H1907" s="183"/>
      <c r="I1907" s="240"/>
      <c r="J1907" s="240"/>
    </row>
    <row r="1908" spans="1:10" x14ac:dyDescent="0.25">
      <c r="A1908" s="182" t="s">
        <v>1854</v>
      </c>
      <c r="B1908" s="182" t="s">
        <v>66</v>
      </c>
      <c r="C1908" s="182" t="s">
        <v>64</v>
      </c>
      <c r="D1908" s="182" t="s">
        <v>67</v>
      </c>
      <c r="E1908" s="182" t="s">
        <v>65</v>
      </c>
      <c r="F1908" s="182"/>
      <c r="G1908" s="182" t="s">
        <v>744</v>
      </c>
      <c r="H1908" s="182" t="s">
        <v>69</v>
      </c>
      <c r="I1908" s="239" t="s">
        <v>745</v>
      </c>
      <c r="J1908" s="239" t="s">
        <v>0</v>
      </c>
    </row>
    <row r="1909" spans="1:10" ht="71.25" x14ac:dyDescent="0.25">
      <c r="A1909" s="183" t="s">
        <v>58</v>
      </c>
      <c r="B1909" s="183" t="s">
        <v>1855</v>
      </c>
      <c r="C1909" s="183" t="s">
        <v>59</v>
      </c>
      <c r="D1909" s="183" t="s">
        <v>1856</v>
      </c>
      <c r="E1909" s="183" t="s">
        <v>1818</v>
      </c>
      <c r="F1909" s="183"/>
      <c r="G1909" s="183" t="s">
        <v>116</v>
      </c>
      <c r="H1909" s="184">
        <v>1</v>
      </c>
      <c r="I1909" s="240">
        <v>7.52</v>
      </c>
      <c r="J1909" s="240">
        <v>7.52</v>
      </c>
    </row>
    <row r="1910" spans="1:10" ht="42.75" x14ac:dyDescent="0.25">
      <c r="A1910" s="185" t="s">
        <v>119</v>
      </c>
      <c r="B1910" s="185" t="s">
        <v>1481</v>
      </c>
      <c r="C1910" s="185" t="s">
        <v>59</v>
      </c>
      <c r="D1910" s="185" t="s">
        <v>1482</v>
      </c>
      <c r="E1910" s="185" t="s">
        <v>754</v>
      </c>
      <c r="F1910" s="185"/>
      <c r="G1910" s="185" t="s">
        <v>60</v>
      </c>
      <c r="H1910" s="186">
        <v>4.6300000000000001E-2</v>
      </c>
      <c r="I1910" s="241">
        <v>31.42</v>
      </c>
      <c r="J1910" s="241">
        <v>1.45</v>
      </c>
    </row>
    <row r="1911" spans="1:10" ht="42.75" x14ac:dyDescent="0.25">
      <c r="A1911" s="185" t="s">
        <v>119</v>
      </c>
      <c r="B1911" s="185" t="s">
        <v>1479</v>
      </c>
      <c r="C1911" s="185" t="s">
        <v>59</v>
      </c>
      <c r="D1911" s="185" t="s">
        <v>1480</v>
      </c>
      <c r="E1911" s="185" t="s">
        <v>754</v>
      </c>
      <c r="F1911" s="185"/>
      <c r="G1911" s="185" t="s">
        <v>60</v>
      </c>
      <c r="H1911" s="186">
        <v>4.6300000000000001E-2</v>
      </c>
      <c r="I1911" s="241">
        <v>22.16</v>
      </c>
      <c r="J1911" s="241">
        <v>1.02</v>
      </c>
    </row>
    <row r="1912" spans="1:10" ht="28.5" x14ac:dyDescent="0.25">
      <c r="A1912" s="191" t="s">
        <v>62</v>
      </c>
      <c r="B1912" s="191" t="s">
        <v>1483</v>
      </c>
      <c r="C1912" s="191" t="s">
        <v>59</v>
      </c>
      <c r="D1912" s="191" t="s">
        <v>1484</v>
      </c>
      <c r="E1912" s="191" t="s">
        <v>120</v>
      </c>
      <c r="F1912" s="191"/>
      <c r="G1912" s="191" t="s">
        <v>61</v>
      </c>
      <c r="H1912" s="192">
        <v>5.1000000000000004E-3</v>
      </c>
      <c r="I1912" s="244">
        <v>2</v>
      </c>
      <c r="J1912" s="244">
        <v>0.01</v>
      </c>
    </row>
    <row r="1913" spans="1:10" ht="28.5" x14ac:dyDescent="0.25">
      <c r="A1913" s="191" t="s">
        <v>62</v>
      </c>
      <c r="B1913" s="191" t="s">
        <v>1687</v>
      </c>
      <c r="C1913" s="191" t="s">
        <v>59</v>
      </c>
      <c r="D1913" s="191" t="s">
        <v>1688</v>
      </c>
      <c r="E1913" s="191" t="s">
        <v>120</v>
      </c>
      <c r="F1913" s="191"/>
      <c r="G1913" s="191" t="s">
        <v>116</v>
      </c>
      <c r="H1913" s="192">
        <v>1.0492999999999999</v>
      </c>
      <c r="I1913" s="244">
        <v>4.8099999999999996</v>
      </c>
      <c r="J1913" s="244">
        <v>5.04</v>
      </c>
    </row>
    <row r="1914" spans="1:10" x14ac:dyDescent="0.25">
      <c r="A1914" s="187"/>
      <c r="B1914" s="187"/>
      <c r="C1914" s="187"/>
      <c r="D1914" s="187"/>
      <c r="E1914" s="187" t="s">
        <v>756</v>
      </c>
      <c r="F1914" s="188">
        <v>1.83</v>
      </c>
      <c r="G1914" s="187" t="s">
        <v>757</v>
      </c>
      <c r="H1914" s="188">
        <v>0</v>
      </c>
      <c r="I1914" s="242" t="s">
        <v>758</v>
      </c>
      <c r="J1914" s="242">
        <v>1.83</v>
      </c>
    </row>
    <row r="1915" spans="1:10" x14ac:dyDescent="0.25">
      <c r="A1915" s="187"/>
      <c r="B1915" s="187"/>
      <c r="C1915" s="187"/>
      <c r="D1915" s="187"/>
      <c r="E1915" s="187" t="s">
        <v>759</v>
      </c>
      <c r="F1915" s="188">
        <v>0</v>
      </c>
      <c r="G1915" s="187"/>
      <c r="H1915" s="187" t="s">
        <v>760</v>
      </c>
      <c r="I1915" s="242"/>
      <c r="J1915" s="242">
        <v>7.52</v>
      </c>
    </row>
    <row r="1916" spans="1:10" x14ac:dyDescent="0.25">
      <c r="A1916" s="182"/>
      <c r="B1916" s="182"/>
      <c r="C1916" s="182"/>
      <c r="D1916" s="182"/>
      <c r="E1916" s="182"/>
      <c r="F1916" s="182"/>
      <c r="G1916" s="182" t="s">
        <v>761</v>
      </c>
      <c r="H1916" s="189" t="s">
        <v>1857</v>
      </c>
      <c r="I1916" s="239" t="s">
        <v>763</v>
      </c>
      <c r="J1916" s="239">
        <v>67.37</v>
      </c>
    </row>
    <row r="1917" spans="1:10" x14ac:dyDescent="0.25">
      <c r="A1917" s="183"/>
      <c r="B1917" s="183"/>
      <c r="C1917" s="183"/>
      <c r="D1917" s="183"/>
      <c r="E1917" s="183"/>
      <c r="F1917" s="183"/>
      <c r="G1917" s="183"/>
      <c r="H1917" s="183"/>
      <c r="I1917" s="240"/>
      <c r="J1917" s="240"/>
    </row>
    <row r="1918" spans="1:10" x14ac:dyDescent="0.25">
      <c r="A1918" s="182" t="s">
        <v>1858</v>
      </c>
      <c r="B1918" s="182" t="s">
        <v>66</v>
      </c>
      <c r="C1918" s="182" t="s">
        <v>64</v>
      </c>
      <c r="D1918" s="182" t="s">
        <v>67</v>
      </c>
      <c r="E1918" s="182" t="s">
        <v>65</v>
      </c>
      <c r="F1918" s="182"/>
      <c r="G1918" s="182" t="s">
        <v>744</v>
      </c>
      <c r="H1918" s="182" t="s">
        <v>69</v>
      </c>
      <c r="I1918" s="239" t="s">
        <v>745</v>
      </c>
      <c r="J1918" s="239" t="s">
        <v>0</v>
      </c>
    </row>
    <row r="1919" spans="1:10" ht="71.25" x14ac:dyDescent="0.25">
      <c r="A1919" s="183" t="s">
        <v>58</v>
      </c>
      <c r="B1919" s="183" t="s">
        <v>1859</v>
      </c>
      <c r="C1919" s="183" t="s">
        <v>59</v>
      </c>
      <c r="D1919" s="183" t="s">
        <v>1860</v>
      </c>
      <c r="E1919" s="183" t="s">
        <v>1818</v>
      </c>
      <c r="F1919" s="183"/>
      <c r="G1919" s="183" t="s">
        <v>116</v>
      </c>
      <c r="H1919" s="184">
        <v>1</v>
      </c>
      <c r="I1919" s="240">
        <v>14.14</v>
      </c>
      <c r="J1919" s="240">
        <v>14.14</v>
      </c>
    </row>
    <row r="1920" spans="1:10" ht="42.75" x14ac:dyDescent="0.25">
      <c r="A1920" s="185" t="s">
        <v>119</v>
      </c>
      <c r="B1920" s="185" t="s">
        <v>1479</v>
      </c>
      <c r="C1920" s="185" t="s">
        <v>59</v>
      </c>
      <c r="D1920" s="185" t="s">
        <v>1480</v>
      </c>
      <c r="E1920" s="185" t="s">
        <v>754</v>
      </c>
      <c r="F1920" s="185"/>
      <c r="G1920" s="185" t="s">
        <v>60</v>
      </c>
      <c r="H1920" s="186">
        <v>6.0499999999999998E-2</v>
      </c>
      <c r="I1920" s="241">
        <v>22.16</v>
      </c>
      <c r="J1920" s="241">
        <v>1.34</v>
      </c>
    </row>
    <row r="1921" spans="1:10" ht="42.75" x14ac:dyDescent="0.25">
      <c r="A1921" s="185" t="s">
        <v>119</v>
      </c>
      <c r="B1921" s="185" t="s">
        <v>1481</v>
      </c>
      <c r="C1921" s="185" t="s">
        <v>59</v>
      </c>
      <c r="D1921" s="185" t="s">
        <v>1482</v>
      </c>
      <c r="E1921" s="185" t="s">
        <v>754</v>
      </c>
      <c r="F1921" s="185"/>
      <c r="G1921" s="185" t="s">
        <v>60</v>
      </c>
      <c r="H1921" s="186">
        <v>6.0499999999999998E-2</v>
      </c>
      <c r="I1921" s="241">
        <v>31.42</v>
      </c>
      <c r="J1921" s="241">
        <v>1.9</v>
      </c>
    </row>
    <row r="1922" spans="1:10" ht="28.5" x14ac:dyDescent="0.25">
      <c r="A1922" s="191" t="s">
        <v>62</v>
      </c>
      <c r="B1922" s="191" t="s">
        <v>1483</v>
      </c>
      <c r="C1922" s="191" t="s">
        <v>59</v>
      </c>
      <c r="D1922" s="191" t="s">
        <v>1484</v>
      </c>
      <c r="E1922" s="191" t="s">
        <v>120</v>
      </c>
      <c r="F1922" s="191"/>
      <c r="G1922" s="191" t="s">
        <v>61</v>
      </c>
      <c r="H1922" s="192">
        <v>6.7000000000000002E-3</v>
      </c>
      <c r="I1922" s="244">
        <v>2</v>
      </c>
      <c r="J1922" s="244">
        <v>0.01</v>
      </c>
    </row>
    <row r="1923" spans="1:10" ht="28.5" x14ac:dyDescent="0.25">
      <c r="A1923" s="191" t="s">
        <v>62</v>
      </c>
      <c r="B1923" s="191" t="s">
        <v>1861</v>
      </c>
      <c r="C1923" s="191" t="s">
        <v>59</v>
      </c>
      <c r="D1923" s="191" t="s">
        <v>1862</v>
      </c>
      <c r="E1923" s="191" t="s">
        <v>120</v>
      </c>
      <c r="F1923" s="191"/>
      <c r="G1923" s="191" t="s">
        <v>116</v>
      </c>
      <c r="H1923" s="192">
        <v>1.0492999999999999</v>
      </c>
      <c r="I1923" s="244">
        <v>10.38</v>
      </c>
      <c r="J1923" s="244">
        <v>10.89</v>
      </c>
    </row>
    <row r="1924" spans="1:10" x14ac:dyDescent="0.25">
      <c r="A1924" s="187"/>
      <c r="B1924" s="187"/>
      <c r="C1924" s="187"/>
      <c r="D1924" s="187"/>
      <c r="E1924" s="187" t="s">
        <v>756</v>
      </c>
      <c r="F1924" s="188">
        <v>2.4</v>
      </c>
      <c r="G1924" s="187" t="s">
        <v>757</v>
      </c>
      <c r="H1924" s="188">
        <v>0</v>
      </c>
      <c r="I1924" s="242" t="s">
        <v>758</v>
      </c>
      <c r="J1924" s="242">
        <v>2.4</v>
      </c>
    </row>
    <row r="1925" spans="1:10" x14ac:dyDescent="0.25">
      <c r="A1925" s="187"/>
      <c r="B1925" s="187"/>
      <c r="C1925" s="187"/>
      <c r="D1925" s="187"/>
      <c r="E1925" s="187" t="s">
        <v>759</v>
      </c>
      <c r="F1925" s="188">
        <v>0</v>
      </c>
      <c r="G1925" s="187"/>
      <c r="H1925" s="187" t="s">
        <v>760</v>
      </c>
      <c r="I1925" s="242"/>
      <c r="J1925" s="242">
        <v>14.14</v>
      </c>
    </row>
    <row r="1926" spans="1:10" x14ac:dyDescent="0.25">
      <c r="A1926" s="182"/>
      <c r="B1926" s="182"/>
      <c r="C1926" s="182"/>
      <c r="D1926" s="182"/>
      <c r="E1926" s="182"/>
      <c r="F1926" s="182"/>
      <c r="G1926" s="182" t="s">
        <v>761</v>
      </c>
      <c r="H1926" s="189" t="s">
        <v>762</v>
      </c>
      <c r="I1926" s="239" t="s">
        <v>763</v>
      </c>
      <c r="J1926" s="239">
        <v>14.14</v>
      </c>
    </row>
    <row r="1927" spans="1:10" x14ac:dyDescent="0.25">
      <c r="A1927" s="183"/>
      <c r="B1927" s="183"/>
      <c r="C1927" s="183"/>
      <c r="D1927" s="183"/>
      <c r="E1927" s="183"/>
      <c r="F1927" s="183"/>
      <c r="G1927" s="183"/>
      <c r="H1927" s="183"/>
      <c r="I1927" s="240"/>
      <c r="J1927" s="240"/>
    </row>
    <row r="1928" spans="1:10" x14ac:dyDescent="0.25">
      <c r="A1928" s="182" t="s">
        <v>1863</v>
      </c>
      <c r="B1928" s="182" t="s">
        <v>66</v>
      </c>
      <c r="C1928" s="182" t="s">
        <v>64</v>
      </c>
      <c r="D1928" s="182" t="s">
        <v>67</v>
      </c>
      <c r="E1928" s="182" t="s">
        <v>65</v>
      </c>
      <c r="F1928" s="182"/>
      <c r="G1928" s="182" t="s">
        <v>744</v>
      </c>
      <c r="H1928" s="182" t="s">
        <v>69</v>
      </c>
      <c r="I1928" s="239" t="s">
        <v>745</v>
      </c>
      <c r="J1928" s="239" t="s">
        <v>0</v>
      </c>
    </row>
    <row r="1929" spans="1:10" ht="71.25" x14ac:dyDescent="0.25">
      <c r="A1929" s="183" t="s">
        <v>58</v>
      </c>
      <c r="B1929" s="183" t="s">
        <v>1864</v>
      </c>
      <c r="C1929" s="183" t="s">
        <v>59</v>
      </c>
      <c r="D1929" s="183" t="s">
        <v>1865</v>
      </c>
      <c r="E1929" s="183" t="s">
        <v>1818</v>
      </c>
      <c r="F1929" s="183"/>
      <c r="G1929" s="183" t="s">
        <v>116</v>
      </c>
      <c r="H1929" s="184">
        <v>1</v>
      </c>
      <c r="I1929" s="240">
        <v>21.44</v>
      </c>
      <c r="J1929" s="240">
        <v>21.44</v>
      </c>
    </row>
    <row r="1930" spans="1:10" ht="42.75" x14ac:dyDescent="0.25">
      <c r="A1930" s="185" t="s">
        <v>119</v>
      </c>
      <c r="B1930" s="185" t="s">
        <v>1481</v>
      </c>
      <c r="C1930" s="185" t="s">
        <v>59</v>
      </c>
      <c r="D1930" s="185" t="s">
        <v>1482</v>
      </c>
      <c r="E1930" s="185" t="s">
        <v>754</v>
      </c>
      <c r="F1930" s="185"/>
      <c r="G1930" s="185" t="s">
        <v>60</v>
      </c>
      <c r="H1930" s="186">
        <v>8.09E-2</v>
      </c>
      <c r="I1930" s="241">
        <v>31.42</v>
      </c>
      <c r="J1930" s="241">
        <v>2.54</v>
      </c>
    </row>
    <row r="1931" spans="1:10" ht="42.75" x14ac:dyDescent="0.25">
      <c r="A1931" s="185" t="s">
        <v>119</v>
      </c>
      <c r="B1931" s="185" t="s">
        <v>1479</v>
      </c>
      <c r="C1931" s="185" t="s">
        <v>59</v>
      </c>
      <c r="D1931" s="185" t="s">
        <v>1480</v>
      </c>
      <c r="E1931" s="185" t="s">
        <v>754</v>
      </c>
      <c r="F1931" s="185"/>
      <c r="G1931" s="185" t="s">
        <v>60</v>
      </c>
      <c r="H1931" s="186">
        <v>8.09E-2</v>
      </c>
      <c r="I1931" s="241">
        <v>22.16</v>
      </c>
      <c r="J1931" s="241">
        <v>1.79</v>
      </c>
    </row>
    <row r="1932" spans="1:10" ht="28.5" x14ac:dyDescent="0.25">
      <c r="A1932" s="191" t="s">
        <v>62</v>
      </c>
      <c r="B1932" s="191" t="s">
        <v>1866</v>
      </c>
      <c r="C1932" s="191" t="s">
        <v>59</v>
      </c>
      <c r="D1932" s="191" t="s">
        <v>1867</v>
      </c>
      <c r="E1932" s="191" t="s">
        <v>120</v>
      </c>
      <c r="F1932" s="191"/>
      <c r="G1932" s="191" t="s">
        <v>116</v>
      </c>
      <c r="H1932" s="192">
        <v>1.0492999999999999</v>
      </c>
      <c r="I1932" s="244">
        <v>16.3</v>
      </c>
      <c r="J1932" s="244">
        <v>17.100000000000001</v>
      </c>
    </row>
    <row r="1933" spans="1:10" ht="28.5" x14ac:dyDescent="0.25">
      <c r="A1933" s="191" t="s">
        <v>62</v>
      </c>
      <c r="B1933" s="191" t="s">
        <v>1483</v>
      </c>
      <c r="C1933" s="191" t="s">
        <v>59</v>
      </c>
      <c r="D1933" s="191" t="s">
        <v>1484</v>
      </c>
      <c r="E1933" s="191" t="s">
        <v>120</v>
      </c>
      <c r="F1933" s="191"/>
      <c r="G1933" s="191" t="s">
        <v>61</v>
      </c>
      <c r="H1933" s="192">
        <v>8.9999999999999993E-3</v>
      </c>
      <c r="I1933" s="244">
        <v>2</v>
      </c>
      <c r="J1933" s="244">
        <v>0.01</v>
      </c>
    </row>
    <row r="1934" spans="1:10" x14ac:dyDescent="0.25">
      <c r="A1934" s="187"/>
      <c r="B1934" s="187"/>
      <c r="C1934" s="187"/>
      <c r="D1934" s="187"/>
      <c r="E1934" s="187" t="s">
        <v>756</v>
      </c>
      <c r="F1934" s="188">
        <v>3.21</v>
      </c>
      <c r="G1934" s="187" t="s">
        <v>757</v>
      </c>
      <c r="H1934" s="188">
        <v>0</v>
      </c>
      <c r="I1934" s="242" t="s">
        <v>758</v>
      </c>
      <c r="J1934" s="242">
        <v>3.21</v>
      </c>
    </row>
    <row r="1935" spans="1:10" x14ac:dyDescent="0.25">
      <c r="A1935" s="187"/>
      <c r="B1935" s="187"/>
      <c r="C1935" s="187"/>
      <c r="D1935" s="187"/>
      <c r="E1935" s="187" t="s">
        <v>759</v>
      </c>
      <c r="F1935" s="188">
        <v>0</v>
      </c>
      <c r="G1935" s="187"/>
      <c r="H1935" s="187" t="s">
        <v>760</v>
      </c>
      <c r="I1935" s="242"/>
      <c r="J1935" s="242">
        <v>21.44</v>
      </c>
    </row>
    <row r="1936" spans="1:10" x14ac:dyDescent="0.25">
      <c r="A1936" s="182"/>
      <c r="B1936" s="182"/>
      <c r="C1936" s="182"/>
      <c r="D1936" s="182"/>
      <c r="E1936" s="182"/>
      <c r="F1936" s="182"/>
      <c r="G1936" s="182" t="s">
        <v>761</v>
      </c>
      <c r="H1936" s="189" t="s">
        <v>1868</v>
      </c>
      <c r="I1936" s="239" t="s">
        <v>763</v>
      </c>
      <c r="J1936" s="239">
        <v>175.59</v>
      </c>
    </row>
    <row r="1937" spans="1:10" x14ac:dyDescent="0.25">
      <c r="A1937" s="183"/>
      <c r="B1937" s="183"/>
      <c r="C1937" s="183"/>
      <c r="D1937" s="183"/>
      <c r="E1937" s="183"/>
      <c r="F1937" s="183"/>
      <c r="G1937" s="183"/>
      <c r="H1937" s="183"/>
      <c r="I1937" s="240"/>
      <c r="J1937" s="240"/>
    </row>
    <row r="1938" spans="1:10" x14ac:dyDescent="0.25">
      <c r="A1938" s="182" t="s">
        <v>1869</v>
      </c>
      <c r="B1938" s="182" t="s">
        <v>66</v>
      </c>
      <c r="C1938" s="182" t="s">
        <v>64</v>
      </c>
      <c r="D1938" s="182" t="s">
        <v>67</v>
      </c>
      <c r="E1938" s="182" t="s">
        <v>65</v>
      </c>
      <c r="F1938" s="182"/>
      <c r="G1938" s="182" t="s">
        <v>744</v>
      </c>
      <c r="H1938" s="182" t="s">
        <v>69</v>
      </c>
      <c r="I1938" s="239" t="s">
        <v>745</v>
      </c>
      <c r="J1938" s="239" t="s">
        <v>0</v>
      </c>
    </row>
    <row r="1939" spans="1:10" ht="71.25" x14ac:dyDescent="0.25">
      <c r="A1939" s="183" t="s">
        <v>58</v>
      </c>
      <c r="B1939" s="183" t="s">
        <v>1870</v>
      </c>
      <c r="C1939" s="183" t="s">
        <v>59</v>
      </c>
      <c r="D1939" s="183" t="s">
        <v>1871</v>
      </c>
      <c r="E1939" s="183" t="s">
        <v>1818</v>
      </c>
      <c r="F1939" s="183"/>
      <c r="G1939" s="183" t="s">
        <v>61</v>
      </c>
      <c r="H1939" s="184">
        <v>1</v>
      </c>
      <c r="I1939" s="240">
        <v>11.8</v>
      </c>
      <c r="J1939" s="240">
        <v>11.8</v>
      </c>
    </row>
    <row r="1940" spans="1:10" ht="42.75" x14ac:dyDescent="0.25">
      <c r="A1940" s="185" t="s">
        <v>119</v>
      </c>
      <c r="B1940" s="185" t="s">
        <v>1479</v>
      </c>
      <c r="C1940" s="185" t="s">
        <v>59</v>
      </c>
      <c r="D1940" s="185" t="s">
        <v>1480</v>
      </c>
      <c r="E1940" s="185" t="s">
        <v>754</v>
      </c>
      <c r="F1940" s="185"/>
      <c r="G1940" s="185" t="s">
        <v>60</v>
      </c>
      <c r="H1940" s="186">
        <v>0.1002</v>
      </c>
      <c r="I1940" s="241">
        <v>22.16</v>
      </c>
      <c r="J1940" s="241">
        <v>2.2200000000000002</v>
      </c>
    </row>
    <row r="1941" spans="1:10" ht="42.75" x14ac:dyDescent="0.25">
      <c r="A1941" s="185" t="s">
        <v>119</v>
      </c>
      <c r="B1941" s="185" t="s">
        <v>1481</v>
      </c>
      <c r="C1941" s="185" t="s">
        <v>59</v>
      </c>
      <c r="D1941" s="185" t="s">
        <v>1482</v>
      </c>
      <c r="E1941" s="185" t="s">
        <v>754</v>
      </c>
      <c r="F1941" s="185"/>
      <c r="G1941" s="185" t="s">
        <v>60</v>
      </c>
      <c r="H1941" s="186">
        <v>0.1002</v>
      </c>
      <c r="I1941" s="241">
        <v>31.42</v>
      </c>
      <c r="J1941" s="241">
        <v>3.14</v>
      </c>
    </row>
    <row r="1942" spans="1:10" ht="42.75" x14ac:dyDescent="0.25">
      <c r="A1942" s="191" t="s">
        <v>62</v>
      </c>
      <c r="B1942" s="191" t="s">
        <v>1551</v>
      </c>
      <c r="C1942" s="191" t="s">
        <v>59</v>
      </c>
      <c r="D1942" s="191" t="s">
        <v>1552</v>
      </c>
      <c r="E1942" s="191" t="s">
        <v>120</v>
      </c>
      <c r="F1942" s="191"/>
      <c r="G1942" s="191" t="s">
        <v>61</v>
      </c>
      <c r="H1942" s="192">
        <v>1.6500000000000001E-2</v>
      </c>
      <c r="I1942" s="244">
        <v>71.48</v>
      </c>
      <c r="J1942" s="244">
        <v>1.17</v>
      </c>
    </row>
    <row r="1943" spans="1:10" ht="28.5" x14ac:dyDescent="0.25">
      <c r="A1943" s="191" t="s">
        <v>62</v>
      </c>
      <c r="B1943" s="191" t="s">
        <v>1483</v>
      </c>
      <c r="C1943" s="191" t="s">
        <v>59</v>
      </c>
      <c r="D1943" s="191" t="s">
        <v>1484</v>
      </c>
      <c r="E1943" s="191" t="s">
        <v>120</v>
      </c>
      <c r="F1943" s="191"/>
      <c r="G1943" s="191" t="s">
        <v>61</v>
      </c>
      <c r="H1943" s="192">
        <v>1.26E-2</v>
      </c>
      <c r="I1943" s="244">
        <v>2</v>
      </c>
      <c r="J1943" s="244">
        <v>0.02</v>
      </c>
    </row>
    <row r="1944" spans="1:10" ht="42.75" x14ac:dyDescent="0.25">
      <c r="A1944" s="191" t="s">
        <v>62</v>
      </c>
      <c r="B1944" s="191" t="s">
        <v>1872</v>
      </c>
      <c r="C1944" s="191" t="s">
        <v>59</v>
      </c>
      <c r="D1944" s="191" t="s">
        <v>1873</v>
      </c>
      <c r="E1944" s="191" t="s">
        <v>120</v>
      </c>
      <c r="F1944" s="191"/>
      <c r="G1944" s="191" t="s">
        <v>61</v>
      </c>
      <c r="H1944" s="192">
        <v>1</v>
      </c>
      <c r="I1944" s="244">
        <v>4.37</v>
      </c>
      <c r="J1944" s="244">
        <v>4.37</v>
      </c>
    </row>
    <row r="1945" spans="1:10" ht="28.5" x14ac:dyDescent="0.25">
      <c r="A1945" s="191" t="s">
        <v>62</v>
      </c>
      <c r="B1945" s="191" t="s">
        <v>1549</v>
      </c>
      <c r="C1945" s="191" t="s">
        <v>59</v>
      </c>
      <c r="D1945" s="191" t="s">
        <v>1550</v>
      </c>
      <c r="E1945" s="191" t="s">
        <v>120</v>
      </c>
      <c r="F1945" s="191"/>
      <c r="G1945" s="191" t="s">
        <v>61</v>
      </c>
      <c r="H1945" s="192">
        <v>1.41E-2</v>
      </c>
      <c r="I1945" s="244">
        <v>63.09</v>
      </c>
      <c r="J1945" s="244">
        <v>0.88</v>
      </c>
    </row>
    <row r="1946" spans="1:10" x14ac:dyDescent="0.25">
      <c r="A1946" s="187"/>
      <c r="B1946" s="187"/>
      <c r="C1946" s="187"/>
      <c r="D1946" s="187"/>
      <c r="E1946" s="187" t="s">
        <v>756</v>
      </c>
      <c r="F1946" s="188">
        <v>3.99</v>
      </c>
      <c r="G1946" s="187" t="s">
        <v>757</v>
      </c>
      <c r="H1946" s="188">
        <v>0</v>
      </c>
      <c r="I1946" s="242" t="s">
        <v>758</v>
      </c>
      <c r="J1946" s="242">
        <v>3.99</v>
      </c>
    </row>
    <row r="1947" spans="1:10" x14ac:dyDescent="0.25">
      <c r="A1947" s="187"/>
      <c r="B1947" s="187"/>
      <c r="C1947" s="187"/>
      <c r="D1947" s="187"/>
      <c r="E1947" s="187" t="s">
        <v>759</v>
      </c>
      <c r="F1947" s="188">
        <v>0</v>
      </c>
      <c r="G1947" s="187"/>
      <c r="H1947" s="187" t="s">
        <v>760</v>
      </c>
      <c r="I1947" s="242"/>
      <c r="J1947" s="242">
        <v>11.8</v>
      </c>
    </row>
    <row r="1948" spans="1:10" x14ac:dyDescent="0.25">
      <c r="A1948" s="182"/>
      <c r="B1948" s="182"/>
      <c r="C1948" s="182"/>
      <c r="D1948" s="182"/>
      <c r="E1948" s="182"/>
      <c r="F1948" s="182"/>
      <c r="G1948" s="182" t="s">
        <v>761</v>
      </c>
      <c r="H1948" s="189" t="s">
        <v>762</v>
      </c>
      <c r="I1948" s="239" t="s">
        <v>763</v>
      </c>
      <c r="J1948" s="239">
        <v>11.8</v>
      </c>
    </row>
    <row r="1949" spans="1:10" x14ac:dyDescent="0.25">
      <c r="A1949" s="183"/>
      <c r="B1949" s="183"/>
      <c r="C1949" s="183"/>
      <c r="D1949" s="183"/>
      <c r="E1949" s="183"/>
      <c r="F1949" s="183"/>
      <c r="G1949" s="183"/>
      <c r="H1949" s="183"/>
      <c r="I1949" s="240"/>
      <c r="J1949" s="240"/>
    </row>
    <row r="1950" spans="1:10" x14ac:dyDescent="0.25">
      <c r="A1950" s="182" t="s">
        <v>1874</v>
      </c>
      <c r="B1950" s="182" t="s">
        <v>66</v>
      </c>
      <c r="C1950" s="182" t="s">
        <v>64</v>
      </c>
      <c r="D1950" s="182" t="s">
        <v>67</v>
      </c>
      <c r="E1950" s="182" t="s">
        <v>65</v>
      </c>
      <c r="F1950" s="182"/>
      <c r="G1950" s="182" t="s">
        <v>744</v>
      </c>
      <c r="H1950" s="182" t="s">
        <v>69</v>
      </c>
      <c r="I1950" s="239" t="s">
        <v>745</v>
      </c>
      <c r="J1950" s="239" t="s">
        <v>0</v>
      </c>
    </row>
    <row r="1951" spans="1:10" ht="71.25" x14ac:dyDescent="0.25">
      <c r="A1951" s="183" t="s">
        <v>58</v>
      </c>
      <c r="B1951" s="183" t="s">
        <v>1875</v>
      </c>
      <c r="C1951" s="183" t="s">
        <v>59</v>
      </c>
      <c r="D1951" s="183" t="s">
        <v>1876</v>
      </c>
      <c r="E1951" s="183" t="s">
        <v>1818</v>
      </c>
      <c r="F1951" s="183"/>
      <c r="G1951" s="183" t="s">
        <v>61</v>
      </c>
      <c r="H1951" s="184">
        <v>1</v>
      </c>
      <c r="I1951" s="240">
        <v>20.48</v>
      </c>
      <c r="J1951" s="240">
        <v>20.48</v>
      </c>
    </row>
    <row r="1952" spans="1:10" ht="42.75" x14ac:dyDescent="0.25">
      <c r="A1952" s="185" t="s">
        <v>119</v>
      </c>
      <c r="B1952" s="185" t="s">
        <v>1479</v>
      </c>
      <c r="C1952" s="185" t="s">
        <v>59</v>
      </c>
      <c r="D1952" s="185" t="s">
        <v>1480</v>
      </c>
      <c r="E1952" s="185" t="s">
        <v>754</v>
      </c>
      <c r="F1952" s="185"/>
      <c r="G1952" s="185" t="s">
        <v>60</v>
      </c>
      <c r="H1952" s="186">
        <v>0.13389999999999999</v>
      </c>
      <c r="I1952" s="241">
        <v>22.16</v>
      </c>
      <c r="J1952" s="241">
        <v>2.96</v>
      </c>
    </row>
    <row r="1953" spans="1:10" ht="42.75" x14ac:dyDescent="0.25">
      <c r="A1953" s="185" t="s">
        <v>119</v>
      </c>
      <c r="B1953" s="185" t="s">
        <v>1481</v>
      </c>
      <c r="C1953" s="185" t="s">
        <v>59</v>
      </c>
      <c r="D1953" s="185" t="s">
        <v>1482</v>
      </c>
      <c r="E1953" s="185" t="s">
        <v>754</v>
      </c>
      <c r="F1953" s="185"/>
      <c r="G1953" s="185" t="s">
        <v>60</v>
      </c>
      <c r="H1953" s="186">
        <v>0.13389999999999999</v>
      </c>
      <c r="I1953" s="241">
        <v>31.42</v>
      </c>
      <c r="J1953" s="241">
        <v>4.2</v>
      </c>
    </row>
    <row r="1954" spans="1:10" ht="42.75" x14ac:dyDescent="0.25">
      <c r="A1954" s="191" t="s">
        <v>62</v>
      </c>
      <c r="B1954" s="191" t="s">
        <v>1551</v>
      </c>
      <c r="C1954" s="191" t="s">
        <v>59</v>
      </c>
      <c r="D1954" s="191" t="s">
        <v>1552</v>
      </c>
      <c r="E1954" s="191" t="s">
        <v>120</v>
      </c>
      <c r="F1954" s="191"/>
      <c r="G1954" s="191" t="s">
        <v>61</v>
      </c>
      <c r="H1954" s="192">
        <v>2.1000000000000001E-2</v>
      </c>
      <c r="I1954" s="244">
        <v>71.48</v>
      </c>
      <c r="J1954" s="244">
        <v>1.5</v>
      </c>
    </row>
    <row r="1955" spans="1:10" ht="28.5" x14ac:dyDescent="0.25">
      <c r="A1955" s="191" t="s">
        <v>62</v>
      </c>
      <c r="B1955" s="191" t="s">
        <v>1483</v>
      </c>
      <c r="C1955" s="191" t="s">
        <v>59</v>
      </c>
      <c r="D1955" s="191" t="s">
        <v>1484</v>
      </c>
      <c r="E1955" s="191" t="s">
        <v>120</v>
      </c>
      <c r="F1955" s="191"/>
      <c r="G1955" s="191" t="s">
        <v>61</v>
      </c>
      <c r="H1955" s="192">
        <v>1.6799999999999999E-2</v>
      </c>
      <c r="I1955" s="244">
        <v>2</v>
      </c>
      <c r="J1955" s="244">
        <v>0.03</v>
      </c>
    </row>
    <row r="1956" spans="1:10" ht="28.5" x14ac:dyDescent="0.25">
      <c r="A1956" s="191" t="s">
        <v>62</v>
      </c>
      <c r="B1956" s="191" t="s">
        <v>1549</v>
      </c>
      <c r="C1956" s="191" t="s">
        <v>59</v>
      </c>
      <c r="D1956" s="191" t="s">
        <v>1550</v>
      </c>
      <c r="E1956" s="191" t="s">
        <v>120</v>
      </c>
      <c r="F1956" s="191"/>
      <c r="G1956" s="191" t="s">
        <v>61</v>
      </c>
      <c r="H1956" s="192">
        <v>1.7600000000000001E-2</v>
      </c>
      <c r="I1956" s="244">
        <v>63.09</v>
      </c>
      <c r="J1956" s="244">
        <v>1.1100000000000001</v>
      </c>
    </row>
    <row r="1957" spans="1:10" ht="42.75" x14ac:dyDescent="0.25">
      <c r="A1957" s="191" t="s">
        <v>62</v>
      </c>
      <c r="B1957" s="191" t="s">
        <v>1877</v>
      </c>
      <c r="C1957" s="191" t="s">
        <v>59</v>
      </c>
      <c r="D1957" s="191" t="s">
        <v>1878</v>
      </c>
      <c r="E1957" s="191" t="s">
        <v>120</v>
      </c>
      <c r="F1957" s="191"/>
      <c r="G1957" s="191" t="s">
        <v>61</v>
      </c>
      <c r="H1957" s="192">
        <v>1</v>
      </c>
      <c r="I1957" s="244">
        <v>10.68</v>
      </c>
      <c r="J1957" s="244">
        <v>10.68</v>
      </c>
    </row>
    <row r="1958" spans="1:10" x14ac:dyDescent="0.25">
      <c r="A1958" s="187"/>
      <c r="B1958" s="187"/>
      <c r="C1958" s="187"/>
      <c r="D1958" s="187"/>
      <c r="E1958" s="187" t="s">
        <v>756</v>
      </c>
      <c r="F1958" s="188">
        <v>5.32</v>
      </c>
      <c r="G1958" s="187" t="s">
        <v>757</v>
      </c>
      <c r="H1958" s="188">
        <v>0</v>
      </c>
      <c r="I1958" s="242" t="s">
        <v>758</v>
      </c>
      <c r="J1958" s="242">
        <v>5.32</v>
      </c>
    </row>
    <row r="1959" spans="1:10" x14ac:dyDescent="0.25">
      <c r="A1959" s="187"/>
      <c r="B1959" s="187"/>
      <c r="C1959" s="187"/>
      <c r="D1959" s="187"/>
      <c r="E1959" s="187" t="s">
        <v>759</v>
      </c>
      <c r="F1959" s="188">
        <v>0</v>
      </c>
      <c r="G1959" s="187"/>
      <c r="H1959" s="187" t="s">
        <v>760</v>
      </c>
      <c r="I1959" s="242"/>
      <c r="J1959" s="242">
        <v>20.48</v>
      </c>
    </row>
    <row r="1960" spans="1:10" x14ac:dyDescent="0.25">
      <c r="A1960" s="182"/>
      <c r="B1960" s="182"/>
      <c r="C1960" s="182"/>
      <c r="D1960" s="182"/>
      <c r="E1960" s="182"/>
      <c r="F1960" s="182"/>
      <c r="G1960" s="182" t="s">
        <v>761</v>
      </c>
      <c r="H1960" s="189" t="s">
        <v>1555</v>
      </c>
      <c r="I1960" s="239" t="s">
        <v>763</v>
      </c>
      <c r="J1960" s="239">
        <v>81.92</v>
      </c>
    </row>
    <row r="1961" spans="1:10" x14ac:dyDescent="0.25">
      <c r="A1961" s="183"/>
      <c r="B1961" s="183"/>
      <c r="C1961" s="183"/>
      <c r="D1961" s="183"/>
      <c r="E1961" s="183"/>
      <c r="F1961" s="183"/>
      <c r="G1961" s="183"/>
      <c r="H1961" s="183"/>
      <c r="I1961" s="240"/>
      <c r="J1961" s="240"/>
    </row>
    <row r="1962" spans="1:10" x14ac:dyDescent="0.25">
      <c r="A1962" s="182" t="s">
        <v>1879</v>
      </c>
      <c r="B1962" s="182" t="s">
        <v>66</v>
      </c>
      <c r="C1962" s="182" t="s">
        <v>64</v>
      </c>
      <c r="D1962" s="182" t="s">
        <v>67</v>
      </c>
      <c r="E1962" s="182" t="s">
        <v>65</v>
      </c>
      <c r="F1962" s="182"/>
      <c r="G1962" s="182" t="s">
        <v>744</v>
      </c>
      <c r="H1962" s="182" t="s">
        <v>69</v>
      </c>
      <c r="I1962" s="239" t="s">
        <v>745</v>
      </c>
      <c r="J1962" s="239" t="s">
        <v>0</v>
      </c>
    </row>
    <row r="1963" spans="1:10" ht="28.5" x14ac:dyDescent="0.25">
      <c r="A1963" s="183" t="s">
        <v>58</v>
      </c>
      <c r="B1963" s="183" t="s">
        <v>1880</v>
      </c>
      <c r="C1963" s="183" t="s">
        <v>785</v>
      </c>
      <c r="D1963" s="183" t="s">
        <v>1881</v>
      </c>
      <c r="E1963" s="183">
        <v>818</v>
      </c>
      <c r="F1963" s="183"/>
      <c r="G1963" s="183" t="s">
        <v>1498</v>
      </c>
      <c r="H1963" s="184">
        <v>1</v>
      </c>
      <c r="I1963" s="240">
        <v>570.32000000000005</v>
      </c>
      <c r="J1963" s="240">
        <v>570.32000000000005</v>
      </c>
    </row>
    <row r="1964" spans="1:10" ht="28.5" x14ac:dyDescent="0.25">
      <c r="A1964" s="191" t="s">
        <v>62</v>
      </c>
      <c r="B1964" s="191" t="s">
        <v>1569</v>
      </c>
      <c r="C1964" s="191" t="s">
        <v>785</v>
      </c>
      <c r="D1964" s="191" t="s">
        <v>1570</v>
      </c>
      <c r="E1964" s="191" t="s">
        <v>124</v>
      </c>
      <c r="F1964" s="191"/>
      <c r="G1964" s="191" t="s">
        <v>60</v>
      </c>
      <c r="H1964" s="192">
        <v>3</v>
      </c>
      <c r="I1964" s="244">
        <v>29.79</v>
      </c>
      <c r="J1964" s="244">
        <v>89.37</v>
      </c>
    </row>
    <row r="1965" spans="1:10" ht="28.5" x14ac:dyDescent="0.25">
      <c r="A1965" s="191" t="s">
        <v>62</v>
      </c>
      <c r="B1965" s="191" t="s">
        <v>1882</v>
      </c>
      <c r="C1965" s="191" t="s">
        <v>785</v>
      </c>
      <c r="D1965" s="191" t="s">
        <v>1883</v>
      </c>
      <c r="E1965" s="191" t="s">
        <v>120</v>
      </c>
      <c r="F1965" s="191"/>
      <c r="G1965" s="191" t="s">
        <v>129</v>
      </c>
      <c r="H1965" s="192">
        <v>1</v>
      </c>
      <c r="I1965" s="244">
        <v>414.8</v>
      </c>
      <c r="J1965" s="244">
        <v>414.8</v>
      </c>
    </row>
    <row r="1966" spans="1:10" ht="28.5" x14ac:dyDescent="0.25">
      <c r="A1966" s="191" t="s">
        <v>62</v>
      </c>
      <c r="B1966" s="191" t="s">
        <v>1515</v>
      </c>
      <c r="C1966" s="191" t="s">
        <v>785</v>
      </c>
      <c r="D1966" s="191" t="s">
        <v>181</v>
      </c>
      <c r="E1966" s="191" t="s">
        <v>124</v>
      </c>
      <c r="F1966" s="191"/>
      <c r="G1966" s="191" t="s">
        <v>60</v>
      </c>
      <c r="H1966" s="192">
        <v>3</v>
      </c>
      <c r="I1966" s="244">
        <v>22.05</v>
      </c>
      <c r="J1966" s="244">
        <v>66.150000000000006</v>
      </c>
    </row>
    <row r="1967" spans="1:10" x14ac:dyDescent="0.25">
      <c r="A1967" s="187"/>
      <c r="B1967" s="187"/>
      <c r="C1967" s="187"/>
      <c r="D1967" s="187"/>
      <c r="E1967" s="187" t="s">
        <v>756</v>
      </c>
      <c r="F1967" s="188">
        <v>155.52000000000001</v>
      </c>
      <c r="G1967" s="187" t="s">
        <v>757</v>
      </c>
      <c r="H1967" s="188">
        <v>0</v>
      </c>
      <c r="I1967" s="242" t="s">
        <v>758</v>
      </c>
      <c r="J1967" s="242">
        <v>155.52000000000001</v>
      </c>
    </row>
    <row r="1968" spans="1:10" x14ac:dyDescent="0.25">
      <c r="A1968" s="187"/>
      <c r="B1968" s="187"/>
      <c r="C1968" s="187"/>
      <c r="D1968" s="187"/>
      <c r="E1968" s="187" t="s">
        <v>759</v>
      </c>
      <c r="F1968" s="188">
        <v>0</v>
      </c>
      <c r="G1968" s="187"/>
      <c r="H1968" s="187" t="s">
        <v>760</v>
      </c>
      <c r="I1968" s="242"/>
      <c r="J1968" s="242">
        <v>570.32000000000005</v>
      </c>
    </row>
    <row r="1969" spans="1:10" x14ac:dyDescent="0.25">
      <c r="A1969" s="182"/>
      <c r="B1969" s="182"/>
      <c r="C1969" s="182"/>
      <c r="D1969" s="182"/>
      <c r="E1969" s="182"/>
      <c r="F1969" s="182"/>
      <c r="G1969" s="182" t="s">
        <v>761</v>
      </c>
      <c r="H1969" s="189" t="s">
        <v>762</v>
      </c>
      <c r="I1969" s="239" t="s">
        <v>763</v>
      </c>
      <c r="J1969" s="239">
        <v>570.32000000000005</v>
      </c>
    </row>
    <row r="1970" spans="1:10" x14ac:dyDescent="0.25">
      <c r="A1970" s="183"/>
      <c r="B1970" s="183"/>
      <c r="C1970" s="183"/>
      <c r="D1970" s="183"/>
      <c r="E1970" s="183"/>
      <c r="F1970" s="183"/>
      <c r="G1970" s="183"/>
      <c r="H1970" s="183"/>
      <c r="I1970" s="240"/>
      <c r="J1970" s="240"/>
    </row>
    <row r="1971" spans="1:10" x14ac:dyDescent="0.25">
      <c r="A1971" s="182" t="s">
        <v>1884</v>
      </c>
      <c r="B1971" s="182" t="s">
        <v>66</v>
      </c>
      <c r="C1971" s="182" t="s">
        <v>64</v>
      </c>
      <c r="D1971" s="182" t="s">
        <v>67</v>
      </c>
      <c r="E1971" s="182" t="s">
        <v>65</v>
      </c>
      <c r="F1971" s="182"/>
      <c r="G1971" s="182" t="s">
        <v>744</v>
      </c>
      <c r="H1971" s="182" t="s">
        <v>69</v>
      </c>
      <c r="I1971" s="239" t="s">
        <v>745</v>
      </c>
      <c r="J1971" s="239" t="s">
        <v>0</v>
      </c>
    </row>
    <row r="1972" spans="1:10" ht="42.75" x14ac:dyDescent="0.25">
      <c r="A1972" s="183" t="s">
        <v>58</v>
      </c>
      <c r="B1972" s="183" t="s">
        <v>1885</v>
      </c>
      <c r="C1972" s="183" t="s">
        <v>59</v>
      </c>
      <c r="D1972" s="183" t="s">
        <v>1886</v>
      </c>
      <c r="E1972" s="183" t="s">
        <v>1887</v>
      </c>
      <c r="F1972" s="183"/>
      <c r="G1972" s="183" t="s">
        <v>61</v>
      </c>
      <c r="H1972" s="184">
        <v>1</v>
      </c>
      <c r="I1972" s="240">
        <v>141.31</v>
      </c>
      <c r="J1972" s="240">
        <v>141.31</v>
      </c>
    </row>
    <row r="1973" spans="1:10" ht="42.75" x14ac:dyDescent="0.25">
      <c r="A1973" s="185" t="s">
        <v>119</v>
      </c>
      <c r="B1973" s="185" t="s">
        <v>1481</v>
      </c>
      <c r="C1973" s="185" t="s">
        <v>59</v>
      </c>
      <c r="D1973" s="185" t="s">
        <v>1482</v>
      </c>
      <c r="E1973" s="185" t="s">
        <v>754</v>
      </c>
      <c r="F1973" s="185"/>
      <c r="G1973" s="185" t="s">
        <v>60</v>
      </c>
      <c r="H1973" s="186">
        <v>0.43149999999999999</v>
      </c>
      <c r="I1973" s="241">
        <v>31.42</v>
      </c>
      <c r="J1973" s="241">
        <v>13.55</v>
      </c>
    </row>
    <row r="1974" spans="1:10" ht="42.75" x14ac:dyDescent="0.25">
      <c r="A1974" s="185" t="s">
        <v>119</v>
      </c>
      <c r="B1974" s="185" t="s">
        <v>1479</v>
      </c>
      <c r="C1974" s="185" t="s">
        <v>59</v>
      </c>
      <c r="D1974" s="185" t="s">
        <v>1480</v>
      </c>
      <c r="E1974" s="185" t="s">
        <v>754</v>
      </c>
      <c r="F1974" s="185"/>
      <c r="G1974" s="185" t="s">
        <v>60</v>
      </c>
      <c r="H1974" s="186">
        <v>0.43149999999999999</v>
      </c>
      <c r="I1974" s="241">
        <v>22.16</v>
      </c>
      <c r="J1974" s="241">
        <v>9.56</v>
      </c>
    </row>
    <row r="1975" spans="1:10" ht="28.5" x14ac:dyDescent="0.25">
      <c r="A1975" s="191" t="s">
        <v>62</v>
      </c>
      <c r="B1975" s="191" t="s">
        <v>1852</v>
      </c>
      <c r="C1975" s="191" t="s">
        <v>59</v>
      </c>
      <c r="D1975" s="191" t="s">
        <v>1853</v>
      </c>
      <c r="E1975" s="191" t="s">
        <v>120</v>
      </c>
      <c r="F1975" s="191"/>
      <c r="G1975" s="191" t="s">
        <v>61</v>
      </c>
      <c r="H1975" s="192">
        <v>1.06E-2</v>
      </c>
      <c r="I1975" s="244">
        <v>12.17</v>
      </c>
      <c r="J1975" s="244">
        <v>0.12</v>
      </c>
    </row>
    <row r="1976" spans="1:10" ht="85.5" x14ac:dyDescent="0.25">
      <c r="A1976" s="191" t="s">
        <v>62</v>
      </c>
      <c r="B1976" s="191" t="s">
        <v>1888</v>
      </c>
      <c r="C1976" s="191" t="s">
        <v>59</v>
      </c>
      <c r="D1976" s="191" t="s">
        <v>1889</v>
      </c>
      <c r="E1976" s="191" t="s">
        <v>120</v>
      </c>
      <c r="F1976" s="191"/>
      <c r="G1976" s="191" t="s">
        <v>61</v>
      </c>
      <c r="H1976" s="192">
        <v>1</v>
      </c>
      <c r="I1976" s="244">
        <v>118.08</v>
      </c>
      <c r="J1976" s="244">
        <v>118.08</v>
      </c>
    </row>
    <row r="1977" spans="1:10" x14ac:dyDescent="0.25">
      <c r="A1977" s="187"/>
      <c r="B1977" s="187"/>
      <c r="C1977" s="187"/>
      <c r="D1977" s="187"/>
      <c r="E1977" s="187" t="s">
        <v>756</v>
      </c>
      <c r="F1977" s="188">
        <v>17.190000000000001</v>
      </c>
      <c r="G1977" s="187" t="s">
        <v>757</v>
      </c>
      <c r="H1977" s="188">
        <v>0</v>
      </c>
      <c r="I1977" s="242" t="s">
        <v>758</v>
      </c>
      <c r="J1977" s="242">
        <v>17.190000000000001</v>
      </c>
    </row>
    <row r="1978" spans="1:10" x14ac:dyDescent="0.25">
      <c r="A1978" s="187"/>
      <c r="B1978" s="187"/>
      <c r="C1978" s="187"/>
      <c r="D1978" s="187"/>
      <c r="E1978" s="187" t="s">
        <v>759</v>
      </c>
      <c r="F1978" s="188">
        <v>0</v>
      </c>
      <c r="G1978" s="187"/>
      <c r="H1978" s="187" t="s">
        <v>760</v>
      </c>
      <c r="I1978" s="242"/>
      <c r="J1978" s="242">
        <v>141.31</v>
      </c>
    </row>
    <row r="1979" spans="1:10" x14ac:dyDescent="0.25">
      <c r="A1979" s="182"/>
      <c r="B1979" s="182"/>
      <c r="C1979" s="182"/>
      <c r="D1979" s="182"/>
      <c r="E1979" s="182"/>
      <c r="F1979" s="182"/>
      <c r="G1979" s="182" t="s">
        <v>761</v>
      </c>
      <c r="H1979" s="189" t="s">
        <v>762</v>
      </c>
      <c r="I1979" s="239" t="s">
        <v>763</v>
      </c>
      <c r="J1979" s="239">
        <v>141.31</v>
      </c>
    </row>
    <row r="1980" spans="1:10" x14ac:dyDescent="0.25">
      <c r="A1980" s="183"/>
      <c r="B1980" s="183"/>
      <c r="C1980" s="183"/>
      <c r="D1980" s="183"/>
      <c r="E1980" s="183"/>
      <c r="F1980" s="183"/>
      <c r="G1980" s="183"/>
      <c r="H1980" s="183"/>
      <c r="I1980" s="240"/>
      <c r="J1980" s="240"/>
    </row>
    <row r="1981" spans="1:10" x14ac:dyDescent="0.25">
      <c r="A1981" s="182" t="s">
        <v>1890</v>
      </c>
      <c r="B1981" s="182" t="s">
        <v>66</v>
      </c>
      <c r="C1981" s="182" t="s">
        <v>64</v>
      </c>
      <c r="D1981" s="182" t="s">
        <v>67</v>
      </c>
      <c r="E1981" s="182" t="s">
        <v>65</v>
      </c>
      <c r="F1981" s="182"/>
      <c r="G1981" s="182" t="s">
        <v>744</v>
      </c>
      <c r="H1981" s="182" t="s">
        <v>69</v>
      </c>
      <c r="I1981" s="239" t="s">
        <v>745</v>
      </c>
      <c r="J1981" s="239" t="s">
        <v>0</v>
      </c>
    </row>
    <row r="1982" spans="1:10" ht="85.5" x14ac:dyDescent="0.25">
      <c r="A1982" s="183" t="s">
        <v>58</v>
      </c>
      <c r="B1982" s="183" t="s">
        <v>1891</v>
      </c>
      <c r="C1982" s="183" t="s">
        <v>59</v>
      </c>
      <c r="D1982" s="183" t="s">
        <v>1892</v>
      </c>
      <c r="E1982" s="183" t="s">
        <v>1887</v>
      </c>
      <c r="F1982" s="183"/>
      <c r="G1982" s="183" t="s">
        <v>61</v>
      </c>
      <c r="H1982" s="184">
        <v>1</v>
      </c>
      <c r="I1982" s="240">
        <v>230.66</v>
      </c>
      <c r="J1982" s="240">
        <v>230.66</v>
      </c>
    </row>
    <row r="1983" spans="1:10" ht="42.75" x14ac:dyDescent="0.25">
      <c r="A1983" s="185" t="s">
        <v>119</v>
      </c>
      <c r="B1983" s="185" t="s">
        <v>1481</v>
      </c>
      <c r="C1983" s="185" t="s">
        <v>59</v>
      </c>
      <c r="D1983" s="185" t="s">
        <v>1482</v>
      </c>
      <c r="E1983" s="185" t="s">
        <v>754</v>
      </c>
      <c r="F1983" s="185"/>
      <c r="G1983" s="185" t="s">
        <v>60</v>
      </c>
      <c r="H1983" s="186">
        <v>1.2861</v>
      </c>
      <c r="I1983" s="241">
        <v>31.42</v>
      </c>
      <c r="J1983" s="241">
        <v>40.4</v>
      </c>
    </row>
    <row r="1984" spans="1:10" ht="42.75" x14ac:dyDescent="0.25">
      <c r="A1984" s="185" t="s">
        <v>119</v>
      </c>
      <c r="B1984" s="185" t="s">
        <v>1479</v>
      </c>
      <c r="C1984" s="185" t="s">
        <v>59</v>
      </c>
      <c r="D1984" s="185" t="s">
        <v>1480</v>
      </c>
      <c r="E1984" s="185" t="s">
        <v>754</v>
      </c>
      <c r="F1984" s="185"/>
      <c r="G1984" s="185" t="s">
        <v>60</v>
      </c>
      <c r="H1984" s="186">
        <v>1.2861</v>
      </c>
      <c r="I1984" s="241">
        <v>22.16</v>
      </c>
      <c r="J1984" s="241">
        <v>28.49</v>
      </c>
    </row>
    <row r="1985" spans="1:10" ht="28.5" x14ac:dyDescent="0.25">
      <c r="A1985" s="191" t="s">
        <v>62</v>
      </c>
      <c r="B1985" s="191" t="s">
        <v>1852</v>
      </c>
      <c r="C1985" s="191" t="s">
        <v>59</v>
      </c>
      <c r="D1985" s="191" t="s">
        <v>1853</v>
      </c>
      <c r="E1985" s="191" t="s">
        <v>120</v>
      </c>
      <c r="F1985" s="191"/>
      <c r="G1985" s="191" t="s">
        <v>61</v>
      </c>
      <c r="H1985" s="192">
        <v>9.5399999999999999E-2</v>
      </c>
      <c r="I1985" s="244">
        <v>12.17</v>
      </c>
      <c r="J1985" s="244">
        <v>1.1599999999999999</v>
      </c>
    </row>
    <row r="1986" spans="1:10" ht="57" x14ac:dyDescent="0.25">
      <c r="A1986" s="191" t="s">
        <v>62</v>
      </c>
      <c r="B1986" s="191" t="s">
        <v>1893</v>
      </c>
      <c r="C1986" s="191" t="s">
        <v>59</v>
      </c>
      <c r="D1986" s="191" t="s">
        <v>1894</v>
      </c>
      <c r="E1986" s="191" t="s">
        <v>120</v>
      </c>
      <c r="F1986" s="191"/>
      <c r="G1986" s="191" t="s">
        <v>61</v>
      </c>
      <c r="H1986" s="192">
        <v>1</v>
      </c>
      <c r="I1986" s="244">
        <v>160.61000000000001</v>
      </c>
      <c r="J1986" s="244">
        <v>160.61000000000001</v>
      </c>
    </row>
    <row r="1987" spans="1:10" x14ac:dyDescent="0.25">
      <c r="A1987" s="187"/>
      <c r="B1987" s="187"/>
      <c r="C1987" s="187"/>
      <c r="D1987" s="187"/>
      <c r="E1987" s="187" t="s">
        <v>756</v>
      </c>
      <c r="F1987" s="188">
        <v>51.25</v>
      </c>
      <c r="G1987" s="187" t="s">
        <v>757</v>
      </c>
      <c r="H1987" s="188">
        <v>0</v>
      </c>
      <c r="I1987" s="242" t="s">
        <v>758</v>
      </c>
      <c r="J1987" s="242">
        <v>51.25</v>
      </c>
    </row>
    <row r="1988" spans="1:10" x14ac:dyDescent="0.25">
      <c r="A1988" s="187"/>
      <c r="B1988" s="187"/>
      <c r="C1988" s="187"/>
      <c r="D1988" s="187"/>
      <c r="E1988" s="187" t="s">
        <v>759</v>
      </c>
      <c r="F1988" s="188">
        <v>0</v>
      </c>
      <c r="G1988" s="187"/>
      <c r="H1988" s="187" t="s">
        <v>760</v>
      </c>
      <c r="I1988" s="242"/>
      <c r="J1988" s="242">
        <v>230.66</v>
      </c>
    </row>
    <row r="1989" spans="1:10" x14ac:dyDescent="0.25">
      <c r="A1989" s="182"/>
      <c r="B1989" s="182"/>
      <c r="C1989" s="182"/>
      <c r="D1989" s="182"/>
      <c r="E1989" s="182"/>
      <c r="F1989" s="182"/>
      <c r="G1989" s="182" t="s">
        <v>761</v>
      </c>
      <c r="H1989" s="189" t="s">
        <v>762</v>
      </c>
      <c r="I1989" s="239" t="s">
        <v>763</v>
      </c>
      <c r="J1989" s="239">
        <v>230.66</v>
      </c>
    </row>
    <row r="1990" spans="1:10" x14ac:dyDescent="0.25">
      <c r="A1990" s="183"/>
      <c r="B1990" s="183"/>
      <c r="C1990" s="183"/>
      <c r="D1990" s="183"/>
      <c r="E1990" s="183"/>
      <c r="F1990" s="183"/>
      <c r="G1990" s="183"/>
      <c r="H1990" s="183"/>
      <c r="I1990" s="240"/>
      <c r="J1990" s="240"/>
    </row>
    <row r="1991" spans="1:10" x14ac:dyDescent="0.25">
      <c r="A1991" s="182" t="s">
        <v>1895</v>
      </c>
      <c r="B1991" s="182" t="s">
        <v>66</v>
      </c>
      <c r="C1991" s="182" t="s">
        <v>64</v>
      </c>
      <c r="D1991" s="182" t="s">
        <v>67</v>
      </c>
      <c r="E1991" s="182" t="s">
        <v>65</v>
      </c>
      <c r="F1991" s="182"/>
      <c r="G1991" s="182" t="s">
        <v>744</v>
      </c>
      <c r="H1991" s="182" t="s">
        <v>69</v>
      </c>
      <c r="I1991" s="239" t="s">
        <v>745</v>
      </c>
      <c r="J1991" s="239" t="s">
        <v>0</v>
      </c>
    </row>
    <row r="1992" spans="1:10" ht="71.25" x14ac:dyDescent="0.25">
      <c r="A1992" s="183" t="s">
        <v>58</v>
      </c>
      <c r="B1992" s="183" t="s">
        <v>1896</v>
      </c>
      <c r="C1992" s="183" t="s">
        <v>59</v>
      </c>
      <c r="D1992" s="183" t="s">
        <v>1897</v>
      </c>
      <c r="E1992" s="183" t="s">
        <v>1681</v>
      </c>
      <c r="F1992" s="183"/>
      <c r="G1992" s="183" t="s">
        <v>61</v>
      </c>
      <c r="H1992" s="184">
        <v>1</v>
      </c>
      <c r="I1992" s="240">
        <v>8.26</v>
      </c>
      <c r="J1992" s="240">
        <v>8.26</v>
      </c>
    </row>
    <row r="1993" spans="1:10" ht="42.75" x14ac:dyDescent="0.25">
      <c r="A1993" s="185" t="s">
        <v>119</v>
      </c>
      <c r="B1993" s="185" t="s">
        <v>1479</v>
      </c>
      <c r="C1993" s="185" t="s">
        <v>59</v>
      </c>
      <c r="D1993" s="185" t="s">
        <v>1480</v>
      </c>
      <c r="E1993" s="185" t="s">
        <v>754</v>
      </c>
      <c r="F1993" s="185"/>
      <c r="G1993" s="185" t="s">
        <v>60</v>
      </c>
      <c r="H1993" s="186">
        <v>7.0599999999999996E-2</v>
      </c>
      <c r="I1993" s="241">
        <v>22.16</v>
      </c>
      <c r="J1993" s="241">
        <v>1.56</v>
      </c>
    </row>
    <row r="1994" spans="1:10" ht="42.75" x14ac:dyDescent="0.25">
      <c r="A1994" s="185" t="s">
        <v>119</v>
      </c>
      <c r="B1994" s="185" t="s">
        <v>1481</v>
      </c>
      <c r="C1994" s="185" t="s">
        <v>59</v>
      </c>
      <c r="D1994" s="185" t="s">
        <v>1482</v>
      </c>
      <c r="E1994" s="185" t="s">
        <v>754</v>
      </c>
      <c r="F1994" s="185"/>
      <c r="G1994" s="185" t="s">
        <v>60</v>
      </c>
      <c r="H1994" s="186">
        <v>7.0599999999999996E-2</v>
      </c>
      <c r="I1994" s="241">
        <v>31.42</v>
      </c>
      <c r="J1994" s="241">
        <v>2.21</v>
      </c>
    </row>
    <row r="1995" spans="1:10" ht="42.75" x14ac:dyDescent="0.25">
      <c r="A1995" s="191" t="s">
        <v>62</v>
      </c>
      <c r="B1995" s="191" t="s">
        <v>1551</v>
      </c>
      <c r="C1995" s="191" t="s">
        <v>59</v>
      </c>
      <c r="D1995" s="191" t="s">
        <v>1552</v>
      </c>
      <c r="E1995" s="191" t="s">
        <v>120</v>
      </c>
      <c r="F1995" s="191"/>
      <c r="G1995" s="191" t="s">
        <v>61</v>
      </c>
      <c r="H1995" s="192">
        <v>8.0000000000000002E-3</v>
      </c>
      <c r="I1995" s="244">
        <v>71.48</v>
      </c>
      <c r="J1995" s="244">
        <v>0.56999999999999995</v>
      </c>
    </row>
    <row r="1996" spans="1:10" ht="28.5" x14ac:dyDescent="0.25">
      <c r="A1996" s="191" t="s">
        <v>62</v>
      </c>
      <c r="B1996" s="191" t="s">
        <v>1549</v>
      </c>
      <c r="C1996" s="191" t="s">
        <v>59</v>
      </c>
      <c r="D1996" s="191" t="s">
        <v>1550</v>
      </c>
      <c r="E1996" s="191" t="s">
        <v>120</v>
      </c>
      <c r="F1996" s="191"/>
      <c r="G1996" s="191" t="s">
        <v>61</v>
      </c>
      <c r="H1996" s="192">
        <v>7.1000000000000004E-3</v>
      </c>
      <c r="I1996" s="244">
        <v>63.09</v>
      </c>
      <c r="J1996" s="244">
        <v>0.44</v>
      </c>
    </row>
    <row r="1997" spans="1:10" ht="57" x14ac:dyDescent="0.25">
      <c r="A1997" s="191" t="s">
        <v>62</v>
      </c>
      <c r="B1997" s="191" t="s">
        <v>1682</v>
      </c>
      <c r="C1997" s="191" t="s">
        <v>59</v>
      </c>
      <c r="D1997" s="191" t="s">
        <v>1683</v>
      </c>
      <c r="E1997" s="191" t="s">
        <v>120</v>
      </c>
      <c r="F1997" s="191"/>
      <c r="G1997" s="191" t="s">
        <v>61</v>
      </c>
      <c r="H1997" s="192">
        <v>1</v>
      </c>
      <c r="I1997" s="244">
        <v>3.46</v>
      </c>
      <c r="J1997" s="244">
        <v>3.46</v>
      </c>
    </row>
    <row r="1998" spans="1:10" ht="28.5" x14ac:dyDescent="0.25">
      <c r="A1998" s="191" t="s">
        <v>62</v>
      </c>
      <c r="B1998" s="191" t="s">
        <v>1483</v>
      </c>
      <c r="C1998" s="191" t="s">
        <v>59</v>
      </c>
      <c r="D1998" s="191" t="s">
        <v>1484</v>
      </c>
      <c r="E1998" s="191" t="s">
        <v>120</v>
      </c>
      <c r="F1998" s="191"/>
      <c r="G1998" s="191" t="s">
        <v>61</v>
      </c>
      <c r="H1998" s="192">
        <v>1.0800000000000001E-2</v>
      </c>
      <c r="I1998" s="244">
        <v>2</v>
      </c>
      <c r="J1998" s="244">
        <v>0.02</v>
      </c>
    </row>
    <row r="1999" spans="1:10" x14ac:dyDescent="0.25">
      <c r="A1999" s="187"/>
      <c r="B1999" s="187"/>
      <c r="C1999" s="187"/>
      <c r="D1999" s="187"/>
      <c r="E1999" s="187" t="s">
        <v>756</v>
      </c>
      <c r="F1999" s="188">
        <v>2.81</v>
      </c>
      <c r="G1999" s="187" t="s">
        <v>757</v>
      </c>
      <c r="H1999" s="188">
        <v>0</v>
      </c>
      <c r="I1999" s="242" t="s">
        <v>758</v>
      </c>
      <c r="J1999" s="242">
        <v>2.81</v>
      </c>
    </row>
    <row r="2000" spans="1:10" x14ac:dyDescent="0.25">
      <c r="A2000" s="187"/>
      <c r="B2000" s="187"/>
      <c r="C2000" s="187"/>
      <c r="D2000" s="187"/>
      <c r="E2000" s="187" t="s">
        <v>759</v>
      </c>
      <c r="F2000" s="188">
        <v>0</v>
      </c>
      <c r="G2000" s="187"/>
      <c r="H2000" s="187" t="s">
        <v>760</v>
      </c>
      <c r="I2000" s="242"/>
      <c r="J2000" s="242">
        <v>8.26</v>
      </c>
    </row>
    <row r="2001" spans="1:10" x14ac:dyDescent="0.25">
      <c r="A2001" s="182"/>
      <c r="B2001" s="182"/>
      <c r="C2001" s="182"/>
      <c r="D2001" s="182"/>
      <c r="E2001" s="182"/>
      <c r="F2001" s="182"/>
      <c r="G2001" s="182" t="s">
        <v>761</v>
      </c>
      <c r="H2001" s="189" t="s">
        <v>762</v>
      </c>
      <c r="I2001" s="239" t="s">
        <v>763</v>
      </c>
      <c r="J2001" s="239">
        <v>8.26</v>
      </c>
    </row>
    <row r="2002" spans="1:10" x14ac:dyDescent="0.25">
      <c r="A2002" s="183"/>
      <c r="B2002" s="183"/>
      <c r="C2002" s="183"/>
      <c r="D2002" s="183"/>
      <c r="E2002" s="183"/>
      <c r="F2002" s="183"/>
      <c r="G2002" s="183"/>
      <c r="H2002" s="183"/>
      <c r="I2002" s="240"/>
      <c r="J2002" s="240"/>
    </row>
    <row r="2003" spans="1:10" x14ac:dyDescent="0.25">
      <c r="A2003" s="182" t="s">
        <v>1898</v>
      </c>
      <c r="B2003" s="182" t="s">
        <v>66</v>
      </c>
      <c r="C2003" s="182" t="s">
        <v>64</v>
      </c>
      <c r="D2003" s="182" t="s">
        <v>67</v>
      </c>
      <c r="E2003" s="182" t="s">
        <v>65</v>
      </c>
      <c r="F2003" s="182"/>
      <c r="G2003" s="182" t="s">
        <v>744</v>
      </c>
      <c r="H2003" s="182" t="s">
        <v>69</v>
      </c>
      <c r="I2003" s="239" t="s">
        <v>745</v>
      </c>
      <c r="J2003" s="239" t="s">
        <v>0</v>
      </c>
    </row>
    <row r="2004" spans="1:10" ht="71.25" x14ac:dyDescent="0.25">
      <c r="A2004" s="183" t="s">
        <v>58</v>
      </c>
      <c r="B2004" s="183" t="s">
        <v>1899</v>
      </c>
      <c r="C2004" s="183" t="s">
        <v>59</v>
      </c>
      <c r="D2004" s="183" t="s">
        <v>1900</v>
      </c>
      <c r="E2004" s="183" t="s">
        <v>1681</v>
      </c>
      <c r="F2004" s="183"/>
      <c r="G2004" s="183" t="s">
        <v>61</v>
      </c>
      <c r="H2004" s="184">
        <v>1</v>
      </c>
      <c r="I2004" s="240">
        <v>20.2</v>
      </c>
      <c r="J2004" s="240">
        <v>20.2</v>
      </c>
    </row>
    <row r="2005" spans="1:10" ht="42.75" x14ac:dyDescent="0.25">
      <c r="A2005" s="185" t="s">
        <v>119</v>
      </c>
      <c r="B2005" s="185" t="s">
        <v>1479</v>
      </c>
      <c r="C2005" s="185" t="s">
        <v>59</v>
      </c>
      <c r="D2005" s="185" t="s">
        <v>1480</v>
      </c>
      <c r="E2005" s="185" t="s">
        <v>754</v>
      </c>
      <c r="F2005" s="185"/>
      <c r="G2005" s="185" t="s">
        <v>60</v>
      </c>
      <c r="H2005" s="186">
        <v>9.06E-2</v>
      </c>
      <c r="I2005" s="241">
        <v>22.16</v>
      </c>
      <c r="J2005" s="241">
        <v>2</v>
      </c>
    </row>
    <row r="2006" spans="1:10" ht="42.75" x14ac:dyDescent="0.25">
      <c r="A2006" s="185" t="s">
        <v>119</v>
      </c>
      <c r="B2006" s="185" t="s">
        <v>1481</v>
      </c>
      <c r="C2006" s="185" t="s">
        <v>59</v>
      </c>
      <c r="D2006" s="185" t="s">
        <v>1482</v>
      </c>
      <c r="E2006" s="185" t="s">
        <v>754</v>
      </c>
      <c r="F2006" s="185"/>
      <c r="G2006" s="185" t="s">
        <v>60</v>
      </c>
      <c r="H2006" s="186">
        <v>9.06E-2</v>
      </c>
      <c r="I2006" s="241">
        <v>31.42</v>
      </c>
      <c r="J2006" s="241">
        <v>2.84</v>
      </c>
    </row>
    <row r="2007" spans="1:10" ht="28.5" x14ac:dyDescent="0.25">
      <c r="A2007" s="191" t="s">
        <v>62</v>
      </c>
      <c r="B2007" s="191" t="s">
        <v>1549</v>
      </c>
      <c r="C2007" s="191" t="s">
        <v>59</v>
      </c>
      <c r="D2007" s="191" t="s">
        <v>1550</v>
      </c>
      <c r="E2007" s="191" t="s">
        <v>120</v>
      </c>
      <c r="F2007" s="191"/>
      <c r="G2007" s="191" t="s">
        <v>61</v>
      </c>
      <c r="H2007" s="192">
        <v>7.1000000000000004E-3</v>
      </c>
      <c r="I2007" s="244">
        <v>63.09</v>
      </c>
      <c r="J2007" s="244">
        <v>0.44</v>
      </c>
    </row>
    <row r="2008" spans="1:10" ht="42.75" x14ac:dyDescent="0.25">
      <c r="A2008" s="191" t="s">
        <v>62</v>
      </c>
      <c r="B2008" s="191" t="s">
        <v>1734</v>
      </c>
      <c r="C2008" s="191" t="s">
        <v>59</v>
      </c>
      <c r="D2008" s="191" t="s">
        <v>1735</v>
      </c>
      <c r="E2008" s="191" t="s">
        <v>120</v>
      </c>
      <c r="F2008" s="191"/>
      <c r="G2008" s="191" t="s">
        <v>61</v>
      </c>
      <c r="H2008" s="192">
        <v>1</v>
      </c>
      <c r="I2008" s="244">
        <v>14.29</v>
      </c>
      <c r="J2008" s="244">
        <v>14.29</v>
      </c>
    </row>
    <row r="2009" spans="1:10" ht="42.75" x14ac:dyDescent="0.25">
      <c r="A2009" s="191" t="s">
        <v>62</v>
      </c>
      <c r="B2009" s="191" t="s">
        <v>1551</v>
      </c>
      <c r="C2009" s="191" t="s">
        <v>59</v>
      </c>
      <c r="D2009" s="191" t="s">
        <v>1552</v>
      </c>
      <c r="E2009" s="191" t="s">
        <v>120</v>
      </c>
      <c r="F2009" s="191"/>
      <c r="G2009" s="191" t="s">
        <v>61</v>
      </c>
      <c r="H2009" s="192">
        <v>8.0000000000000002E-3</v>
      </c>
      <c r="I2009" s="244">
        <v>71.48</v>
      </c>
      <c r="J2009" s="244">
        <v>0.56999999999999995</v>
      </c>
    </row>
    <row r="2010" spans="1:10" ht="28.5" x14ac:dyDescent="0.25">
      <c r="A2010" s="191" t="s">
        <v>62</v>
      </c>
      <c r="B2010" s="191" t="s">
        <v>1483</v>
      </c>
      <c r="C2010" s="191" t="s">
        <v>59</v>
      </c>
      <c r="D2010" s="191" t="s">
        <v>1484</v>
      </c>
      <c r="E2010" s="191" t="s">
        <v>120</v>
      </c>
      <c r="F2010" s="191"/>
      <c r="G2010" s="191" t="s">
        <v>61</v>
      </c>
      <c r="H2010" s="192">
        <v>3.0200000000000001E-2</v>
      </c>
      <c r="I2010" s="244">
        <v>2</v>
      </c>
      <c r="J2010" s="244">
        <v>0.06</v>
      </c>
    </row>
    <row r="2011" spans="1:10" x14ac:dyDescent="0.25">
      <c r="A2011" s="187"/>
      <c r="B2011" s="187"/>
      <c r="C2011" s="187"/>
      <c r="D2011" s="187"/>
      <c r="E2011" s="187" t="s">
        <v>756</v>
      </c>
      <c r="F2011" s="188">
        <v>3.6</v>
      </c>
      <c r="G2011" s="187" t="s">
        <v>757</v>
      </c>
      <c r="H2011" s="188">
        <v>0</v>
      </c>
      <c r="I2011" s="242" t="s">
        <v>758</v>
      </c>
      <c r="J2011" s="242">
        <v>3.6</v>
      </c>
    </row>
    <row r="2012" spans="1:10" x14ac:dyDescent="0.25">
      <c r="A2012" s="187"/>
      <c r="B2012" s="187"/>
      <c r="C2012" s="187"/>
      <c r="D2012" s="187"/>
      <c r="E2012" s="187" t="s">
        <v>759</v>
      </c>
      <c r="F2012" s="188">
        <v>0</v>
      </c>
      <c r="G2012" s="187"/>
      <c r="H2012" s="187" t="s">
        <v>760</v>
      </c>
      <c r="I2012" s="242"/>
      <c r="J2012" s="242">
        <v>20.2</v>
      </c>
    </row>
    <row r="2013" spans="1:10" x14ac:dyDescent="0.25">
      <c r="A2013" s="182"/>
      <c r="B2013" s="182"/>
      <c r="C2013" s="182"/>
      <c r="D2013" s="182"/>
      <c r="E2013" s="182"/>
      <c r="F2013" s="182"/>
      <c r="G2013" s="182" t="s">
        <v>761</v>
      </c>
      <c r="H2013" s="189" t="s">
        <v>762</v>
      </c>
      <c r="I2013" s="239" t="s">
        <v>763</v>
      </c>
      <c r="J2013" s="239">
        <v>20.2</v>
      </c>
    </row>
    <row r="2014" spans="1:10" x14ac:dyDescent="0.25">
      <c r="A2014" s="183"/>
      <c r="B2014" s="183"/>
      <c r="C2014" s="183"/>
      <c r="D2014" s="183"/>
      <c r="E2014" s="183"/>
      <c r="F2014" s="183"/>
      <c r="G2014" s="183"/>
      <c r="H2014" s="183"/>
      <c r="I2014" s="240"/>
      <c r="J2014" s="240"/>
    </row>
    <row r="2015" spans="1:10" ht="30" x14ac:dyDescent="0.25">
      <c r="A2015" s="190" t="s">
        <v>1901</v>
      </c>
      <c r="B2015" s="190"/>
      <c r="C2015" s="190"/>
      <c r="D2015" s="190" t="s">
        <v>568</v>
      </c>
      <c r="E2015" s="190"/>
      <c r="F2015" s="190"/>
      <c r="G2015" s="190"/>
      <c r="H2015" s="190"/>
      <c r="I2015" s="243"/>
      <c r="J2015" s="243">
        <v>3535.2</v>
      </c>
    </row>
    <row r="2016" spans="1:10" x14ac:dyDescent="0.25">
      <c r="A2016" s="182" t="s">
        <v>1902</v>
      </c>
      <c r="B2016" s="182" t="s">
        <v>66</v>
      </c>
      <c r="C2016" s="182" t="s">
        <v>64</v>
      </c>
      <c r="D2016" s="182" t="s">
        <v>67</v>
      </c>
      <c r="E2016" s="182" t="s">
        <v>65</v>
      </c>
      <c r="F2016" s="182"/>
      <c r="G2016" s="182" t="s">
        <v>744</v>
      </c>
      <c r="H2016" s="182" t="s">
        <v>69</v>
      </c>
      <c r="I2016" s="239" t="s">
        <v>745</v>
      </c>
      <c r="J2016" s="239" t="s">
        <v>0</v>
      </c>
    </row>
    <row r="2017" spans="1:10" ht="71.25" x14ac:dyDescent="0.25">
      <c r="A2017" s="183" t="s">
        <v>58</v>
      </c>
      <c r="B2017" s="183" t="s">
        <v>1896</v>
      </c>
      <c r="C2017" s="183" t="s">
        <v>59</v>
      </c>
      <c r="D2017" s="183" t="s">
        <v>1897</v>
      </c>
      <c r="E2017" s="183" t="s">
        <v>1681</v>
      </c>
      <c r="F2017" s="183"/>
      <c r="G2017" s="183" t="s">
        <v>61</v>
      </c>
      <c r="H2017" s="184">
        <v>1</v>
      </c>
      <c r="I2017" s="240">
        <v>8.26</v>
      </c>
      <c r="J2017" s="240">
        <v>8.26</v>
      </c>
    </row>
    <row r="2018" spans="1:10" ht="42.75" x14ac:dyDescent="0.25">
      <c r="A2018" s="185" t="s">
        <v>119</v>
      </c>
      <c r="B2018" s="185" t="s">
        <v>1479</v>
      </c>
      <c r="C2018" s="185" t="s">
        <v>59</v>
      </c>
      <c r="D2018" s="185" t="s">
        <v>1480</v>
      </c>
      <c r="E2018" s="185" t="s">
        <v>754</v>
      </c>
      <c r="F2018" s="185"/>
      <c r="G2018" s="185" t="s">
        <v>60</v>
      </c>
      <c r="H2018" s="186">
        <v>7.0599999999999996E-2</v>
      </c>
      <c r="I2018" s="241">
        <v>22.16</v>
      </c>
      <c r="J2018" s="241">
        <v>1.56</v>
      </c>
    </row>
    <row r="2019" spans="1:10" ht="42.75" x14ac:dyDescent="0.25">
      <c r="A2019" s="185" t="s">
        <v>119</v>
      </c>
      <c r="B2019" s="185" t="s">
        <v>1481</v>
      </c>
      <c r="C2019" s="185" t="s">
        <v>59</v>
      </c>
      <c r="D2019" s="185" t="s">
        <v>1482</v>
      </c>
      <c r="E2019" s="185" t="s">
        <v>754</v>
      </c>
      <c r="F2019" s="185"/>
      <c r="G2019" s="185" t="s">
        <v>60</v>
      </c>
      <c r="H2019" s="186">
        <v>7.0599999999999996E-2</v>
      </c>
      <c r="I2019" s="241">
        <v>31.42</v>
      </c>
      <c r="J2019" s="241">
        <v>2.21</v>
      </c>
    </row>
    <row r="2020" spans="1:10" ht="42.75" x14ac:dyDescent="0.25">
      <c r="A2020" s="191" t="s">
        <v>62</v>
      </c>
      <c r="B2020" s="191" t="s">
        <v>1551</v>
      </c>
      <c r="C2020" s="191" t="s">
        <v>59</v>
      </c>
      <c r="D2020" s="191" t="s">
        <v>1552</v>
      </c>
      <c r="E2020" s="191" t="s">
        <v>120</v>
      </c>
      <c r="F2020" s="191"/>
      <c r="G2020" s="191" t="s">
        <v>61</v>
      </c>
      <c r="H2020" s="192">
        <v>8.0000000000000002E-3</v>
      </c>
      <c r="I2020" s="244">
        <v>71.48</v>
      </c>
      <c r="J2020" s="244">
        <v>0.56999999999999995</v>
      </c>
    </row>
    <row r="2021" spans="1:10" ht="28.5" x14ac:dyDescent="0.25">
      <c r="A2021" s="191" t="s">
        <v>62</v>
      </c>
      <c r="B2021" s="191" t="s">
        <v>1549</v>
      </c>
      <c r="C2021" s="191" t="s">
        <v>59</v>
      </c>
      <c r="D2021" s="191" t="s">
        <v>1550</v>
      </c>
      <c r="E2021" s="191" t="s">
        <v>120</v>
      </c>
      <c r="F2021" s="191"/>
      <c r="G2021" s="191" t="s">
        <v>61</v>
      </c>
      <c r="H2021" s="192">
        <v>7.1000000000000004E-3</v>
      </c>
      <c r="I2021" s="244">
        <v>63.09</v>
      </c>
      <c r="J2021" s="244">
        <v>0.44</v>
      </c>
    </row>
    <row r="2022" spans="1:10" ht="57" x14ac:dyDescent="0.25">
      <c r="A2022" s="191" t="s">
        <v>62</v>
      </c>
      <c r="B2022" s="191" t="s">
        <v>1682</v>
      </c>
      <c r="C2022" s="191" t="s">
        <v>59</v>
      </c>
      <c r="D2022" s="191" t="s">
        <v>1683</v>
      </c>
      <c r="E2022" s="191" t="s">
        <v>120</v>
      </c>
      <c r="F2022" s="191"/>
      <c r="G2022" s="191" t="s">
        <v>61</v>
      </c>
      <c r="H2022" s="192">
        <v>1</v>
      </c>
      <c r="I2022" s="244">
        <v>3.46</v>
      </c>
      <c r="J2022" s="244">
        <v>3.46</v>
      </c>
    </row>
    <row r="2023" spans="1:10" ht="28.5" x14ac:dyDescent="0.25">
      <c r="A2023" s="191" t="s">
        <v>62</v>
      </c>
      <c r="B2023" s="191" t="s">
        <v>1483</v>
      </c>
      <c r="C2023" s="191" t="s">
        <v>59</v>
      </c>
      <c r="D2023" s="191" t="s">
        <v>1484</v>
      </c>
      <c r="E2023" s="191" t="s">
        <v>120</v>
      </c>
      <c r="F2023" s="191"/>
      <c r="G2023" s="191" t="s">
        <v>61</v>
      </c>
      <c r="H2023" s="192">
        <v>1.0800000000000001E-2</v>
      </c>
      <c r="I2023" s="244">
        <v>2</v>
      </c>
      <c r="J2023" s="244">
        <v>0.02</v>
      </c>
    </row>
    <row r="2024" spans="1:10" x14ac:dyDescent="0.25">
      <c r="A2024" s="187"/>
      <c r="B2024" s="187"/>
      <c r="C2024" s="187"/>
      <c r="D2024" s="187"/>
      <c r="E2024" s="187" t="s">
        <v>756</v>
      </c>
      <c r="F2024" s="188">
        <v>2.81</v>
      </c>
      <c r="G2024" s="187" t="s">
        <v>757</v>
      </c>
      <c r="H2024" s="188">
        <v>0</v>
      </c>
      <c r="I2024" s="242" t="s">
        <v>758</v>
      </c>
      <c r="J2024" s="242">
        <v>2.81</v>
      </c>
    </row>
    <row r="2025" spans="1:10" x14ac:dyDescent="0.25">
      <c r="A2025" s="187"/>
      <c r="B2025" s="187"/>
      <c r="C2025" s="187"/>
      <c r="D2025" s="187"/>
      <c r="E2025" s="187" t="s">
        <v>759</v>
      </c>
      <c r="F2025" s="188">
        <v>0</v>
      </c>
      <c r="G2025" s="187"/>
      <c r="H2025" s="187" t="s">
        <v>760</v>
      </c>
      <c r="I2025" s="242"/>
      <c r="J2025" s="242">
        <v>8.26</v>
      </c>
    </row>
    <row r="2026" spans="1:10" x14ac:dyDescent="0.25">
      <c r="A2026" s="182"/>
      <c r="B2026" s="182"/>
      <c r="C2026" s="182"/>
      <c r="D2026" s="182"/>
      <c r="E2026" s="182"/>
      <c r="F2026" s="182"/>
      <c r="G2026" s="182" t="s">
        <v>761</v>
      </c>
      <c r="H2026" s="189" t="s">
        <v>762</v>
      </c>
      <c r="I2026" s="239" t="s">
        <v>763</v>
      </c>
      <c r="J2026" s="239">
        <v>8.26</v>
      </c>
    </row>
    <row r="2027" spans="1:10" x14ac:dyDescent="0.25">
      <c r="A2027" s="183"/>
      <c r="B2027" s="183"/>
      <c r="C2027" s="183"/>
      <c r="D2027" s="183"/>
      <c r="E2027" s="183"/>
      <c r="F2027" s="183"/>
      <c r="G2027" s="183"/>
      <c r="H2027" s="183"/>
      <c r="I2027" s="240"/>
      <c r="J2027" s="240"/>
    </row>
    <row r="2028" spans="1:10" x14ac:dyDescent="0.25">
      <c r="A2028" s="182" t="s">
        <v>1903</v>
      </c>
      <c r="B2028" s="182" t="s">
        <v>66</v>
      </c>
      <c r="C2028" s="182" t="s">
        <v>64</v>
      </c>
      <c r="D2028" s="182" t="s">
        <v>67</v>
      </c>
      <c r="E2028" s="182" t="s">
        <v>65</v>
      </c>
      <c r="F2028" s="182"/>
      <c r="G2028" s="182" t="s">
        <v>744</v>
      </c>
      <c r="H2028" s="182" t="s">
        <v>69</v>
      </c>
      <c r="I2028" s="239" t="s">
        <v>745</v>
      </c>
      <c r="J2028" s="239" t="s">
        <v>0</v>
      </c>
    </row>
    <row r="2029" spans="1:10" ht="71.25" x14ac:dyDescent="0.25">
      <c r="A2029" s="183" t="s">
        <v>58</v>
      </c>
      <c r="B2029" s="183" t="s">
        <v>1899</v>
      </c>
      <c r="C2029" s="183" t="s">
        <v>59</v>
      </c>
      <c r="D2029" s="183" t="s">
        <v>1900</v>
      </c>
      <c r="E2029" s="183" t="s">
        <v>1681</v>
      </c>
      <c r="F2029" s="183"/>
      <c r="G2029" s="183" t="s">
        <v>61</v>
      </c>
      <c r="H2029" s="184">
        <v>1</v>
      </c>
      <c r="I2029" s="240">
        <v>20.2</v>
      </c>
      <c r="J2029" s="240">
        <v>20.2</v>
      </c>
    </row>
    <row r="2030" spans="1:10" ht="42.75" x14ac:dyDescent="0.25">
      <c r="A2030" s="185" t="s">
        <v>119</v>
      </c>
      <c r="B2030" s="185" t="s">
        <v>1479</v>
      </c>
      <c r="C2030" s="185" t="s">
        <v>59</v>
      </c>
      <c r="D2030" s="185" t="s">
        <v>1480</v>
      </c>
      <c r="E2030" s="185" t="s">
        <v>754</v>
      </c>
      <c r="F2030" s="185"/>
      <c r="G2030" s="185" t="s">
        <v>60</v>
      </c>
      <c r="H2030" s="186">
        <v>9.06E-2</v>
      </c>
      <c r="I2030" s="241">
        <v>22.16</v>
      </c>
      <c r="J2030" s="241">
        <v>2</v>
      </c>
    </row>
    <row r="2031" spans="1:10" ht="42.75" x14ac:dyDescent="0.25">
      <c r="A2031" s="185" t="s">
        <v>119</v>
      </c>
      <c r="B2031" s="185" t="s">
        <v>1481</v>
      </c>
      <c r="C2031" s="185" t="s">
        <v>59</v>
      </c>
      <c r="D2031" s="185" t="s">
        <v>1482</v>
      </c>
      <c r="E2031" s="185" t="s">
        <v>754</v>
      </c>
      <c r="F2031" s="185"/>
      <c r="G2031" s="185" t="s">
        <v>60</v>
      </c>
      <c r="H2031" s="186">
        <v>9.06E-2</v>
      </c>
      <c r="I2031" s="241">
        <v>31.42</v>
      </c>
      <c r="J2031" s="241">
        <v>2.84</v>
      </c>
    </row>
    <row r="2032" spans="1:10" ht="28.5" x14ac:dyDescent="0.25">
      <c r="A2032" s="191" t="s">
        <v>62</v>
      </c>
      <c r="B2032" s="191" t="s">
        <v>1549</v>
      </c>
      <c r="C2032" s="191" t="s">
        <v>59</v>
      </c>
      <c r="D2032" s="191" t="s">
        <v>1550</v>
      </c>
      <c r="E2032" s="191" t="s">
        <v>120</v>
      </c>
      <c r="F2032" s="191"/>
      <c r="G2032" s="191" t="s">
        <v>61</v>
      </c>
      <c r="H2032" s="192">
        <v>7.1000000000000004E-3</v>
      </c>
      <c r="I2032" s="244">
        <v>63.09</v>
      </c>
      <c r="J2032" s="244">
        <v>0.44</v>
      </c>
    </row>
    <row r="2033" spans="1:10" ht="42.75" x14ac:dyDescent="0.25">
      <c r="A2033" s="191" t="s">
        <v>62</v>
      </c>
      <c r="B2033" s="191" t="s">
        <v>1734</v>
      </c>
      <c r="C2033" s="191" t="s">
        <v>59</v>
      </c>
      <c r="D2033" s="191" t="s">
        <v>1735</v>
      </c>
      <c r="E2033" s="191" t="s">
        <v>120</v>
      </c>
      <c r="F2033" s="191"/>
      <c r="G2033" s="191" t="s">
        <v>61</v>
      </c>
      <c r="H2033" s="192">
        <v>1</v>
      </c>
      <c r="I2033" s="244">
        <v>14.29</v>
      </c>
      <c r="J2033" s="244">
        <v>14.29</v>
      </c>
    </row>
    <row r="2034" spans="1:10" ht="42.75" x14ac:dyDescent="0.25">
      <c r="A2034" s="191" t="s">
        <v>62</v>
      </c>
      <c r="B2034" s="191" t="s">
        <v>1551</v>
      </c>
      <c r="C2034" s="191" t="s">
        <v>59</v>
      </c>
      <c r="D2034" s="191" t="s">
        <v>1552</v>
      </c>
      <c r="E2034" s="191" t="s">
        <v>120</v>
      </c>
      <c r="F2034" s="191"/>
      <c r="G2034" s="191" t="s">
        <v>61</v>
      </c>
      <c r="H2034" s="192">
        <v>8.0000000000000002E-3</v>
      </c>
      <c r="I2034" s="244">
        <v>71.48</v>
      </c>
      <c r="J2034" s="244">
        <v>0.56999999999999995</v>
      </c>
    </row>
    <row r="2035" spans="1:10" ht="28.5" x14ac:dyDescent="0.25">
      <c r="A2035" s="191" t="s">
        <v>62</v>
      </c>
      <c r="B2035" s="191" t="s">
        <v>1483</v>
      </c>
      <c r="C2035" s="191" t="s">
        <v>59</v>
      </c>
      <c r="D2035" s="191" t="s">
        <v>1484</v>
      </c>
      <c r="E2035" s="191" t="s">
        <v>120</v>
      </c>
      <c r="F2035" s="191"/>
      <c r="G2035" s="191" t="s">
        <v>61</v>
      </c>
      <c r="H2035" s="192">
        <v>3.0200000000000001E-2</v>
      </c>
      <c r="I2035" s="244">
        <v>2</v>
      </c>
      <c r="J2035" s="244">
        <v>0.06</v>
      </c>
    </row>
    <row r="2036" spans="1:10" x14ac:dyDescent="0.25">
      <c r="A2036" s="187"/>
      <c r="B2036" s="187"/>
      <c r="C2036" s="187"/>
      <c r="D2036" s="187"/>
      <c r="E2036" s="187" t="s">
        <v>756</v>
      </c>
      <c r="F2036" s="188">
        <v>3.6</v>
      </c>
      <c r="G2036" s="187" t="s">
        <v>757</v>
      </c>
      <c r="H2036" s="188">
        <v>0</v>
      </c>
      <c r="I2036" s="242" t="s">
        <v>758</v>
      </c>
      <c r="J2036" s="242">
        <v>3.6</v>
      </c>
    </row>
    <row r="2037" spans="1:10" x14ac:dyDescent="0.25">
      <c r="A2037" s="187"/>
      <c r="B2037" s="187"/>
      <c r="C2037" s="187"/>
      <c r="D2037" s="187"/>
      <c r="E2037" s="187" t="s">
        <v>759</v>
      </c>
      <c r="F2037" s="188">
        <v>0</v>
      </c>
      <c r="G2037" s="187"/>
      <c r="H2037" s="187" t="s">
        <v>760</v>
      </c>
      <c r="I2037" s="242"/>
      <c r="J2037" s="242">
        <v>20.2</v>
      </c>
    </row>
    <row r="2038" spans="1:10" x14ac:dyDescent="0.25">
      <c r="A2038" s="182"/>
      <c r="B2038" s="182"/>
      <c r="C2038" s="182"/>
      <c r="D2038" s="182"/>
      <c r="E2038" s="182"/>
      <c r="F2038" s="182"/>
      <c r="G2038" s="182" t="s">
        <v>761</v>
      </c>
      <c r="H2038" s="189" t="s">
        <v>762</v>
      </c>
      <c r="I2038" s="239" t="s">
        <v>763</v>
      </c>
      <c r="J2038" s="239">
        <v>20.2</v>
      </c>
    </row>
    <row r="2039" spans="1:10" x14ac:dyDescent="0.25">
      <c r="A2039" s="183"/>
      <c r="B2039" s="183"/>
      <c r="C2039" s="183"/>
      <c r="D2039" s="183"/>
      <c r="E2039" s="183"/>
      <c r="F2039" s="183"/>
      <c r="G2039" s="183"/>
      <c r="H2039" s="183"/>
      <c r="I2039" s="240"/>
      <c r="J2039" s="240"/>
    </row>
    <row r="2040" spans="1:10" x14ac:dyDescent="0.25">
      <c r="A2040" s="182" t="s">
        <v>1904</v>
      </c>
      <c r="B2040" s="182" t="s">
        <v>66</v>
      </c>
      <c r="C2040" s="182" t="s">
        <v>64</v>
      </c>
      <c r="D2040" s="182" t="s">
        <v>67</v>
      </c>
      <c r="E2040" s="182" t="s">
        <v>65</v>
      </c>
      <c r="F2040" s="182"/>
      <c r="G2040" s="182" t="s">
        <v>744</v>
      </c>
      <c r="H2040" s="182" t="s">
        <v>69</v>
      </c>
      <c r="I2040" s="239" t="s">
        <v>745</v>
      </c>
      <c r="J2040" s="239" t="s">
        <v>0</v>
      </c>
    </row>
    <row r="2041" spans="1:10" ht="71.25" x14ac:dyDescent="0.25">
      <c r="A2041" s="183" t="s">
        <v>58</v>
      </c>
      <c r="B2041" s="183" t="s">
        <v>1905</v>
      </c>
      <c r="C2041" s="183" t="s">
        <v>59</v>
      </c>
      <c r="D2041" s="183" t="s">
        <v>1906</v>
      </c>
      <c r="E2041" s="183" t="s">
        <v>1681</v>
      </c>
      <c r="F2041" s="183"/>
      <c r="G2041" s="183" t="s">
        <v>116</v>
      </c>
      <c r="H2041" s="184">
        <v>1</v>
      </c>
      <c r="I2041" s="240">
        <v>13.6</v>
      </c>
      <c r="J2041" s="240">
        <v>13.6</v>
      </c>
    </row>
    <row r="2042" spans="1:10" ht="42.75" x14ac:dyDescent="0.25">
      <c r="A2042" s="185" t="s">
        <v>119</v>
      </c>
      <c r="B2042" s="185" t="s">
        <v>1481</v>
      </c>
      <c r="C2042" s="185" t="s">
        <v>59</v>
      </c>
      <c r="D2042" s="185" t="s">
        <v>1482</v>
      </c>
      <c r="E2042" s="185" t="s">
        <v>754</v>
      </c>
      <c r="F2042" s="185"/>
      <c r="G2042" s="185" t="s">
        <v>60</v>
      </c>
      <c r="H2042" s="186">
        <v>0.15859999999999999</v>
      </c>
      <c r="I2042" s="241">
        <v>31.42</v>
      </c>
      <c r="J2042" s="241">
        <v>4.9800000000000004</v>
      </c>
    </row>
    <row r="2043" spans="1:10" ht="42.75" x14ac:dyDescent="0.25">
      <c r="A2043" s="185" t="s">
        <v>119</v>
      </c>
      <c r="B2043" s="185" t="s">
        <v>1479</v>
      </c>
      <c r="C2043" s="185" t="s">
        <v>59</v>
      </c>
      <c r="D2043" s="185" t="s">
        <v>1480</v>
      </c>
      <c r="E2043" s="185" t="s">
        <v>754</v>
      </c>
      <c r="F2043" s="185"/>
      <c r="G2043" s="185" t="s">
        <v>60</v>
      </c>
      <c r="H2043" s="186">
        <v>0.15859999999999999</v>
      </c>
      <c r="I2043" s="241">
        <v>22.16</v>
      </c>
      <c r="J2043" s="241">
        <v>3.51</v>
      </c>
    </row>
    <row r="2044" spans="1:10" ht="28.5" x14ac:dyDescent="0.25">
      <c r="A2044" s="191" t="s">
        <v>62</v>
      </c>
      <c r="B2044" s="191" t="s">
        <v>1483</v>
      </c>
      <c r="C2044" s="191" t="s">
        <v>59</v>
      </c>
      <c r="D2044" s="191" t="s">
        <v>1484</v>
      </c>
      <c r="E2044" s="191" t="s">
        <v>120</v>
      </c>
      <c r="F2044" s="191"/>
      <c r="G2044" s="191" t="s">
        <v>61</v>
      </c>
      <c r="H2044" s="192">
        <v>3.6999999999999998E-2</v>
      </c>
      <c r="I2044" s="244">
        <v>2</v>
      </c>
      <c r="J2044" s="244">
        <v>7.0000000000000007E-2</v>
      </c>
    </row>
    <row r="2045" spans="1:10" ht="28.5" x14ac:dyDescent="0.25">
      <c r="A2045" s="191" t="s">
        <v>62</v>
      </c>
      <c r="B2045" s="191" t="s">
        <v>1687</v>
      </c>
      <c r="C2045" s="191" t="s">
        <v>59</v>
      </c>
      <c r="D2045" s="191" t="s">
        <v>1688</v>
      </c>
      <c r="E2045" s="191" t="s">
        <v>120</v>
      </c>
      <c r="F2045" s="191"/>
      <c r="G2045" s="191" t="s">
        <v>116</v>
      </c>
      <c r="H2045" s="192">
        <v>1.0492999999999999</v>
      </c>
      <c r="I2045" s="244">
        <v>4.8099999999999996</v>
      </c>
      <c r="J2045" s="244">
        <v>5.04</v>
      </c>
    </row>
    <row r="2046" spans="1:10" x14ac:dyDescent="0.25">
      <c r="A2046" s="187"/>
      <c r="B2046" s="187"/>
      <c r="C2046" s="187"/>
      <c r="D2046" s="187"/>
      <c r="E2046" s="187" t="s">
        <v>756</v>
      </c>
      <c r="F2046" s="188">
        <v>6.31</v>
      </c>
      <c r="G2046" s="187" t="s">
        <v>757</v>
      </c>
      <c r="H2046" s="188">
        <v>0</v>
      </c>
      <c r="I2046" s="242" t="s">
        <v>758</v>
      </c>
      <c r="J2046" s="242">
        <v>6.31</v>
      </c>
    </row>
    <row r="2047" spans="1:10" x14ac:dyDescent="0.25">
      <c r="A2047" s="187"/>
      <c r="B2047" s="187"/>
      <c r="C2047" s="187"/>
      <c r="D2047" s="187"/>
      <c r="E2047" s="187" t="s">
        <v>759</v>
      </c>
      <c r="F2047" s="188">
        <v>0</v>
      </c>
      <c r="G2047" s="187"/>
      <c r="H2047" s="187" t="s">
        <v>760</v>
      </c>
      <c r="I2047" s="242"/>
      <c r="J2047" s="242">
        <v>13.6</v>
      </c>
    </row>
    <row r="2048" spans="1:10" x14ac:dyDescent="0.25">
      <c r="A2048" s="182"/>
      <c r="B2048" s="182"/>
      <c r="C2048" s="182"/>
      <c r="D2048" s="182"/>
      <c r="E2048" s="182"/>
      <c r="F2048" s="182"/>
      <c r="G2048" s="182" t="s">
        <v>761</v>
      </c>
      <c r="H2048" s="189" t="s">
        <v>1907</v>
      </c>
      <c r="I2048" s="239" t="s">
        <v>763</v>
      </c>
      <c r="J2048" s="239">
        <v>511.49</v>
      </c>
    </row>
    <row r="2049" spans="1:10" x14ac:dyDescent="0.25">
      <c r="A2049" s="183"/>
      <c r="B2049" s="183"/>
      <c r="C2049" s="183"/>
      <c r="D2049" s="183"/>
      <c r="E2049" s="183"/>
      <c r="F2049" s="183"/>
      <c r="G2049" s="183"/>
      <c r="H2049" s="183"/>
      <c r="I2049" s="240"/>
      <c r="J2049" s="240"/>
    </row>
    <row r="2050" spans="1:10" x14ac:dyDescent="0.25">
      <c r="A2050" s="182" t="s">
        <v>1908</v>
      </c>
      <c r="B2050" s="182" t="s">
        <v>66</v>
      </c>
      <c r="C2050" s="182" t="s">
        <v>64</v>
      </c>
      <c r="D2050" s="182" t="s">
        <v>67</v>
      </c>
      <c r="E2050" s="182" t="s">
        <v>65</v>
      </c>
      <c r="F2050" s="182"/>
      <c r="G2050" s="182" t="s">
        <v>744</v>
      </c>
      <c r="H2050" s="182" t="s">
        <v>69</v>
      </c>
      <c r="I2050" s="239" t="s">
        <v>745</v>
      </c>
      <c r="J2050" s="239" t="s">
        <v>0</v>
      </c>
    </row>
    <row r="2051" spans="1:10" ht="71.25" x14ac:dyDescent="0.25">
      <c r="A2051" s="183" t="s">
        <v>58</v>
      </c>
      <c r="B2051" s="183" t="s">
        <v>1909</v>
      </c>
      <c r="C2051" s="183" t="s">
        <v>59</v>
      </c>
      <c r="D2051" s="183" t="s">
        <v>1910</v>
      </c>
      <c r="E2051" s="183" t="s">
        <v>1681</v>
      </c>
      <c r="F2051" s="183"/>
      <c r="G2051" s="183" t="s">
        <v>116</v>
      </c>
      <c r="H2051" s="184">
        <v>1</v>
      </c>
      <c r="I2051" s="240">
        <v>21.1</v>
      </c>
      <c r="J2051" s="240">
        <v>21.1</v>
      </c>
    </row>
    <row r="2052" spans="1:10" ht="42.75" x14ac:dyDescent="0.25">
      <c r="A2052" s="185" t="s">
        <v>119</v>
      </c>
      <c r="B2052" s="185" t="s">
        <v>1479</v>
      </c>
      <c r="C2052" s="185" t="s">
        <v>59</v>
      </c>
      <c r="D2052" s="185" t="s">
        <v>1480</v>
      </c>
      <c r="E2052" s="185" t="s">
        <v>754</v>
      </c>
      <c r="F2052" s="185"/>
      <c r="G2052" s="185" t="s">
        <v>60</v>
      </c>
      <c r="H2052" s="186">
        <v>0.18909999999999999</v>
      </c>
      <c r="I2052" s="241">
        <v>22.16</v>
      </c>
      <c r="J2052" s="241">
        <v>4.1900000000000004</v>
      </c>
    </row>
    <row r="2053" spans="1:10" ht="42.75" x14ac:dyDescent="0.25">
      <c r="A2053" s="185" t="s">
        <v>119</v>
      </c>
      <c r="B2053" s="185" t="s">
        <v>1481</v>
      </c>
      <c r="C2053" s="185" t="s">
        <v>59</v>
      </c>
      <c r="D2053" s="185" t="s">
        <v>1482</v>
      </c>
      <c r="E2053" s="185" t="s">
        <v>754</v>
      </c>
      <c r="F2053" s="185"/>
      <c r="G2053" s="185" t="s">
        <v>60</v>
      </c>
      <c r="H2053" s="186">
        <v>0.18909999999999999</v>
      </c>
      <c r="I2053" s="241">
        <v>31.42</v>
      </c>
      <c r="J2053" s="241">
        <v>5.94</v>
      </c>
    </row>
    <row r="2054" spans="1:10" ht="28.5" x14ac:dyDescent="0.25">
      <c r="A2054" s="191" t="s">
        <v>62</v>
      </c>
      <c r="B2054" s="191" t="s">
        <v>1483</v>
      </c>
      <c r="C2054" s="191" t="s">
        <v>59</v>
      </c>
      <c r="D2054" s="191" t="s">
        <v>1484</v>
      </c>
      <c r="E2054" s="191" t="s">
        <v>120</v>
      </c>
      <c r="F2054" s="191"/>
      <c r="G2054" s="191" t="s">
        <v>61</v>
      </c>
      <c r="H2054" s="192">
        <v>4.41E-2</v>
      </c>
      <c r="I2054" s="244">
        <v>2</v>
      </c>
      <c r="J2054" s="244">
        <v>0.08</v>
      </c>
    </row>
    <row r="2055" spans="1:10" ht="28.5" x14ac:dyDescent="0.25">
      <c r="A2055" s="191" t="s">
        <v>62</v>
      </c>
      <c r="B2055" s="191" t="s">
        <v>1861</v>
      </c>
      <c r="C2055" s="191" t="s">
        <v>59</v>
      </c>
      <c r="D2055" s="191" t="s">
        <v>1862</v>
      </c>
      <c r="E2055" s="191" t="s">
        <v>120</v>
      </c>
      <c r="F2055" s="191"/>
      <c r="G2055" s="191" t="s">
        <v>116</v>
      </c>
      <c r="H2055" s="192">
        <v>1.0492999999999999</v>
      </c>
      <c r="I2055" s="244">
        <v>10.38</v>
      </c>
      <c r="J2055" s="244">
        <v>10.89</v>
      </c>
    </row>
    <row r="2056" spans="1:10" x14ac:dyDescent="0.25">
      <c r="A2056" s="187"/>
      <c r="B2056" s="187"/>
      <c r="C2056" s="187"/>
      <c r="D2056" s="187"/>
      <c r="E2056" s="187" t="s">
        <v>756</v>
      </c>
      <c r="F2056" s="188">
        <v>7.53</v>
      </c>
      <c r="G2056" s="187" t="s">
        <v>757</v>
      </c>
      <c r="H2056" s="188">
        <v>0</v>
      </c>
      <c r="I2056" s="242" t="s">
        <v>758</v>
      </c>
      <c r="J2056" s="242">
        <v>7.53</v>
      </c>
    </row>
    <row r="2057" spans="1:10" x14ac:dyDescent="0.25">
      <c r="A2057" s="187"/>
      <c r="B2057" s="187"/>
      <c r="C2057" s="187"/>
      <c r="D2057" s="187"/>
      <c r="E2057" s="187" t="s">
        <v>759</v>
      </c>
      <c r="F2057" s="188">
        <v>0</v>
      </c>
      <c r="G2057" s="187"/>
      <c r="H2057" s="187" t="s">
        <v>760</v>
      </c>
      <c r="I2057" s="242"/>
      <c r="J2057" s="242">
        <v>21.1</v>
      </c>
    </row>
    <row r="2058" spans="1:10" x14ac:dyDescent="0.25">
      <c r="A2058" s="182"/>
      <c r="B2058" s="182"/>
      <c r="C2058" s="182"/>
      <c r="D2058" s="182"/>
      <c r="E2058" s="182"/>
      <c r="F2058" s="182"/>
      <c r="G2058" s="182" t="s">
        <v>761</v>
      </c>
      <c r="H2058" s="189" t="s">
        <v>762</v>
      </c>
      <c r="I2058" s="239" t="s">
        <v>763</v>
      </c>
      <c r="J2058" s="239">
        <v>21.1</v>
      </c>
    </row>
    <row r="2059" spans="1:10" x14ac:dyDescent="0.25">
      <c r="A2059" s="183"/>
      <c r="B2059" s="183"/>
      <c r="C2059" s="183"/>
      <c r="D2059" s="183"/>
      <c r="E2059" s="183"/>
      <c r="F2059" s="183"/>
      <c r="G2059" s="183"/>
      <c r="H2059" s="183"/>
      <c r="I2059" s="240"/>
      <c r="J2059" s="240"/>
    </row>
    <row r="2060" spans="1:10" x14ac:dyDescent="0.25">
      <c r="A2060" s="182" t="s">
        <v>1911</v>
      </c>
      <c r="B2060" s="182" t="s">
        <v>66</v>
      </c>
      <c r="C2060" s="182" t="s">
        <v>64</v>
      </c>
      <c r="D2060" s="182" t="s">
        <v>67</v>
      </c>
      <c r="E2060" s="182" t="s">
        <v>65</v>
      </c>
      <c r="F2060" s="182"/>
      <c r="G2060" s="182" t="s">
        <v>744</v>
      </c>
      <c r="H2060" s="182" t="s">
        <v>69</v>
      </c>
      <c r="I2060" s="239" t="s">
        <v>745</v>
      </c>
      <c r="J2060" s="239" t="s">
        <v>0</v>
      </c>
    </row>
    <row r="2061" spans="1:10" ht="71.25" x14ac:dyDescent="0.25">
      <c r="A2061" s="183" t="s">
        <v>58</v>
      </c>
      <c r="B2061" s="183" t="s">
        <v>1912</v>
      </c>
      <c r="C2061" s="183" t="s">
        <v>59</v>
      </c>
      <c r="D2061" s="183" t="s">
        <v>1913</v>
      </c>
      <c r="E2061" s="183" t="s">
        <v>1681</v>
      </c>
      <c r="F2061" s="183"/>
      <c r="G2061" s="183" t="s">
        <v>116</v>
      </c>
      <c r="H2061" s="184">
        <v>1</v>
      </c>
      <c r="I2061" s="240">
        <v>29.14</v>
      </c>
      <c r="J2061" s="240">
        <v>29.14</v>
      </c>
    </row>
    <row r="2062" spans="1:10" ht="42.75" x14ac:dyDescent="0.25">
      <c r="A2062" s="185" t="s">
        <v>119</v>
      </c>
      <c r="B2062" s="185" t="s">
        <v>1479</v>
      </c>
      <c r="C2062" s="185" t="s">
        <v>59</v>
      </c>
      <c r="D2062" s="185" t="s">
        <v>1480</v>
      </c>
      <c r="E2062" s="185" t="s">
        <v>754</v>
      </c>
      <c r="F2062" s="185"/>
      <c r="G2062" s="185" t="s">
        <v>60</v>
      </c>
      <c r="H2062" s="186">
        <v>0.224</v>
      </c>
      <c r="I2062" s="241">
        <v>22.16</v>
      </c>
      <c r="J2062" s="241">
        <v>4.96</v>
      </c>
    </row>
    <row r="2063" spans="1:10" ht="42.75" x14ac:dyDescent="0.25">
      <c r="A2063" s="185" t="s">
        <v>119</v>
      </c>
      <c r="B2063" s="185" t="s">
        <v>1481</v>
      </c>
      <c r="C2063" s="185" t="s">
        <v>59</v>
      </c>
      <c r="D2063" s="185" t="s">
        <v>1482</v>
      </c>
      <c r="E2063" s="185" t="s">
        <v>754</v>
      </c>
      <c r="F2063" s="185"/>
      <c r="G2063" s="185" t="s">
        <v>60</v>
      </c>
      <c r="H2063" s="186">
        <v>0.224</v>
      </c>
      <c r="I2063" s="241">
        <v>31.42</v>
      </c>
      <c r="J2063" s="241">
        <v>7.03</v>
      </c>
    </row>
    <row r="2064" spans="1:10" ht="28.5" x14ac:dyDescent="0.25">
      <c r="A2064" s="191" t="s">
        <v>62</v>
      </c>
      <c r="B2064" s="191" t="s">
        <v>1483</v>
      </c>
      <c r="C2064" s="191" t="s">
        <v>59</v>
      </c>
      <c r="D2064" s="191" t="s">
        <v>1484</v>
      </c>
      <c r="E2064" s="191" t="s">
        <v>120</v>
      </c>
      <c r="F2064" s="191"/>
      <c r="G2064" s="191" t="s">
        <v>61</v>
      </c>
      <c r="H2064" s="192">
        <v>2.6100000000000002E-2</v>
      </c>
      <c r="I2064" s="244">
        <v>2</v>
      </c>
      <c r="J2064" s="244">
        <v>0.05</v>
      </c>
    </row>
    <row r="2065" spans="1:10" ht="28.5" x14ac:dyDescent="0.25">
      <c r="A2065" s="191" t="s">
        <v>62</v>
      </c>
      <c r="B2065" s="191" t="s">
        <v>1866</v>
      </c>
      <c r="C2065" s="191" t="s">
        <v>59</v>
      </c>
      <c r="D2065" s="191" t="s">
        <v>1867</v>
      </c>
      <c r="E2065" s="191" t="s">
        <v>120</v>
      </c>
      <c r="F2065" s="191"/>
      <c r="G2065" s="191" t="s">
        <v>116</v>
      </c>
      <c r="H2065" s="192">
        <v>1.0492999999999999</v>
      </c>
      <c r="I2065" s="244">
        <v>16.3</v>
      </c>
      <c r="J2065" s="244">
        <v>17.100000000000001</v>
      </c>
    </row>
    <row r="2066" spans="1:10" x14ac:dyDescent="0.25">
      <c r="A2066" s="187"/>
      <c r="B2066" s="187"/>
      <c r="C2066" s="187"/>
      <c r="D2066" s="187"/>
      <c r="E2066" s="187" t="s">
        <v>756</v>
      </c>
      <c r="F2066" s="188">
        <v>8.92</v>
      </c>
      <c r="G2066" s="187" t="s">
        <v>757</v>
      </c>
      <c r="H2066" s="188">
        <v>0</v>
      </c>
      <c r="I2066" s="242" t="s">
        <v>758</v>
      </c>
      <c r="J2066" s="242">
        <v>8.92</v>
      </c>
    </row>
    <row r="2067" spans="1:10" x14ac:dyDescent="0.25">
      <c r="A2067" s="187"/>
      <c r="B2067" s="187"/>
      <c r="C2067" s="187"/>
      <c r="D2067" s="187"/>
      <c r="E2067" s="187" t="s">
        <v>759</v>
      </c>
      <c r="F2067" s="188">
        <v>0</v>
      </c>
      <c r="G2067" s="187"/>
      <c r="H2067" s="187" t="s">
        <v>760</v>
      </c>
      <c r="I2067" s="242"/>
      <c r="J2067" s="242">
        <v>29.14</v>
      </c>
    </row>
    <row r="2068" spans="1:10" x14ac:dyDescent="0.25">
      <c r="A2068" s="182"/>
      <c r="B2068" s="182"/>
      <c r="C2068" s="182"/>
      <c r="D2068" s="182"/>
      <c r="E2068" s="182"/>
      <c r="F2068" s="182"/>
      <c r="G2068" s="182" t="s">
        <v>761</v>
      </c>
      <c r="H2068" s="189" t="s">
        <v>1914</v>
      </c>
      <c r="I2068" s="239" t="s">
        <v>763</v>
      </c>
      <c r="J2068" s="239">
        <v>984.34</v>
      </c>
    </row>
    <row r="2069" spans="1:10" x14ac:dyDescent="0.25">
      <c r="A2069" s="183"/>
      <c r="B2069" s="183"/>
      <c r="C2069" s="183"/>
      <c r="D2069" s="183"/>
      <c r="E2069" s="183"/>
      <c r="F2069" s="183"/>
      <c r="G2069" s="183"/>
      <c r="H2069" s="183"/>
      <c r="I2069" s="240"/>
      <c r="J2069" s="240"/>
    </row>
    <row r="2070" spans="1:10" x14ac:dyDescent="0.25">
      <c r="A2070" s="182" t="s">
        <v>1915</v>
      </c>
      <c r="B2070" s="182" t="s">
        <v>66</v>
      </c>
      <c r="C2070" s="182" t="s">
        <v>64</v>
      </c>
      <c r="D2070" s="182" t="s">
        <v>67</v>
      </c>
      <c r="E2070" s="182" t="s">
        <v>65</v>
      </c>
      <c r="F2070" s="182"/>
      <c r="G2070" s="182" t="s">
        <v>744</v>
      </c>
      <c r="H2070" s="182" t="s">
        <v>69</v>
      </c>
      <c r="I2070" s="239" t="s">
        <v>745</v>
      </c>
      <c r="J2070" s="239" t="s">
        <v>0</v>
      </c>
    </row>
    <row r="2071" spans="1:10" ht="28.5" x14ac:dyDescent="0.25">
      <c r="A2071" s="183" t="s">
        <v>58</v>
      </c>
      <c r="B2071" s="183" t="s">
        <v>1787</v>
      </c>
      <c r="C2071" s="183" t="s">
        <v>785</v>
      </c>
      <c r="D2071" s="183" t="s">
        <v>1788</v>
      </c>
      <c r="E2071" s="183">
        <v>809</v>
      </c>
      <c r="F2071" s="183"/>
      <c r="G2071" s="183" t="s">
        <v>1498</v>
      </c>
      <c r="H2071" s="184">
        <v>1</v>
      </c>
      <c r="I2071" s="240">
        <v>179.86</v>
      </c>
      <c r="J2071" s="240">
        <v>179.86</v>
      </c>
    </row>
    <row r="2072" spans="1:10" ht="28.5" x14ac:dyDescent="0.25">
      <c r="A2072" s="191" t="s">
        <v>62</v>
      </c>
      <c r="B2072" s="191" t="s">
        <v>1569</v>
      </c>
      <c r="C2072" s="191" t="s">
        <v>785</v>
      </c>
      <c r="D2072" s="191" t="s">
        <v>1570</v>
      </c>
      <c r="E2072" s="191" t="s">
        <v>124</v>
      </c>
      <c r="F2072" s="191"/>
      <c r="G2072" s="191" t="s">
        <v>60</v>
      </c>
      <c r="H2072" s="192">
        <v>0.61</v>
      </c>
      <c r="I2072" s="244">
        <v>29.79</v>
      </c>
      <c r="J2072" s="244">
        <v>18.170000000000002</v>
      </c>
    </row>
    <row r="2073" spans="1:10" ht="28.5" x14ac:dyDescent="0.25">
      <c r="A2073" s="191" t="s">
        <v>62</v>
      </c>
      <c r="B2073" s="191" t="s">
        <v>1789</v>
      </c>
      <c r="C2073" s="191" t="s">
        <v>785</v>
      </c>
      <c r="D2073" s="191" t="s">
        <v>1790</v>
      </c>
      <c r="E2073" s="191" t="s">
        <v>120</v>
      </c>
      <c r="F2073" s="191"/>
      <c r="G2073" s="191" t="s">
        <v>129</v>
      </c>
      <c r="H2073" s="192">
        <v>1</v>
      </c>
      <c r="I2073" s="244">
        <v>147.82</v>
      </c>
      <c r="J2073" s="244">
        <v>147.82</v>
      </c>
    </row>
    <row r="2074" spans="1:10" ht="28.5" x14ac:dyDescent="0.25">
      <c r="A2074" s="191" t="s">
        <v>62</v>
      </c>
      <c r="B2074" s="191" t="s">
        <v>1515</v>
      </c>
      <c r="C2074" s="191" t="s">
        <v>785</v>
      </c>
      <c r="D2074" s="191" t="s">
        <v>181</v>
      </c>
      <c r="E2074" s="191" t="s">
        <v>124</v>
      </c>
      <c r="F2074" s="191"/>
      <c r="G2074" s="191" t="s">
        <v>60</v>
      </c>
      <c r="H2074" s="192">
        <v>0.61</v>
      </c>
      <c r="I2074" s="244">
        <v>22.05</v>
      </c>
      <c r="J2074" s="244">
        <v>13.45</v>
      </c>
    </row>
    <row r="2075" spans="1:10" ht="28.5" x14ac:dyDescent="0.25">
      <c r="A2075" s="191" t="s">
        <v>62</v>
      </c>
      <c r="B2075" s="191" t="s">
        <v>1567</v>
      </c>
      <c r="C2075" s="191" t="s">
        <v>785</v>
      </c>
      <c r="D2075" s="191" t="s">
        <v>1568</v>
      </c>
      <c r="E2075" s="191" t="s">
        <v>120</v>
      </c>
      <c r="F2075" s="191"/>
      <c r="G2075" s="191" t="s">
        <v>113</v>
      </c>
      <c r="H2075" s="192">
        <v>1.2</v>
      </c>
      <c r="I2075" s="244">
        <v>0.35</v>
      </c>
      <c r="J2075" s="244">
        <v>0.42</v>
      </c>
    </row>
    <row r="2076" spans="1:10" x14ac:dyDescent="0.25">
      <c r="A2076" s="187"/>
      <c r="B2076" s="187"/>
      <c r="C2076" s="187"/>
      <c r="D2076" s="187"/>
      <c r="E2076" s="187" t="s">
        <v>756</v>
      </c>
      <c r="F2076" s="188">
        <v>31.62</v>
      </c>
      <c r="G2076" s="187" t="s">
        <v>757</v>
      </c>
      <c r="H2076" s="188">
        <v>0</v>
      </c>
      <c r="I2076" s="242" t="s">
        <v>758</v>
      </c>
      <c r="J2076" s="242">
        <v>31.62</v>
      </c>
    </row>
    <row r="2077" spans="1:10" x14ac:dyDescent="0.25">
      <c r="A2077" s="187"/>
      <c r="B2077" s="187"/>
      <c r="C2077" s="187"/>
      <c r="D2077" s="187"/>
      <c r="E2077" s="187" t="s">
        <v>759</v>
      </c>
      <c r="F2077" s="188">
        <v>0</v>
      </c>
      <c r="G2077" s="187"/>
      <c r="H2077" s="187" t="s">
        <v>760</v>
      </c>
      <c r="I2077" s="242"/>
      <c r="J2077" s="242">
        <v>179.86</v>
      </c>
    </row>
    <row r="2078" spans="1:10" x14ac:dyDescent="0.25">
      <c r="A2078" s="182"/>
      <c r="B2078" s="182"/>
      <c r="C2078" s="182"/>
      <c r="D2078" s="182"/>
      <c r="E2078" s="182"/>
      <c r="F2078" s="182"/>
      <c r="G2078" s="182" t="s">
        <v>761</v>
      </c>
      <c r="H2078" s="189" t="s">
        <v>762</v>
      </c>
      <c r="I2078" s="239" t="s">
        <v>763</v>
      </c>
      <c r="J2078" s="239">
        <v>179.86</v>
      </c>
    </row>
    <row r="2079" spans="1:10" x14ac:dyDescent="0.25">
      <c r="A2079" s="183"/>
      <c r="B2079" s="183"/>
      <c r="C2079" s="183"/>
      <c r="D2079" s="183"/>
      <c r="E2079" s="183"/>
      <c r="F2079" s="183"/>
      <c r="G2079" s="183"/>
      <c r="H2079" s="183"/>
      <c r="I2079" s="240"/>
      <c r="J2079" s="240"/>
    </row>
    <row r="2080" spans="1:10" x14ac:dyDescent="0.25">
      <c r="A2080" s="182" t="s">
        <v>1916</v>
      </c>
      <c r="B2080" s="182" t="s">
        <v>66</v>
      </c>
      <c r="C2080" s="182" t="s">
        <v>64</v>
      </c>
      <c r="D2080" s="182" t="s">
        <v>67</v>
      </c>
      <c r="E2080" s="182" t="s">
        <v>65</v>
      </c>
      <c r="F2080" s="182"/>
      <c r="G2080" s="182" t="s">
        <v>744</v>
      </c>
      <c r="H2080" s="182" t="s">
        <v>69</v>
      </c>
      <c r="I2080" s="239" t="s">
        <v>745</v>
      </c>
      <c r="J2080" s="239" t="s">
        <v>0</v>
      </c>
    </row>
    <row r="2081" spans="1:10" ht="28.5" x14ac:dyDescent="0.25">
      <c r="A2081" s="183" t="s">
        <v>58</v>
      </c>
      <c r="B2081" s="183" t="s">
        <v>1792</v>
      </c>
      <c r="C2081" s="183" t="s">
        <v>785</v>
      </c>
      <c r="D2081" s="183" t="s">
        <v>1793</v>
      </c>
      <c r="E2081" s="183">
        <v>809</v>
      </c>
      <c r="F2081" s="183"/>
      <c r="G2081" s="183" t="s">
        <v>1498</v>
      </c>
      <c r="H2081" s="184">
        <v>1</v>
      </c>
      <c r="I2081" s="240">
        <v>209.44</v>
      </c>
      <c r="J2081" s="240">
        <v>209.44</v>
      </c>
    </row>
    <row r="2082" spans="1:10" ht="28.5" x14ac:dyDescent="0.25">
      <c r="A2082" s="191" t="s">
        <v>62</v>
      </c>
      <c r="B2082" s="191" t="s">
        <v>1794</v>
      </c>
      <c r="C2082" s="191" t="s">
        <v>785</v>
      </c>
      <c r="D2082" s="191" t="s">
        <v>1795</v>
      </c>
      <c r="E2082" s="191" t="s">
        <v>120</v>
      </c>
      <c r="F2082" s="191"/>
      <c r="G2082" s="191" t="s">
        <v>129</v>
      </c>
      <c r="H2082" s="192">
        <v>1</v>
      </c>
      <c r="I2082" s="244">
        <v>159.68</v>
      </c>
      <c r="J2082" s="244">
        <v>159.68</v>
      </c>
    </row>
    <row r="2083" spans="1:10" ht="28.5" x14ac:dyDescent="0.25">
      <c r="A2083" s="191" t="s">
        <v>62</v>
      </c>
      <c r="B2083" s="191" t="s">
        <v>1569</v>
      </c>
      <c r="C2083" s="191" t="s">
        <v>785</v>
      </c>
      <c r="D2083" s="191" t="s">
        <v>1570</v>
      </c>
      <c r="E2083" s="191" t="s">
        <v>124</v>
      </c>
      <c r="F2083" s="191"/>
      <c r="G2083" s="191" t="s">
        <v>60</v>
      </c>
      <c r="H2083" s="192">
        <v>0.95</v>
      </c>
      <c r="I2083" s="244">
        <v>29.79</v>
      </c>
      <c r="J2083" s="244">
        <v>28.3</v>
      </c>
    </row>
    <row r="2084" spans="1:10" ht="28.5" x14ac:dyDescent="0.25">
      <c r="A2084" s="191" t="s">
        <v>62</v>
      </c>
      <c r="B2084" s="191" t="s">
        <v>1567</v>
      </c>
      <c r="C2084" s="191" t="s">
        <v>785</v>
      </c>
      <c r="D2084" s="191" t="s">
        <v>1568</v>
      </c>
      <c r="E2084" s="191" t="s">
        <v>120</v>
      </c>
      <c r="F2084" s="191"/>
      <c r="G2084" s="191" t="s">
        <v>113</v>
      </c>
      <c r="H2084" s="192">
        <v>1.5</v>
      </c>
      <c r="I2084" s="244">
        <v>0.35</v>
      </c>
      <c r="J2084" s="244">
        <v>0.52</v>
      </c>
    </row>
    <row r="2085" spans="1:10" ht="28.5" x14ac:dyDescent="0.25">
      <c r="A2085" s="191" t="s">
        <v>62</v>
      </c>
      <c r="B2085" s="191" t="s">
        <v>1515</v>
      </c>
      <c r="C2085" s="191" t="s">
        <v>785</v>
      </c>
      <c r="D2085" s="191" t="s">
        <v>181</v>
      </c>
      <c r="E2085" s="191" t="s">
        <v>124</v>
      </c>
      <c r="F2085" s="191"/>
      <c r="G2085" s="191" t="s">
        <v>60</v>
      </c>
      <c r="H2085" s="192">
        <v>0.95</v>
      </c>
      <c r="I2085" s="244">
        <v>22.05</v>
      </c>
      <c r="J2085" s="244">
        <v>20.94</v>
      </c>
    </row>
    <row r="2086" spans="1:10" x14ac:dyDescent="0.25">
      <c r="A2086" s="187"/>
      <c r="B2086" s="187"/>
      <c r="C2086" s="187"/>
      <c r="D2086" s="187"/>
      <c r="E2086" s="187" t="s">
        <v>756</v>
      </c>
      <c r="F2086" s="188">
        <v>49.24</v>
      </c>
      <c r="G2086" s="187" t="s">
        <v>757</v>
      </c>
      <c r="H2086" s="188">
        <v>0</v>
      </c>
      <c r="I2086" s="242" t="s">
        <v>758</v>
      </c>
      <c r="J2086" s="242">
        <v>49.24</v>
      </c>
    </row>
    <row r="2087" spans="1:10" x14ac:dyDescent="0.25">
      <c r="A2087" s="187"/>
      <c r="B2087" s="187"/>
      <c r="C2087" s="187"/>
      <c r="D2087" s="187"/>
      <c r="E2087" s="187" t="s">
        <v>759</v>
      </c>
      <c r="F2087" s="188">
        <v>0</v>
      </c>
      <c r="G2087" s="187"/>
      <c r="H2087" s="187" t="s">
        <v>760</v>
      </c>
      <c r="I2087" s="242"/>
      <c r="J2087" s="242">
        <v>209.44</v>
      </c>
    </row>
    <row r="2088" spans="1:10" x14ac:dyDescent="0.25">
      <c r="A2088" s="182"/>
      <c r="B2088" s="182"/>
      <c r="C2088" s="182"/>
      <c r="D2088" s="182"/>
      <c r="E2088" s="182"/>
      <c r="F2088" s="182"/>
      <c r="G2088" s="182" t="s">
        <v>761</v>
      </c>
      <c r="H2088" s="189" t="s">
        <v>1538</v>
      </c>
      <c r="I2088" s="239" t="s">
        <v>763</v>
      </c>
      <c r="J2088" s="239">
        <v>418.88</v>
      </c>
    </row>
    <row r="2089" spans="1:10" x14ac:dyDescent="0.25">
      <c r="A2089" s="183"/>
      <c r="B2089" s="183"/>
      <c r="C2089" s="183"/>
      <c r="D2089" s="183"/>
      <c r="E2089" s="183"/>
      <c r="F2089" s="183"/>
      <c r="G2089" s="183"/>
      <c r="H2089" s="183"/>
      <c r="I2089" s="240"/>
      <c r="J2089" s="240"/>
    </row>
    <row r="2090" spans="1:10" x14ac:dyDescent="0.25">
      <c r="A2090" s="182" t="s">
        <v>1917</v>
      </c>
      <c r="B2090" s="182" t="s">
        <v>66</v>
      </c>
      <c r="C2090" s="182" t="s">
        <v>64</v>
      </c>
      <c r="D2090" s="182" t="s">
        <v>67</v>
      </c>
      <c r="E2090" s="182" t="s">
        <v>65</v>
      </c>
      <c r="F2090" s="182"/>
      <c r="G2090" s="182" t="s">
        <v>744</v>
      </c>
      <c r="H2090" s="182" t="s">
        <v>69</v>
      </c>
      <c r="I2090" s="239" t="s">
        <v>745</v>
      </c>
      <c r="J2090" s="239" t="s">
        <v>0</v>
      </c>
    </row>
    <row r="2091" spans="1:10" ht="42.75" x14ac:dyDescent="0.25">
      <c r="A2091" s="183" t="s">
        <v>58</v>
      </c>
      <c r="B2091" s="183" t="s">
        <v>1802</v>
      </c>
      <c r="C2091" s="183" t="s">
        <v>785</v>
      </c>
      <c r="D2091" s="183" t="s">
        <v>1803</v>
      </c>
      <c r="E2091" s="183">
        <v>810</v>
      </c>
      <c r="F2091" s="183"/>
      <c r="G2091" s="183" t="s">
        <v>1498</v>
      </c>
      <c r="H2091" s="184">
        <v>1</v>
      </c>
      <c r="I2091" s="240">
        <v>22.55</v>
      </c>
      <c r="J2091" s="240">
        <v>22.55</v>
      </c>
    </row>
    <row r="2092" spans="1:10" ht="28.5" x14ac:dyDescent="0.25">
      <c r="A2092" s="191" t="s">
        <v>62</v>
      </c>
      <c r="B2092" s="191" t="s">
        <v>1569</v>
      </c>
      <c r="C2092" s="191" t="s">
        <v>785</v>
      </c>
      <c r="D2092" s="191" t="s">
        <v>1570</v>
      </c>
      <c r="E2092" s="191" t="s">
        <v>124</v>
      </c>
      <c r="F2092" s="191"/>
      <c r="G2092" s="191" t="s">
        <v>60</v>
      </c>
      <c r="H2092" s="192">
        <v>0.09</v>
      </c>
      <c r="I2092" s="244">
        <v>29.79</v>
      </c>
      <c r="J2092" s="244">
        <v>2.68</v>
      </c>
    </row>
    <row r="2093" spans="1:10" ht="28.5" x14ac:dyDescent="0.25">
      <c r="A2093" s="191" t="s">
        <v>62</v>
      </c>
      <c r="B2093" s="191" t="s">
        <v>1515</v>
      </c>
      <c r="C2093" s="191" t="s">
        <v>785</v>
      </c>
      <c r="D2093" s="191" t="s">
        <v>181</v>
      </c>
      <c r="E2093" s="191" t="s">
        <v>124</v>
      </c>
      <c r="F2093" s="191"/>
      <c r="G2093" s="191" t="s">
        <v>60</v>
      </c>
      <c r="H2093" s="192">
        <v>0.09</v>
      </c>
      <c r="I2093" s="244">
        <v>22.05</v>
      </c>
      <c r="J2093" s="244">
        <v>1.98</v>
      </c>
    </row>
    <row r="2094" spans="1:10" ht="42.75" x14ac:dyDescent="0.25">
      <c r="A2094" s="191" t="s">
        <v>62</v>
      </c>
      <c r="B2094" s="191" t="s">
        <v>1804</v>
      </c>
      <c r="C2094" s="191" t="s">
        <v>785</v>
      </c>
      <c r="D2094" s="191" t="s">
        <v>1803</v>
      </c>
      <c r="E2094" s="191" t="s">
        <v>120</v>
      </c>
      <c r="F2094" s="191"/>
      <c r="G2094" s="191" t="s">
        <v>129</v>
      </c>
      <c r="H2094" s="192">
        <v>1</v>
      </c>
      <c r="I2094" s="244">
        <v>17.89</v>
      </c>
      <c r="J2094" s="244">
        <v>17.89</v>
      </c>
    </row>
    <row r="2095" spans="1:10" x14ac:dyDescent="0.25">
      <c r="A2095" s="187"/>
      <c r="B2095" s="187"/>
      <c r="C2095" s="187"/>
      <c r="D2095" s="187"/>
      <c r="E2095" s="187" t="s">
        <v>756</v>
      </c>
      <c r="F2095" s="188">
        <v>4.66</v>
      </c>
      <c r="G2095" s="187" t="s">
        <v>757</v>
      </c>
      <c r="H2095" s="188">
        <v>0</v>
      </c>
      <c r="I2095" s="242" t="s">
        <v>758</v>
      </c>
      <c r="J2095" s="242">
        <v>4.66</v>
      </c>
    </row>
    <row r="2096" spans="1:10" x14ac:dyDescent="0.25">
      <c r="A2096" s="187"/>
      <c r="B2096" s="187"/>
      <c r="C2096" s="187"/>
      <c r="D2096" s="187"/>
      <c r="E2096" s="187" t="s">
        <v>759</v>
      </c>
      <c r="F2096" s="188">
        <v>0</v>
      </c>
      <c r="G2096" s="187"/>
      <c r="H2096" s="187" t="s">
        <v>760</v>
      </c>
      <c r="I2096" s="242"/>
      <c r="J2096" s="242">
        <v>22.55</v>
      </c>
    </row>
    <row r="2097" spans="1:10" x14ac:dyDescent="0.25">
      <c r="A2097" s="182"/>
      <c r="B2097" s="182"/>
      <c r="C2097" s="182"/>
      <c r="D2097" s="182"/>
      <c r="E2097" s="182"/>
      <c r="F2097" s="182"/>
      <c r="G2097" s="182" t="s">
        <v>761</v>
      </c>
      <c r="H2097" s="189" t="s">
        <v>1260</v>
      </c>
      <c r="I2097" s="239" t="s">
        <v>763</v>
      </c>
      <c r="J2097" s="239">
        <v>67.650000000000006</v>
      </c>
    </row>
    <row r="2098" spans="1:10" x14ac:dyDescent="0.25">
      <c r="A2098" s="183"/>
      <c r="B2098" s="183"/>
      <c r="C2098" s="183"/>
      <c r="D2098" s="183"/>
      <c r="E2098" s="183"/>
      <c r="F2098" s="183"/>
      <c r="G2098" s="183"/>
      <c r="H2098" s="183"/>
      <c r="I2098" s="240"/>
      <c r="J2098" s="240"/>
    </row>
    <row r="2099" spans="1:10" x14ac:dyDescent="0.25">
      <c r="A2099" s="182" t="s">
        <v>1918</v>
      </c>
      <c r="B2099" s="182" t="s">
        <v>66</v>
      </c>
      <c r="C2099" s="182" t="s">
        <v>64</v>
      </c>
      <c r="D2099" s="182" t="s">
        <v>67</v>
      </c>
      <c r="E2099" s="182" t="s">
        <v>65</v>
      </c>
      <c r="F2099" s="182"/>
      <c r="G2099" s="182" t="s">
        <v>744</v>
      </c>
      <c r="H2099" s="182" t="s">
        <v>69</v>
      </c>
      <c r="I2099" s="239" t="s">
        <v>745</v>
      </c>
      <c r="J2099" s="239" t="s">
        <v>0</v>
      </c>
    </row>
    <row r="2100" spans="1:10" ht="42.75" x14ac:dyDescent="0.25">
      <c r="A2100" s="183" t="s">
        <v>58</v>
      </c>
      <c r="B2100" s="183" t="s">
        <v>1806</v>
      </c>
      <c r="C2100" s="183" t="s">
        <v>785</v>
      </c>
      <c r="D2100" s="183" t="s">
        <v>1807</v>
      </c>
      <c r="E2100" s="183">
        <v>810</v>
      </c>
      <c r="F2100" s="183"/>
      <c r="G2100" s="183" t="s">
        <v>1498</v>
      </c>
      <c r="H2100" s="184">
        <v>1</v>
      </c>
      <c r="I2100" s="240">
        <v>7.03</v>
      </c>
      <c r="J2100" s="240">
        <v>7.03</v>
      </c>
    </row>
    <row r="2101" spans="1:10" ht="28.5" x14ac:dyDescent="0.25">
      <c r="A2101" s="191" t="s">
        <v>62</v>
      </c>
      <c r="B2101" s="191" t="s">
        <v>1567</v>
      </c>
      <c r="C2101" s="191" t="s">
        <v>785</v>
      </c>
      <c r="D2101" s="191" t="s">
        <v>1568</v>
      </c>
      <c r="E2101" s="191" t="s">
        <v>120</v>
      </c>
      <c r="F2101" s="191"/>
      <c r="G2101" s="191" t="s">
        <v>113</v>
      </c>
      <c r="H2101" s="192">
        <v>0.5</v>
      </c>
      <c r="I2101" s="244">
        <v>0.35</v>
      </c>
      <c r="J2101" s="244">
        <v>0.17</v>
      </c>
    </row>
    <row r="2102" spans="1:10" ht="28.5" x14ac:dyDescent="0.25">
      <c r="A2102" s="191" t="s">
        <v>62</v>
      </c>
      <c r="B2102" s="191" t="s">
        <v>1515</v>
      </c>
      <c r="C2102" s="191" t="s">
        <v>785</v>
      </c>
      <c r="D2102" s="191" t="s">
        <v>181</v>
      </c>
      <c r="E2102" s="191" t="s">
        <v>124</v>
      </c>
      <c r="F2102" s="191"/>
      <c r="G2102" s="191" t="s">
        <v>60</v>
      </c>
      <c r="H2102" s="192">
        <v>0.09</v>
      </c>
      <c r="I2102" s="244">
        <v>22.05</v>
      </c>
      <c r="J2102" s="244">
        <v>1.98</v>
      </c>
    </row>
    <row r="2103" spans="1:10" ht="28.5" x14ac:dyDescent="0.25">
      <c r="A2103" s="191" t="s">
        <v>62</v>
      </c>
      <c r="B2103" s="191" t="s">
        <v>1569</v>
      </c>
      <c r="C2103" s="191" t="s">
        <v>785</v>
      </c>
      <c r="D2103" s="191" t="s">
        <v>1570</v>
      </c>
      <c r="E2103" s="191" t="s">
        <v>124</v>
      </c>
      <c r="F2103" s="191"/>
      <c r="G2103" s="191" t="s">
        <v>60</v>
      </c>
      <c r="H2103" s="192">
        <v>0.09</v>
      </c>
      <c r="I2103" s="244">
        <v>29.79</v>
      </c>
      <c r="J2103" s="244">
        <v>2.68</v>
      </c>
    </row>
    <row r="2104" spans="1:10" ht="42.75" x14ac:dyDescent="0.25">
      <c r="A2104" s="191" t="s">
        <v>62</v>
      </c>
      <c r="B2104" s="191" t="s">
        <v>1808</v>
      </c>
      <c r="C2104" s="191" t="s">
        <v>785</v>
      </c>
      <c r="D2104" s="191" t="s">
        <v>1809</v>
      </c>
      <c r="E2104" s="191" t="s">
        <v>120</v>
      </c>
      <c r="F2104" s="191"/>
      <c r="G2104" s="191" t="s">
        <v>129</v>
      </c>
      <c r="H2104" s="192">
        <v>1</v>
      </c>
      <c r="I2104" s="244">
        <v>2.2000000000000002</v>
      </c>
      <c r="J2104" s="244">
        <v>2.2000000000000002</v>
      </c>
    </row>
    <row r="2105" spans="1:10" x14ac:dyDescent="0.25">
      <c r="A2105" s="187"/>
      <c r="B2105" s="187"/>
      <c r="C2105" s="187"/>
      <c r="D2105" s="187"/>
      <c r="E2105" s="187" t="s">
        <v>756</v>
      </c>
      <c r="F2105" s="188">
        <v>4.66</v>
      </c>
      <c r="G2105" s="187" t="s">
        <v>757</v>
      </c>
      <c r="H2105" s="188">
        <v>0</v>
      </c>
      <c r="I2105" s="242" t="s">
        <v>758</v>
      </c>
      <c r="J2105" s="242">
        <v>4.66</v>
      </c>
    </row>
    <row r="2106" spans="1:10" x14ac:dyDescent="0.25">
      <c r="A2106" s="187"/>
      <c r="B2106" s="187"/>
      <c r="C2106" s="187"/>
      <c r="D2106" s="187"/>
      <c r="E2106" s="187" t="s">
        <v>759</v>
      </c>
      <c r="F2106" s="188">
        <v>0</v>
      </c>
      <c r="G2106" s="187"/>
      <c r="H2106" s="187" t="s">
        <v>760</v>
      </c>
      <c r="I2106" s="242"/>
      <c r="J2106" s="242">
        <v>7.03</v>
      </c>
    </row>
    <row r="2107" spans="1:10" x14ac:dyDescent="0.25">
      <c r="A2107" s="182"/>
      <c r="B2107" s="182"/>
      <c r="C2107" s="182"/>
      <c r="D2107" s="182"/>
      <c r="E2107" s="182"/>
      <c r="F2107" s="182"/>
      <c r="G2107" s="182" t="s">
        <v>761</v>
      </c>
      <c r="H2107" s="189" t="s">
        <v>1538</v>
      </c>
      <c r="I2107" s="239" t="s">
        <v>763</v>
      </c>
      <c r="J2107" s="239">
        <v>14.06</v>
      </c>
    </row>
    <row r="2108" spans="1:10" x14ac:dyDescent="0.25">
      <c r="A2108" s="183"/>
      <c r="B2108" s="183"/>
      <c r="C2108" s="183"/>
      <c r="D2108" s="183"/>
      <c r="E2108" s="183"/>
      <c r="F2108" s="183"/>
      <c r="G2108" s="183"/>
      <c r="H2108" s="183"/>
      <c r="I2108" s="240"/>
      <c r="J2108" s="240"/>
    </row>
    <row r="2109" spans="1:10" x14ac:dyDescent="0.25">
      <c r="A2109" s="182" t="s">
        <v>1919</v>
      </c>
      <c r="B2109" s="182" t="s">
        <v>66</v>
      </c>
      <c r="C2109" s="182" t="s">
        <v>64</v>
      </c>
      <c r="D2109" s="182" t="s">
        <v>67</v>
      </c>
      <c r="E2109" s="182" t="s">
        <v>65</v>
      </c>
      <c r="F2109" s="182"/>
      <c r="G2109" s="182" t="s">
        <v>744</v>
      </c>
      <c r="H2109" s="182" t="s">
        <v>69</v>
      </c>
      <c r="I2109" s="239" t="s">
        <v>745</v>
      </c>
      <c r="J2109" s="239" t="s">
        <v>0</v>
      </c>
    </row>
    <row r="2110" spans="1:10" ht="42.75" x14ac:dyDescent="0.25">
      <c r="A2110" s="183" t="s">
        <v>58</v>
      </c>
      <c r="B2110" s="183" t="s">
        <v>1811</v>
      </c>
      <c r="C2110" s="183" t="s">
        <v>785</v>
      </c>
      <c r="D2110" s="183" t="s">
        <v>1812</v>
      </c>
      <c r="E2110" s="183">
        <v>810</v>
      </c>
      <c r="F2110" s="183"/>
      <c r="G2110" s="183" t="s">
        <v>1498</v>
      </c>
      <c r="H2110" s="184">
        <v>1</v>
      </c>
      <c r="I2110" s="240">
        <v>11.68</v>
      </c>
      <c r="J2110" s="240">
        <v>11.68</v>
      </c>
    </row>
    <row r="2111" spans="1:10" ht="28.5" x14ac:dyDescent="0.25">
      <c r="A2111" s="191" t="s">
        <v>62</v>
      </c>
      <c r="B2111" s="191" t="s">
        <v>1515</v>
      </c>
      <c r="C2111" s="191" t="s">
        <v>785</v>
      </c>
      <c r="D2111" s="191" t="s">
        <v>181</v>
      </c>
      <c r="E2111" s="191" t="s">
        <v>124</v>
      </c>
      <c r="F2111" s="191"/>
      <c r="G2111" s="191" t="s">
        <v>60</v>
      </c>
      <c r="H2111" s="192">
        <v>0.14000000000000001</v>
      </c>
      <c r="I2111" s="244">
        <v>22.05</v>
      </c>
      <c r="J2111" s="244">
        <v>3.08</v>
      </c>
    </row>
    <row r="2112" spans="1:10" ht="42.75" x14ac:dyDescent="0.25">
      <c r="A2112" s="191" t="s">
        <v>62</v>
      </c>
      <c r="B2112" s="191" t="s">
        <v>1813</v>
      </c>
      <c r="C2112" s="191" t="s">
        <v>785</v>
      </c>
      <c r="D2112" s="191" t="s">
        <v>1814</v>
      </c>
      <c r="E2112" s="191" t="s">
        <v>120</v>
      </c>
      <c r="F2112" s="191"/>
      <c r="G2112" s="191" t="s">
        <v>129</v>
      </c>
      <c r="H2112" s="192">
        <v>1</v>
      </c>
      <c r="I2112" s="244">
        <v>4.21</v>
      </c>
      <c r="J2112" s="244">
        <v>4.21</v>
      </c>
    </row>
    <row r="2113" spans="1:10" ht="28.5" x14ac:dyDescent="0.25">
      <c r="A2113" s="191" t="s">
        <v>62</v>
      </c>
      <c r="B2113" s="191" t="s">
        <v>1569</v>
      </c>
      <c r="C2113" s="191" t="s">
        <v>785</v>
      </c>
      <c r="D2113" s="191" t="s">
        <v>1570</v>
      </c>
      <c r="E2113" s="191" t="s">
        <v>124</v>
      </c>
      <c r="F2113" s="191"/>
      <c r="G2113" s="191" t="s">
        <v>60</v>
      </c>
      <c r="H2113" s="192">
        <v>0.14000000000000001</v>
      </c>
      <c r="I2113" s="244">
        <v>29.79</v>
      </c>
      <c r="J2113" s="244">
        <v>4.17</v>
      </c>
    </row>
    <row r="2114" spans="1:10" ht="28.5" x14ac:dyDescent="0.25">
      <c r="A2114" s="191" t="s">
        <v>62</v>
      </c>
      <c r="B2114" s="191" t="s">
        <v>1567</v>
      </c>
      <c r="C2114" s="191" t="s">
        <v>785</v>
      </c>
      <c r="D2114" s="191" t="s">
        <v>1568</v>
      </c>
      <c r="E2114" s="191" t="s">
        <v>120</v>
      </c>
      <c r="F2114" s="191"/>
      <c r="G2114" s="191" t="s">
        <v>113</v>
      </c>
      <c r="H2114" s="192">
        <v>0.63</v>
      </c>
      <c r="I2114" s="244">
        <v>0.35</v>
      </c>
      <c r="J2114" s="244">
        <v>0.22</v>
      </c>
    </row>
    <row r="2115" spans="1:10" x14ac:dyDescent="0.25">
      <c r="A2115" s="187"/>
      <c r="B2115" s="187"/>
      <c r="C2115" s="187"/>
      <c r="D2115" s="187"/>
      <c r="E2115" s="187" t="s">
        <v>756</v>
      </c>
      <c r="F2115" s="188">
        <v>7.25</v>
      </c>
      <c r="G2115" s="187" t="s">
        <v>757</v>
      </c>
      <c r="H2115" s="188">
        <v>0</v>
      </c>
      <c r="I2115" s="242" t="s">
        <v>758</v>
      </c>
      <c r="J2115" s="242">
        <v>7.25</v>
      </c>
    </row>
    <row r="2116" spans="1:10" x14ac:dyDescent="0.25">
      <c r="A2116" s="187"/>
      <c r="B2116" s="187"/>
      <c r="C2116" s="187"/>
      <c r="D2116" s="187"/>
      <c r="E2116" s="187" t="s">
        <v>759</v>
      </c>
      <c r="F2116" s="188">
        <v>0</v>
      </c>
      <c r="G2116" s="187"/>
      <c r="H2116" s="187" t="s">
        <v>760</v>
      </c>
      <c r="I2116" s="242"/>
      <c r="J2116" s="242">
        <v>11.68</v>
      </c>
    </row>
    <row r="2117" spans="1:10" x14ac:dyDescent="0.25">
      <c r="A2117" s="182"/>
      <c r="B2117" s="182"/>
      <c r="C2117" s="182"/>
      <c r="D2117" s="182"/>
      <c r="E2117" s="182"/>
      <c r="F2117" s="182"/>
      <c r="G2117" s="182" t="s">
        <v>761</v>
      </c>
      <c r="H2117" s="189" t="s">
        <v>1555</v>
      </c>
      <c r="I2117" s="239" t="s">
        <v>763</v>
      </c>
      <c r="J2117" s="239">
        <v>46.72</v>
      </c>
    </row>
    <row r="2118" spans="1:10" x14ac:dyDescent="0.25">
      <c r="A2118" s="183"/>
      <c r="B2118" s="183"/>
      <c r="C2118" s="183"/>
      <c r="D2118" s="183"/>
      <c r="E2118" s="183"/>
      <c r="F2118" s="183"/>
      <c r="G2118" s="183"/>
      <c r="H2118" s="183"/>
      <c r="I2118" s="240"/>
      <c r="J2118" s="240"/>
    </row>
    <row r="2119" spans="1:10" x14ac:dyDescent="0.25">
      <c r="A2119" s="182" t="s">
        <v>1920</v>
      </c>
      <c r="B2119" s="182" t="s">
        <v>66</v>
      </c>
      <c r="C2119" s="182" t="s">
        <v>64</v>
      </c>
      <c r="D2119" s="182" t="s">
        <v>67</v>
      </c>
      <c r="E2119" s="182" t="s">
        <v>65</v>
      </c>
      <c r="F2119" s="182"/>
      <c r="G2119" s="182" t="s">
        <v>744</v>
      </c>
      <c r="H2119" s="182" t="s">
        <v>69</v>
      </c>
      <c r="I2119" s="239" t="s">
        <v>745</v>
      </c>
      <c r="J2119" s="239" t="s">
        <v>0</v>
      </c>
    </row>
    <row r="2120" spans="1:10" ht="85.5" x14ac:dyDescent="0.25">
      <c r="A2120" s="183" t="s">
        <v>58</v>
      </c>
      <c r="B2120" s="183" t="s">
        <v>1921</v>
      </c>
      <c r="C2120" s="183" t="s">
        <v>59</v>
      </c>
      <c r="D2120" s="183" t="s">
        <v>1922</v>
      </c>
      <c r="E2120" s="183" t="s">
        <v>1681</v>
      </c>
      <c r="F2120" s="183"/>
      <c r="G2120" s="183" t="s">
        <v>61</v>
      </c>
      <c r="H2120" s="184">
        <v>1</v>
      </c>
      <c r="I2120" s="240">
        <v>11.51</v>
      </c>
      <c r="J2120" s="240">
        <v>11.51</v>
      </c>
    </row>
    <row r="2121" spans="1:10" ht="42.75" x14ac:dyDescent="0.25">
      <c r="A2121" s="185" t="s">
        <v>119</v>
      </c>
      <c r="B2121" s="185" t="s">
        <v>1479</v>
      </c>
      <c r="C2121" s="185" t="s">
        <v>59</v>
      </c>
      <c r="D2121" s="185" t="s">
        <v>1480</v>
      </c>
      <c r="E2121" s="185" t="s">
        <v>754</v>
      </c>
      <c r="F2121" s="185"/>
      <c r="G2121" s="185" t="s">
        <v>60</v>
      </c>
      <c r="H2121" s="186">
        <v>0.10929999999999999</v>
      </c>
      <c r="I2121" s="241">
        <v>22.16</v>
      </c>
      <c r="J2121" s="241">
        <v>2.42</v>
      </c>
    </row>
    <row r="2122" spans="1:10" ht="42.75" x14ac:dyDescent="0.25">
      <c r="A2122" s="185" t="s">
        <v>119</v>
      </c>
      <c r="B2122" s="185" t="s">
        <v>1481</v>
      </c>
      <c r="C2122" s="185" t="s">
        <v>59</v>
      </c>
      <c r="D2122" s="185" t="s">
        <v>1482</v>
      </c>
      <c r="E2122" s="185" t="s">
        <v>754</v>
      </c>
      <c r="F2122" s="185"/>
      <c r="G2122" s="185" t="s">
        <v>60</v>
      </c>
      <c r="H2122" s="186">
        <v>0.10929999999999999</v>
      </c>
      <c r="I2122" s="241">
        <v>31.42</v>
      </c>
      <c r="J2122" s="241">
        <v>3.43</v>
      </c>
    </row>
    <row r="2123" spans="1:10" ht="42.75" x14ac:dyDescent="0.25">
      <c r="A2123" s="191" t="s">
        <v>62</v>
      </c>
      <c r="B2123" s="191" t="s">
        <v>1551</v>
      </c>
      <c r="C2123" s="191" t="s">
        <v>59</v>
      </c>
      <c r="D2123" s="191" t="s">
        <v>1552</v>
      </c>
      <c r="E2123" s="191" t="s">
        <v>120</v>
      </c>
      <c r="F2123" s="191"/>
      <c r="G2123" s="191" t="s">
        <v>61</v>
      </c>
      <c r="H2123" s="192">
        <v>1.0999999999999999E-2</v>
      </c>
      <c r="I2123" s="244">
        <v>71.48</v>
      </c>
      <c r="J2123" s="244">
        <v>0.78</v>
      </c>
    </row>
    <row r="2124" spans="1:10" ht="42.75" x14ac:dyDescent="0.25">
      <c r="A2124" s="191" t="s">
        <v>62</v>
      </c>
      <c r="B2124" s="191" t="s">
        <v>1819</v>
      </c>
      <c r="C2124" s="191" t="s">
        <v>59</v>
      </c>
      <c r="D2124" s="191" t="s">
        <v>1820</v>
      </c>
      <c r="E2124" s="191" t="s">
        <v>120</v>
      </c>
      <c r="F2124" s="191"/>
      <c r="G2124" s="191" t="s">
        <v>61</v>
      </c>
      <c r="H2124" s="192">
        <v>1</v>
      </c>
      <c r="I2124" s="244">
        <v>4.22</v>
      </c>
      <c r="J2124" s="244">
        <v>4.22</v>
      </c>
    </row>
    <row r="2125" spans="1:10" ht="28.5" x14ac:dyDescent="0.25">
      <c r="A2125" s="191" t="s">
        <v>62</v>
      </c>
      <c r="B2125" s="191" t="s">
        <v>1483</v>
      </c>
      <c r="C2125" s="191" t="s">
        <v>59</v>
      </c>
      <c r="D2125" s="191" t="s">
        <v>1484</v>
      </c>
      <c r="E2125" s="191" t="s">
        <v>120</v>
      </c>
      <c r="F2125" s="191"/>
      <c r="G2125" s="191" t="s">
        <v>61</v>
      </c>
      <c r="H2125" s="192">
        <v>3.6499999999999998E-2</v>
      </c>
      <c r="I2125" s="244">
        <v>2</v>
      </c>
      <c r="J2125" s="244">
        <v>7.0000000000000007E-2</v>
      </c>
    </row>
    <row r="2126" spans="1:10" ht="28.5" x14ac:dyDescent="0.25">
      <c r="A2126" s="191" t="s">
        <v>62</v>
      </c>
      <c r="B2126" s="191" t="s">
        <v>1549</v>
      </c>
      <c r="C2126" s="191" t="s">
        <v>59</v>
      </c>
      <c r="D2126" s="191" t="s">
        <v>1550</v>
      </c>
      <c r="E2126" s="191" t="s">
        <v>120</v>
      </c>
      <c r="F2126" s="191"/>
      <c r="G2126" s="191" t="s">
        <v>61</v>
      </c>
      <c r="H2126" s="192">
        <v>9.4000000000000004E-3</v>
      </c>
      <c r="I2126" s="244">
        <v>63.09</v>
      </c>
      <c r="J2126" s="244">
        <v>0.59</v>
      </c>
    </row>
    <row r="2127" spans="1:10" x14ac:dyDescent="0.25">
      <c r="A2127" s="187"/>
      <c r="B2127" s="187"/>
      <c r="C2127" s="187"/>
      <c r="D2127" s="187"/>
      <c r="E2127" s="187" t="s">
        <v>756</v>
      </c>
      <c r="F2127" s="188">
        <v>4.3499999999999996</v>
      </c>
      <c r="G2127" s="187" t="s">
        <v>757</v>
      </c>
      <c r="H2127" s="188">
        <v>0</v>
      </c>
      <c r="I2127" s="242" t="s">
        <v>758</v>
      </c>
      <c r="J2127" s="242">
        <v>4.3499999999999996</v>
      </c>
    </row>
    <row r="2128" spans="1:10" x14ac:dyDescent="0.25">
      <c r="A2128" s="187"/>
      <c r="B2128" s="187"/>
      <c r="C2128" s="187"/>
      <c r="D2128" s="187"/>
      <c r="E2128" s="187" t="s">
        <v>759</v>
      </c>
      <c r="F2128" s="188">
        <v>0</v>
      </c>
      <c r="G2128" s="187"/>
      <c r="H2128" s="187" t="s">
        <v>760</v>
      </c>
      <c r="I2128" s="242"/>
      <c r="J2128" s="242">
        <v>11.51</v>
      </c>
    </row>
    <row r="2129" spans="1:10" x14ac:dyDescent="0.25">
      <c r="A2129" s="182"/>
      <c r="B2129" s="182"/>
      <c r="C2129" s="182"/>
      <c r="D2129" s="182"/>
      <c r="E2129" s="182"/>
      <c r="F2129" s="182"/>
      <c r="G2129" s="182" t="s">
        <v>761</v>
      </c>
      <c r="H2129" s="189" t="s">
        <v>1923</v>
      </c>
      <c r="I2129" s="239" t="s">
        <v>763</v>
      </c>
      <c r="J2129" s="239">
        <v>103.59</v>
      </c>
    </row>
    <row r="2130" spans="1:10" x14ac:dyDescent="0.25">
      <c r="A2130" s="183"/>
      <c r="B2130" s="183"/>
      <c r="C2130" s="183"/>
      <c r="D2130" s="183"/>
      <c r="E2130" s="183"/>
      <c r="F2130" s="183"/>
      <c r="G2130" s="183"/>
      <c r="H2130" s="183"/>
      <c r="I2130" s="240"/>
      <c r="J2130" s="240"/>
    </row>
    <row r="2131" spans="1:10" x14ac:dyDescent="0.25">
      <c r="A2131" s="182" t="s">
        <v>1924</v>
      </c>
      <c r="B2131" s="182" t="s">
        <v>66</v>
      </c>
      <c r="C2131" s="182" t="s">
        <v>64</v>
      </c>
      <c r="D2131" s="182" t="s">
        <v>67</v>
      </c>
      <c r="E2131" s="182" t="s">
        <v>65</v>
      </c>
      <c r="F2131" s="182"/>
      <c r="G2131" s="182" t="s">
        <v>744</v>
      </c>
      <c r="H2131" s="182" t="s">
        <v>69</v>
      </c>
      <c r="I2131" s="239" t="s">
        <v>745</v>
      </c>
      <c r="J2131" s="239" t="s">
        <v>0</v>
      </c>
    </row>
    <row r="2132" spans="1:10" ht="71.25" x14ac:dyDescent="0.25">
      <c r="A2132" s="183" t="s">
        <v>58</v>
      </c>
      <c r="B2132" s="183" t="s">
        <v>1925</v>
      </c>
      <c r="C2132" s="183" t="s">
        <v>59</v>
      </c>
      <c r="D2132" s="183" t="s">
        <v>1926</v>
      </c>
      <c r="E2132" s="183" t="s">
        <v>1681</v>
      </c>
      <c r="F2132" s="183"/>
      <c r="G2132" s="183" t="s">
        <v>61</v>
      </c>
      <c r="H2132" s="184">
        <v>1</v>
      </c>
      <c r="I2132" s="240">
        <v>11.18</v>
      </c>
      <c r="J2132" s="240">
        <v>11.18</v>
      </c>
    </row>
    <row r="2133" spans="1:10" ht="42.75" x14ac:dyDescent="0.25">
      <c r="A2133" s="185" t="s">
        <v>119</v>
      </c>
      <c r="B2133" s="185" t="s">
        <v>1481</v>
      </c>
      <c r="C2133" s="185" t="s">
        <v>59</v>
      </c>
      <c r="D2133" s="185" t="s">
        <v>1482</v>
      </c>
      <c r="E2133" s="185" t="s">
        <v>754</v>
      </c>
      <c r="F2133" s="185"/>
      <c r="G2133" s="185" t="s">
        <v>60</v>
      </c>
      <c r="H2133" s="186">
        <v>0.13589999999999999</v>
      </c>
      <c r="I2133" s="241">
        <v>31.42</v>
      </c>
      <c r="J2133" s="241">
        <v>4.26</v>
      </c>
    </row>
    <row r="2134" spans="1:10" ht="42.75" x14ac:dyDescent="0.25">
      <c r="A2134" s="185" t="s">
        <v>119</v>
      </c>
      <c r="B2134" s="185" t="s">
        <v>1479</v>
      </c>
      <c r="C2134" s="185" t="s">
        <v>59</v>
      </c>
      <c r="D2134" s="185" t="s">
        <v>1480</v>
      </c>
      <c r="E2134" s="185" t="s">
        <v>754</v>
      </c>
      <c r="F2134" s="185"/>
      <c r="G2134" s="185" t="s">
        <v>60</v>
      </c>
      <c r="H2134" s="186">
        <v>0.13589999999999999</v>
      </c>
      <c r="I2134" s="241">
        <v>22.16</v>
      </c>
      <c r="J2134" s="241">
        <v>3.01</v>
      </c>
    </row>
    <row r="2135" spans="1:10" ht="28.5" x14ac:dyDescent="0.25">
      <c r="A2135" s="191" t="s">
        <v>62</v>
      </c>
      <c r="B2135" s="191" t="s">
        <v>1549</v>
      </c>
      <c r="C2135" s="191" t="s">
        <v>59</v>
      </c>
      <c r="D2135" s="191" t="s">
        <v>1550</v>
      </c>
      <c r="E2135" s="191" t="s">
        <v>120</v>
      </c>
      <c r="F2135" s="191"/>
      <c r="G2135" s="191" t="s">
        <v>61</v>
      </c>
      <c r="H2135" s="192">
        <v>7.1000000000000004E-3</v>
      </c>
      <c r="I2135" s="244">
        <v>63.09</v>
      </c>
      <c r="J2135" s="244">
        <v>0.44</v>
      </c>
    </row>
    <row r="2136" spans="1:10" ht="57" x14ac:dyDescent="0.25">
      <c r="A2136" s="191" t="s">
        <v>62</v>
      </c>
      <c r="B2136" s="191" t="s">
        <v>1927</v>
      </c>
      <c r="C2136" s="191" t="s">
        <v>59</v>
      </c>
      <c r="D2136" s="191" t="s">
        <v>1928</v>
      </c>
      <c r="E2136" s="191" t="s">
        <v>120</v>
      </c>
      <c r="F2136" s="191"/>
      <c r="G2136" s="191" t="s">
        <v>61</v>
      </c>
      <c r="H2136" s="192">
        <v>1</v>
      </c>
      <c r="I2136" s="244">
        <v>2.84</v>
      </c>
      <c r="J2136" s="244">
        <v>2.84</v>
      </c>
    </row>
    <row r="2137" spans="1:10" ht="28.5" x14ac:dyDescent="0.25">
      <c r="A2137" s="191" t="s">
        <v>62</v>
      </c>
      <c r="B2137" s="191" t="s">
        <v>1483</v>
      </c>
      <c r="C2137" s="191" t="s">
        <v>59</v>
      </c>
      <c r="D2137" s="191" t="s">
        <v>1484</v>
      </c>
      <c r="E2137" s="191" t="s">
        <v>120</v>
      </c>
      <c r="F2137" s="191"/>
      <c r="G2137" s="191" t="s">
        <v>61</v>
      </c>
      <c r="H2137" s="192">
        <v>3.0200000000000001E-2</v>
      </c>
      <c r="I2137" s="244">
        <v>2</v>
      </c>
      <c r="J2137" s="244">
        <v>0.06</v>
      </c>
    </row>
    <row r="2138" spans="1:10" ht="42.75" x14ac:dyDescent="0.25">
      <c r="A2138" s="191" t="s">
        <v>62</v>
      </c>
      <c r="B2138" s="191" t="s">
        <v>1551</v>
      </c>
      <c r="C2138" s="191" t="s">
        <v>59</v>
      </c>
      <c r="D2138" s="191" t="s">
        <v>1552</v>
      </c>
      <c r="E2138" s="191" t="s">
        <v>120</v>
      </c>
      <c r="F2138" s="191"/>
      <c r="G2138" s="191" t="s">
        <v>61</v>
      </c>
      <c r="H2138" s="192">
        <v>8.0000000000000002E-3</v>
      </c>
      <c r="I2138" s="244">
        <v>71.48</v>
      </c>
      <c r="J2138" s="244">
        <v>0.56999999999999995</v>
      </c>
    </row>
    <row r="2139" spans="1:10" x14ac:dyDescent="0.25">
      <c r="A2139" s="187"/>
      <c r="B2139" s="187"/>
      <c r="C2139" s="187"/>
      <c r="D2139" s="187"/>
      <c r="E2139" s="187" t="s">
        <v>756</v>
      </c>
      <c r="F2139" s="188">
        <v>5.4</v>
      </c>
      <c r="G2139" s="187" t="s">
        <v>757</v>
      </c>
      <c r="H2139" s="188">
        <v>0</v>
      </c>
      <c r="I2139" s="242" t="s">
        <v>758</v>
      </c>
      <c r="J2139" s="242">
        <v>5.4</v>
      </c>
    </row>
    <row r="2140" spans="1:10" x14ac:dyDescent="0.25">
      <c r="A2140" s="187"/>
      <c r="B2140" s="187"/>
      <c r="C2140" s="187"/>
      <c r="D2140" s="187"/>
      <c r="E2140" s="187" t="s">
        <v>759</v>
      </c>
      <c r="F2140" s="188">
        <v>0</v>
      </c>
      <c r="G2140" s="187"/>
      <c r="H2140" s="187" t="s">
        <v>760</v>
      </c>
      <c r="I2140" s="242"/>
      <c r="J2140" s="242">
        <v>11.18</v>
      </c>
    </row>
    <row r="2141" spans="1:10" x14ac:dyDescent="0.25">
      <c r="A2141" s="182"/>
      <c r="B2141" s="182"/>
      <c r="C2141" s="182"/>
      <c r="D2141" s="182"/>
      <c r="E2141" s="182"/>
      <c r="F2141" s="182"/>
      <c r="G2141" s="182" t="s">
        <v>761</v>
      </c>
      <c r="H2141" s="189" t="s">
        <v>1555</v>
      </c>
      <c r="I2141" s="239" t="s">
        <v>763</v>
      </c>
      <c r="J2141" s="239">
        <v>44.72</v>
      </c>
    </row>
    <row r="2142" spans="1:10" x14ac:dyDescent="0.25">
      <c r="A2142" s="183"/>
      <c r="B2142" s="183"/>
      <c r="C2142" s="183"/>
      <c r="D2142" s="183"/>
      <c r="E2142" s="183"/>
      <c r="F2142" s="183"/>
      <c r="G2142" s="183"/>
      <c r="H2142" s="183"/>
      <c r="I2142" s="240"/>
      <c r="J2142" s="240"/>
    </row>
    <row r="2143" spans="1:10" x14ac:dyDescent="0.25">
      <c r="A2143" s="182" t="s">
        <v>1929</v>
      </c>
      <c r="B2143" s="182" t="s">
        <v>66</v>
      </c>
      <c r="C2143" s="182" t="s">
        <v>64</v>
      </c>
      <c r="D2143" s="182" t="s">
        <v>67</v>
      </c>
      <c r="E2143" s="182" t="s">
        <v>65</v>
      </c>
      <c r="F2143" s="182"/>
      <c r="G2143" s="182" t="s">
        <v>744</v>
      </c>
      <c r="H2143" s="182" t="s">
        <v>69</v>
      </c>
      <c r="I2143" s="239" t="s">
        <v>745</v>
      </c>
      <c r="J2143" s="239" t="s">
        <v>0</v>
      </c>
    </row>
    <row r="2144" spans="1:10" ht="71.25" x14ac:dyDescent="0.25">
      <c r="A2144" s="183" t="s">
        <v>58</v>
      </c>
      <c r="B2144" s="183" t="s">
        <v>1930</v>
      </c>
      <c r="C2144" s="183" t="s">
        <v>59</v>
      </c>
      <c r="D2144" s="183" t="s">
        <v>1931</v>
      </c>
      <c r="E2144" s="183" t="s">
        <v>1681</v>
      </c>
      <c r="F2144" s="183"/>
      <c r="G2144" s="183" t="s">
        <v>61</v>
      </c>
      <c r="H2144" s="184">
        <v>1</v>
      </c>
      <c r="I2144" s="240">
        <v>18.38</v>
      </c>
      <c r="J2144" s="240">
        <v>18.38</v>
      </c>
    </row>
    <row r="2145" spans="1:10" ht="42.75" x14ac:dyDescent="0.25">
      <c r="A2145" s="185" t="s">
        <v>119</v>
      </c>
      <c r="B2145" s="185" t="s">
        <v>1481</v>
      </c>
      <c r="C2145" s="185" t="s">
        <v>59</v>
      </c>
      <c r="D2145" s="185" t="s">
        <v>1482</v>
      </c>
      <c r="E2145" s="185" t="s">
        <v>754</v>
      </c>
      <c r="F2145" s="185"/>
      <c r="G2145" s="185" t="s">
        <v>60</v>
      </c>
      <c r="H2145" s="186">
        <v>0.192</v>
      </c>
      <c r="I2145" s="241">
        <v>31.42</v>
      </c>
      <c r="J2145" s="241">
        <v>6.03</v>
      </c>
    </row>
    <row r="2146" spans="1:10" ht="42.75" x14ac:dyDescent="0.25">
      <c r="A2146" s="185" t="s">
        <v>119</v>
      </c>
      <c r="B2146" s="185" t="s">
        <v>1479</v>
      </c>
      <c r="C2146" s="185" t="s">
        <v>59</v>
      </c>
      <c r="D2146" s="185" t="s">
        <v>1480</v>
      </c>
      <c r="E2146" s="185" t="s">
        <v>754</v>
      </c>
      <c r="F2146" s="185"/>
      <c r="G2146" s="185" t="s">
        <v>60</v>
      </c>
      <c r="H2146" s="186">
        <v>0.192</v>
      </c>
      <c r="I2146" s="241">
        <v>22.16</v>
      </c>
      <c r="J2146" s="241">
        <v>4.25</v>
      </c>
    </row>
    <row r="2147" spans="1:10" ht="42.75" x14ac:dyDescent="0.25">
      <c r="A2147" s="191" t="s">
        <v>62</v>
      </c>
      <c r="B2147" s="191" t="s">
        <v>1551</v>
      </c>
      <c r="C2147" s="191" t="s">
        <v>59</v>
      </c>
      <c r="D2147" s="191" t="s">
        <v>1552</v>
      </c>
      <c r="E2147" s="191" t="s">
        <v>120</v>
      </c>
      <c r="F2147" s="191"/>
      <c r="G2147" s="191" t="s">
        <v>61</v>
      </c>
      <c r="H2147" s="192">
        <v>1.4E-2</v>
      </c>
      <c r="I2147" s="244">
        <v>71.48</v>
      </c>
      <c r="J2147" s="244">
        <v>1</v>
      </c>
    </row>
    <row r="2148" spans="1:10" ht="28.5" x14ac:dyDescent="0.25">
      <c r="A2148" s="191" t="s">
        <v>62</v>
      </c>
      <c r="B2148" s="191" t="s">
        <v>1483</v>
      </c>
      <c r="C2148" s="191" t="s">
        <v>59</v>
      </c>
      <c r="D2148" s="191" t="s">
        <v>1484</v>
      </c>
      <c r="E2148" s="191" t="s">
        <v>120</v>
      </c>
      <c r="F2148" s="191"/>
      <c r="G2148" s="191" t="s">
        <v>61</v>
      </c>
      <c r="H2148" s="192">
        <v>4.2700000000000002E-2</v>
      </c>
      <c r="I2148" s="244">
        <v>2</v>
      </c>
      <c r="J2148" s="244">
        <v>0.08</v>
      </c>
    </row>
    <row r="2149" spans="1:10" ht="57" x14ac:dyDescent="0.25">
      <c r="A2149" s="191" t="s">
        <v>62</v>
      </c>
      <c r="B2149" s="191" t="s">
        <v>1932</v>
      </c>
      <c r="C2149" s="191" t="s">
        <v>59</v>
      </c>
      <c r="D2149" s="191" t="s">
        <v>1933</v>
      </c>
      <c r="E2149" s="191" t="s">
        <v>120</v>
      </c>
      <c r="F2149" s="191"/>
      <c r="G2149" s="191" t="s">
        <v>61</v>
      </c>
      <c r="H2149" s="192">
        <v>1</v>
      </c>
      <c r="I2149" s="244">
        <v>6.28</v>
      </c>
      <c r="J2149" s="244">
        <v>6.28</v>
      </c>
    </row>
    <row r="2150" spans="1:10" ht="28.5" x14ac:dyDescent="0.25">
      <c r="A2150" s="191" t="s">
        <v>62</v>
      </c>
      <c r="B2150" s="191" t="s">
        <v>1549</v>
      </c>
      <c r="C2150" s="191" t="s">
        <v>59</v>
      </c>
      <c r="D2150" s="191" t="s">
        <v>1550</v>
      </c>
      <c r="E2150" s="191" t="s">
        <v>120</v>
      </c>
      <c r="F2150" s="191"/>
      <c r="G2150" s="191" t="s">
        <v>61</v>
      </c>
      <c r="H2150" s="192">
        <v>1.18E-2</v>
      </c>
      <c r="I2150" s="244">
        <v>63.09</v>
      </c>
      <c r="J2150" s="244">
        <v>0.74</v>
      </c>
    </row>
    <row r="2151" spans="1:10" x14ac:dyDescent="0.25">
      <c r="A2151" s="187"/>
      <c r="B2151" s="187"/>
      <c r="C2151" s="187"/>
      <c r="D2151" s="187"/>
      <c r="E2151" s="187" t="s">
        <v>756</v>
      </c>
      <c r="F2151" s="188">
        <v>7.64</v>
      </c>
      <c r="G2151" s="187" t="s">
        <v>757</v>
      </c>
      <c r="H2151" s="188">
        <v>0</v>
      </c>
      <c r="I2151" s="242" t="s">
        <v>758</v>
      </c>
      <c r="J2151" s="242">
        <v>7.64</v>
      </c>
    </row>
    <row r="2152" spans="1:10" x14ac:dyDescent="0.25">
      <c r="A2152" s="187"/>
      <c r="B2152" s="187"/>
      <c r="C2152" s="187"/>
      <c r="D2152" s="187"/>
      <c r="E2152" s="187" t="s">
        <v>759</v>
      </c>
      <c r="F2152" s="188">
        <v>0</v>
      </c>
      <c r="G2152" s="187"/>
      <c r="H2152" s="187" t="s">
        <v>760</v>
      </c>
      <c r="I2152" s="242"/>
      <c r="J2152" s="242">
        <v>18.38</v>
      </c>
    </row>
    <row r="2153" spans="1:10" x14ac:dyDescent="0.25">
      <c r="A2153" s="182"/>
      <c r="B2153" s="182"/>
      <c r="C2153" s="182"/>
      <c r="D2153" s="182"/>
      <c r="E2153" s="182"/>
      <c r="F2153" s="182"/>
      <c r="G2153" s="182" t="s">
        <v>761</v>
      </c>
      <c r="H2153" s="189" t="s">
        <v>1555</v>
      </c>
      <c r="I2153" s="239" t="s">
        <v>763</v>
      </c>
      <c r="J2153" s="239">
        <v>73.52</v>
      </c>
    </row>
    <row r="2154" spans="1:10" x14ac:dyDescent="0.25">
      <c r="A2154" s="183"/>
      <c r="B2154" s="183"/>
      <c r="C2154" s="183"/>
      <c r="D2154" s="183"/>
      <c r="E2154" s="183"/>
      <c r="F2154" s="183"/>
      <c r="G2154" s="183"/>
      <c r="H2154" s="183"/>
      <c r="I2154" s="240"/>
      <c r="J2154" s="240"/>
    </row>
    <row r="2155" spans="1:10" x14ac:dyDescent="0.25">
      <c r="A2155" s="182" t="s">
        <v>1934</v>
      </c>
      <c r="B2155" s="182" t="s">
        <v>66</v>
      </c>
      <c r="C2155" s="182" t="s">
        <v>64</v>
      </c>
      <c r="D2155" s="182" t="s">
        <v>67</v>
      </c>
      <c r="E2155" s="182" t="s">
        <v>65</v>
      </c>
      <c r="F2155" s="182"/>
      <c r="G2155" s="182" t="s">
        <v>744</v>
      </c>
      <c r="H2155" s="182" t="s">
        <v>69</v>
      </c>
      <c r="I2155" s="239" t="s">
        <v>745</v>
      </c>
      <c r="J2155" s="239" t="s">
        <v>0</v>
      </c>
    </row>
    <row r="2156" spans="1:10" ht="71.25" x14ac:dyDescent="0.25">
      <c r="A2156" s="183" t="s">
        <v>58</v>
      </c>
      <c r="B2156" s="183" t="s">
        <v>1935</v>
      </c>
      <c r="C2156" s="183" t="s">
        <v>59</v>
      </c>
      <c r="D2156" s="183" t="s">
        <v>1936</v>
      </c>
      <c r="E2156" s="183" t="s">
        <v>1681</v>
      </c>
      <c r="F2156" s="183"/>
      <c r="G2156" s="183" t="s">
        <v>61</v>
      </c>
      <c r="H2156" s="184">
        <v>1</v>
      </c>
      <c r="I2156" s="240">
        <v>11.8</v>
      </c>
      <c r="J2156" s="240">
        <v>11.8</v>
      </c>
    </row>
    <row r="2157" spans="1:10" ht="42.75" x14ac:dyDescent="0.25">
      <c r="A2157" s="185" t="s">
        <v>119</v>
      </c>
      <c r="B2157" s="185" t="s">
        <v>1481</v>
      </c>
      <c r="C2157" s="185" t="s">
        <v>59</v>
      </c>
      <c r="D2157" s="185" t="s">
        <v>1482</v>
      </c>
      <c r="E2157" s="185" t="s">
        <v>754</v>
      </c>
      <c r="F2157" s="185"/>
      <c r="G2157" s="185" t="s">
        <v>60</v>
      </c>
      <c r="H2157" s="186">
        <v>0.13589999999999999</v>
      </c>
      <c r="I2157" s="241">
        <v>31.42</v>
      </c>
      <c r="J2157" s="241">
        <v>4.26</v>
      </c>
    </row>
    <row r="2158" spans="1:10" ht="42.75" x14ac:dyDescent="0.25">
      <c r="A2158" s="185" t="s">
        <v>119</v>
      </c>
      <c r="B2158" s="185" t="s">
        <v>1479</v>
      </c>
      <c r="C2158" s="185" t="s">
        <v>59</v>
      </c>
      <c r="D2158" s="185" t="s">
        <v>1480</v>
      </c>
      <c r="E2158" s="185" t="s">
        <v>754</v>
      </c>
      <c r="F2158" s="185"/>
      <c r="G2158" s="185" t="s">
        <v>60</v>
      </c>
      <c r="H2158" s="186">
        <v>0.13589999999999999</v>
      </c>
      <c r="I2158" s="241">
        <v>22.16</v>
      </c>
      <c r="J2158" s="241">
        <v>3.01</v>
      </c>
    </row>
    <row r="2159" spans="1:10" ht="42.75" x14ac:dyDescent="0.25">
      <c r="A2159" s="191" t="s">
        <v>62</v>
      </c>
      <c r="B2159" s="191" t="s">
        <v>1551</v>
      </c>
      <c r="C2159" s="191" t="s">
        <v>59</v>
      </c>
      <c r="D2159" s="191" t="s">
        <v>1552</v>
      </c>
      <c r="E2159" s="191" t="s">
        <v>120</v>
      </c>
      <c r="F2159" s="191"/>
      <c r="G2159" s="191" t="s">
        <v>61</v>
      </c>
      <c r="H2159" s="192">
        <v>8.0000000000000002E-3</v>
      </c>
      <c r="I2159" s="244">
        <v>71.48</v>
      </c>
      <c r="J2159" s="244">
        <v>0.56999999999999995</v>
      </c>
    </row>
    <row r="2160" spans="1:10" ht="28.5" x14ac:dyDescent="0.25">
      <c r="A2160" s="191" t="s">
        <v>62</v>
      </c>
      <c r="B2160" s="191" t="s">
        <v>1549</v>
      </c>
      <c r="C2160" s="191" t="s">
        <v>59</v>
      </c>
      <c r="D2160" s="191" t="s">
        <v>1550</v>
      </c>
      <c r="E2160" s="191" t="s">
        <v>120</v>
      </c>
      <c r="F2160" s="191"/>
      <c r="G2160" s="191" t="s">
        <v>61</v>
      </c>
      <c r="H2160" s="192">
        <v>7.1000000000000004E-3</v>
      </c>
      <c r="I2160" s="244">
        <v>63.09</v>
      </c>
      <c r="J2160" s="244">
        <v>0.44</v>
      </c>
    </row>
    <row r="2161" spans="1:10" ht="28.5" x14ac:dyDescent="0.25">
      <c r="A2161" s="191" t="s">
        <v>62</v>
      </c>
      <c r="B2161" s="191" t="s">
        <v>1483</v>
      </c>
      <c r="C2161" s="191" t="s">
        <v>59</v>
      </c>
      <c r="D2161" s="191" t="s">
        <v>1484</v>
      </c>
      <c r="E2161" s="191" t="s">
        <v>120</v>
      </c>
      <c r="F2161" s="191"/>
      <c r="G2161" s="191" t="s">
        <v>61</v>
      </c>
      <c r="H2161" s="192">
        <v>3.0200000000000001E-2</v>
      </c>
      <c r="I2161" s="244">
        <v>2</v>
      </c>
      <c r="J2161" s="244">
        <v>0.06</v>
      </c>
    </row>
    <row r="2162" spans="1:10" ht="57" x14ac:dyDescent="0.25">
      <c r="A2162" s="191" t="s">
        <v>62</v>
      </c>
      <c r="B2162" s="191" t="s">
        <v>1682</v>
      </c>
      <c r="C2162" s="191" t="s">
        <v>59</v>
      </c>
      <c r="D2162" s="191" t="s">
        <v>1683</v>
      </c>
      <c r="E2162" s="191" t="s">
        <v>120</v>
      </c>
      <c r="F2162" s="191"/>
      <c r="G2162" s="191" t="s">
        <v>61</v>
      </c>
      <c r="H2162" s="192">
        <v>1</v>
      </c>
      <c r="I2162" s="244">
        <v>3.46</v>
      </c>
      <c r="J2162" s="244">
        <v>3.46</v>
      </c>
    </row>
    <row r="2163" spans="1:10" x14ac:dyDescent="0.25">
      <c r="A2163" s="187"/>
      <c r="B2163" s="187"/>
      <c r="C2163" s="187"/>
      <c r="D2163" s="187"/>
      <c r="E2163" s="187" t="s">
        <v>756</v>
      </c>
      <c r="F2163" s="188">
        <v>5.4</v>
      </c>
      <c r="G2163" s="187" t="s">
        <v>757</v>
      </c>
      <c r="H2163" s="188">
        <v>0</v>
      </c>
      <c r="I2163" s="242" t="s">
        <v>758</v>
      </c>
      <c r="J2163" s="242">
        <v>5.4</v>
      </c>
    </row>
    <row r="2164" spans="1:10" x14ac:dyDescent="0.25">
      <c r="A2164" s="187"/>
      <c r="B2164" s="187"/>
      <c r="C2164" s="187"/>
      <c r="D2164" s="187"/>
      <c r="E2164" s="187" t="s">
        <v>759</v>
      </c>
      <c r="F2164" s="188">
        <v>0</v>
      </c>
      <c r="G2164" s="187"/>
      <c r="H2164" s="187" t="s">
        <v>760</v>
      </c>
      <c r="I2164" s="242"/>
      <c r="J2164" s="242">
        <v>11.8</v>
      </c>
    </row>
    <row r="2165" spans="1:10" x14ac:dyDescent="0.25">
      <c r="A2165" s="182"/>
      <c r="B2165" s="182"/>
      <c r="C2165" s="182"/>
      <c r="D2165" s="182"/>
      <c r="E2165" s="182"/>
      <c r="F2165" s="182"/>
      <c r="G2165" s="182" t="s">
        <v>761</v>
      </c>
      <c r="H2165" s="189" t="s">
        <v>1423</v>
      </c>
      <c r="I2165" s="239" t="s">
        <v>763</v>
      </c>
      <c r="J2165" s="239">
        <v>153.4</v>
      </c>
    </row>
    <row r="2166" spans="1:10" x14ac:dyDescent="0.25">
      <c r="A2166" s="183"/>
      <c r="B2166" s="183"/>
      <c r="C2166" s="183"/>
      <c r="D2166" s="183"/>
      <c r="E2166" s="183"/>
      <c r="F2166" s="183"/>
      <c r="G2166" s="183"/>
      <c r="H2166" s="183"/>
      <c r="I2166" s="240"/>
      <c r="J2166" s="240"/>
    </row>
    <row r="2167" spans="1:10" x14ac:dyDescent="0.25">
      <c r="A2167" s="182" t="s">
        <v>1937</v>
      </c>
      <c r="B2167" s="182" t="s">
        <v>66</v>
      </c>
      <c r="C2167" s="182" t="s">
        <v>64</v>
      </c>
      <c r="D2167" s="182" t="s">
        <v>67</v>
      </c>
      <c r="E2167" s="182" t="s">
        <v>65</v>
      </c>
      <c r="F2167" s="182"/>
      <c r="G2167" s="182" t="s">
        <v>744</v>
      </c>
      <c r="H2167" s="182" t="s">
        <v>69</v>
      </c>
      <c r="I2167" s="239" t="s">
        <v>745</v>
      </c>
      <c r="J2167" s="239" t="s">
        <v>0</v>
      </c>
    </row>
    <row r="2168" spans="1:10" ht="71.25" x14ac:dyDescent="0.25">
      <c r="A2168" s="183" t="s">
        <v>58</v>
      </c>
      <c r="B2168" s="183" t="s">
        <v>1938</v>
      </c>
      <c r="C2168" s="183" t="s">
        <v>59</v>
      </c>
      <c r="D2168" s="183" t="s">
        <v>1939</v>
      </c>
      <c r="E2168" s="183" t="s">
        <v>1681</v>
      </c>
      <c r="F2168" s="183"/>
      <c r="G2168" s="183" t="s">
        <v>61</v>
      </c>
      <c r="H2168" s="184">
        <v>1</v>
      </c>
      <c r="I2168" s="240">
        <v>17.600000000000001</v>
      </c>
      <c r="J2168" s="240">
        <v>17.600000000000001</v>
      </c>
    </row>
    <row r="2169" spans="1:10" ht="42.75" x14ac:dyDescent="0.25">
      <c r="A2169" s="185" t="s">
        <v>119</v>
      </c>
      <c r="B2169" s="185" t="s">
        <v>1481</v>
      </c>
      <c r="C2169" s="185" t="s">
        <v>59</v>
      </c>
      <c r="D2169" s="185" t="s">
        <v>1482</v>
      </c>
      <c r="E2169" s="185" t="s">
        <v>754</v>
      </c>
      <c r="F2169" s="185"/>
      <c r="G2169" s="185" t="s">
        <v>60</v>
      </c>
      <c r="H2169" s="186">
        <v>0.16209999999999999</v>
      </c>
      <c r="I2169" s="241">
        <v>31.42</v>
      </c>
      <c r="J2169" s="241">
        <v>5.09</v>
      </c>
    </row>
    <row r="2170" spans="1:10" ht="42.75" x14ac:dyDescent="0.25">
      <c r="A2170" s="185" t="s">
        <v>119</v>
      </c>
      <c r="B2170" s="185" t="s">
        <v>1479</v>
      </c>
      <c r="C2170" s="185" t="s">
        <v>59</v>
      </c>
      <c r="D2170" s="185" t="s">
        <v>1480</v>
      </c>
      <c r="E2170" s="185" t="s">
        <v>754</v>
      </c>
      <c r="F2170" s="185"/>
      <c r="G2170" s="185" t="s">
        <v>60</v>
      </c>
      <c r="H2170" s="186">
        <v>0.16209999999999999</v>
      </c>
      <c r="I2170" s="241">
        <v>22.16</v>
      </c>
      <c r="J2170" s="241">
        <v>3.59</v>
      </c>
    </row>
    <row r="2171" spans="1:10" ht="57" x14ac:dyDescent="0.25">
      <c r="A2171" s="191" t="s">
        <v>62</v>
      </c>
      <c r="B2171" s="191" t="s">
        <v>1827</v>
      </c>
      <c r="C2171" s="191" t="s">
        <v>59</v>
      </c>
      <c r="D2171" s="191" t="s">
        <v>1828</v>
      </c>
      <c r="E2171" s="191" t="s">
        <v>120</v>
      </c>
      <c r="F2171" s="191"/>
      <c r="G2171" s="191" t="s">
        <v>61</v>
      </c>
      <c r="H2171" s="192">
        <v>1</v>
      </c>
      <c r="I2171" s="244">
        <v>7.48</v>
      </c>
      <c r="J2171" s="244">
        <v>7.48</v>
      </c>
    </row>
    <row r="2172" spans="1:10" ht="28.5" x14ac:dyDescent="0.25">
      <c r="A2172" s="191" t="s">
        <v>62</v>
      </c>
      <c r="B2172" s="191" t="s">
        <v>1549</v>
      </c>
      <c r="C2172" s="191" t="s">
        <v>59</v>
      </c>
      <c r="D2172" s="191" t="s">
        <v>1550</v>
      </c>
      <c r="E2172" s="191" t="s">
        <v>120</v>
      </c>
      <c r="F2172" s="191"/>
      <c r="G2172" s="191" t="s">
        <v>61</v>
      </c>
      <c r="H2172" s="192">
        <v>9.4000000000000004E-3</v>
      </c>
      <c r="I2172" s="244">
        <v>63.09</v>
      </c>
      <c r="J2172" s="244">
        <v>0.59</v>
      </c>
    </row>
    <row r="2173" spans="1:10" ht="42.75" x14ac:dyDescent="0.25">
      <c r="A2173" s="191" t="s">
        <v>62</v>
      </c>
      <c r="B2173" s="191" t="s">
        <v>1551</v>
      </c>
      <c r="C2173" s="191" t="s">
        <v>59</v>
      </c>
      <c r="D2173" s="191" t="s">
        <v>1552</v>
      </c>
      <c r="E2173" s="191" t="s">
        <v>120</v>
      </c>
      <c r="F2173" s="191"/>
      <c r="G2173" s="191" t="s">
        <v>61</v>
      </c>
      <c r="H2173" s="192">
        <v>1.0999999999999999E-2</v>
      </c>
      <c r="I2173" s="244">
        <v>71.48</v>
      </c>
      <c r="J2173" s="244">
        <v>0.78</v>
      </c>
    </row>
    <row r="2174" spans="1:10" ht="28.5" x14ac:dyDescent="0.25">
      <c r="A2174" s="191" t="s">
        <v>62</v>
      </c>
      <c r="B2174" s="191" t="s">
        <v>1483</v>
      </c>
      <c r="C2174" s="191" t="s">
        <v>59</v>
      </c>
      <c r="D2174" s="191" t="s">
        <v>1484</v>
      </c>
      <c r="E2174" s="191" t="s">
        <v>120</v>
      </c>
      <c r="F2174" s="191"/>
      <c r="G2174" s="191" t="s">
        <v>61</v>
      </c>
      <c r="H2174" s="192">
        <v>3.5999999999999997E-2</v>
      </c>
      <c r="I2174" s="244">
        <v>2</v>
      </c>
      <c r="J2174" s="244">
        <v>7.0000000000000007E-2</v>
      </c>
    </row>
    <row r="2175" spans="1:10" x14ac:dyDescent="0.25">
      <c r="A2175" s="187"/>
      <c r="B2175" s="187"/>
      <c r="C2175" s="187"/>
      <c r="D2175" s="187"/>
      <c r="E2175" s="187" t="s">
        <v>756</v>
      </c>
      <c r="F2175" s="188">
        <v>6.46</v>
      </c>
      <c r="G2175" s="187" t="s">
        <v>757</v>
      </c>
      <c r="H2175" s="188">
        <v>0</v>
      </c>
      <c r="I2175" s="242" t="s">
        <v>758</v>
      </c>
      <c r="J2175" s="242">
        <v>6.46</v>
      </c>
    </row>
    <row r="2176" spans="1:10" x14ac:dyDescent="0.25">
      <c r="A2176" s="187"/>
      <c r="B2176" s="187"/>
      <c r="C2176" s="187"/>
      <c r="D2176" s="187"/>
      <c r="E2176" s="187" t="s">
        <v>759</v>
      </c>
      <c r="F2176" s="188">
        <v>0</v>
      </c>
      <c r="G2176" s="187"/>
      <c r="H2176" s="187" t="s">
        <v>760</v>
      </c>
      <c r="I2176" s="242"/>
      <c r="J2176" s="242">
        <v>17.600000000000001</v>
      </c>
    </row>
    <row r="2177" spans="1:10" x14ac:dyDescent="0.25">
      <c r="A2177" s="182"/>
      <c r="B2177" s="182"/>
      <c r="C2177" s="182"/>
      <c r="D2177" s="182"/>
      <c r="E2177" s="182"/>
      <c r="F2177" s="182"/>
      <c r="G2177" s="182" t="s">
        <v>761</v>
      </c>
      <c r="H2177" s="189" t="s">
        <v>762</v>
      </c>
      <c r="I2177" s="239" t="s">
        <v>763</v>
      </c>
      <c r="J2177" s="239">
        <v>17.600000000000001</v>
      </c>
    </row>
    <row r="2178" spans="1:10" x14ac:dyDescent="0.25">
      <c r="A2178" s="183"/>
      <c r="B2178" s="183"/>
      <c r="C2178" s="183"/>
      <c r="D2178" s="183"/>
      <c r="E2178" s="183"/>
      <c r="F2178" s="183"/>
      <c r="G2178" s="183"/>
      <c r="H2178" s="183"/>
      <c r="I2178" s="240"/>
      <c r="J2178" s="240"/>
    </row>
    <row r="2179" spans="1:10" x14ac:dyDescent="0.25">
      <c r="A2179" s="182" t="s">
        <v>1940</v>
      </c>
      <c r="B2179" s="182" t="s">
        <v>66</v>
      </c>
      <c r="C2179" s="182" t="s">
        <v>64</v>
      </c>
      <c r="D2179" s="182" t="s">
        <v>67</v>
      </c>
      <c r="E2179" s="182" t="s">
        <v>65</v>
      </c>
      <c r="F2179" s="182"/>
      <c r="G2179" s="182" t="s">
        <v>744</v>
      </c>
      <c r="H2179" s="182" t="s">
        <v>69</v>
      </c>
      <c r="I2179" s="239" t="s">
        <v>745</v>
      </c>
      <c r="J2179" s="239" t="s">
        <v>0</v>
      </c>
    </row>
    <row r="2180" spans="1:10" ht="71.25" x14ac:dyDescent="0.25">
      <c r="A2180" s="183" t="s">
        <v>58</v>
      </c>
      <c r="B2180" s="183" t="s">
        <v>1941</v>
      </c>
      <c r="C2180" s="183" t="s">
        <v>59</v>
      </c>
      <c r="D2180" s="183" t="s">
        <v>1942</v>
      </c>
      <c r="E2180" s="183" t="s">
        <v>1681</v>
      </c>
      <c r="F2180" s="183"/>
      <c r="G2180" s="183" t="s">
        <v>61</v>
      </c>
      <c r="H2180" s="184">
        <v>1</v>
      </c>
      <c r="I2180" s="240">
        <v>9.18</v>
      </c>
      <c r="J2180" s="240">
        <v>9.18</v>
      </c>
    </row>
    <row r="2181" spans="1:10" ht="42.75" x14ac:dyDescent="0.25">
      <c r="A2181" s="185" t="s">
        <v>119</v>
      </c>
      <c r="B2181" s="185" t="s">
        <v>1481</v>
      </c>
      <c r="C2181" s="185" t="s">
        <v>59</v>
      </c>
      <c r="D2181" s="185" t="s">
        <v>1482</v>
      </c>
      <c r="E2181" s="185" t="s">
        <v>754</v>
      </c>
      <c r="F2181" s="185"/>
      <c r="G2181" s="185" t="s">
        <v>60</v>
      </c>
      <c r="H2181" s="186">
        <v>0.13589999999999999</v>
      </c>
      <c r="I2181" s="241">
        <v>31.42</v>
      </c>
      <c r="J2181" s="241">
        <v>4.26</v>
      </c>
    </row>
    <row r="2182" spans="1:10" ht="42.75" x14ac:dyDescent="0.25">
      <c r="A2182" s="185" t="s">
        <v>119</v>
      </c>
      <c r="B2182" s="185" t="s">
        <v>1479</v>
      </c>
      <c r="C2182" s="185" t="s">
        <v>59</v>
      </c>
      <c r="D2182" s="185" t="s">
        <v>1480</v>
      </c>
      <c r="E2182" s="185" t="s">
        <v>754</v>
      </c>
      <c r="F2182" s="185"/>
      <c r="G2182" s="185" t="s">
        <v>60</v>
      </c>
      <c r="H2182" s="186">
        <v>0.13589999999999999</v>
      </c>
      <c r="I2182" s="241">
        <v>22.16</v>
      </c>
      <c r="J2182" s="241">
        <v>3.01</v>
      </c>
    </row>
    <row r="2183" spans="1:10" ht="42.75" x14ac:dyDescent="0.25">
      <c r="A2183" s="191" t="s">
        <v>62</v>
      </c>
      <c r="B2183" s="191" t="s">
        <v>1551</v>
      </c>
      <c r="C2183" s="191" t="s">
        <v>59</v>
      </c>
      <c r="D2183" s="191" t="s">
        <v>1552</v>
      </c>
      <c r="E2183" s="191" t="s">
        <v>120</v>
      </c>
      <c r="F2183" s="191"/>
      <c r="G2183" s="191" t="s">
        <v>61</v>
      </c>
      <c r="H2183" s="192">
        <v>8.0000000000000002E-3</v>
      </c>
      <c r="I2183" s="244">
        <v>71.48</v>
      </c>
      <c r="J2183" s="244">
        <v>0.56999999999999995</v>
      </c>
    </row>
    <row r="2184" spans="1:10" ht="28.5" x14ac:dyDescent="0.25">
      <c r="A2184" s="191" t="s">
        <v>62</v>
      </c>
      <c r="B2184" s="191" t="s">
        <v>1549</v>
      </c>
      <c r="C2184" s="191" t="s">
        <v>59</v>
      </c>
      <c r="D2184" s="191" t="s">
        <v>1550</v>
      </c>
      <c r="E2184" s="191" t="s">
        <v>120</v>
      </c>
      <c r="F2184" s="191"/>
      <c r="G2184" s="191" t="s">
        <v>61</v>
      </c>
      <c r="H2184" s="192">
        <v>7.1000000000000004E-3</v>
      </c>
      <c r="I2184" s="244">
        <v>63.09</v>
      </c>
      <c r="J2184" s="244">
        <v>0.44</v>
      </c>
    </row>
    <row r="2185" spans="1:10" ht="42.75" x14ac:dyDescent="0.25">
      <c r="A2185" s="191" t="s">
        <v>62</v>
      </c>
      <c r="B2185" s="191" t="s">
        <v>1729</v>
      </c>
      <c r="C2185" s="191" t="s">
        <v>59</v>
      </c>
      <c r="D2185" s="191" t="s">
        <v>1730</v>
      </c>
      <c r="E2185" s="191" t="s">
        <v>120</v>
      </c>
      <c r="F2185" s="191"/>
      <c r="G2185" s="191" t="s">
        <v>61</v>
      </c>
      <c r="H2185" s="192">
        <v>1</v>
      </c>
      <c r="I2185" s="244">
        <v>0.84</v>
      </c>
      <c r="J2185" s="244">
        <v>0.84</v>
      </c>
    </row>
    <row r="2186" spans="1:10" ht="28.5" x14ac:dyDescent="0.25">
      <c r="A2186" s="191" t="s">
        <v>62</v>
      </c>
      <c r="B2186" s="191" t="s">
        <v>1483</v>
      </c>
      <c r="C2186" s="191" t="s">
        <v>59</v>
      </c>
      <c r="D2186" s="191" t="s">
        <v>1484</v>
      </c>
      <c r="E2186" s="191" t="s">
        <v>120</v>
      </c>
      <c r="F2186" s="191"/>
      <c r="G2186" s="191" t="s">
        <v>61</v>
      </c>
      <c r="H2186" s="192">
        <v>3.0200000000000001E-2</v>
      </c>
      <c r="I2186" s="244">
        <v>2</v>
      </c>
      <c r="J2186" s="244">
        <v>0.06</v>
      </c>
    </row>
    <row r="2187" spans="1:10" x14ac:dyDescent="0.25">
      <c r="A2187" s="187"/>
      <c r="B2187" s="187"/>
      <c r="C2187" s="187"/>
      <c r="D2187" s="187"/>
      <c r="E2187" s="187" t="s">
        <v>756</v>
      </c>
      <c r="F2187" s="188">
        <v>5.4</v>
      </c>
      <c r="G2187" s="187" t="s">
        <v>757</v>
      </c>
      <c r="H2187" s="188">
        <v>0</v>
      </c>
      <c r="I2187" s="242" t="s">
        <v>758</v>
      </c>
      <c r="J2187" s="242">
        <v>5.4</v>
      </c>
    </row>
    <row r="2188" spans="1:10" x14ac:dyDescent="0.25">
      <c r="A2188" s="187"/>
      <c r="B2188" s="187"/>
      <c r="C2188" s="187"/>
      <c r="D2188" s="187"/>
      <c r="E2188" s="187" t="s">
        <v>759</v>
      </c>
      <c r="F2188" s="188">
        <v>0</v>
      </c>
      <c r="G2188" s="187"/>
      <c r="H2188" s="187" t="s">
        <v>760</v>
      </c>
      <c r="I2188" s="242"/>
      <c r="J2188" s="242">
        <v>9.18</v>
      </c>
    </row>
    <row r="2189" spans="1:10" x14ac:dyDescent="0.25">
      <c r="A2189" s="182"/>
      <c r="B2189" s="182"/>
      <c r="C2189" s="182"/>
      <c r="D2189" s="182"/>
      <c r="E2189" s="182"/>
      <c r="F2189" s="182"/>
      <c r="G2189" s="182" t="s">
        <v>761</v>
      </c>
      <c r="H2189" s="189" t="s">
        <v>762</v>
      </c>
      <c r="I2189" s="239" t="s">
        <v>763</v>
      </c>
      <c r="J2189" s="239">
        <v>9.18</v>
      </c>
    </row>
    <row r="2190" spans="1:10" x14ac:dyDescent="0.25">
      <c r="A2190" s="183"/>
      <c r="B2190" s="183"/>
      <c r="C2190" s="183"/>
      <c r="D2190" s="183"/>
      <c r="E2190" s="183"/>
      <c r="F2190" s="183"/>
      <c r="G2190" s="183"/>
      <c r="H2190" s="183"/>
      <c r="I2190" s="240"/>
      <c r="J2190" s="240"/>
    </row>
    <row r="2191" spans="1:10" x14ac:dyDescent="0.25">
      <c r="A2191" s="182" t="s">
        <v>1943</v>
      </c>
      <c r="B2191" s="182" t="s">
        <v>66</v>
      </c>
      <c r="C2191" s="182" t="s">
        <v>64</v>
      </c>
      <c r="D2191" s="182" t="s">
        <v>67</v>
      </c>
      <c r="E2191" s="182" t="s">
        <v>65</v>
      </c>
      <c r="F2191" s="182"/>
      <c r="G2191" s="182" t="s">
        <v>744</v>
      </c>
      <c r="H2191" s="182" t="s">
        <v>69</v>
      </c>
      <c r="I2191" s="239" t="s">
        <v>745</v>
      </c>
      <c r="J2191" s="239" t="s">
        <v>0</v>
      </c>
    </row>
    <row r="2192" spans="1:10" ht="71.25" x14ac:dyDescent="0.25">
      <c r="A2192" s="183" t="s">
        <v>58</v>
      </c>
      <c r="B2192" s="183" t="s">
        <v>1899</v>
      </c>
      <c r="C2192" s="183" t="s">
        <v>59</v>
      </c>
      <c r="D2192" s="183" t="s">
        <v>1900</v>
      </c>
      <c r="E2192" s="183" t="s">
        <v>1681</v>
      </c>
      <c r="F2192" s="183"/>
      <c r="G2192" s="183" t="s">
        <v>61</v>
      </c>
      <c r="H2192" s="184">
        <v>1</v>
      </c>
      <c r="I2192" s="240">
        <v>20.2</v>
      </c>
      <c r="J2192" s="240">
        <v>20.2</v>
      </c>
    </row>
    <row r="2193" spans="1:10" ht="42.75" x14ac:dyDescent="0.25">
      <c r="A2193" s="185" t="s">
        <v>119</v>
      </c>
      <c r="B2193" s="185" t="s">
        <v>1479</v>
      </c>
      <c r="C2193" s="185" t="s">
        <v>59</v>
      </c>
      <c r="D2193" s="185" t="s">
        <v>1480</v>
      </c>
      <c r="E2193" s="185" t="s">
        <v>754</v>
      </c>
      <c r="F2193" s="185"/>
      <c r="G2193" s="185" t="s">
        <v>60</v>
      </c>
      <c r="H2193" s="186">
        <v>9.06E-2</v>
      </c>
      <c r="I2193" s="241">
        <v>22.16</v>
      </c>
      <c r="J2193" s="241">
        <v>2</v>
      </c>
    </row>
    <row r="2194" spans="1:10" ht="42.75" x14ac:dyDescent="0.25">
      <c r="A2194" s="185" t="s">
        <v>119</v>
      </c>
      <c r="B2194" s="185" t="s">
        <v>1481</v>
      </c>
      <c r="C2194" s="185" t="s">
        <v>59</v>
      </c>
      <c r="D2194" s="185" t="s">
        <v>1482</v>
      </c>
      <c r="E2194" s="185" t="s">
        <v>754</v>
      </c>
      <c r="F2194" s="185"/>
      <c r="G2194" s="185" t="s">
        <v>60</v>
      </c>
      <c r="H2194" s="186">
        <v>9.06E-2</v>
      </c>
      <c r="I2194" s="241">
        <v>31.42</v>
      </c>
      <c r="J2194" s="241">
        <v>2.84</v>
      </c>
    </row>
    <row r="2195" spans="1:10" ht="28.5" x14ac:dyDescent="0.25">
      <c r="A2195" s="191" t="s">
        <v>62</v>
      </c>
      <c r="B2195" s="191" t="s">
        <v>1549</v>
      </c>
      <c r="C2195" s="191" t="s">
        <v>59</v>
      </c>
      <c r="D2195" s="191" t="s">
        <v>1550</v>
      </c>
      <c r="E2195" s="191" t="s">
        <v>120</v>
      </c>
      <c r="F2195" s="191"/>
      <c r="G2195" s="191" t="s">
        <v>61</v>
      </c>
      <c r="H2195" s="192">
        <v>7.1000000000000004E-3</v>
      </c>
      <c r="I2195" s="244">
        <v>63.09</v>
      </c>
      <c r="J2195" s="244">
        <v>0.44</v>
      </c>
    </row>
    <row r="2196" spans="1:10" ht="42.75" x14ac:dyDescent="0.25">
      <c r="A2196" s="191" t="s">
        <v>62</v>
      </c>
      <c r="B2196" s="191" t="s">
        <v>1734</v>
      </c>
      <c r="C2196" s="191" t="s">
        <v>59</v>
      </c>
      <c r="D2196" s="191" t="s">
        <v>1735</v>
      </c>
      <c r="E2196" s="191" t="s">
        <v>120</v>
      </c>
      <c r="F2196" s="191"/>
      <c r="G2196" s="191" t="s">
        <v>61</v>
      </c>
      <c r="H2196" s="192">
        <v>1</v>
      </c>
      <c r="I2196" s="244">
        <v>14.29</v>
      </c>
      <c r="J2196" s="244">
        <v>14.29</v>
      </c>
    </row>
    <row r="2197" spans="1:10" ht="42.75" x14ac:dyDescent="0.25">
      <c r="A2197" s="191" t="s">
        <v>62</v>
      </c>
      <c r="B2197" s="191" t="s">
        <v>1551</v>
      </c>
      <c r="C2197" s="191" t="s">
        <v>59</v>
      </c>
      <c r="D2197" s="191" t="s">
        <v>1552</v>
      </c>
      <c r="E2197" s="191" t="s">
        <v>120</v>
      </c>
      <c r="F2197" s="191"/>
      <c r="G2197" s="191" t="s">
        <v>61</v>
      </c>
      <c r="H2197" s="192">
        <v>8.0000000000000002E-3</v>
      </c>
      <c r="I2197" s="244">
        <v>71.48</v>
      </c>
      <c r="J2197" s="244">
        <v>0.56999999999999995</v>
      </c>
    </row>
    <row r="2198" spans="1:10" ht="28.5" x14ac:dyDescent="0.25">
      <c r="A2198" s="191" t="s">
        <v>62</v>
      </c>
      <c r="B2198" s="191" t="s">
        <v>1483</v>
      </c>
      <c r="C2198" s="191" t="s">
        <v>59</v>
      </c>
      <c r="D2198" s="191" t="s">
        <v>1484</v>
      </c>
      <c r="E2198" s="191" t="s">
        <v>120</v>
      </c>
      <c r="F2198" s="191"/>
      <c r="G2198" s="191" t="s">
        <v>61</v>
      </c>
      <c r="H2198" s="192">
        <v>3.0200000000000001E-2</v>
      </c>
      <c r="I2198" s="244">
        <v>2</v>
      </c>
      <c r="J2198" s="244">
        <v>0.06</v>
      </c>
    </row>
    <row r="2199" spans="1:10" x14ac:dyDescent="0.25">
      <c r="A2199" s="187"/>
      <c r="B2199" s="187"/>
      <c r="C2199" s="187"/>
      <c r="D2199" s="187"/>
      <c r="E2199" s="187" t="s">
        <v>756</v>
      </c>
      <c r="F2199" s="188">
        <v>3.6</v>
      </c>
      <c r="G2199" s="187" t="s">
        <v>757</v>
      </c>
      <c r="H2199" s="188">
        <v>0</v>
      </c>
      <c r="I2199" s="242" t="s">
        <v>758</v>
      </c>
      <c r="J2199" s="242">
        <v>3.6</v>
      </c>
    </row>
    <row r="2200" spans="1:10" x14ac:dyDescent="0.25">
      <c r="A2200" s="187"/>
      <c r="B2200" s="187"/>
      <c r="C2200" s="187"/>
      <c r="D2200" s="187"/>
      <c r="E2200" s="187" t="s">
        <v>759</v>
      </c>
      <c r="F2200" s="188">
        <v>0</v>
      </c>
      <c r="G2200" s="187"/>
      <c r="H2200" s="187" t="s">
        <v>760</v>
      </c>
      <c r="I2200" s="242"/>
      <c r="J2200" s="242">
        <v>20.2</v>
      </c>
    </row>
    <row r="2201" spans="1:10" x14ac:dyDescent="0.25">
      <c r="A2201" s="182"/>
      <c r="B2201" s="182"/>
      <c r="C2201" s="182"/>
      <c r="D2201" s="182"/>
      <c r="E2201" s="182"/>
      <c r="F2201" s="182"/>
      <c r="G2201" s="182" t="s">
        <v>761</v>
      </c>
      <c r="H2201" s="189" t="s">
        <v>762</v>
      </c>
      <c r="I2201" s="239" t="s">
        <v>763</v>
      </c>
      <c r="J2201" s="239">
        <v>20.2</v>
      </c>
    </row>
    <row r="2202" spans="1:10" x14ac:dyDescent="0.25">
      <c r="A2202" s="183"/>
      <c r="B2202" s="183"/>
      <c r="C2202" s="183"/>
      <c r="D2202" s="183"/>
      <c r="E2202" s="183"/>
      <c r="F2202" s="183"/>
      <c r="G2202" s="183"/>
      <c r="H2202" s="183"/>
      <c r="I2202" s="240"/>
      <c r="J2202" s="240"/>
    </row>
    <row r="2203" spans="1:10" x14ac:dyDescent="0.25">
      <c r="A2203" s="182" t="s">
        <v>1944</v>
      </c>
      <c r="B2203" s="182" t="s">
        <v>66</v>
      </c>
      <c r="C2203" s="182" t="s">
        <v>64</v>
      </c>
      <c r="D2203" s="182" t="s">
        <v>67</v>
      </c>
      <c r="E2203" s="182" t="s">
        <v>65</v>
      </c>
      <c r="F2203" s="182"/>
      <c r="G2203" s="182" t="s">
        <v>744</v>
      </c>
      <c r="H2203" s="182" t="s">
        <v>69</v>
      </c>
      <c r="I2203" s="239" t="s">
        <v>745</v>
      </c>
      <c r="J2203" s="239" t="s">
        <v>0</v>
      </c>
    </row>
    <row r="2204" spans="1:10" ht="71.25" x14ac:dyDescent="0.25">
      <c r="A2204" s="183" t="s">
        <v>58</v>
      </c>
      <c r="B2204" s="183" t="s">
        <v>1945</v>
      </c>
      <c r="C2204" s="183" t="s">
        <v>59</v>
      </c>
      <c r="D2204" s="183" t="s">
        <v>1946</v>
      </c>
      <c r="E2204" s="183" t="s">
        <v>1681</v>
      </c>
      <c r="F2204" s="183"/>
      <c r="G2204" s="183" t="s">
        <v>61</v>
      </c>
      <c r="H2204" s="184">
        <v>1</v>
      </c>
      <c r="I2204" s="240">
        <v>13.6</v>
      </c>
      <c r="J2204" s="240">
        <v>13.6</v>
      </c>
    </row>
    <row r="2205" spans="1:10" ht="42.75" x14ac:dyDescent="0.25">
      <c r="A2205" s="185" t="s">
        <v>119</v>
      </c>
      <c r="B2205" s="185" t="s">
        <v>1479</v>
      </c>
      <c r="C2205" s="185" t="s">
        <v>59</v>
      </c>
      <c r="D2205" s="185" t="s">
        <v>1480</v>
      </c>
      <c r="E2205" s="185" t="s">
        <v>754</v>
      </c>
      <c r="F2205" s="185"/>
      <c r="G2205" s="185" t="s">
        <v>60</v>
      </c>
      <c r="H2205" s="186">
        <v>0.128</v>
      </c>
      <c r="I2205" s="241">
        <v>22.16</v>
      </c>
      <c r="J2205" s="241">
        <v>2.83</v>
      </c>
    </row>
    <row r="2206" spans="1:10" ht="42.75" x14ac:dyDescent="0.25">
      <c r="A2206" s="185" t="s">
        <v>119</v>
      </c>
      <c r="B2206" s="185" t="s">
        <v>1481</v>
      </c>
      <c r="C2206" s="185" t="s">
        <v>59</v>
      </c>
      <c r="D2206" s="185" t="s">
        <v>1482</v>
      </c>
      <c r="E2206" s="185" t="s">
        <v>754</v>
      </c>
      <c r="F2206" s="185"/>
      <c r="G2206" s="185" t="s">
        <v>60</v>
      </c>
      <c r="H2206" s="186">
        <v>0.128</v>
      </c>
      <c r="I2206" s="241">
        <v>31.42</v>
      </c>
      <c r="J2206" s="241">
        <v>4.0199999999999996</v>
      </c>
    </row>
    <row r="2207" spans="1:10" ht="28.5" x14ac:dyDescent="0.25">
      <c r="A2207" s="191" t="s">
        <v>62</v>
      </c>
      <c r="B2207" s="191" t="s">
        <v>1844</v>
      </c>
      <c r="C2207" s="191" t="s">
        <v>59</v>
      </c>
      <c r="D2207" s="191" t="s">
        <v>1845</v>
      </c>
      <c r="E2207" s="191" t="s">
        <v>120</v>
      </c>
      <c r="F2207" s="191"/>
      <c r="G2207" s="191" t="s">
        <v>61</v>
      </c>
      <c r="H2207" s="192">
        <v>1</v>
      </c>
      <c r="I2207" s="244">
        <v>4.93</v>
      </c>
      <c r="J2207" s="244">
        <v>4.93</v>
      </c>
    </row>
    <row r="2208" spans="1:10" ht="42.75" x14ac:dyDescent="0.25">
      <c r="A2208" s="191" t="s">
        <v>62</v>
      </c>
      <c r="B2208" s="191" t="s">
        <v>1551</v>
      </c>
      <c r="C2208" s="191" t="s">
        <v>59</v>
      </c>
      <c r="D2208" s="191" t="s">
        <v>1552</v>
      </c>
      <c r="E2208" s="191" t="s">
        <v>120</v>
      </c>
      <c r="F2208" s="191"/>
      <c r="G2208" s="191" t="s">
        <v>61</v>
      </c>
      <c r="H2208" s="192">
        <v>1.4E-2</v>
      </c>
      <c r="I2208" s="244">
        <v>71.48</v>
      </c>
      <c r="J2208" s="244">
        <v>1</v>
      </c>
    </row>
    <row r="2209" spans="1:10" ht="28.5" x14ac:dyDescent="0.25">
      <c r="A2209" s="191" t="s">
        <v>62</v>
      </c>
      <c r="B2209" s="191" t="s">
        <v>1549</v>
      </c>
      <c r="C2209" s="191" t="s">
        <v>59</v>
      </c>
      <c r="D2209" s="191" t="s">
        <v>1550</v>
      </c>
      <c r="E2209" s="191" t="s">
        <v>120</v>
      </c>
      <c r="F2209" s="191"/>
      <c r="G2209" s="191" t="s">
        <v>61</v>
      </c>
      <c r="H2209" s="192">
        <v>1.18E-2</v>
      </c>
      <c r="I2209" s="244">
        <v>63.09</v>
      </c>
      <c r="J2209" s="244">
        <v>0.74</v>
      </c>
    </row>
    <row r="2210" spans="1:10" ht="28.5" x14ac:dyDescent="0.25">
      <c r="A2210" s="191" t="s">
        <v>62</v>
      </c>
      <c r="B2210" s="191" t="s">
        <v>1483</v>
      </c>
      <c r="C2210" s="191" t="s">
        <v>59</v>
      </c>
      <c r="D2210" s="191" t="s">
        <v>1484</v>
      </c>
      <c r="E2210" s="191" t="s">
        <v>120</v>
      </c>
      <c r="F2210" s="191"/>
      <c r="G2210" s="191" t="s">
        <v>61</v>
      </c>
      <c r="H2210" s="192">
        <v>4.2700000000000002E-2</v>
      </c>
      <c r="I2210" s="244">
        <v>2</v>
      </c>
      <c r="J2210" s="244">
        <v>0.08</v>
      </c>
    </row>
    <row r="2211" spans="1:10" x14ac:dyDescent="0.25">
      <c r="A2211" s="187"/>
      <c r="B2211" s="187"/>
      <c r="C2211" s="187"/>
      <c r="D2211" s="187"/>
      <c r="E2211" s="187" t="s">
        <v>756</v>
      </c>
      <c r="F2211" s="188">
        <v>5.09</v>
      </c>
      <c r="G2211" s="187" t="s">
        <v>757</v>
      </c>
      <c r="H2211" s="188">
        <v>0</v>
      </c>
      <c r="I2211" s="242" t="s">
        <v>758</v>
      </c>
      <c r="J2211" s="242">
        <v>5.09</v>
      </c>
    </row>
    <row r="2212" spans="1:10" x14ac:dyDescent="0.25">
      <c r="A2212" s="187"/>
      <c r="B2212" s="187"/>
      <c r="C2212" s="187"/>
      <c r="D2212" s="187"/>
      <c r="E2212" s="187" t="s">
        <v>759</v>
      </c>
      <c r="F2212" s="188">
        <v>0</v>
      </c>
      <c r="G2212" s="187"/>
      <c r="H2212" s="187" t="s">
        <v>760</v>
      </c>
      <c r="I2212" s="242"/>
      <c r="J2212" s="242">
        <v>13.6</v>
      </c>
    </row>
    <row r="2213" spans="1:10" x14ac:dyDescent="0.25">
      <c r="A2213" s="182"/>
      <c r="B2213" s="182"/>
      <c r="C2213" s="182"/>
      <c r="D2213" s="182"/>
      <c r="E2213" s="182"/>
      <c r="F2213" s="182"/>
      <c r="G2213" s="182" t="s">
        <v>761</v>
      </c>
      <c r="H2213" s="189" t="s">
        <v>1923</v>
      </c>
      <c r="I2213" s="239" t="s">
        <v>763</v>
      </c>
      <c r="J2213" s="239">
        <v>122.4</v>
      </c>
    </row>
    <row r="2214" spans="1:10" x14ac:dyDescent="0.25">
      <c r="A2214" s="183"/>
      <c r="B2214" s="183"/>
      <c r="C2214" s="183"/>
      <c r="D2214" s="183"/>
      <c r="E2214" s="183"/>
      <c r="F2214" s="183"/>
      <c r="G2214" s="183"/>
      <c r="H2214" s="183"/>
      <c r="I2214" s="240"/>
      <c r="J2214" s="240"/>
    </row>
    <row r="2215" spans="1:10" x14ac:dyDescent="0.25">
      <c r="A2215" s="182" t="s">
        <v>1947</v>
      </c>
      <c r="B2215" s="182" t="s">
        <v>66</v>
      </c>
      <c r="C2215" s="182" t="s">
        <v>64</v>
      </c>
      <c r="D2215" s="182" t="s">
        <v>67</v>
      </c>
      <c r="E2215" s="182" t="s">
        <v>65</v>
      </c>
      <c r="F2215" s="182"/>
      <c r="G2215" s="182" t="s">
        <v>744</v>
      </c>
      <c r="H2215" s="182" t="s">
        <v>69</v>
      </c>
      <c r="I2215" s="239" t="s">
        <v>745</v>
      </c>
      <c r="J2215" s="239" t="s">
        <v>0</v>
      </c>
    </row>
    <row r="2216" spans="1:10" ht="71.25" x14ac:dyDescent="0.25">
      <c r="A2216" s="183" t="s">
        <v>58</v>
      </c>
      <c r="B2216" s="183" t="s">
        <v>1948</v>
      </c>
      <c r="C2216" s="183" t="s">
        <v>59</v>
      </c>
      <c r="D2216" s="183" t="s">
        <v>1949</v>
      </c>
      <c r="E2216" s="183" t="s">
        <v>1681</v>
      </c>
      <c r="F2216" s="183"/>
      <c r="G2216" s="183" t="s">
        <v>61</v>
      </c>
      <c r="H2216" s="184">
        <v>1</v>
      </c>
      <c r="I2216" s="240">
        <v>12.69</v>
      </c>
      <c r="J2216" s="240">
        <v>12.69</v>
      </c>
    </row>
    <row r="2217" spans="1:10" ht="42.75" x14ac:dyDescent="0.25">
      <c r="A2217" s="185" t="s">
        <v>119</v>
      </c>
      <c r="B2217" s="185" t="s">
        <v>1479</v>
      </c>
      <c r="C2217" s="185" t="s">
        <v>59</v>
      </c>
      <c r="D2217" s="185" t="s">
        <v>1480</v>
      </c>
      <c r="E2217" s="185" t="s">
        <v>754</v>
      </c>
      <c r="F2217" s="185"/>
      <c r="G2217" s="185" t="s">
        <v>60</v>
      </c>
      <c r="H2217" s="186">
        <v>0.1812</v>
      </c>
      <c r="I2217" s="241">
        <v>22.16</v>
      </c>
      <c r="J2217" s="241">
        <v>4.01</v>
      </c>
    </row>
    <row r="2218" spans="1:10" ht="42.75" x14ac:dyDescent="0.25">
      <c r="A2218" s="185" t="s">
        <v>119</v>
      </c>
      <c r="B2218" s="185" t="s">
        <v>1481</v>
      </c>
      <c r="C2218" s="185" t="s">
        <v>59</v>
      </c>
      <c r="D2218" s="185" t="s">
        <v>1482</v>
      </c>
      <c r="E2218" s="185" t="s">
        <v>754</v>
      </c>
      <c r="F2218" s="185"/>
      <c r="G2218" s="185" t="s">
        <v>60</v>
      </c>
      <c r="H2218" s="186">
        <v>0.1812</v>
      </c>
      <c r="I2218" s="241">
        <v>31.42</v>
      </c>
      <c r="J2218" s="241">
        <v>5.69</v>
      </c>
    </row>
    <row r="2219" spans="1:10" ht="28.5" x14ac:dyDescent="0.25">
      <c r="A2219" s="191" t="s">
        <v>62</v>
      </c>
      <c r="B2219" s="191" t="s">
        <v>1549</v>
      </c>
      <c r="C2219" s="191" t="s">
        <v>59</v>
      </c>
      <c r="D2219" s="191" t="s">
        <v>1550</v>
      </c>
      <c r="E2219" s="191" t="s">
        <v>120</v>
      </c>
      <c r="F2219" s="191"/>
      <c r="G2219" s="191" t="s">
        <v>61</v>
      </c>
      <c r="H2219" s="192">
        <v>1.06E-2</v>
      </c>
      <c r="I2219" s="244">
        <v>63.09</v>
      </c>
      <c r="J2219" s="244">
        <v>0.66</v>
      </c>
    </row>
    <row r="2220" spans="1:10" ht="42.75" x14ac:dyDescent="0.25">
      <c r="A2220" s="191" t="s">
        <v>62</v>
      </c>
      <c r="B2220" s="191" t="s">
        <v>1739</v>
      </c>
      <c r="C2220" s="191" t="s">
        <v>59</v>
      </c>
      <c r="D2220" s="191" t="s">
        <v>1740</v>
      </c>
      <c r="E2220" s="191" t="s">
        <v>120</v>
      </c>
      <c r="F2220" s="191"/>
      <c r="G2220" s="191" t="s">
        <v>61</v>
      </c>
      <c r="H2220" s="192">
        <v>1</v>
      </c>
      <c r="I2220" s="244">
        <v>1.39</v>
      </c>
      <c r="J2220" s="244">
        <v>1.39</v>
      </c>
    </row>
    <row r="2221" spans="1:10" ht="28.5" x14ac:dyDescent="0.25">
      <c r="A2221" s="191" t="s">
        <v>62</v>
      </c>
      <c r="B2221" s="191" t="s">
        <v>1483</v>
      </c>
      <c r="C2221" s="191" t="s">
        <v>59</v>
      </c>
      <c r="D2221" s="191" t="s">
        <v>1484</v>
      </c>
      <c r="E2221" s="191" t="s">
        <v>120</v>
      </c>
      <c r="F2221" s="191"/>
      <c r="G2221" s="191" t="s">
        <v>61</v>
      </c>
      <c r="H2221" s="192">
        <v>4.53E-2</v>
      </c>
      <c r="I2221" s="244">
        <v>2</v>
      </c>
      <c r="J2221" s="244">
        <v>0.09</v>
      </c>
    </row>
    <row r="2222" spans="1:10" ht="42.75" x14ac:dyDescent="0.25">
      <c r="A2222" s="191" t="s">
        <v>62</v>
      </c>
      <c r="B2222" s="191" t="s">
        <v>1551</v>
      </c>
      <c r="C2222" s="191" t="s">
        <v>59</v>
      </c>
      <c r="D2222" s="191" t="s">
        <v>1552</v>
      </c>
      <c r="E2222" s="191" t="s">
        <v>120</v>
      </c>
      <c r="F2222" s="191"/>
      <c r="G2222" s="191" t="s">
        <v>61</v>
      </c>
      <c r="H2222" s="192">
        <v>1.2E-2</v>
      </c>
      <c r="I2222" s="244">
        <v>71.48</v>
      </c>
      <c r="J2222" s="244">
        <v>0.85</v>
      </c>
    </row>
    <row r="2223" spans="1:10" x14ac:dyDescent="0.25">
      <c r="A2223" s="187"/>
      <c r="B2223" s="187"/>
      <c r="C2223" s="187"/>
      <c r="D2223" s="187"/>
      <c r="E2223" s="187" t="s">
        <v>756</v>
      </c>
      <c r="F2223" s="188">
        <v>7.22</v>
      </c>
      <c r="G2223" s="187" t="s">
        <v>757</v>
      </c>
      <c r="H2223" s="188">
        <v>0</v>
      </c>
      <c r="I2223" s="242" t="s">
        <v>758</v>
      </c>
      <c r="J2223" s="242">
        <v>7.22</v>
      </c>
    </row>
    <row r="2224" spans="1:10" x14ac:dyDescent="0.25">
      <c r="A2224" s="187"/>
      <c r="B2224" s="187"/>
      <c r="C2224" s="187"/>
      <c r="D2224" s="187"/>
      <c r="E2224" s="187" t="s">
        <v>759</v>
      </c>
      <c r="F2224" s="188">
        <v>0</v>
      </c>
      <c r="G2224" s="187"/>
      <c r="H2224" s="187" t="s">
        <v>760</v>
      </c>
      <c r="I2224" s="242"/>
      <c r="J2224" s="242">
        <v>12.69</v>
      </c>
    </row>
    <row r="2225" spans="1:10" x14ac:dyDescent="0.25">
      <c r="A2225" s="182"/>
      <c r="B2225" s="182"/>
      <c r="C2225" s="182"/>
      <c r="D2225" s="182"/>
      <c r="E2225" s="182"/>
      <c r="F2225" s="182"/>
      <c r="G2225" s="182" t="s">
        <v>761</v>
      </c>
      <c r="H2225" s="189" t="s">
        <v>1555</v>
      </c>
      <c r="I2225" s="239" t="s">
        <v>763</v>
      </c>
      <c r="J2225" s="239">
        <v>50.76</v>
      </c>
    </row>
    <row r="2226" spans="1:10" x14ac:dyDescent="0.25">
      <c r="A2226" s="183"/>
      <c r="B2226" s="183"/>
      <c r="C2226" s="183"/>
      <c r="D2226" s="183"/>
      <c r="E2226" s="183"/>
      <c r="F2226" s="183"/>
      <c r="G2226" s="183"/>
      <c r="H2226" s="183"/>
      <c r="I2226" s="240"/>
      <c r="J2226" s="240"/>
    </row>
    <row r="2227" spans="1:10" x14ac:dyDescent="0.25">
      <c r="A2227" s="182" t="s">
        <v>1950</v>
      </c>
      <c r="B2227" s="182" t="s">
        <v>66</v>
      </c>
      <c r="C2227" s="182" t="s">
        <v>64</v>
      </c>
      <c r="D2227" s="182" t="s">
        <v>67</v>
      </c>
      <c r="E2227" s="182" t="s">
        <v>65</v>
      </c>
      <c r="F2227" s="182"/>
      <c r="G2227" s="182" t="s">
        <v>744</v>
      </c>
      <c r="H2227" s="182" t="s">
        <v>69</v>
      </c>
      <c r="I2227" s="239" t="s">
        <v>745</v>
      </c>
      <c r="J2227" s="239" t="s">
        <v>0</v>
      </c>
    </row>
    <row r="2228" spans="1:10" ht="71.25" x14ac:dyDescent="0.25">
      <c r="A2228" s="183" t="s">
        <v>58</v>
      </c>
      <c r="B2228" s="183" t="s">
        <v>1951</v>
      </c>
      <c r="C2228" s="183" t="s">
        <v>59</v>
      </c>
      <c r="D2228" s="183" t="s">
        <v>1952</v>
      </c>
      <c r="E2228" s="183" t="s">
        <v>1681</v>
      </c>
      <c r="F2228" s="183"/>
      <c r="G2228" s="183" t="s">
        <v>61</v>
      </c>
      <c r="H2228" s="184">
        <v>1</v>
      </c>
      <c r="I2228" s="240">
        <v>18.079999999999998</v>
      </c>
      <c r="J2228" s="240">
        <v>18.079999999999998</v>
      </c>
    </row>
    <row r="2229" spans="1:10" ht="42.75" x14ac:dyDescent="0.25">
      <c r="A2229" s="185" t="s">
        <v>119</v>
      </c>
      <c r="B2229" s="185" t="s">
        <v>1481</v>
      </c>
      <c r="C2229" s="185" t="s">
        <v>59</v>
      </c>
      <c r="D2229" s="185" t="s">
        <v>1482</v>
      </c>
      <c r="E2229" s="185" t="s">
        <v>754</v>
      </c>
      <c r="F2229" s="185"/>
      <c r="G2229" s="185" t="s">
        <v>60</v>
      </c>
      <c r="H2229" s="186">
        <v>0.21609999999999999</v>
      </c>
      <c r="I2229" s="241">
        <v>31.42</v>
      </c>
      <c r="J2229" s="241">
        <v>6.78</v>
      </c>
    </row>
    <row r="2230" spans="1:10" ht="42.75" x14ac:dyDescent="0.25">
      <c r="A2230" s="185" t="s">
        <v>119</v>
      </c>
      <c r="B2230" s="185" t="s">
        <v>1479</v>
      </c>
      <c r="C2230" s="185" t="s">
        <v>59</v>
      </c>
      <c r="D2230" s="185" t="s">
        <v>1480</v>
      </c>
      <c r="E2230" s="185" t="s">
        <v>754</v>
      </c>
      <c r="F2230" s="185"/>
      <c r="G2230" s="185" t="s">
        <v>60</v>
      </c>
      <c r="H2230" s="186">
        <v>0.21609999999999999</v>
      </c>
      <c r="I2230" s="241">
        <v>22.16</v>
      </c>
      <c r="J2230" s="241">
        <v>4.78</v>
      </c>
    </row>
    <row r="2231" spans="1:10" ht="42.75" x14ac:dyDescent="0.25">
      <c r="A2231" s="191" t="s">
        <v>62</v>
      </c>
      <c r="B2231" s="191" t="s">
        <v>1872</v>
      </c>
      <c r="C2231" s="191" t="s">
        <v>59</v>
      </c>
      <c r="D2231" s="191" t="s">
        <v>1873</v>
      </c>
      <c r="E2231" s="191" t="s">
        <v>120</v>
      </c>
      <c r="F2231" s="191"/>
      <c r="G2231" s="191" t="s">
        <v>61</v>
      </c>
      <c r="H2231" s="192">
        <v>1</v>
      </c>
      <c r="I2231" s="244">
        <v>4.37</v>
      </c>
      <c r="J2231" s="244">
        <v>4.37</v>
      </c>
    </row>
    <row r="2232" spans="1:10" ht="28.5" x14ac:dyDescent="0.25">
      <c r="A2232" s="191" t="s">
        <v>62</v>
      </c>
      <c r="B2232" s="191" t="s">
        <v>1549</v>
      </c>
      <c r="C2232" s="191" t="s">
        <v>59</v>
      </c>
      <c r="D2232" s="191" t="s">
        <v>1550</v>
      </c>
      <c r="E2232" s="191" t="s">
        <v>120</v>
      </c>
      <c r="F2232" s="191"/>
      <c r="G2232" s="191" t="s">
        <v>61</v>
      </c>
      <c r="H2232" s="192">
        <v>1.41E-2</v>
      </c>
      <c r="I2232" s="244">
        <v>63.09</v>
      </c>
      <c r="J2232" s="244">
        <v>0.88</v>
      </c>
    </row>
    <row r="2233" spans="1:10" ht="28.5" x14ac:dyDescent="0.25">
      <c r="A2233" s="191" t="s">
        <v>62</v>
      </c>
      <c r="B2233" s="191" t="s">
        <v>1483</v>
      </c>
      <c r="C2233" s="191" t="s">
        <v>59</v>
      </c>
      <c r="D2233" s="191" t="s">
        <v>1484</v>
      </c>
      <c r="E2233" s="191" t="s">
        <v>120</v>
      </c>
      <c r="F2233" s="191"/>
      <c r="G2233" s="191" t="s">
        <v>61</v>
      </c>
      <c r="H2233" s="192">
        <v>5.3999999999999999E-2</v>
      </c>
      <c r="I2233" s="244">
        <v>2</v>
      </c>
      <c r="J2233" s="244">
        <v>0.1</v>
      </c>
    </row>
    <row r="2234" spans="1:10" ht="42.75" x14ac:dyDescent="0.25">
      <c r="A2234" s="191" t="s">
        <v>62</v>
      </c>
      <c r="B2234" s="191" t="s">
        <v>1551</v>
      </c>
      <c r="C2234" s="191" t="s">
        <v>59</v>
      </c>
      <c r="D2234" s="191" t="s">
        <v>1552</v>
      </c>
      <c r="E2234" s="191" t="s">
        <v>120</v>
      </c>
      <c r="F2234" s="191"/>
      <c r="G2234" s="191" t="s">
        <v>61</v>
      </c>
      <c r="H2234" s="192">
        <v>1.6500000000000001E-2</v>
      </c>
      <c r="I2234" s="244">
        <v>71.48</v>
      </c>
      <c r="J2234" s="244">
        <v>1.17</v>
      </c>
    </row>
    <row r="2235" spans="1:10" x14ac:dyDescent="0.25">
      <c r="A2235" s="187"/>
      <c r="B2235" s="187"/>
      <c r="C2235" s="187"/>
      <c r="D2235" s="187"/>
      <c r="E2235" s="187" t="s">
        <v>756</v>
      </c>
      <c r="F2235" s="188">
        <v>8.6</v>
      </c>
      <c r="G2235" s="187" t="s">
        <v>757</v>
      </c>
      <c r="H2235" s="188">
        <v>0</v>
      </c>
      <c r="I2235" s="242" t="s">
        <v>758</v>
      </c>
      <c r="J2235" s="242">
        <v>8.6</v>
      </c>
    </row>
    <row r="2236" spans="1:10" x14ac:dyDescent="0.25">
      <c r="A2236" s="187"/>
      <c r="B2236" s="187"/>
      <c r="C2236" s="187"/>
      <c r="D2236" s="187"/>
      <c r="E2236" s="187" t="s">
        <v>759</v>
      </c>
      <c r="F2236" s="188">
        <v>0</v>
      </c>
      <c r="G2236" s="187"/>
      <c r="H2236" s="187" t="s">
        <v>760</v>
      </c>
      <c r="I2236" s="242"/>
      <c r="J2236" s="242">
        <v>18.079999999999998</v>
      </c>
    </row>
    <row r="2237" spans="1:10" x14ac:dyDescent="0.25">
      <c r="A2237" s="182"/>
      <c r="B2237" s="182"/>
      <c r="C2237" s="182"/>
      <c r="D2237" s="182"/>
      <c r="E2237" s="182"/>
      <c r="F2237" s="182"/>
      <c r="G2237" s="182" t="s">
        <v>761</v>
      </c>
      <c r="H2237" s="189" t="s">
        <v>762</v>
      </c>
      <c r="I2237" s="239" t="s">
        <v>763</v>
      </c>
      <c r="J2237" s="239">
        <v>18.079999999999998</v>
      </c>
    </row>
    <row r="2238" spans="1:10" x14ac:dyDescent="0.25">
      <c r="A2238" s="183"/>
      <c r="B2238" s="183"/>
      <c r="C2238" s="183"/>
      <c r="D2238" s="183"/>
      <c r="E2238" s="183"/>
      <c r="F2238" s="183"/>
      <c r="G2238" s="183"/>
      <c r="H2238" s="183"/>
      <c r="I2238" s="240"/>
      <c r="J2238" s="240"/>
    </row>
    <row r="2239" spans="1:10" x14ac:dyDescent="0.25">
      <c r="A2239" s="182" t="s">
        <v>1953</v>
      </c>
      <c r="B2239" s="182" t="s">
        <v>66</v>
      </c>
      <c r="C2239" s="182" t="s">
        <v>64</v>
      </c>
      <c r="D2239" s="182" t="s">
        <v>67</v>
      </c>
      <c r="E2239" s="182" t="s">
        <v>65</v>
      </c>
      <c r="F2239" s="182"/>
      <c r="G2239" s="182" t="s">
        <v>744</v>
      </c>
      <c r="H2239" s="182" t="s">
        <v>69</v>
      </c>
      <c r="I2239" s="239" t="s">
        <v>745</v>
      </c>
      <c r="J2239" s="239" t="s">
        <v>0</v>
      </c>
    </row>
    <row r="2240" spans="1:10" ht="71.25" x14ac:dyDescent="0.25">
      <c r="A2240" s="183" t="s">
        <v>58</v>
      </c>
      <c r="B2240" s="183" t="s">
        <v>1954</v>
      </c>
      <c r="C2240" s="183" t="s">
        <v>59</v>
      </c>
      <c r="D2240" s="183" t="s">
        <v>1955</v>
      </c>
      <c r="E2240" s="183" t="s">
        <v>1681</v>
      </c>
      <c r="F2240" s="183"/>
      <c r="G2240" s="183" t="s">
        <v>61</v>
      </c>
      <c r="H2240" s="184">
        <v>1</v>
      </c>
      <c r="I2240" s="240">
        <v>27.12</v>
      </c>
      <c r="J2240" s="240">
        <v>27.12</v>
      </c>
    </row>
    <row r="2241" spans="1:10" ht="42.75" x14ac:dyDescent="0.25">
      <c r="A2241" s="185" t="s">
        <v>119</v>
      </c>
      <c r="B2241" s="185" t="s">
        <v>1479</v>
      </c>
      <c r="C2241" s="185" t="s">
        <v>59</v>
      </c>
      <c r="D2241" s="185" t="s">
        <v>1480</v>
      </c>
      <c r="E2241" s="185" t="s">
        <v>754</v>
      </c>
      <c r="F2241" s="185"/>
      <c r="G2241" s="185" t="s">
        <v>60</v>
      </c>
      <c r="H2241" s="186">
        <v>0.25600000000000001</v>
      </c>
      <c r="I2241" s="241">
        <v>22.16</v>
      </c>
      <c r="J2241" s="241">
        <v>5.67</v>
      </c>
    </row>
    <row r="2242" spans="1:10" ht="42.75" x14ac:dyDescent="0.25">
      <c r="A2242" s="185" t="s">
        <v>119</v>
      </c>
      <c r="B2242" s="185" t="s">
        <v>1481</v>
      </c>
      <c r="C2242" s="185" t="s">
        <v>59</v>
      </c>
      <c r="D2242" s="185" t="s">
        <v>1482</v>
      </c>
      <c r="E2242" s="185" t="s">
        <v>754</v>
      </c>
      <c r="F2242" s="185"/>
      <c r="G2242" s="185" t="s">
        <v>60</v>
      </c>
      <c r="H2242" s="186">
        <v>0.25600000000000001</v>
      </c>
      <c r="I2242" s="241">
        <v>31.42</v>
      </c>
      <c r="J2242" s="241">
        <v>8.0399999999999991</v>
      </c>
    </row>
    <row r="2243" spans="1:10" ht="42.75" x14ac:dyDescent="0.25">
      <c r="A2243" s="191" t="s">
        <v>62</v>
      </c>
      <c r="B2243" s="191" t="s">
        <v>1551</v>
      </c>
      <c r="C2243" s="191" t="s">
        <v>59</v>
      </c>
      <c r="D2243" s="191" t="s">
        <v>1552</v>
      </c>
      <c r="E2243" s="191" t="s">
        <v>120</v>
      </c>
      <c r="F2243" s="191"/>
      <c r="G2243" s="191" t="s">
        <v>61</v>
      </c>
      <c r="H2243" s="192">
        <v>2.1000000000000001E-2</v>
      </c>
      <c r="I2243" s="244">
        <v>71.48</v>
      </c>
      <c r="J2243" s="244">
        <v>1.5</v>
      </c>
    </row>
    <row r="2244" spans="1:10" ht="42.75" x14ac:dyDescent="0.25">
      <c r="A2244" s="191" t="s">
        <v>62</v>
      </c>
      <c r="B2244" s="191" t="s">
        <v>1877</v>
      </c>
      <c r="C2244" s="191" t="s">
        <v>59</v>
      </c>
      <c r="D2244" s="191" t="s">
        <v>1878</v>
      </c>
      <c r="E2244" s="191" t="s">
        <v>120</v>
      </c>
      <c r="F2244" s="191"/>
      <c r="G2244" s="191" t="s">
        <v>61</v>
      </c>
      <c r="H2244" s="192">
        <v>1</v>
      </c>
      <c r="I2244" s="244">
        <v>10.68</v>
      </c>
      <c r="J2244" s="244">
        <v>10.68</v>
      </c>
    </row>
    <row r="2245" spans="1:10" ht="28.5" x14ac:dyDescent="0.25">
      <c r="A2245" s="191" t="s">
        <v>62</v>
      </c>
      <c r="B2245" s="191" t="s">
        <v>1483</v>
      </c>
      <c r="C2245" s="191" t="s">
        <v>59</v>
      </c>
      <c r="D2245" s="191" t="s">
        <v>1484</v>
      </c>
      <c r="E2245" s="191" t="s">
        <v>120</v>
      </c>
      <c r="F2245" s="191"/>
      <c r="G2245" s="191" t="s">
        <v>61</v>
      </c>
      <c r="H2245" s="192">
        <v>6.4100000000000004E-2</v>
      </c>
      <c r="I2245" s="244">
        <v>2</v>
      </c>
      <c r="J2245" s="244">
        <v>0.12</v>
      </c>
    </row>
    <row r="2246" spans="1:10" ht="28.5" x14ac:dyDescent="0.25">
      <c r="A2246" s="191" t="s">
        <v>62</v>
      </c>
      <c r="B2246" s="191" t="s">
        <v>1549</v>
      </c>
      <c r="C2246" s="191" t="s">
        <v>59</v>
      </c>
      <c r="D2246" s="191" t="s">
        <v>1550</v>
      </c>
      <c r="E2246" s="191" t="s">
        <v>120</v>
      </c>
      <c r="F2246" s="191"/>
      <c r="G2246" s="191" t="s">
        <v>61</v>
      </c>
      <c r="H2246" s="192">
        <v>1.7600000000000001E-2</v>
      </c>
      <c r="I2246" s="244">
        <v>63.09</v>
      </c>
      <c r="J2246" s="244">
        <v>1.1100000000000001</v>
      </c>
    </row>
    <row r="2247" spans="1:10" x14ac:dyDescent="0.25">
      <c r="A2247" s="187"/>
      <c r="B2247" s="187"/>
      <c r="C2247" s="187"/>
      <c r="D2247" s="187"/>
      <c r="E2247" s="187" t="s">
        <v>756</v>
      </c>
      <c r="F2247" s="188">
        <v>10.19</v>
      </c>
      <c r="G2247" s="187" t="s">
        <v>757</v>
      </c>
      <c r="H2247" s="188">
        <v>0</v>
      </c>
      <c r="I2247" s="242" t="s">
        <v>758</v>
      </c>
      <c r="J2247" s="242">
        <v>10.19</v>
      </c>
    </row>
    <row r="2248" spans="1:10" x14ac:dyDescent="0.25">
      <c r="A2248" s="187"/>
      <c r="B2248" s="187"/>
      <c r="C2248" s="187"/>
      <c r="D2248" s="187"/>
      <c r="E2248" s="187" t="s">
        <v>759</v>
      </c>
      <c r="F2248" s="188">
        <v>0</v>
      </c>
      <c r="G2248" s="187"/>
      <c r="H2248" s="187" t="s">
        <v>760</v>
      </c>
      <c r="I2248" s="242"/>
      <c r="J2248" s="242">
        <v>27.12</v>
      </c>
    </row>
    <row r="2249" spans="1:10" x14ac:dyDescent="0.25">
      <c r="A2249" s="182"/>
      <c r="B2249" s="182"/>
      <c r="C2249" s="182"/>
      <c r="D2249" s="182"/>
      <c r="E2249" s="182"/>
      <c r="F2249" s="182"/>
      <c r="G2249" s="182" t="s">
        <v>761</v>
      </c>
      <c r="H2249" s="189" t="s">
        <v>1923</v>
      </c>
      <c r="I2249" s="239" t="s">
        <v>763</v>
      </c>
      <c r="J2249" s="239">
        <v>244.08</v>
      </c>
    </row>
    <row r="2250" spans="1:10" x14ac:dyDescent="0.25">
      <c r="A2250" s="183"/>
      <c r="B2250" s="183"/>
      <c r="C2250" s="183"/>
      <c r="D2250" s="183"/>
      <c r="E2250" s="183"/>
      <c r="F2250" s="183"/>
      <c r="G2250" s="183"/>
      <c r="H2250" s="183"/>
      <c r="I2250" s="240"/>
      <c r="J2250" s="240"/>
    </row>
    <row r="2251" spans="1:10" x14ac:dyDescent="0.25">
      <c r="A2251" s="182" t="s">
        <v>1956</v>
      </c>
      <c r="B2251" s="182" t="s">
        <v>66</v>
      </c>
      <c r="C2251" s="182" t="s">
        <v>64</v>
      </c>
      <c r="D2251" s="182" t="s">
        <v>67</v>
      </c>
      <c r="E2251" s="182" t="s">
        <v>65</v>
      </c>
      <c r="F2251" s="182"/>
      <c r="G2251" s="182" t="s">
        <v>744</v>
      </c>
      <c r="H2251" s="182" t="s">
        <v>69</v>
      </c>
      <c r="I2251" s="239" t="s">
        <v>745</v>
      </c>
      <c r="J2251" s="239" t="s">
        <v>0</v>
      </c>
    </row>
    <row r="2252" spans="1:10" ht="28.5" x14ac:dyDescent="0.25">
      <c r="A2252" s="183" t="s">
        <v>58</v>
      </c>
      <c r="B2252" s="183" t="s">
        <v>1957</v>
      </c>
      <c r="C2252" s="183" t="s">
        <v>785</v>
      </c>
      <c r="D2252" s="183" t="s">
        <v>1958</v>
      </c>
      <c r="E2252" s="183">
        <v>818</v>
      </c>
      <c r="F2252" s="183"/>
      <c r="G2252" s="183" t="s">
        <v>1498</v>
      </c>
      <c r="H2252" s="184">
        <v>1</v>
      </c>
      <c r="I2252" s="240">
        <v>405.11</v>
      </c>
      <c r="J2252" s="240">
        <v>405.11</v>
      </c>
    </row>
    <row r="2253" spans="1:10" ht="28.5" x14ac:dyDescent="0.25">
      <c r="A2253" s="191" t="s">
        <v>62</v>
      </c>
      <c r="B2253" s="191" t="s">
        <v>1569</v>
      </c>
      <c r="C2253" s="191" t="s">
        <v>785</v>
      </c>
      <c r="D2253" s="191" t="s">
        <v>1570</v>
      </c>
      <c r="E2253" s="191" t="s">
        <v>124</v>
      </c>
      <c r="F2253" s="191"/>
      <c r="G2253" s="191" t="s">
        <v>60</v>
      </c>
      <c r="H2253" s="192">
        <v>3</v>
      </c>
      <c r="I2253" s="244">
        <v>29.79</v>
      </c>
      <c r="J2253" s="244">
        <v>89.37</v>
      </c>
    </row>
    <row r="2254" spans="1:10" ht="28.5" x14ac:dyDescent="0.25">
      <c r="A2254" s="191" t="s">
        <v>62</v>
      </c>
      <c r="B2254" s="191" t="s">
        <v>1515</v>
      </c>
      <c r="C2254" s="191" t="s">
        <v>785</v>
      </c>
      <c r="D2254" s="191" t="s">
        <v>181</v>
      </c>
      <c r="E2254" s="191" t="s">
        <v>124</v>
      </c>
      <c r="F2254" s="191"/>
      <c r="G2254" s="191" t="s">
        <v>60</v>
      </c>
      <c r="H2254" s="192">
        <v>3</v>
      </c>
      <c r="I2254" s="244">
        <v>22.05</v>
      </c>
      <c r="J2254" s="244">
        <v>66.150000000000006</v>
      </c>
    </row>
    <row r="2255" spans="1:10" ht="28.5" x14ac:dyDescent="0.25">
      <c r="A2255" s="191" t="s">
        <v>62</v>
      </c>
      <c r="B2255" s="191" t="s">
        <v>1959</v>
      </c>
      <c r="C2255" s="191" t="s">
        <v>785</v>
      </c>
      <c r="D2255" s="191" t="s">
        <v>1960</v>
      </c>
      <c r="E2255" s="191" t="s">
        <v>120</v>
      </c>
      <c r="F2255" s="191"/>
      <c r="G2255" s="191" t="s">
        <v>129</v>
      </c>
      <c r="H2255" s="192">
        <v>1</v>
      </c>
      <c r="I2255" s="244">
        <v>249.59</v>
      </c>
      <c r="J2255" s="244">
        <v>249.59</v>
      </c>
    </row>
    <row r="2256" spans="1:10" x14ac:dyDescent="0.25">
      <c r="A2256" s="187"/>
      <c r="B2256" s="187"/>
      <c r="C2256" s="187"/>
      <c r="D2256" s="187"/>
      <c r="E2256" s="187" t="s">
        <v>756</v>
      </c>
      <c r="F2256" s="188">
        <v>155.52000000000001</v>
      </c>
      <c r="G2256" s="187" t="s">
        <v>757</v>
      </c>
      <c r="H2256" s="188">
        <v>0</v>
      </c>
      <c r="I2256" s="242" t="s">
        <v>758</v>
      </c>
      <c r="J2256" s="242">
        <v>155.52000000000001</v>
      </c>
    </row>
    <row r="2257" spans="1:10" x14ac:dyDescent="0.25">
      <c r="A2257" s="187"/>
      <c r="B2257" s="187"/>
      <c r="C2257" s="187"/>
      <c r="D2257" s="187"/>
      <c r="E2257" s="187" t="s">
        <v>759</v>
      </c>
      <c r="F2257" s="188">
        <v>0</v>
      </c>
      <c r="G2257" s="187"/>
      <c r="H2257" s="187" t="s">
        <v>760</v>
      </c>
      <c r="I2257" s="242"/>
      <c r="J2257" s="242">
        <v>405.11</v>
      </c>
    </row>
    <row r="2258" spans="1:10" x14ac:dyDescent="0.25">
      <c r="A2258" s="182"/>
      <c r="B2258" s="182"/>
      <c r="C2258" s="182"/>
      <c r="D2258" s="182"/>
      <c r="E2258" s="182"/>
      <c r="F2258" s="182"/>
      <c r="G2258" s="182" t="s">
        <v>761</v>
      </c>
      <c r="H2258" s="189" t="s">
        <v>762</v>
      </c>
      <c r="I2258" s="239" t="s">
        <v>763</v>
      </c>
      <c r="J2258" s="239">
        <v>405.11</v>
      </c>
    </row>
    <row r="2259" spans="1:10" x14ac:dyDescent="0.25">
      <c r="A2259" s="183"/>
      <c r="B2259" s="183"/>
      <c r="C2259" s="183"/>
      <c r="D2259" s="183"/>
      <c r="E2259" s="183"/>
      <c r="F2259" s="183"/>
      <c r="G2259" s="183"/>
      <c r="H2259" s="183"/>
      <c r="I2259" s="240"/>
      <c r="J2259" s="240"/>
    </row>
    <row r="2260" spans="1:10" x14ac:dyDescent="0.25">
      <c r="A2260" s="190" t="s">
        <v>1961</v>
      </c>
      <c r="B2260" s="190"/>
      <c r="C2260" s="190"/>
      <c r="D2260" s="190" t="s">
        <v>672</v>
      </c>
      <c r="E2260" s="190"/>
      <c r="F2260" s="190"/>
      <c r="G2260" s="190"/>
      <c r="H2260" s="190"/>
      <c r="I2260" s="243"/>
      <c r="J2260" s="243">
        <v>3528.09</v>
      </c>
    </row>
    <row r="2261" spans="1:10" x14ac:dyDescent="0.25">
      <c r="A2261" s="182" t="s">
        <v>1962</v>
      </c>
      <c r="B2261" s="182" t="s">
        <v>66</v>
      </c>
      <c r="C2261" s="182" t="s">
        <v>64</v>
      </c>
      <c r="D2261" s="182" t="s">
        <v>67</v>
      </c>
      <c r="E2261" s="182" t="s">
        <v>65</v>
      </c>
      <c r="F2261" s="182"/>
      <c r="G2261" s="182" t="s">
        <v>744</v>
      </c>
      <c r="H2261" s="182" t="s">
        <v>69</v>
      </c>
      <c r="I2261" s="239" t="s">
        <v>745</v>
      </c>
      <c r="J2261" s="239" t="s">
        <v>0</v>
      </c>
    </row>
    <row r="2262" spans="1:10" ht="42.75" x14ac:dyDescent="0.25">
      <c r="A2262" s="183" t="s">
        <v>58</v>
      </c>
      <c r="B2262" s="183" t="s">
        <v>1963</v>
      </c>
      <c r="C2262" s="183" t="s">
        <v>785</v>
      </c>
      <c r="D2262" s="183" t="s">
        <v>1964</v>
      </c>
      <c r="E2262" s="183">
        <v>805</v>
      </c>
      <c r="F2262" s="183"/>
      <c r="G2262" s="183" t="s">
        <v>129</v>
      </c>
      <c r="H2262" s="184">
        <v>1</v>
      </c>
      <c r="I2262" s="240">
        <v>558.54</v>
      </c>
      <c r="J2262" s="240">
        <v>558.54</v>
      </c>
    </row>
    <row r="2263" spans="1:10" ht="42.75" x14ac:dyDescent="0.25">
      <c r="A2263" s="191" t="s">
        <v>62</v>
      </c>
      <c r="B2263" s="191" t="s">
        <v>1965</v>
      </c>
      <c r="C2263" s="191" t="s">
        <v>785</v>
      </c>
      <c r="D2263" s="191" t="s">
        <v>1966</v>
      </c>
      <c r="E2263" s="191" t="s">
        <v>120</v>
      </c>
      <c r="F2263" s="191"/>
      <c r="G2263" s="191" t="s">
        <v>129</v>
      </c>
      <c r="H2263" s="192">
        <v>1</v>
      </c>
      <c r="I2263" s="244">
        <v>468.35</v>
      </c>
      <c r="J2263" s="244">
        <v>468.35</v>
      </c>
    </row>
    <row r="2264" spans="1:10" ht="28.5" x14ac:dyDescent="0.25">
      <c r="A2264" s="191" t="s">
        <v>62</v>
      </c>
      <c r="B2264" s="191" t="s">
        <v>1569</v>
      </c>
      <c r="C2264" s="191" t="s">
        <v>785</v>
      </c>
      <c r="D2264" s="191" t="s">
        <v>1570</v>
      </c>
      <c r="E2264" s="191" t="s">
        <v>124</v>
      </c>
      <c r="F2264" s="191"/>
      <c r="G2264" s="191" t="s">
        <v>60</v>
      </c>
      <c r="H2264" s="192">
        <v>1.74</v>
      </c>
      <c r="I2264" s="244">
        <v>29.79</v>
      </c>
      <c r="J2264" s="244">
        <v>51.83</v>
      </c>
    </row>
    <row r="2265" spans="1:10" ht="28.5" x14ac:dyDescent="0.25">
      <c r="A2265" s="191" t="s">
        <v>62</v>
      </c>
      <c r="B2265" s="191" t="s">
        <v>1515</v>
      </c>
      <c r="C2265" s="191" t="s">
        <v>785</v>
      </c>
      <c r="D2265" s="191" t="s">
        <v>181</v>
      </c>
      <c r="E2265" s="191" t="s">
        <v>124</v>
      </c>
      <c r="F2265" s="191"/>
      <c r="G2265" s="191" t="s">
        <v>60</v>
      </c>
      <c r="H2265" s="192">
        <v>1.74</v>
      </c>
      <c r="I2265" s="244">
        <v>22.05</v>
      </c>
      <c r="J2265" s="244">
        <v>38.36</v>
      </c>
    </row>
    <row r="2266" spans="1:10" x14ac:dyDescent="0.25">
      <c r="A2266" s="187"/>
      <c r="B2266" s="187"/>
      <c r="C2266" s="187"/>
      <c r="D2266" s="187"/>
      <c r="E2266" s="187" t="s">
        <v>756</v>
      </c>
      <c r="F2266" s="188">
        <v>90.19</v>
      </c>
      <c r="G2266" s="187" t="s">
        <v>757</v>
      </c>
      <c r="H2266" s="188">
        <v>0</v>
      </c>
      <c r="I2266" s="242" t="s">
        <v>758</v>
      </c>
      <c r="J2266" s="242">
        <v>90.19</v>
      </c>
    </row>
    <row r="2267" spans="1:10" x14ac:dyDescent="0.25">
      <c r="A2267" s="187"/>
      <c r="B2267" s="187"/>
      <c r="C2267" s="187"/>
      <c r="D2267" s="187"/>
      <c r="E2267" s="187" t="s">
        <v>759</v>
      </c>
      <c r="F2267" s="188">
        <v>0</v>
      </c>
      <c r="G2267" s="187"/>
      <c r="H2267" s="187" t="s">
        <v>760</v>
      </c>
      <c r="I2267" s="242"/>
      <c r="J2267" s="242">
        <v>558.54</v>
      </c>
    </row>
    <row r="2268" spans="1:10" x14ac:dyDescent="0.25">
      <c r="A2268" s="182"/>
      <c r="B2268" s="182"/>
      <c r="C2268" s="182"/>
      <c r="D2268" s="182"/>
      <c r="E2268" s="182"/>
      <c r="F2268" s="182"/>
      <c r="G2268" s="182" t="s">
        <v>761</v>
      </c>
      <c r="H2268" s="189" t="s">
        <v>1555</v>
      </c>
      <c r="I2268" s="239" t="s">
        <v>763</v>
      </c>
      <c r="J2268" s="239">
        <v>2234.16</v>
      </c>
    </row>
    <row r="2269" spans="1:10" x14ac:dyDescent="0.25">
      <c r="A2269" s="183"/>
      <c r="B2269" s="183"/>
      <c r="C2269" s="183"/>
      <c r="D2269" s="183"/>
      <c r="E2269" s="183"/>
      <c r="F2269" s="183"/>
      <c r="G2269" s="183"/>
      <c r="H2269" s="183"/>
      <c r="I2269" s="240"/>
      <c r="J2269" s="240"/>
    </row>
    <row r="2270" spans="1:10" x14ac:dyDescent="0.25">
      <c r="A2270" s="182" t="s">
        <v>1967</v>
      </c>
      <c r="B2270" s="182" t="s">
        <v>66</v>
      </c>
      <c r="C2270" s="182" t="s">
        <v>64</v>
      </c>
      <c r="D2270" s="182" t="s">
        <v>67</v>
      </c>
      <c r="E2270" s="182" t="s">
        <v>65</v>
      </c>
      <c r="F2270" s="182"/>
      <c r="G2270" s="182" t="s">
        <v>744</v>
      </c>
      <c r="H2270" s="182" t="s">
        <v>69</v>
      </c>
      <c r="I2270" s="239" t="s">
        <v>745</v>
      </c>
      <c r="J2270" s="239" t="s">
        <v>0</v>
      </c>
    </row>
    <row r="2271" spans="1:10" ht="28.5" x14ac:dyDescent="0.25">
      <c r="A2271" s="183" t="s">
        <v>58</v>
      </c>
      <c r="B2271" s="183" t="s">
        <v>1968</v>
      </c>
      <c r="C2271" s="183" t="s">
        <v>785</v>
      </c>
      <c r="D2271" s="183" t="s">
        <v>1969</v>
      </c>
      <c r="E2271" s="183">
        <v>806</v>
      </c>
      <c r="F2271" s="183"/>
      <c r="G2271" s="183" t="s">
        <v>1498</v>
      </c>
      <c r="H2271" s="184">
        <v>1</v>
      </c>
      <c r="I2271" s="240">
        <v>670.18</v>
      </c>
      <c r="J2271" s="240">
        <v>670.18</v>
      </c>
    </row>
    <row r="2272" spans="1:10" ht="42.75" x14ac:dyDescent="0.25">
      <c r="A2272" s="191" t="s">
        <v>62</v>
      </c>
      <c r="B2272" s="191" t="s">
        <v>1970</v>
      </c>
      <c r="C2272" s="191" t="s">
        <v>785</v>
      </c>
      <c r="D2272" s="191" t="s">
        <v>1971</v>
      </c>
      <c r="E2272" s="191" t="s">
        <v>120</v>
      </c>
      <c r="F2272" s="191"/>
      <c r="G2272" s="191" t="s">
        <v>129</v>
      </c>
      <c r="H2272" s="192">
        <v>1</v>
      </c>
      <c r="I2272" s="244">
        <v>463.98</v>
      </c>
      <c r="J2272" s="244">
        <v>463.98</v>
      </c>
    </row>
    <row r="2273" spans="1:10" ht="28.5" x14ac:dyDescent="0.25">
      <c r="A2273" s="191" t="s">
        <v>62</v>
      </c>
      <c r="B2273" s="191" t="s">
        <v>1276</v>
      </c>
      <c r="C2273" s="191" t="s">
        <v>785</v>
      </c>
      <c r="D2273" s="191" t="s">
        <v>1277</v>
      </c>
      <c r="E2273" s="191" t="s">
        <v>124</v>
      </c>
      <c r="F2273" s="191"/>
      <c r="G2273" s="191" t="s">
        <v>60</v>
      </c>
      <c r="H2273" s="192">
        <v>4</v>
      </c>
      <c r="I2273" s="244">
        <v>29.14</v>
      </c>
      <c r="J2273" s="244">
        <v>116.56</v>
      </c>
    </row>
    <row r="2274" spans="1:10" ht="28.5" x14ac:dyDescent="0.25">
      <c r="A2274" s="191" t="s">
        <v>62</v>
      </c>
      <c r="B2274" s="191" t="s">
        <v>799</v>
      </c>
      <c r="C2274" s="191" t="s">
        <v>785</v>
      </c>
      <c r="D2274" s="191" t="s">
        <v>188</v>
      </c>
      <c r="E2274" s="191" t="s">
        <v>124</v>
      </c>
      <c r="F2274" s="191"/>
      <c r="G2274" s="191" t="s">
        <v>60</v>
      </c>
      <c r="H2274" s="192">
        <v>4</v>
      </c>
      <c r="I2274" s="244">
        <v>20.21</v>
      </c>
      <c r="J2274" s="244">
        <v>80.84</v>
      </c>
    </row>
    <row r="2275" spans="1:10" ht="28.5" x14ac:dyDescent="0.25">
      <c r="A2275" s="191" t="s">
        <v>62</v>
      </c>
      <c r="B2275" s="191" t="s">
        <v>1285</v>
      </c>
      <c r="C2275" s="191" t="s">
        <v>785</v>
      </c>
      <c r="D2275" s="191" t="s">
        <v>1286</v>
      </c>
      <c r="E2275" s="191" t="s">
        <v>120</v>
      </c>
      <c r="F2275" s="191"/>
      <c r="G2275" s="191" t="s">
        <v>191</v>
      </c>
      <c r="H2275" s="192">
        <v>0.02</v>
      </c>
      <c r="I2275" s="244">
        <v>169.62</v>
      </c>
      <c r="J2275" s="244">
        <v>3.39</v>
      </c>
    </row>
    <row r="2276" spans="1:10" ht="28.5" x14ac:dyDescent="0.25">
      <c r="A2276" s="191" t="s">
        <v>62</v>
      </c>
      <c r="B2276" s="191" t="s">
        <v>1284</v>
      </c>
      <c r="C2276" s="191" t="s">
        <v>785</v>
      </c>
      <c r="D2276" s="191" t="s">
        <v>184</v>
      </c>
      <c r="E2276" s="191" t="s">
        <v>120</v>
      </c>
      <c r="F2276" s="191"/>
      <c r="G2276" s="191" t="s">
        <v>183</v>
      </c>
      <c r="H2276" s="192">
        <v>8.6</v>
      </c>
      <c r="I2276" s="244">
        <v>0.63</v>
      </c>
      <c r="J2276" s="244">
        <v>5.41</v>
      </c>
    </row>
    <row r="2277" spans="1:10" x14ac:dyDescent="0.25">
      <c r="A2277" s="187"/>
      <c r="B2277" s="187"/>
      <c r="C2277" s="187"/>
      <c r="D2277" s="187"/>
      <c r="E2277" s="187" t="s">
        <v>756</v>
      </c>
      <c r="F2277" s="188">
        <v>197.4</v>
      </c>
      <c r="G2277" s="187" t="s">
        <v>757</v>
      </c>
      <c r="H2277" s="188">
        <v>0</v>
      </c>
      <c r="I2277" s="242" t="s">
        <v>758</v>
      </c>
      <c r="J2277" s="242">
        <v>197.4</v>
      </c>
    </row>
    <row r="2278" spans="1:10" x14ac:dyDescent="0.25">
      <c r="A2278" s="187"/>
      <c r="B2278" s="187"/>
      <c r="C2278" s="187"/>
      <c r="D2278" s="187"/>
      <c r="E2278" s="187" t="s">
        <v>759</v>
      </c>
      <c r="F2278" s="188">
        <v>0</v>
      </c>
      <c r="G2278" s="187"/>
      <c r="H2278" s="187" t="s">
        <v>760</v>
      </c>
      <c r="I2278" s="242"/>
      <c r="J2278" s="242">
        <v>670.18</v>
      </c>
    </row>
    <row r="2279" spans="1:10" x14ac:dyDescent="0.25">
      <c r="A2279" s="182"/>
      <c r="B2279" s="182"/>
      <c r="C2279" s="182"/>
      <c r="D2279" s="182"/>
      <c r="E2279" s="182"/>
      <c r="F2279" s="182"/>
      <c r="G2279" s="182" t="s">
        <v>761</v>
      </c>
      <c r="H2279" s="189" t="s">
        <v>762</v>
      </c>
      <c r="I2279" s="239" t="s">
        <v>763</v>
      </c>
      <c r="J2279" s="239">
        <v>670.18</v>
      </c>
    </row>
    <row r="2280" spans="1:10" x14ac:dyDescent="0.25">
      <c r="A2280" s="183"/>
      <c r="B2280" s="183"/>
      <c r="C2280" s="183"/>
      <c r="D2280" s="183"/>
      <c r="E2280" s="183"/>
      <c r="F2280" s="183"/>
      <c r="G2280" s="183"/>
      <c r="H2280" s="183"/>
      <c r="I2280" s="240"/>
      <c r="J2280" s="240"/>
    </row>
    <row r="2281" spans="1:10" x14ac:dyDescent="0.25">
      <c r="A2281" s="182" t="s">
        <v>1972</v>
      </c>
      <c r="B2281" s="182" t="s">
        <v>66</v>
      </c>
      <c r="C2281" s="182" t="s">
        <v>64</v>
      </c>
      <c r="D2281" s="182" t="s">
        <v>67</v>
      </c>
      <c r="E2281" s="182" t="s">
        <v>65</v>
      </c>
      <c r="F2281" s="182"/>
      <c r="G2281" s="182" t="s">
        <v>744</v>
      </c>
      <c r="H2281" s="182" t="s">
        <v>69</v>
      </c>
      <c r="I2281" s="239" t="s">
        <v>745</v>
      </c>
      <c r="J2281" s="239" t="s">
        <v>0</v>
      </c>
    </row>
    <row r="2282" spans="1:10" ht="42.75" x14ac:dyDescent="0.25">
      <c r="A2282" s="183" t="s">
        <v>58</v>
      </c>
      <c r="B2282" s="183" t="s">
        <v>1973</v>
      </c>
      <c r="C2282" s="183" t="s">
        <v>785</v>
      </c>
      <c r="D2282" s="183" t="s">
        <v>1974</v>
      </c>
      <c r="E2282" s="183">
        <v>808</v>
      </c>
      <c r="F2282" s="183"/>
      <c r="G2282" s="183" t="s">
        <v>1498</v>
      </c>
      <c r="H2282" s="184">
        <v>1</v>
      </c>
      <c r="I2282" s="240">
        <v>623.75</v>
      </c>
      <c r="J2282" s="240">
        <v>623.75</v>
      </c>
    </row>
    <row r="2283" spans="1:10" ht="28.5" x14ac:dyDescent="0.25">
      <c r="A2283" s="191" t="s">
        <v>62</v>
      </c>
      <c r="B2283" s="191" t="s">
        <v>1567</v>
      </c>
      <c r="C2283" s="191" t="s">
        <v>785</v>
      </c>
      <c r="D2283" s="191" t="s">
        <v>1568</v>
      </c>
      <c r="E2283" s="191" t="s">
        <v>120</v>
      </c>
      <c r="F2283" s="191"/>
      <c r="G2283" s="191" t="s">
        <v>113</v>
      </c>
      <c r="H2283" s="192">
        <v>0.75</v>
      </c>
      <c r="I2283" s="244">
        <v>0.35</v>
      </c>
      <c r="J2283" s="244">
        <v>0.26</v>
      </c>
    </row>
    <row r="2284" spans="1:10" ht="28.5" x14ac:dyDescent="0.25">
      <c r="A2284" s="191" t="s">
        <v>62</v>
      </c>
      <c r="B2284" s="191" t="s">
        <v>1569</v>
      </c>
      <c r="C2284" s="191" t="s">
        <v>785</v>
      </c>
      <c r="D2284" s="191" t="s">
        <v>1570</v>
      </c>
      <c r="E2284" s="191" t="s">
        <v>124</v>
      </c>
      <c r="F2284" s="191"/>
      <c r="G2284" s="191" t="s">
        <v>60</v>
      </c>
      <c r="H2284" s="192">
        <v>1.804</v>
      </c>
      <c r="I2284" s="244">
        <v>29.79</v>
      </c>
      <c r="J2284" s="244">
        <v>53.74</v>
      </c>
    </row>
    <row r="2285" spans="1:10" ht="28.5" x14ac:dyDescent="0.25">
      <c r="A2285" s="191" t="s">
        <v>62</v>
      </c>
      <c r="B2285" s="191" t="s">
        <v>1975</v>
      </c>
      <c r="C2285" s="191" t="s">
        <v>785</v>
      </c>
      <c r="D2285" s="191" t="s">
        <v>1976</v>
      </c>
      <c r="E2285" s="191" t="s">
        <v>120</v>
      </c>
      <c r="F2285" s="191"/>
      <c r="G2285" s="191" t="s">
        <v>129</v>
      </c>
      <c r="H2285" s="192">
        <v>1</v>
      </c>
      <c r="I2285" s="244">
        <v>56.94</v>
      </c>
      <c r="J2285" s="244">
        <v>56.94</v>
      </c>
    </row>
    <row r="2286" spans="1:10" ht="28.5" x14ac:dyDescent="0.25">
      <c r="A2286" s="191" t="s">
        <v>62</v>
      </c>
      <c r="B2286" s="191" t="s">
        <v>1515</v>
      </c>
      <c r="C2286" s="191" t="s">
        <v>785</v>
      </c>
      <c r="D2286" s="191" t="s">
        <v>181</v>
      </c>
      <c r="E2286" s="191" t="s">
        <v>124</v>
      </c>
      <c r="F2286" s="191"/>
      <c r="G2286" s="191" t="s">
        <v>60</v>
      </c>
      <c r="H2286" s="192">
        <v>1.804</v>
      </c>
      <c r="I2286" s="244">
        <v>22.05</v>
      </c>
      <c r="J2286" s="244">
        <v>39.770000000000003</v>
      </c>
    </row>
    <row r="2287" spans="1:10" ht="57" x14ac:dyDescent="0.25">
      <c r="A2287" s="191" t="s">
        <v>62</v>
      </c>
      <c r="B2287" s="191" t="s">
        <v>1977</v>
      </c>
      <c r="C2287" s="191" t="s">
        <v>785</v>
      </c>
      <c r="D2287" s="191" t="s">
        <v>1978</v>
      </c>
      <c r="E2287" s="191" t="s">
        <v>120</v>
      </c>
      <c r="F2287" s="191"/>
      <c r="G2287" s="191" t="s">
        <v>129</v>
      </c>
      <c r="H2287" s="192">
        <v>1</v>
      </c>
      <c r="I2287" s="244">
        <v>473.04</v>
      </c>
      <c r="J2287" s="244">
        <v>473.04</v>
      </c>
    </row>
    <row r="2288" spans="1:10" x14ac:dyDescent="0.25">
      <c r="A2288" s="187"/>
      <c r="B2288" s="187"/>
      <c r="C2288" s="187"/>
      <c r="D2288" s="187"/>
      <c r="E2288" s="187" t="s">
        <v>756</v>
      </c>
      <c r="F2288" s="188">
        <v>93.51</v>
      </c>
      <c r="G2288" s="187" t="s">
        <v>757</v>
      </c>
      <c r="H2288" s="188">
        <v>0</v>
      </c>
      <c r="I2288" s="242" t="s">
        <v>758</v>
      </c>
      <c r="J2288" s="242">
        <v>93.51</v>
      </c>
    </row>
    <row r="2289" spans="1:10" x14ac:dyDescent="0.25">
      <c r="A2289" s="187"/>
      <c r="B2289" s="187"/>
      <c r="C2289" s="187"/>
      <c r="D2289" s="187"/>
      <c r="E2289" s="187" t="s">
        <v>759</v>
      </c>
      <c r="F2289" s="188">
        <v>0</v>
      </c>
      <c r="G2289" s="187"/>
      <c r="H2289" s="187" t="s">
        <v>760</v>
      </c>
      <c r="I2289" s="242"/>
      <c r="J2289" s="242">
        <v>623.75</v>
      </c>
    </row>
    <row r="2290" spans="1:10" x14ac:dyDescent="0.25">
      <c r="A2290" s="182"/>
      <c r="B2290" s="182"/>
      <c r="C2290" s="182"/>
      <c r="D2290" s="182"/>
      <c r="E2290" s="182"/>
      <c r="F2290" s="182"/>
      <c r="G2290" s="182" t="s">
        <v>761</v>
      </c>
      <c r="H2290" s="189" t="s">
        <v>762</v>
      </c>
      <c r="I2290" s="239" t="s">
        <v>763</v>
      </c>
      <c r="J2290" s="239">
        <v>623.75</v>
      </c>
    </row>
    <row r="2291" spans="1:10" x14ac:dyDescent="0.25">
      <c r="A2291" s="183"/>
      <c r="B2291" s="183"/>
      <c r="C2291" s="183"/>
      <c r="D2291" s="183"/>
      <c r="E2291" s="183"/>
      <c r="F2291" s="183"/>
      <c r="G2291" s="183"/>
      <c r="H2291" s="183"/>
      <c r="I2291" s="240"/>
      <c r="J2291" s="240"/>
    </row>
    <row r="2292" spans="1:10" x14ac:dyDescent="0.25">
      <c r="A2292" s="190" t="s">
        <v>1979</v>
      </c>
      <c r="B2292" s="190"/>
      <c r="C2292" s="190"/>
      <c r="D2292" s="190" t="s">
        <v>222</v>
      </c>
      <c r="E2292" s="190"/>
      <c r="F2292" s="190"/>
      <c r="G2292" s="190"/>
      <c r="H2292" s="190"/>
      <c r="I2292" s="243"/>
      <c r="J2292" s="243">
        <v>37661.949999999997</v>
      </c>
    </row>
    <row r="2293" spans="1:10" x14ac:dyDescent="0.25">
      <c r="A2293" s="190" t="s">
        <v>1980</v>
      </c>
      <c r="B2293" s="190"/>
      <c r="C2293" s="190"/>
      <c r="D2293" s="190" t="s">
        <v>448</v>
      </c>
      <c r="E2293" s="190"/>
      <c r="F2293" s="190"/>
      <c r="G2293" s="190"/>
      <c r="H2293" s="190"/>
      <c r="I2293" s="243"/>
      <c r="J2293" s="243">
        <v>2836.52</v>
      </c>
    </row>
    <row r="2294" spans="1:10" x14ac:dyDescent="0.25">
      <c r="A2294" s="182" t="s">
        <v>1981</v>
      </c>
      <c r="B2294" s="182" t="s">
        <v>66</v>
      </c>
      <c r="C2294" s="182" t="s">
        <v>64</v>
      </c>
      <c r="D2294" s="182" t="s">
        <v>67</v>
      </c>
      <c r="E2294" s="182" t="s">
        <v>65</v>
      </c>
      <c r="F2294" s="182"/>
      <c r="G2294" s="182" t="s">
        <v>744</v>
      </c>
      <c r="H2294" s="182" t="s">
        <v>69</v>
      </c>
      <c r="I2294" s="239" t="s">
        <v>745</v>
      </c>
      <c r="J2294" s="239" t="s">
        <v>0</v>
      </c>
    </row>
    <row r="2295" spans="1:10" ht="71.25" x14ac:dyDescent="0.25">
      <c r="A2295" s="183" t="s">
        <v>58</v>
      </c>
      <c r="B2295" s="183" t="s">
        <v>1982</v>
      </c>
      <c r="C2295" s="183" t="s">
        <v>59</v>
      </c>
      <c r="D2295" s="183" t="s">
        <v>1983</v>
      </c>
      <c r="E2295" s="183" t="s">
        <v>1984</v>
      </c>
      <c r="F2295" s="183"/>
      <c r="G2295" s="183" t="s">
        <v>61</v>
      </c>
      <c r="H2295" s="184">
        <v>1</v>
      </c>
      <c r="I2295" s="240">
        <v>18.28</v>
      </c>
      <c r="J2295" s="240">
        <v>18.28</v>
      </c>
    </row>
    <row r="2296" spans="1:10" ht="28.5" x14ac:dyDescent="0.25">
      <c r="A2296" s="185" t="s">
        <v>119</v>
      </c>
      <c r="B2296" s="185" t="s">
        <v>1985</v>
      </c>
      <c r="C2296" s="185" t="s">
        <v>59</v>
      </c>
      <c r="D2296" s="185" t="s">
        <v>1986</v>
      </c>
      <c r="E2296" s="185" t="s">
        <v>754</v>
      </c>
      <c r="F2296" s="185"/>
      <c r="G2296" s="185" t="s">
        <v>60</v>
      </c>
      <c r="H2296" s="186">
        <v>0.29099999999999998</v>
      </c>
      <c r="I2296" s="241">
        <v>32.57</v>
      </c>
      <c r="J2296" s="241">
        <v>9.4700000000000006</v>
      </c>
    </row>
    <row r="2297" spans="1:10" ht="57" x14ac:dyDescent="0.25">
      <c r="A2297" s="185" t="s">
        <v>119</v>
      </c>
      <c r="B2297" s="185" t="s">
        <v>1213</v>
      </c>
      <c r="C2297" s="185" t="s">
        <v>59</v>
      </c>
      <c r="D2297" s="185" t="s">
        <v>1214</v>
      </c>
      <c r="E2297" s="185" t="s">
        <v>1073</v>
      </c>
      <c r="F2297" s="185"/>
      <c r="G2297" s="185" t="s">
        <v>191</v>
      </c>
      <c r="H2297" s="186">
        <v>8.9999999999999998E-4</v>
      </c>
      <c r="I2297" s="241">
        <v>710.02</v>
      </c>
      <c r="J2297" s="241">
        <v>0.63</v>
      </c>
    </row>
    <row r="2298" spans="1:10" ht="28.5" x14ac:dyDescent="0.25">
      <c r="A2298" s="185" t="s">
        <v>119</v>
      </c>
      <c r="B2298" s="185" t="s">
        <v>1987</v>
      </c>
      <c r="C2298" s="185" t="s">
        <v>59</v>
      </c>
      <c r="D2298" s="185" t="s">
        <v>1988</v>
      </c>
      <c r="E2298" s="185" t="s">
        <v>754</v>
      </c>
      <c r="F2298" s="185"/>
      <c r="G2298" s="185" t="s">
        <v>60</v>
      </c>
      <c r="H2298" s="186">
        <v>0.29099999999999998</v>
      </c>
      <c r="I2298" s="241">
        <v>23.13</v>
      </c>
      <c r="J2298" s="241">
        <v>6.73</v>
      </c>
    </row>
    <row r="2299" spans="1:10" ht="42.75" x14ac:dyDescent="0.25">
      <c r="A2299" s="191" t="s">
        <v>62</v>
      </c>
      <c r="B2299" s="191" t="s">
        <v>1989</v>
      </c>
      <c r="C2299" s="191" t="s">
        <v>59</v>
      </c>
      <c r="D2299" s="191" t="s">
        <v>1990</v>
      </c>
      <c r="E2299" s="191" t="s">
        <v>120</v>
      </c>
      <c r="F2299" s="191"/>
      <c r="G2299" s="191" t="s">
        <v>61</v>
      </c>
      <c r="H2299" s="192">
        <v>1</v>
      </c>
      <c r="I2299" s="244">
        <v>1.45</v>
      </c>
      <c r="J2299" s="244">
        <v>1.45</v>
      </c>
    </row>
    <row r="2300" spans="1:10" x14ac:dyDescent="0.25">
      <c r="A2300" s="187"/>
      <c r="B2300" s="187"/>
      <c r="C2300" s="187"/>
      <c r="D2300" s="187"/>
      <c r="E2300" s="187" t="s">
        <v>756</v>
      </c>
      <c r="F2300" s="188">
        <v>11.92</v>
      </c>
      <c r="G2300" s="187" t="s">
        <v>757</v>
      </c>
      <c r="H2300" s="188">
        <v>0</v>
      </c>
      <c r="I2300" s="242" t="s">
        <v>758</v>
      </c>
      <c r="J2300" s="242">
        <v>11.92</v>
      </c>
    </row>
    <row r="2301" spans="1:10" x14ac:dyDescent="0.25">
      <c r="A2301" s="187"/>
      <c r="B2301" s="187"/>
      <c r="C2301" s="187"/>
      <c r="D2301" s="187"/>
      <c r="E2301" s="187" t="s">
        <v>759</v>
      </c>
      <c r="F2301" s="188">
        <v>0</v>
      </c>
      <c r="G2301" s="187"/>
      <c r="H2301" s="187" t="s">
        <v>760</v>
      </c>
      <c r="I2301" s="242"/>
      <c r="J2301" s="242">
        <v>18.28</v>
      </c>
    </row>
    <row r="2302" spans="1:10" x14ac:dyDescent="0.25">
      <c r="A2302" s="182"/>
      <c r="B2302" s="182"/>
      <c r="C2302" s="182"/>
      <c r="D2302" s="182"/>
      <c r="E2302" s="182"/>
      <c r="F2302" s="182"/>
      <c r="G2302" s="182" t="s">
        <v>761</v>
      </c>
      <c r="H2302" s="189" t="s">
        <v>1991</v>
      </c>
      <c r="I2302" s="239" t="s">
        <v>763</v>
      </c>
      <c r="J2302" s="239">
        <v>2358.12</v>
      </c>
    </row>
    <row r="2303" spans="1:10" x14ac:dyDescent="0.25">
      <c r="A2303" s="183"/>
      <c r="B2303" s="183"/>
      <c r="C2303" s="183"/>
      <c r="D2303" s="183"/>
      <c r="E2303" s="183"/>
      <c r="F2303" s="183"/>
      <c r="G2303" s="183"/>
      <c r="H2303" s="183"/>
      <c r="I2303" s="240"/>
      <c r="J2303" s="240"/>
    </row>
    <row r="2304" spans="1:10" x14ac:dyDescent="0.25">
      <c r="A2304" s="182" t="s">
        <v>1992</v>
      </c>
      <c r="B2304" s="182" t="s">
        <v>66</v>
      </c>
      <c r="C2304" s="182" t="s">
        <v>64</v>
      </c>
      <c r="D2304" s="182" t="s">
        <v>67</v>
      </c>
      <c r="E2304" s="182" t="s">
        <v>65</v>
      </c>
      <c r="F2304" s="182"/>
      <c r="G2304" s="182" t="s">
        <v>744</v>
      </c>
      <c r="H2304" s="182" t="s">
        <v>69</v>
      </c>
      <c r="I2304" s="239" t="s">
        <v>745</v>
      </c>
      <c r="J2304" s="239" t="s">
        <v>0</v>
      </c>
    </row>
    <row r="2305" spans="1:10" ht="57" x14ac:dyDescent="0.25">
      <c r="A2305" s="183" t="s">
        <v>58</v>
      </c>
      <c r="B2305" s="183" t="s">
        <v>1993</v>
      </c>
      <c r="C2305" s="183" t="s">
        <v>59</v>
      </c>
      <c r="D2305" s="183" t="s">
        <v>1994</v>
      </c>
      <c r="E2305" s="183" t="s">
        <v>1984</v>
      </c>
      <c r="F2305" s="183"/>
      <c r="G2305" s="183" t="s">
        <v>61</v>
      </c>
      <c r="H2305" s="184">
        <v>1</v>
      </c>
      <c r="I2305" s="240">
        <v>14.95</v>
      </c>
      <c r="J2305" s="240">
        <v>14.95</v>
      </c>
    </row>
    <row r="2306" spans="1:10" ht="28.5" x14ac:dyDescent="0.25">
      <c r="A2306" s="185" t="s">
        <v>119</v>
      </c>
      <c r="B2306" s="185" t="s">
        <v>1985</v>
      </c>
      <c r="C2306" s="185" t="s">
        <v>59</v>
      </c>
      <c r="D2306" s="185" t="s">
        <v>1986</v>
      </c>
      <c r="E2306" s="185" t="s">
        <v>754</v>
      </c>
      <c r="F2306" s="185"/>
      <c r="G2306" s="185" t="s">
        <v>60</v>
      </c>
      <c r="H2306" s="186">
        <v>0.222</v>
      </c>
      <c r="I2306" s="241">
        <v>32.57</v>
      </c>
      <c r="J2306" s="241">
        <v>7.23</v>
      </c>
    </row>
    <row r="2307" spans="1:10" ht="28.5" x14ac:dyDescent="0.25">
      <c r="A2307" s="185" t="s">
        <v>119</v>
      </c>
      <c r="B2307" s="185" t="s">
        <v>1987</v>
      </c>
      <c r="C2307" s="185" t="s">
        <v>59</v>
      </c>
      <c r="D2307" s="185" t="s">
        <v>1988</v>
      </c>
      <c r="E2307" s="185" t="s">
        <v>754</v>
      </c>
      <c r="F2307" s="185"/>
      <c r="G2307" s="185" t="s">
        <v>60</v>
      </c>
      <c r="H2307" s="186">
        <v>0.222</v>
      </c>
      <c r="I2307" s="241">
        <v>23.13</v>
      </c>
      <c r="J2307" s="241">
        <v>5.13</v>
      </c>
    </row>
    <row r="2308" spans="1:10" ht="57" x14ac:dyDescent="0.25">
      <c r="A2308" s="191" t="s">
        <v>62</v>
      </c>
      <c r="B2308" s="191" t="s">
        <v>1995</v>
      </c>
      <c r="C2308" s="191" t="s">
        <v>59</v>
      </c>
      <c r="D2308" s="191" t="s">
        <v>1996</v>
      </c>
      <c r="E2308" s="191" t="s">
        <v>120</v>
      </c>
      <c r="F2308" s="191"/>
      <c r="G2308" s="191" t="s">
        <v>61</v>
      </c>
      <c r="H2308" s="192">
        <v>1</v>
      </c>
      <c r="I2308" s="244">
        <v>2.59</v>
      </c>
      <c r="J2308" s="244">
        <v>2.59</v>
      </c>
    </row>
    <row r="2309" spans="1:10" x14ac:dyDescent="0.25">
      <c r="A2309" s="187"/>
      <c r="B2309" s="187"/>
      <c r="C2309" s="187"/>
      <c r="D2309" s="187"/>
      <c r="E2309" s="187" t="s">
        <v>756</v>
      </c>
      <c r="F2309" s="188">
        <v>9.01</v>
      </c>
      <c r="G2309" s="187" t="s">
        <v>757</v>
      </c>
      <c r="H2309" s="188">
        <v>0</v>
      </c>
      <c r="I2309" s="242" t="s">
        <v>758</v>
      </c>
      <c r="J2309" s="242">
        <v>9.01</v>
      </c>
    </row>
    <row r="2310" spans="1:10" x14ac:dyDescent="0.25">
      <c r="A2310" s="187"/>
      <c r="B2310" s="187"/>
      <c r="C2310" s="187"/>
      <c r="D2310" s="187"/>
      <c r="E2310" s="187" t="s">
        <v>759</v>
      </c>
      <c r="F2310" s="188">
        <v>0</v>
      </c>
      <c r="G2310" s="187"/>
      <c r="H2310" s="187" t="s">
        <v>760</v>
      </c>
      <c r="I2310" s="242"/>
      <c r="J2310" s="242">
        <v>14.95</v>
      </c>
    </row>
    <row r="2311" spans="1:10" x14ac:dyDescent="0.25">
      <c r="A2311" s="182"/>
      <c r="B2311" s="182"/>
      <c r="C2311" s="182"/>
      <c r="D2311" s="182"/>
      <c r="E2311" s="182"/>
      <c r="F2311" s="182"/>
      <c r="G2311" s="182" t="s">
        <v>761</v>
      </c>
      <c r="H2311" s="189" t="s">
        <v>1997</v>
      </c>
      <c r="I2311" s="239" t="s">
        <v>763</v>
      </c>
      <c r="J2311" s="239">
        <v>478.4</v>
      </c>
    </row>
    <row r="2312" spans="1:10" x14ac:dyDescent="0.25">
      <c r="A2312" s="183"/>
      <c r="B2312" s="183"/>
      <c r="C2312" s="183"/>
      <c r="D2312" s="183"/>
      <c r="E2312" s="183"/>
      <c r="F2312" s="183"/>
      <c r="G2312" s="183"/>
      <c r="H2312" s="183"/>
      <c r="I2312" s="240"/>
      <c r="J2312" s="240"/>
    </row>
    <row r="2313" spans="1:10" x14ac:dyDescent="0.25">
      <c r="A2313" s="190" t="s">
        <v>1998</v>
      </c>
      <c r="B2313" s="190"/>
      <c r="C2313" s="190"/>
      <c r="D2313" s="190" t="s">
        <v>452</v>
      </c>
      <c r="E2313" s="190"/>
      <c r="F2313" s="190"/>
      <c r="G2313" s="190"/>
      <c r="H2313" s="190"/>
      <c r="I2313" s="243"/>
      <c r="J2313" s="243">
        <v>10971.24</v>
      </c>
    </row>
    <row r="2314" spans="1:10" x14ac:dyDescent="0.25">
      <c r="A2314" s="182" t="s">
        <v>1999</v>
      </c>
      <c r="B2314" s="182" t="s">
        <v>66</v>
      </c>
      <c r="C2314" s="182" t="s">
        <v>64</v>
      </c>
      <c r="D2314" s="182" t="s">
        <v>67</v>
      </c>
      <c r="E2314" s="182" t="s">
        <v>65</v>
      </c>
      <c r="F2314" s="182"/>
      <c r="G2314" s="182" t="s">
        <v>744</v>
      </c>
      <c r="H2314" s="182" t="s">
        <v>69</v>
      </c>
      <c r="I2314" s="239" t="s">
        <v>745</v>
      </c>
      <c r="J2314" s="239" t="s">
        <v>0</v>
      </c>
    </row>
    <row r="2315" spans="1:10" ht="71.25" x14ac:dyDescent="0.25">
      <c r="A2315" s="183" t="s">
        <v>58</v>
      </c>
      <c r="B2315" s="183" t="s">
        <v>2000</v>
      </c>
      <c r="C2315" s="183" t="s">
        <v>59</v>
      </c>
      <c r="D2315" s="183" t="s">
        <v>2001</v>
      </c>
      <c r="E2315" s="183" t="s">
        <v>1984</v>
      </c>
      <c r="F2315" s="183"/>
      <c r="G2315" s="183" t="s">
        <v>116</v>
      </c>
      <c r="H2315" s="184">
        <v>1</v>
      </c>
      <c r="I2315" s="240">
        <v>3.16</v>
      </c>
      <c r="J2315" s="240">
        <v>3.16</v>
      </c>
    </row>
    <row r="2316" spans="1:10" ht="28.5" x14ac:dyDescent="0.25">
      <c r="A2316" s="185" t="s">
        <v>119</v>
      </c>
      <c r="B2316" s="185" t="s">
        <v>1985</v>
      </c>
      <c r="C2316" s="185" t="s">
        <v>59</v>
      </c>
      <c r="D2316" s="185" t="s">
        <v>1986</v>
      </c>
      <c r="E2316" s="185" t="s">
        <v>754</v>
      </c>
      <c r="F2316" s="185"/>
      <c r="G2316" s="185" t="s">
        <v>60</v>
      </c>
      <c r="H2316" s="186">
        <v>2.3E-2</v>
      </c>
      <c r="I2316" s="241">
        <v>32.57</v>
      </c>
      <c r="J2316" s="241">
        <v>0.74</v>
      </c>
    </row>
    <row r="2317" spans="1:10" ht="28.5" x14ac:dyDescent="0.25">
      <c r="A2317" s="185" t="s">
        <v>119</v>
      </c>
      <c r="B2317" s="185" t="s">
        <v>1987</v>
      </c>
      <c r="C2317" s="185" t="s">
        <v>59</v>
      </c>
      <c r="D2317" s="185" t="s">
        <v>1988</v>
      </c>
      <c r="E2317" s="185" t="s">
        <v>754</v>
      </c>
      <c r="F2317" s="185"/>
      <c r="G2317" s="185" t="s">
        <v>60</v>
      </c>
      <c r="H2317" s="186">
        <v>2.3E-2</v>
      </c>
      <c r="I2317" s="241">
        <v>23.13</v>
      </c>
      <c r="J2317" s="241">
        <v>0.53</v>
      </c>
    </row>
    <row r="2318" spans="1:10" ht="71.25" x14ac:dyDescent="0.25">
      <c r="A2318" s="191" t="s">
        <v>62</v>
      </c>
      <c r="B2318" s="191" t="s">
        <v>2002</v>
      </c>
      <c r="C2318" s="191" t="s">
        <v>59</v>
      </c>
      <c r="D2318" s="191" t="s">
        <v>2003</v>
      </c>
      <c r="E2318" s="191" t="s">
        <v>120</v>
      </c>
      <c r="F2318" s="191"/>
      <c r="G2318" s="191" t="s">
        <v>116</v>
      </c>
      <c r="H2318" s="192">
        <v>1.2434000000000001</v>
      </c>
      <c r="I2318" s="244">
        <v>1.5</v>
      </c>
      <c r="J2318" s="244">
        <v>1.86</v>
      </c>
    </row>
    <row r="2319" spans="1:10" ht="42.75" x14ac:dyDescent="0.25">
      <c r="A2319" s="191" t="s">
        <v>62</v>
      </c>
      <c r="B2319" s="191" t="s">
        <v>2004</v>
      </c>
      <c r="C2319" s="191" t="s">
        <v>59</v>
      </c>
      <c r="D2319" s="191" t="s">
        <v>2005</v>
      </c>
      <c r="E2319" s="191" t="s">
        <v>120</v>
      </c>
      <c r="F2319" s="191"/>
      <c r="G2319" s="191" t="s">
        <v>61</v>
      </c>
      <c r="H2319" s="192">
        <v>9.4000000000000004E-3</v>
      </c>
      <c r="I2319" s="244">
        <v>3.59</v>
      </c>
      <c r="J2319" s="244">
        <v>0.03</v>
      </c>
    </row>
    <row r="2320" spans="1:10" x14ac:dyDescent="0.25">
      <c r="A2320" s="187"/>
      <c r="B2320" s="187"/>
      <c r="C2320" s="187"/>
      <c r="D2320" s="187"/>
      <c r="E2320" s="187" t="s">
        <v>756</v>
      </c>
      <c r="F2320" s="188">
        <v>0.92</v>
      </c>
      <c r="G2320" s="187" t="s">
        <v>757</v>
      </c>
      <c r="H2320" s="188">
        <v>0</v>
      </c>
      <c r="I2320" s="242" t="s">
        <v>758</v>
      </c>
      <c r="J2320" s="242">
        <v>0.92</v>
      </c>
    </row>
    <row r="2321" spans="1:10" x14ac:dyDescent="0.25">
      <c r="A2321" s="187"/>
      <c r="B2321" s="187"/>
      <c r="C2321" s="187"/>
      <c r="D2321" s="187"/>
      <c r="E2321" s="187" t="s">
        <v>759</v>
      </c>
      <c r="F2321" s="188">
        <v>0</v>
      </c>
      <c r="G2321" s="187"/>
      <c r="H2321" s="187" t="s">
        <v>760</v>
      </c>
      <c r="I2321" s="242"/>
      <c r="J2321" s="242">
        <v>3.16</v>
      </c>
    </row>
    <row r="2322" spans="1:10" x14ac:dyDescent="0.25">
      <c r="A2322" s="182"/>
      <c r="B2322" s="182"/>
      <c r="C2322" s="182"/>
      <c r="D2322" s="182"/>
      <c r="E2322" s="182"/>
      <c r="F2322" s="182"/>
      <c r="G2322" s="182" t="s">
        <v>761</v>
      </c>
      <c r="H2322" s="189" t="s">
        <v>2006</v>
      </c>
      <c r="I2322" s="239" t="s">
        <v>763</v>
      </c>
      <c r="J2322" s="239">
        <v>2727.55</v>
      </c>
    </row>
    <row r="2323" spans="1:10" x14ac:dyDescent="0.25">
      <c r="A2323" s="183"/>
      <c r="B2323" s="183"/>
      <c r="C2323" s="183"/>
      <c r="D2323" s="183"/>
      <c r="E2323" s="183"/>
      <c r="F2323" s="183"/>
      <c r="G2323" s="183"/>
      <c r="H2323" s="183"/>
      <c r="I2323" s="240"/>
      <c r="J2323" s="240"/>
    </row>
    <row r="2324" spans="1:10" x14ac:dyDescent="0.25">
      <c r="A2324" s="182" t="s">
        <v>2007</v>
      </c>
      <c r="B2324" s="182" t="s">
        <v>66</v>
      </c>
      <c r="C2324" s="182" t="s">
        <v>64</v>
      </c>
      <c r="D2324" s="182" t="s">
        <v>67</v>
      </c>
      <c r="E2324" s="182" t="s">
        <v>65</v>
      </c>
      <c r="F2324" s="182"/>
      <c r="G2324" s="182" t="s">
        <v>744</v>
      </c>
      <c r="H2324" s="182" t="s">
        <v>69</v>
      </c>
      <c r="I2324" s="239" t="s">
        <v>745</v>
      </c>
      <c r="J2324" s="239" t="s">
        <v>0</v>
      </c>
    </row>
    <row r="2325" spans="1:10" ht="71.25" x14ac:dyDescent="0.25">
      <c r="A2325" s="183" t="s">
        <v>58</v>
      </c>
      <c r="B2325" s="183" t="s">
        <v>2008</v>
      </c>
      <c r="C2325" s="183" t="s">
        <v>59</v>
      </c>
      <c r="D2325" s="183" t="s">
        <v>2009</v>
      </c>
      <c r="E2325" s="183" t="s">
        <v>1984</v>
      </c>
      <c r="F2325" s="183"/>
      <c r="G2325" s="183" t="s">
        <v>116</v>
      </c>
      <c r="H2325" s="184">
        <v>1</v>
      </c>
      <c r="I2325" s="240">
        <v>4.58</v>
      </c>
      <c r="J2325" s="240">
        <v>4.58</v>
      </c>
    </row>
    <row r="2326" spans="1:10" ht="28.5" x14ac:dyDescent="0.25">
      <c r="A2326" s="185" t="s">
        <v>119</v>
      </c>
      <c r="B2326" s="185" t="s">
        <v>1987</v>
      </c>
      <c r="C2326" s="185" t="s">
        <v>59</v>
      </c>
      <c r="D2326" s="185" t="s">
        <v>1988</v>
      </c>
      <c r="E2326" s="185" t="s">
        <v>754</v>
      </c>
      <c r="F2326" s="185"/>
      <c r="G2326" s="185" t="s">
        <v>60</v>
      </c>
      <c r="H2326" s="186">
        <v>2.9000000000000001E-2</v>
      </c>
      <c r="I2326" s="241">
        <v>23.13</v>
      </c>
      <c r="J2326" s="241">
        <v>0.67</v>
      </c>
    </row>
    <row r="2327" spans="1:10" ht="28.5" x14ac:dyDescent="0.25">
      <c r="A2327" s="185" t="s">
        <v>119</v>
      </c>
      <c r="B2327" s="185" t="s">
        <v>1985</v>
      </c>
      <c r="C2327" s="185" t="s">
        <v>59</v>
      </c>
      <c r="D2327" s="185" t="s">
        <v>1986</v>
      </c>
      <c r="E2327" s="185" t="s">
        <v>754</v>
      </c>
      <c r="F2327" s="185"/>
      <c r="G2327" s="185" t="s">
        <v>60</v>
      </c>
      <c r="H2327" s="186">
        <v>2.9000000000000001E-2</v>
      </c>
      <c r="I2327" s="241">
        <v>32.57</v>
      </c>
      <c r="J2327" s="241">
        <v>0.94</v>
      </c>
    </row>
    <row r="2328" spans="1:10" ht="42.75" x14ac:dyDescent="0.25">
      <c r="A2328" s="191" t="s">
        <v>62</v>
      </c>
      <c r="B2328" s="191" t="s">
        <v>2004</v>
      </c>
      <c r="C2328" s="191" t="s">
        <v>59</v>
      </c>
      <c r="D2328" s="191" t="s">
        <v>2005</v>
      </c>
      <c r="E2328" s="191" t="s">
        <v>120</v>
      </c>
      <c r="F2328" s="191"/>
      <c r="G2328" s="191" t="s">
        <v>61</v>
      </c>
      <c r="H2328" s="192">
        <v>9.4000000000000004E-3</v>
      </c>
      <c r="I2328" s="244">
        <v>3.59</v>
      </c>
      <c r="J2328" s="244">
        <v>0.03</v>
      </c>
    </row>
    <row r="2329" spans="1:10" ht="71.25" x14ac:dyDescent="0.25">
      <c r="A2329" s="191" t="s">
        <v>62</v>
      </c>
      <c r="B2329" s="191" t="s">
        <v>2010</v>
      </c>
      <c r="C2329" s="191" t="s">
        <v>59</v>
      </c>
      <c r="D2329" s="191" t="s">
        <v>2011</v>
      </c>
      <c r="E2329" s="191" t="s">
        <v>120</v>
      </c>
      <c r="F2329" s="191"/>
      <c r="G2329" s="191" t="s">
        <v>116</v>
      </c>
      <c r="H2329" s="192">
        <v>1.2434000000000001</v>
      </c>
      <c r="I2329" s="244">
        <v>2.37</v>
      </c>
      <c r="J2329" s="244">
        <v>2.94</v>
      </c>
    </row>
    <row r="2330" spans="1:10" x14ac:dyDescent="0.25">
      <c r="A2330" s="187"/>
      <c r="B2330" s="187"/>
      <c r="C2330" s="187"/>
      <c r="D2330" s="187"/>
      <c r="E2330" s="187" t="s">
        <v>756</v>
      </c>
      <c r="F2330" s="188">
        <v>1.17</v>
      </c>
      <c r="G2330" s="187" t="s">
        <v>757</v>
      </c>
      <c r="H2330" s="188">
        <v>0</v>
      </c>
      <c r="I2330" s="242" t="s">
        <v>758</v>
      </c>
      <c r="J2330" s="242">
        <v>1.17</v>
      </c>
    </row>
    <row r="2331" spans="1:10" x14ac:dyDescent="0.25">
      <c r="A2331" s="187"/>
      <c r="B2331" s="187"/>
      <c r="C2331" s="187"/>
      <c r="D2331" s="187"/>
      <c r="E2331" s="187" t="s">
        <v>759</v>
      </c>
      <c r="F2331" s="188">
        <v>0</v>
      </c>
      <c r="G2331" s="187"/>
      <c r="H2331" s="187" t="s">
        <v>760</v>
      </c>
      <c r="I2331" s="242"/>
      <c r="J2331" s="242">
        <v>4.58</v>
      </c>
    </row>
    <row r="2332" spans="1:10" x14ac:dyDescent="0.25">
      <c r="A2332" s="182"/>
      <c r="B2332" s="182"/>
      <c r="C2332" s="182"/>
      <c r="D2332" s="182"/>
      <c r="E2332" s="182"/>
      <c r="F2332" s="182"/>
      <c r="G2332" s="182" t="s">
        <v>761</v>
      </c>
      <c r="H2332" s="189" t="s">
        <v>2012</v>
      </c>
      <c r="I2332" s="239" t="s">
        <v>763</v>
      </c>
      <c r="J2332" s="239">
        <v>7123.54</v>
      </c>
    </row>
    <row r="2333" spans="1:10" x14ac:dyDescent="0.25">
      <c r="A2333" s="183"/>
      <c r="B2333" s="183"/>
      <c r="C2333" s="183"/>
      <c r="D2333" s="183"/>
      <c r="E2333" s="183"/>
      <c r="F2333" s="183"/>
      <c r="G2333" s="183"/>
      <c r="H2333" s="183"/>
      <c r="I2333" s="240"/>
      <c r="J2333" s="240"/>
    </row>
    <row r="2334" spans="1:10" x14ac:dyDescent="0.25">
      <c r="A2334" s="182" t="s">
        <v>2013</v>
      </c>
      <c r="B2334" s="182" t="s">
        <v>66</v>
      </c>
      <c r="C2334" s="182" t="s">
        <v>64</v>
      </c>
      <c r="D2334" s="182" t="s">
        <v>67</v>
      </c>
      <c r="E2334" s="182" t="s">
        <v>65</v>
      </c>
      <c r="F2334" s="182"/>
      <c r="G2334" s="182" t="s">
        <v>744</v>
      </c>
      <c r="H2334" s="182" t="s">
        <v>69</v>
      </c>
      <c r="I2334" s="239" t="s">
        <v>745</v>
      </c>
      <c r="J2334" s="239" t="s">
        <v>0</v>
      </c>
    </row>
    <row r="2335" spans="1:10" ht="71.25" x14ac:dyDescent="0.25">
      <c r="A2335" s="183" t="s">
        <v>58</v>
      </c>
      <c r="B2335" s="183" t="s">
        <v>2014</v>
      </c>
      <c r="C2335" s="183" t="s">
        <v>59</v>
      </c>
      <c r="D2335" s="183" t="s">
        <v>2015</v>
      </c>
      <c r="E2335" s="183" t="s">
        <v>1984</v>
      </c>
      <c r="F2335" s="183"/>
      <c r="G2335" s="183" t="s">
        <v>116</v>
      </c>
      <c r="H2335" s="184">
        <v>1</v>
      </c>
      <c r="I2335" s="240">
        <v>17.670000000000002</v>
      </c>
      <c r="J2335" s="240">
        <v>17.670000000000002</v>
      </c>
    </row>
    <row r="2336" spans="1:10" ht="28.5" x14ac:dyDescent="0.25">
      <c r="A2336" s="185" t="s">
        <v>119</v>
      </c>
      <c r="B2336" s="185" t="s">
        <v>1985</v>
      </c>
      <c r="C2336" s="185" t="s">
        <v>59</v>
      </c>
      <c r="D2336" s="185" t="s">
        <v>1986</v>
      </c>
      <c r="E2336" s="185" t="s">
        <v>754</v>
      </c>
      <c r="F2336" s="185"/>
      <c r="G2336" s="185" t="s">
        <v>60</v>
      </c>
      <c r="H2336" s="186">
        <v>7.5999999999999998E-2</v>
      </c>
      <c r="I2336" s="241">
        <v>32.57</v>
      </c>
      <c r="J2336" s="241">
        <v>2.4700000000000002</v>
      </c>
    </row>
    <row r="2337" spans="1:10" ht="28.5" x14ac:dyDescent="0.25">
      <c r="A2337" s="185" t="s">
        <v>119</v>
      </c>
      <c r="B2337" s="185" t="s">
        <v>1987</v>
      </c>
      <c r="C2337" s="185" t="s">
        <v>59</v>
      </c>
      <c r="D2337" s="185" t="s">
        <v>1988</v>
      </c>
      <c r="E2337" s="185" t="s">
        <v>754</v>
      </c>
      <c r="F2337" s="185"/>
      <c r="G2337" s="185" t="s">
        <v>60</v>
      </c>
      <c r="H2337" s="186">
        <v>7.5999999999999998E-2</v>
      </c>
      <c r="I2337" s="241">
        <v>23.13</v>
      </c>
      <c r="J2337" s="241">
        <v>1.75</v>
      </c>
    </row>
    <row r="2338" spans="1:10" ht="42.75" x14ac:dyDescent="0.25">
      <c r="A2338" s="191" t="s">
        <v>62</v>
      </c>
      <c r="B2338" s="191" t="s">
        <v>2004</v>
      </c>
      <c r="C2338" s="191" t="s">
        <v>59</v>
      </c>
      <c r="D2338" s="191" t="s">
        <v>2005</v>
      </c>
      <c r="E2338" s="191" t="s">
        <v>120</v>
      </c>
      <c r="F2338" s="191"/>
      <c r="G2338" s="191" t="s">
        <v>61</v>
      </c>
      <c r="H2338" s="192">
        <v>9.4000000000000004E-3</v>
      </c>
      <c r="I2338" s="244">
        <v>3.59</v>
      </c>
      <c r="J2338" s="244">
        <v>0.03</v>
      </c>
    </row>
    <row r="2339" spans="1:10" ht="71.25" x14ac:dyDescent="0.25">
      <c r="A2339" s="191" t="s">
        <v>62</v>
      </c>
      <c r="B2339" s="191" t="s">
        <v>2016</v>
      </c>
      <c r="C2339" s="191" t="s">
        <v>59</v>
      </c>
      <c r="D2339" s="191" t="s">
        <v>2017</v>
      </c>
      <c r="E2339" s="191" t="s">
        <v>120</v>
      </c>
      <c r="F2339" s="191"/>
      <c r="G2339" s="191" t="s">
        <v>116</v>
      </c>
      <c r="H2339" s="192">
        <v>1.2434000000000001</v>
      </c>
      <c r="I2339" s="244">
        <v>10.8</v>
      </c>
      <c r="J2339" s="244">
        <v>13.42</v>
      </c>
    </row>
    <row r="2340" spans="1:10" x14ac:dyDescent="0.25">
      <c r="A2340" s="187"/>
      <c r="B2340" s="187"/>
      <c r="C2340" s="187"/>
      <c r="D2340" s="187"/>
      <c r="E2340" s="187" t="s">
        <v>756</v>
      </c>
      <c r="F2340" s="188">
        <v>3.08</v>
      </c>
      <c r="G2340" s="187" t="s">
        <v>757</v>
      </c>
      <c r="H2340" s="188">
        <v>0</v>
      </c>
      <c r="I2340" s="242" t="s">
        <v>758</v>
      </c>
      <c r="J2340" s="242">
        <v>3.08</v>
      </c>
    </row>
    <row r="2341" spans="1:10" x14ac:dyDescent="0.25">
      <c r="A2341" s="187"/>
      <c r="B2341" s="187"/>
      <c r="C2341" s="187"/>
      <c r="D2341" s="187"/>
      <c r="E2341" s="187" t="s">
        <v>759</v>
      </c>
      <c r="F2341" s="188">
        <v>0</v>
      </c>
      <c r="G2341" s="187"/>
      <c r="H2341" s="187" t="s">
        <v>760</v>
      </c>
      <c r="I2341" s="242"/>
      <c r="J2341" s="242">
        <v>17.670000000000002</v>
      </c>
    </row>
    <row r="2342" spans="1:10" x14ac:dyDescent="0.25">
      <c r="A2342" s="182"/>
      <c r="B2342" s="182"/>
      <c r="C2342" s="182"/>
      <c r="D2342" s="182"/>
      <c r="E2342" s="182"/>
      <c r="F2342" s="182"/>
      <c r="G2342" s="182" t="s">
        <v>761</v>
      </c>
      <c r="H2342" s="189" t="s">
        <v>2018</v>
      </c>
      <c r="I2342" s="239" t="s">
        <v>763</v>
      </c>
      <c r="J2342" s="239">
        <v>711.21</v>
      </c>
    </row>
    <row r="2343" spans="1:10" x14ac:dyDescent="0.25">
      <c r="A2343" s="183"/>
      <c r="B2343" s="183"/>
      <c r="C2343" s="183"/>
      <c r="D2343" s="183"/>
      <c r="E2343" s="183"/>
      <c r="F2343" s="183"/>
      <c r="G2343" s="183"/>
      <c r="H2343" s="183"/>
      <c r="I2343" s="240"/>
      <c r="J2343" s="240"/>
    </row>
    <row r="2344" spans="1:10" x14ac:dyDescent="0.25">
      <c r="A2344" s="182" t="s">
        <v>2019</v>
      </c>
      <c r="B2344" s="182" t="s">
        <v>66</v>
      </c>
      <c r="C2344" s="182" t="s">
        <v>64</v>
      </c>
      <c r="D2344" s="182" t="s">
        <v>67</v>
      </c>
      <c r="E2344" s="182" t="s">
        <v>65</v>
      </c>
      <c r="F2344" s="182"/>
      <c r="G2344" s="182" t="s">
        <v>744</v>
      </c>
      <c r="H2344" s="182" t="s">
        <v>69</v>
      </c>
      <c r="I2344" s="239" t="s">
        <v>745</v>
      </c>
      <c r="J2344" s="239" t="s">
        <v>0</v>
      </c>
    </row>
    <row r="2345" spans="1:10" ht="99.75" x14ac:dyDescent="0.25">
      <c r="A2345" s="183" t="s">
        <v>58</v>
      </c>
      <c r="B2345" s="183" t="s">
        <v>2020</v>
      </c>
      <c r="C2345" s="183" t="s">
        <v>59</v>
      </c>
      <c r="D2345" s="183" t="s">
        <v>2021</v>
      </c>
      <c r="E2345" s="183" t="s">
        <v>2022</v>
      </c>
      <c r="F2345" s="183"/>
      <c r="G2345" s="183" t="s">
        <v>116</v>
      </c>
      <c r="H2345" s="184">
        <v>1</v>
      </c>
      <c r="I2345" s="240">
        <v>29.21</v>
      </c>
      <c r="J2345" s="240">
        <v>29.21</v>
      </c>
    </row>
    <row r="2346" spans="1:10" ht="28.5" x14ac:dyDescent="0.25">
      <c r="A2346" s="185" t="s">
        <v>119</v>
      </c>
      <c r="B2346" s="185" t="s">
        <v>1985</v>
      </c>
      <c r="C2346" s="185" t="s">
        <v>59</v>
      </c>
      <c r="D2346" s="185" t="s">
        <v>1986</v>
      </c>
      <c r="E2346" s="185" t="s">
        <v>754</v>
      </c>
      <c r="F2346" s="185"/>
      <c r="G2346" s="185" t="s">
        <v>60</v>
      </c>
      <c r="H2346" s="186">
        <v>6.08E-2</v>
      </c>
      <c r="I2346" s="241">
        <v>32.57</v>
      </c>
      <c r="J2346" s="241">
        <v>1.98</v>
      </c>
    </row>
    <row r="2347" spans="1:10" ht="28.5" x14ac:dyDescent="0.25">
      <c r="A2347" s="185" t="s">
        <v>119</v>
      </c>
      <c r="B2347" s="185" t="s">
        <v>1987</v>
      </c>
      <c r="C2347" s="185" t="s">
        <v>59</v>
      </c>
      <c r="D2347" s="185" t="s">
        <v>1988</v>
      </c>
      <c r="E2347" s="185" t="s">
        <v>754</v>
      </c>
      <c r="F2347" s="185"/>
      <c r="G2347" s="185" t="s">
        <v>60</v>
      </c>
      <c r="H2347" s="186">
        <v>6.08E-2</v>
      </c>
      <c r="I2347" s="241">
        <v>23.13</v>
      </c>
      <c r="J2347" s="241">
        <v>1.4</v>
      </c>
    </row>
    <row r="2348" spans="1:10" ht="99.75" x14ac:dyDescent="0.25">
      <c r="A2348" s="191" t="s">
        <v>62</v>
      </c>
      <c r="B2348" s="191" t="s">
        <v>2023</v>
      </c>
      <c r="C2348" s="191" t="s">
        <v>59</v>
      </c>
      <c r="D2348" s="191" t="s">
        <v>2024</v>
      </c>
      <c r="E2348" s="191" t="s">
        <v>120</v>
      </c>
      <c r="F2348" s="191"/>
      <c r="G2348" s="191" t="s">
        <v>116</v>
      </c>
      <c r="H2348" s="192">
        <v>1.0149999999999999</v>
      </c>
      <c r="I2348" s="244">
        <v>25.42</v>
      </c>
      <c r="J2348" s="244">
        <v>25.8</v>
      </c>
    </row>
    <row r="2349" spans="1:10" ht="42.75" x14ac:dyDescent="0.25">
      <c r="A2349" s="191" t="s">
        <v>62</v>
      </c>
      <c r="B2349" s="191" t="s">
        <v>2004</v>
      </c>
      <c r="C2349" s="191" t="s">
        <v>59</v>
      </c>
      <c r="D2349" s="191" t="s">
        <v>2005</v>
      </c>
      <c r="E2349" s="191" t="s">
        <v>120</v>
      </c>
      <c r="F2349" s="191"/>
      <c r="G2349" s="191" t="s">
        <v>61</v>
      </c>
      <c r="H2349" s="192">
        <v>8.9999999999999993E-3</v>
      </c>
      <c r="I2349" s="244">
        <v>3.59</v>
      </c>
      <c r="J2349" s="244">
        <v>0.03</v>
      </c>
    </row>
    <row r="2350" spans="1:10" x14ac:dyDescent="0.25">
      <c r="A2350" s="187"/>
      <c r="B2350" s="187"/>
      <c r="C2350" s="187"/>
      <c r="D2350" s="187"/>
      <c r="E2350" s="187" t="s">
        <v>756</v>
      </c>
      <c r="F2350" s="188">
        <v>2.46</v>
      </c>
      <c r="G2350" s="187" t="s">
        <v>757</v>
      </c>
      <c r="H2350" s="188">
        <v>0</v>
      </c>
      <c r="I2350" s="242" t="s">
        <v>758</v>
      </c>
      <c r="J2350" s="242">
        <v>2.46</v>
      </c>
    </row>
    <row r="2351" spans="1:10" x14ac:dyDescent="0.25">
      <c r="A2351" s="187"/>
      <c r="B2351" s="187"/>
      <c r="C2351" s="187"/>
      <c r="D2351" s="187"/>
      <c r="E2351" s="187" t="s">
        <v>759</v>
      </c>
      <c r="F2351" s="188">
        <v>0</v>
      </c>
      <c r="G2351" s="187"/>
      <c r="H2351" s="187" t="s">
        <v>760</v>
      </c>
      <c r="I2351" s="242"/>
      <c r="J2351" s="242">
        <v>29.21</v>
      </c>
    </row>
    <row r="2352" spans="1:10" x14ac:dyDescent="0.25">
      <c r="A2352" s="182"/>
      <c r="B2352" s="182"/>
      <c r="C2352" s="182"/>
      <c r="D2352" s="182"/>
      <c r="E2352" s="182"/>
      <c r="F2352" s="182"/>
      <c r="G2352" s="182" t="s">
        <v>761</v>
      </c>
      <c r="H2352" s="189" t="s">
        <v>2025</v>
      </c>
      <c r="I2352" s="239" t="s">
        <v>763</v>
      </c>
      <c r="J2352" s="239">
        <v>408.94</v>
      </c>
    </row>
    <row r="2353" spans="1:10" x14ac:dyDescent="0.25">
      <c r="A2353" s="183"/>
      <c r="B2353" s="183"/>
      <c r="C2353" s="183"/>
      <c r="D2353" s="183"/>
      <c r="E2353" s="183"/>
      <c r="F2353" s="183"/>
      <c r="G2353" s="183"/>
      <c r="H2353" s="183"/>
      <c r="I2353" s="240"/>
      <c r="J2353" s="240"/>
    </row>
    <row r="2354" spans="1:10" x14ac:dyDescent="0.25">
      <c r="A2354" s="190" t="s">
        <v>2026</v>
      </c>
      <c r="B2354" s="190"/>
      <c r="C2354" s="190"/>
      <c r="D2354" s="190" t="s">
        <v>463</v>
      </c>
      <c r="E2354" s="190"/>
      <c r="F2354" s="190"/>
      <c r="G2354" s="190"/>
      <c r="H2354" s="190"/>
      <c r="I2354" s="243"/>
      <c r="J2354" s="243">
        <v>1834.67</v>
      </c>
    </row>
    <row r="2355" spans="1:10" x14ac:dyDescent="0.25">
      <c r="A2355" s="182" t="s">
        <v>2027</v>
      </c>
      <c r="B2355" s="182" t="s">
        <v>66</v>
      </c>
      <c r="C2355" s="182" t="s">
        <v>64</v>
      </c>
      <c r="D2355" s="182" t="s">
        <v>67</v>
      </c>
      <c r="E2355" s="182" t="s">
        <v>65</v>
      </c>
      <c r="F2355" s="182"/>
      <c r="G2355" s="182" t="s">
        <v>744</v>
      </c>
      <c r="H2355" s="182" t="s">
        <v>69</v>
      </c>
      <c r="I2355" s="239" t="s">
        <v>745</v>
      </c>
      <c r="J2355" s="239" t="s">
        <v>0</v>
      </c>
    </row>
    <row r="2356" spans="1:10" ht="57" x14ac:dyDescent="0.25">
      <c r="A2356" s="183" t="s">
        <v>58</v>
      </c>
      <c r="B2356" s="183" t="s">
        <v>2028</v>
      </c>
      <c r="C2356" s="183" t="s">
        <v>59</v>
      </c>
      <c r="D2356" s="183" t="s">
        <v>2029</v>
      </c>
      <c r="E2356" s="183" t="s">
        <v>2030</v>
      </c>
      <c r="F2356" s="183"/>
      <c r="G2356" s="183" t="s">
        <v>61</v>
      </c>
      <c r="H2356" s="184">
        <v>1</v>
      </c>
      <c r="I2356" s="240">
        <v>11.45</v>
      </c>
      <c r="J2356" s="240">
        <v>11.45</v>
      </c>
    </row>
    <row r="2357" spans="1:10" ht="28.5" x14ac:dyDescent="0.25">
      <c r="A2357" s="185" t="s">
        <v>119</v>
      </c>
      <c r="B2357" s="185" t="s">
        <v>1985</v>
      </c>
      <c r="C2357" s="185" t="s">
        <v>59</v>
      </c>
      <c r="D2357" s="185" t="s">
        <v>1986</v>
      </c>
      <c r="E2357" s="185" t="s">
        <v>754</v>
      </c>
      <c r="F2357" s="185"/>
      <c r="G2357" s="185" t="s">
        <v>60</v>
      </c>
      <c r="H2357" s="186">
        <v>3.5428000000000001E-2</v>
      </c>
      <c r="I2357" s="241">
        <v>32.57</v>
      </c>
      <c r="J2357" s="241">
        <v>1.1499999999999999</v>
      </c>
    </row>
    <row r="2358" spans="1:10" ht="28.5" x14ac:dyDescent="0.25">
      <c r="A2358" s="185" t="s">
        <v>119</v>
      </c>
      <c r="B2358" s="185" t="s">
        <v>1987</v>
      </c>
      <c r="C2358" s="185" t="s">
        <v>59</v>
      </c>
      <c r="D2358" s="185" t="s">
        <v>1988</v>
      </c>
      <c r="E2358" s="185" t="s">
        <v>754</v>
      </c>
      <c r="F2358" s="185"/>
      <c r="G2358" s="185" t="s">
        <v>60</v>
      </c>
      <c r="H2358" s="186">
        <v>3.5428000000000001E-2</v>
      </c>
      <c r="I2358" s="241">
        <v>23.13</v>
      </c>
      <c r="J2358" s="241">
        <v>0.81</v>
      </c>
    </row>
    <row r="2359" spans="1:10" ht="71.25" x14ac:dyDescent="0.25">
      <c r="A2359" s="191" t="s">
        <v>62</v>
      </c>
      <c r="B2359" s="191" t="s">
        <v>2031</v>
      </c>
      <c r="C2359" s="191" t="s">
        <v>59</v>
      </c>
      <c r="D2359" s="191" t="s">
        <v>2032</v>
      </c>
      <c r="E2359" s="191" t="s">
        <v>120</v>
      </c>
      <c r="F2359" s="191"/>
      <c r="G2359" s="191" t="s">
        <v>61</v>
      </c>
      <c r="H2359" s="192">
        <v>1</v>
      </c>
      <c r="I2359" s="244">
        <v>1.1200000000000001</v>
      </c>
      <c r="J2359" s="244">
        <v>1.1200000000000001</v>
      </c>
    </row>
    <row r="2360" spans="1:10" ht="42.75" x14ac:dyDescent="0.25">
      <c r="A2360" s="191" t="s">
        <v>62</v>
      </c>
      <c r="B2360" s="191" t="s">
        <v>2033</v>
      </c>
      <c r="C2360" s="191" t="s">
        <v>59</v>
      </c>
      <c r="D2360" s="191" t="s">
        <v>2034</v>
      </c>
      <c r="E2360" s="191" t="s">
        <v>120</v>
      </c>
      <c r="F2360" s="191"/>
      <c r="G2360" s="191" t="s">
        <v>61</v>
      </c>
      <c r="H2360" s="192">
        <v>1</v>
      </c>
      <c r="I2360" s="244">
        <v>8.3699999999999992</v>
      </c>
      <c r="J2360" s="244">
        <v>8.3699999999999992</v>
      </c>
    </row>
    <row r="2361" spans="1:10" x14ac:dyDescent="0.25">
      <c r="A2361" s="187"/>
      <c r="B2361" s="187"/>
      <c r="C2361" s="187"/>
      <c r="D2361" s="187"/>
      <c r="E2361" s="187" t="s">
        <v>756</v>
      </c>
      <c r="F2361" s="188">
        <v>1.43</v>
      </c>
      <c r="G2361" s="187" t="s">
        <v>757</v>
      </c>
      <c r="H2361" s="188">
        <v>0</v>
      </c>
      <c r="I2361" s="242" t="s">
        <v>758</v>
      </c>
      <c r="J2361" s="242">
        <v>1.43</v>
      </c>
    </row>
    <row r="2362" spans="1:10" x14ac:dyDescent="0.25">
      <c r="A2362" s="187"/>
      <c r="B2362" s="187"/>
      <c r="C2362" s="187"/>
      <c r="D2362" s="187"/>
      <c r="E2362" s="187" t="s">
        <v>759</v>
      </c>
      <c r="F2362" s="188">
        <v>0</v>
      </c>
      <c r="G2362" s="187"/>
      <c r="H2362" s="187" t="s">
        <v>760</v>
      </c>
      <c r="I2362" s="242"/>
      <c r="J2362" s="242">
        <v>11.45</v>
      </c>
    </row>
    <row r="2363" spans="1:10" x14ac:dyDescent="0.25">
      <c r="A2363" s="182"/>
      <c r="B2363" s="182"/>
      <c r="C2363" s="182"/>
      <c r="D2363" s="182"/>
      <c r="E2363" s="182"/>
      <c r="F2363" s="182"/>
      <c r="G2363" s="182" t="s">
        <v>761</v>
      </c>
      <c r="H2363" s="189" t="s">
        <v>1997</v>
      </c>
      <c r="I2363" s="239" t="s">
        <v>763</v>
      </c>
      <c r="J2363" s="239">
        <v>366.4</v>
      </c>
    </row>
    <row r="2364" spans="1:10" x14ac:dyDescent="0.25">
      <c r="A2364" s="183"/>
      <c r="B2364" s="183"/>
      <c r="C2364" s="183"/>
      <c r="D2364" s="183"/>
      <c r="E2364" s="183"/>
      <c r="F2364" s="183"/>
      <c r="G2364" s="183"/>
      <c r="H2364" s="183"/>
      <c r="I2364" s="240"/>
      <c r="J2364" s="240"/>
    </row>
    <row r="2365" spans="1:10" x14ac:dyDescent="0.25">
      <c r="A2365" s="182" t="s">
        <v>2035</v>
      </c>
      <c r="B2365" s="182" t="s">
        <v>66</v>
      </c>
      <c r="C2365" s="182" t="s">
        <v>64</v>
      </c>
      <c r="D2365" s="182" t="s">
        <v>67</v>
      </c>
      <c r="E2365" s="182" t="s">
        <v>65</v>
      </c>
      <c r="F2365" s="182"/>
      <c r="G2365" s="182" t="s">
        <v>744</v>
      </c>
      <c r="H2365" s="182" t="s">
        <v>69</v>
      </c>
      <c r="I2365" s="239" t="s">
        <v>745</v>
      </c>
      <c r="J2365" s="239" t="s">
        <v>0</v>
      </c>
    </row>
    <row r="2366" spans="1:10" ht="57" x14ac:dyDescent="0.25">
      <c r="A2366" s="183" t="s">
        <v>58</v>
      </c>
      <c r="B2366" s="183" t="s">
        <v>2036</v>
      </c>
      <c r="C2366" s="183" t="s">
        <v>59</v>
      </c>
      <c r="D2366" s="183" t="s">
        <v>2037</v>
      </c>
      <c r="E2366" s="183" t="s">
        <v>2030</v>
      </c>
      <c r="F2366" s="183"/>
      <c r="G2366" s="183" t="s">
        <v>61</v>
      </c>
      <c r="H2366" s="184">
        <v>1</v>
      </c>
      <c r="I2366" s="240">
        <v>94.99</v>
      </c>
      <c r="J2366" s="240">
        <v>94.99</v>
      </c>
    </row>
    <row r="2367" spans="1:10" ht="28.5" x14ac:dyDescent="0.25">
      <c r="A2367" s="185" t="s">
        <v>119</v>
      </c>
      <c r="B2367" s="185" t="s">
        <v>1987</v>
      </c>
      <c r="C2367" s="185" t="s">
        <v>59</v>
      </c>
      <c r="D2367" s="185" t="s">
        <v>1988</v>
      </c>
      <c r="E2367" s="185" t="s">
        <v>754</v>
      </c>
      <c r="F2367" s="185"/>
      <c r="G2367" s="185" t="s">
        <v>60</v>
      </c>
      <c r="H2367" s="186">
        <v>0.52974500000000002</v>
      </c>
      <c r="I2367" s="241">
        <v>23.13</v>
      </c>
      <c r="J2367" s="241">
        <v>12.25</v>
      </c>
    </row>
    <row r="2368" spans="1:10" ht="28.5" x14ac:dyDescent="0.25">
      <c r="A2368" s="185" t="s">
        <v>119</v>
      </c>
      <c r="B2368" s="185" t="s">
        <v>1985</v>
      </c>
      <c r="C2368" s="185" t="s">
        <v>59</v>
      </c>
      <c r="D2368" s="185" t="s">
        <v>1986</v>
      </c>
      <c r="E2368" s="185" t="s">
        <v>754</v>
      </c>
      <c r="F2368" s="185"/>
      <c r="G2368" s="185" t="s">
        <v>60</v>
      </c>
      <c r="H2368" s="186">
        <v>0.52974500000000002</v>
      </c>
      <c r="I2368" s="241">
        <v>32.57</v>
      </c>
      <c r="J2368" s="241">
        <v>17.25</v>
      </c>
    </row>
    <row r="2369" spans="1:10" ht="42.75" x14ac:dyDescent="0.25">
      <c r="A2369" s="191" t="s">
        <v>62</v>
      </c>
      <c r="B2369" s="191" t="s">
        <v>2038</v>
      </c>
      <c r="C2369" s="191" t="s">
        <v>59</v>
      </c>
      <c r="D2369" s="191" t="s">
        <v>2039</v>
      </c>
      <c r="E2369" s="191" t="s">
        <v>120</v>
      </c>
      <c r="F2369" s="191"/>
      <c r="G2369" s="191" t="s">
        <v>61</v>
      </c>
      <c r="H2369" s="192">
        <v>1</v>
      </c>
      <c r="I2369" s="244">
        <v>58.83</v>
      </c>
      <c r="J2369" s="244">
        <v>58.83</v>
      </c>
    </row>
    <row r="2370" spans="1:10" ht="71.25" x14ac:dyDescent="0.25">
      <c r="A2370" s="191" t="s">
        <v>62</v>
      </c>
      <c r="B2370" s="191" t="s">
        <v>2040</v>
      </c>
      <c r="C2370" s="191" t="s">
        <v>59</v>
      </c>
      <c r="D2370" s="191" t="s">
        <v>2041</v>
      </c>
      <c r="E2370" s="191" t="s">
        <v>120</v>
      </c>
      <c r="F2370" s="191"/>
      <c r="G2370" s="191" t="s">
        <v>61</v>
      </c>
      <c r="H2370" s="192">
        <v>3</v>
      </c>
      <c r="I2370" s="244">
        <v>2.2200000000000002</v>
      </c>
      <c r="J2370" s="244">
        <v>6.66</v>
      </c>
    </row>
    <row r="2371" spans="1:10" x14ac:dyDescent="0.25">
      <c r="A2371" s="187"/>
      <c r="B2371" s="187"/>
      <c r="C2371" s="187"/>
      <c r="D2371" s="187"/>
      <c r="E2371" s="187" t="s">
        <v>756</v>
      </c>
      <c r="F2371" s="188">
        <v>21.5</v>
      </c>
      <c r="G2371" s="187" t="s">
        <v>757</v>
      </c>
      <c r="H2371" s="188">
        <v>0</v>
      </c>
      <c r="I2371" s="242" t="s">
        <v>758</v>
      </c>
      <c r="J2371" s="242">
        <v>21.5</v>
      </c>
    </row>
    <row r="2372" spans="1:10" x14ac:dyDescent="0.25">
      <c r="A2372" s="187"/>
      <c r="B2372" s="187"/>
      <c r="C2372" s="187"/>
      <c r="D2372" s="187"/>
      <c r="E2372" s="187" t="s">
        <v>759</v>
      </c>
      <c r="F2372" s="188">
        <v>0</v>
      </c>
      <c r="G2372" s="187"/>
      <c r="H2372" s="187" t="s">
        <v>760</v>
      </c>
      <c r="I2372" s="242"/>
      <c r="J2372" s="242">
        <v>94.99</v>
      </c>
    </row>
    <row r="2373" spans="1:10" x14ac:dyDescent="0.25">
      <c r="A2373" s="182"/>
      <c r="B2373" s="182"/>
      <c r="C2373" s="182"/>
      <c r="D2373" s="182"/>
      <c r="E2373" s="182"/>
      <c r="F2373" s="182"/>
      <c r="G2373" s="182" t="s">
        <v>761</v>
      </c>
      <c r="H2373" s="189" t="s">
        <v>762</v>
      </c>
      <c r="I2373" s="239" t="s">
        <v>763</v>
      </c>
      <c r="J2373" s="239">
        <v>94.99</v>
      </c>
    </row>
    <row r="2374" spans="1:10" x14ac:dyDescent="0.25">
      <c r="A2374" s="183"/>
      <c r="B2374" s="183"/>
      <c r="C2374" s="183"/>
      <c r="D2374" s="183"/>
      <c r="E2374" s="183"/>
      <c r="F2374" s="183"/>
      <c r="G2374" s="183"/>
      <c r="H2374" s="183"/>
      <c r="I2374" s="240"/>
      <c r="J2374" s="240"/>
    </row>
    <row r="2375" spans="1:10" x14ac:dyDescent="0.25">
      <c r="A2375" s="182" t="s">
        <v>2042</v>
      </c>
      <c r="B2375" s="182" t="s">
        <v>66</v>
      </c>
      <c r="C2375" s="182" t="s">
        <v>64</v>
      </c>
      <c r="D2375" s="182" t="s">
        <v>67</v>
      </c>
      <c r="E2375" s="182" t="s">
        <v>65</v>
      </c>
      <c r="F2375" s="182"/>
      <c r="G2375" s="182" t="s">
        <v>744</v>
      </c>
      <c r="H2375" s="182" t="s">
        <v>69</v>
      </c>
      <c r="I2375" s="239" t="s">
        <v>745</v>
      </c>
      <c r="J2375" s="239" t="s">
        <v>0</v>
      </c>
    </row>
    <row r="2376" spans="1:10" ht="42.75" x14ac:dyDescent="0.25">
      <c r="A2376" s="183" t="s">
        <v>58</v>
      </c>
      <c r="B2376" s="183" t="s">
        <v>2043</v>
      </c>
      <c r="C2376" s="183" t="s">
        <v>59</v>
      </c>
      <c r="D2376" s="183" t="s">
        <v>2044</v>
      </c>
      <c r="E2376" s="183" t="s">
        <v>2030</v>
      </c>
      <c r="F2376" s="183"/>
      <c r="G2376" s="183" t="s">
        <v>61</v>
      </c>
      <c r="H2376" s="184">
        <v>1</v>
      </c>
      <c r="I2376" s="240">
        <v>71.78</v>
      </c>
      <c r="J2376" s="240">
        <v>71.78</v>
      </c>
    </row>
    <row r="2377" spans="1:10" ht="28.5" x14ac:dyDescent="0.25">
      <c r="A2377" s="185" t="s">
        <v>119</v>
      </c>
      <c r="B2377" s="185" t="s">
        <v>1987</v>
      </c>
      <c r="C2377" s="185" t="s">
        <v>59</v>
      </c>
      <c r="D2377" s="185" t="s">
        <v>1988</v>
      </c>
      <c r="E2377" s="185" t="s">
        <v>754</v>
      </c>
      <c r="F2377" s="185"/>
      <c r="G2377" s="185" t="s">
        <v>60</v>
      </c>
      <c r="H2377" s="186">
        <v>0.13244900000000001</v>
      </c>
      <c r="I2377" s="241">
        <v>23.13</v>
      </c>
      <c r="J2377" s="241">
        <v>3.06</v>
      </c>
    </row>
    <row r="2378" spans="1:10" ht="28.5" x14ac:dyDescent="0.25">
      <c r="A2378" s="185" t="s">
        <v>119</v>
      </c>
      <c r="B2378" s="185" t="s">
        <v>1985</v>
      </c>
      <c r="C2378" s="185" t="s">
        <v>59</v>
      </c>
      <c r="D2378" s="185" t="s">
        <v>1986</v>
      </c>
      <c r="E2378" s="185" t="s">
        <v>754</v>
      </c>
      <c r="F2378" s="185"/>
      <c r="G2378" s="185" t="s">
        <v>60</v>
      </c>
      <c r="H2378" s="186">
        <v>0.13244900000000001</v>
      </c>
      <c r="I2378" s="241">
        <v>32.57</v>
      </c>
      <c r="J2378" s="241">
        <v>4.3099999999999996</v>
      </c>
    </row>
    <row r="2379" spans="1:10" ht="71.25" x14ac:dyDescent="0.25">
      <c r="A2379" s="191" t="s">
        <v>62</v>
      </c>
      <c r="B2379" s="191" t="s">
        <v>2045</v>
      </c>
      <c r="C2379" s="191" t="s">
        <v>59</v>
      </c>
      <c r="D2379" s="191" t="s">
        <v>2046</v>
      </c>
      <c r="E2379" s="191" t="s">
        <v>120</v>
      </c>
      <c r="F2379" s="191"/>
      <c r="G2379" s="191" t="s">
        <v>61</v>
      </c>
      <c r="H2379" s="192">
        <v>1</v>
      </c>
      <c r="I2379" s="244">
        <v>1.73</v>
      </c>
      <c r="J2379" s="244">
        <v>1.73</v>
      </c>
    </row>
    <row r="2380" spans="1:10" ht="57" x14ac:dyDescent="0.25">
      <c r="A2380" s="191" t="s">
        <v>62</v>
      </c>
      <c r="B2380" s="191" t="s">
        <v>2047</v>
      </c>
      <c r="C2380" s="191" t="s">
        <v>59</v>
      </c>
      <c r="D2380" s="191" t="s">
        <v>2048</v>
      </c>
      <c r="E2380" s="191" t="s">
        <v>120</v>
      </c>
      <c r="F2380" s="191"/>
      <c r="G2380" s="191" t="s">
        <v>61</v>
      </c>
      <c r="H2380" s="192">
        <v>1</v>
      </c>
      <c r="I2380" s="244">
        <v>62.68</v>
      </c>
      <c r="J2380" s="244">
        <v>62.68</v>
      </c>
    </row>
    <row r="2381" spans="1:10" x14ac:dyDescent="0.25">
      <c r="A2381" s="187"/>
      <c r="B2381" s="187"/>
      <c r="C2381" s="187"/>
      <c r="D2381" s="187"/>
      <c r="E2381" s="187" t="s">
        <v>756</v>
      </c>
      <c r="F2381" s="188">
        <v>5.37</v>
      </c>
      <c r="G2381" s="187" t="s">
        <v>757</v>
      </c>
      <c r="H2381" s="188">
        <v>0</v>
      </c>
      <c r="I2381" s="242" t="s">
        <v>758</v>
      </c>
      <c r="J2381" s="242">
        <v>5.37</v>
      </c>
    </row>
    <row r="2382" spans="1:10" x14ac:dyDescent="0.25">
      <c r="A2382" s="187"/>
      <c r="B2382" s="187"/>
      <c r="C2382" s="187"/>
      <c r="D2382" s="187"/>
      <c r="E2382" s="187" t="s">
        <v>759</v>
      </c>
      <c r="F2382" s="188">
        <v>0</v>
      </c>
      <c r="G2382" s="187"/>
      <c r="H2382" s="187" t="s">
        <v>760</v>
      </c>
      <c r="I2382" s="242"/>
      <c r="J2382" s="242">
        <v>71.78</v>
      </c>
    </row>
    <row r="2383" spans="1:10" x14ac:dyDescent="0.25">
      <c r="A2383" s="182"/>
      <c r="B2383" s="182"/>
      <c r="C2383" s="182"/>
      <c r="D2383" s="182"/>
      <c r="E2383" s="182"/>
      <c r="F2383" s="182"/>
      <c r="G2383" s="182" t="s">
        <v>761</v>
      </c>
      <c r="H2383" s="189" t="s">
        <v>1555</v>
      </c>
      <c r="I2383" s="239" t="s">
        <v>763</v>
      </c>
      <c r="J2383" s="239">
        <v>287.12</v>
      </c>
    </row>
    <row r="2384" spans="1:10" x14ac:dyDescent="0.25">
      <c r="A2384" s="183"/>
      <c r="B2384" s="183"/>
      <c r="C2384" s="183"/>
      <c r="D2384" s="183"/>
      <c r="E2384" s="183"/>
      <c r="F2384" s="183"/>
      <c r="G2384" s="183"/>
      <c r="H2384" s="183"/>
      <c r="I2384" s="240"/>
      <c r="J2384" s="240"/>
    </row>
    <row r="2385" spans="1:10" x14ac:dyDescent="0.25">
      <c r="A2385" s="182" t="s">
        <v>2049</v>
      </c>
      <c r="B2385" s="182" t="s">
        <v>66</v>
      </c>
      <c r="C2385" s="182" t="s">
        <v>64</v>
      </c>
      <c r="D2385" s="182" t="s">
        <v>67</v>
      </c>
      <c r="E2385" s="182" t="s">
        <v>65</v>
      </c>
      <c r="F2385" s="182"/>
      <c r="G2385" s="182" t="s">
        <v>744</v>
      </c>
      <c r="H2385" s="182" t="s">
        <v>69</v>
      </c>
      <c r="I2385" s="239" t="s">
        <v>745</v>
      </c>
      <c r="J2385" s="239" t="s">
        <v>0</v>
      </c>
    </row>
    <row r="2386" spans="1:10" ht="42.75" x14ac:dyDescent="0.25">
      <c r="A2386" s="183" t="s">
        <v>58</v>
      </c>
      <c r="B2386" s="183" t="s">
        <v>2050</v>
      </c>
      <c r="C2386" s="183" t="s">
        <v>59</v>
      </c>
      <c r="D2386" s="183" t="s">
        <v>2051</v>
      </c>
      <c r="E2386" s="183" t="s">
        <v>2030</v>
      </c>
      <c r="F2386" s="183"/>
      <c r="G2386" s="183" t="s">
        <v>61</v>
      </c>
      <c r="H2386" s="184">
        <v>1</v>
      </c>
      <c r="I2386" s="240">
        <v>106.43</v>
      </c>
      <c r="J2386" s="240">
        <v>106.43</v>
      </c>
    </row>
    <row r="2387" spans="1:10" ht="28.5" x14ac:dyDescent="0.25">
      <c r="A2387" s="185" t="s">
        <v>119</v>
      </c>
      <c r="B2387" s="185" t="s">
        <v>1987</v>
      </c>
      <c r="C2387" s="185" t="s">
        <v>59</v>
      </c>
      <c r="D2387" s="185" t="s">
        <v>1988</v>
      </c>
      <c r="E2387" s="185" t="s">
        <v>754</v>
      </c>
      <c r="F2387" s="185"/>
      <c r="G2387" s="185" t="s">
        <v>60</v>
      </c>
      <c r="H2387" s="186">
        <v>0.52974500000000002</v>
      </c>
      <c r="I2387" s="241">
        <v>23.13</v>
      </c>
      <c r="J2387" s="241">
        <v>12.25</v>
      </c>
    </row>
    <row r="2388" spans="1:10" ht="28.5" x14ac:dyDescent="0.25">
      <c r="A2388" s="185" t="s">
        <v>119</v>
      </c>
      <c r="B2388" s="185" t="s">
        <v>1985</v>
      </c>
      <c r="C2388" s="185" t="s">
        <v>59</v>
      </c>
      <c r="D2388" s="185" t="s">
        <v>1986</v>
      </c>
      <c r="E2388" s="185" t="s">
        <v>754</v>
      </c>
      <c r="F2388" s="185"/>
      <c r="G2388" s="185" t="s">
        <v>60</v>
      </c>
      <c r="H2388" s="186">
        <v>0.52974500000000002</v>
      </c>
      <c r="I2388" s="241">
        <v>32.57</v>
      </c>
      <c r="J2388" s="241">
        <v>17.25</v>
      </c>
    </row>
    <row r="2389" spans="1:10" ht="71.25" x14ac:dyDescent="0.25">
      <c r="A2389" s="191" t="s">
        <v>62</v>
      </c>
      <c r="B2389" s="191" t="s">
        <v>2040</v>
      </c>
      <c r="C2389" s="191" t="s">
        <v>59</v>
      </c>
      <c r="D2389" s="191" t="s">
        <v>2041</v>
      </c>
      <c r="E2389" s="191" t="s">
        <v>120</v>
      </c>
      <c r="F2389" s="191"/>
      <c r="G2389" s="191" t="s">
        <v>61</v>
      </c>
      <c r="H2389" s="192">
        <v>3</v>
      </c>
      <c r="I2389" s="244">
        <v>2.2200000000000002</v>
      </c>
      <c r="J2389" s="244">
        <v>6.66</v>
      </c>
    </row>
    <row r="2390" spans="1:10" ht="42.75" x14ac:dyDescent="0.25">
      <c r="A2390" s="191" t="s">
        <v>62</v>
      </c>
      <c r="B2390" s="191" t="s">
        <v>2052</v>
      </c>
      <c r="C2390" s="191" t="s">
        <v>59</v>
      </c>
      <c r="D2390" s="191" t="s">
        <v>2053</v>
      </c>
      <c r="E2390" s="191" t="s">
        <v>120</v>
      </c>
      <c r="F2390" s="191"/>
      <c r="G2390" s="191" t="s">
        <v>61</v>
      </c>
      <c r="H2390" s="192">
        <v>1</v>
      </c>
      <c r="I2390" s="244">
        <v>70.27</v>
      </c>
      <c r="J2390" s="244">
        <v>70.27</v>
      </c>
    </row>
    <row r="2391" spans="1:10" x14ac:dyDescent="0.25">
      <c r="A2391" s="187"/>
      <c r="B2391" s="187"/>
      <c r="C2391" s="187"/>
      <c r="D2391" s="187"/>
      <c r="E2391" s="187" t="s">
        <v>756</v>
      </c>
      <c r="F2391" s="188">
        <v>21.5</v>
      </c>
      <c r="G2391" s="187" t="s">
        <v>757</v>
      </c>
      <c r="H2391" s="188">
        <v>0</v>
      </c>
      <c r="I2391" s="242" t="s">
        <v>758</v>
      </c>
      <c r="J2391" s="242">
        <v>21.5</v>
      </c>
    </row>
    <row r="2392" spans="1:10" x14ac:dyDescent="0.25">
      <c r="A2392" s="187"/>
      <c r="B2392" s="187"/>
      <c r="C2392" s="187"/>
      <c r="D2392" s="187"/>
      <c r="E2392" s="187" t="s">
        <v>759</v>
      </c>
      <c r="F2392" s="188">
        <v>0</v>
      </c>
      <c r="G2392" s="187"/>
      <c r="H2392" s="187" t="s">
        <v>760</v>
      </c>
      <c r="I2392" s="242"/>
      <c r="J2392" s="242">
        <v>106.43</v>
      </c>
    </row>
    <row r="2393" spans="1:10" x14ac:dyDescent="0.25">
      <c r="A2393" s="182"/>
      <c r="B2393" s="182"/>
      <c r="C2393" s="182"/>
      <c r="D2393" s="182"/>
      <c r="E2393" s="182"/>
      <c r="F2393" s="182"/>
      <c r="G2393" s="182" t="s">
        <v>761</v>
      </c>
      <c r="H2393" s="189" t="s">
        <v>1538</v>
      </c>
      <c r="I2393" s="239" t="s">
        <v>763</v>
      </c>
      <c r="J2393" s="239">
        <v>212.86</v>
      </c>
    </row>
    <row r="2394" spans="1:10" x14ac:dyDescent="0.25">
      <c r="A2394" s="183"/>
      <c r="B2394" s="183"/>
      <c r="C2394" s="183"/>
      <c r="D2394" s="183"/>
      <c r="E2394" s="183"/>
      <c r="F2394" s="183"/>
      <c r="G2394" s="183"/>
      <c r="H2394" s="183"/>
      <c r="I2394" s="240"/>
      <c r="J2394" s="240"/>
    </row>
    <row r="2395" spans="1:10" x14ac:dyDescent="0.25">
      <c r="A2395" s="182" t="s">
        <v>2054</v>
      </c>
      <c r="B2395" s="182" t="s">
        <v>66</v>
      </c>
      <c r="C2395" s="182" t="s">
        <v>64</v>
      </c>
      <c r="D2395" s="182" t="s">
        <v>67</v>
      </c>
      <c r="E2395" s="182" t="s">
        <v>65</v>
      </c>
      <c r="F2395" s="182"/>
      <c r="G2395" s="182" t="s">
        <v>744</v>
      </c>
      <c r="H2395" s="182" t="s">
        <v>69</v>
      </c>
      <c r="I2395" s="239" t="s">
        <v>745</v>
      </c>
      <c r="J2395" s="239" t="s">
        <v>0</v>
      </c>
    </row>
    <row r="2396" spans="1:10" ht="57" x14ac:dyDescent="0.25">
      <c r="A2396" s="183" t="s">
        <v>58</v>
      </c>
      <c r="B2396" s="183" t="s">
        <v>2055</v>
      </c>
      <c r="C2396" s="183" t="s">
        <v>59</v>
      </c>
      <c r="D2396" s="183" t="s">
        <v>2056</v>
      </c>
      <c r="E2396" s="183" t="s">
        <v>2057</v>
      </c>
      <c r="F2396" s="183"/>
      <c r="G2396" s="183" t="s">
        <v>61</v>
      </c>
      <c r="H2396" s="184">
        <v>1</v>
      </c>
      <c r="I2396" s="240">
        <v>30.02</v>
      </c>
      <c r="J2396" s="240">
        <v>30.02</v>
      </c>
    </row>
    <row r="2397" spans="1:10" ht="28.5" x14ac:dyDescent="0.25">
      <c r="A2397" s="185" t="s">
        <v>119</v>
      </c>
      <c r="B2397" s="185" t="s">
        <v>1987</v>
      </c>
      <c r="C2397" s="185" t="s">
        <v>59</v>
      </c>
      <c r="D2397" s="185" t="s">
        <v>1988</v>
      </c>
      <c r="E2397" s="185" t="s">
        <v>754</v>
      </c>
      <c r="F2397" s="185"/>
      <c r="G2397" s="185" t="s">
        <v>60</v>
      </c>
      <c r="H2397" s="186">
        <v>0.16571330000000001</v>
      </c>
      <c r="I2397" s="241">
        <v>23.13</v>
      </c>
      <c r="J2397" s="241">
        <v>3.83</v>
      </c>
    </row>
    <row r="2398" spans="1:10" ht="28.5" x14ac:dyDescent="0.25">
      <c r="A2398" s="185" t="s">
        <v>119</v>
      </c>
      <c r="B2398" s="185" t="s">
        <v>1985</v>
      </c>
      <c r="C2398" s="185" t="s">
        <v>59</v>
      </c>
      <c r="D2398" s="185" t="s">
        <v>1986</v>
      </c>
      <c r="E2398" s="185" t="s">
        <v>754</v>
      </c>
      <c r="F2398" s="185"/>
      <c r="G2398" s="185" t="s">
        <v>60</v>
      </c>
      <c r="H2398" s="186">
        <v>0.22095110000000001</v>
      </c>
      <c r="I2398" s="241">
        <v>32.57</v>
      </c>
      <c r="J2398" s="241">
        <v>7.19</v>
      </c>
    </row>
    <row r="2399" spans="1:10" ht="57" x14ac:dyDescent="0.25">
      <c r="A2399" s="191" t="s">
        <v>62</v>
      </c>
      <c r="B2399" s="191" t="s">
        <v>2058</v>
      </c>
      <c r="C2399" s="191" t="s">
        <v>59</v>
      </c>
      <c r="D2399" s="191" t="s">
        <v>2059</v>
      </c>
      <c r="E2399" s="191" t="s">
        <v>120</v>
      </c>
      <c r="F2399" s="191"/>
      <c r="G2399" s="191" t="s">
        <v>61</v>
      </c>
      <c r="H2399" s="192">
        <v>1</v>
      </c>
      <c r="I2399" s="244">
        <v>19</v>
      </c>
      <c r="J2399" s="244">
        <v>19</v>
      </c>
    </row>
    <row r="2400" spans="1:10" x14ac:dyDescent="0.25">
      <c r="A2400" s="187"/>
      <c r="B2400" s="187"/>
      <c r="C2400" s="187"/>
      <c r="D2400" s="187"/>
      <c r="E2400" s="187" t="s">
        <v>756</v>
      </c>
      <c r="F2400" s="188">
        <v>8.11</v>
      </c>
      <c r="G2400" s="187" t="s">
        <v>757</v>
      </c>
      <c r="H2400" s="188">
        <v>0</v>
      </c>
      <c r="I2400" s="242" t="s">
        <v>758</v>
      </c>
      <c r="J2400" s="242">
        <v>8.11</v>
      </c>
    </row>
    <row r="2401" spans="1:10" x14ac:dyDescent="0.25">
      <c r="A2401" s="187"/>
      <c r="B2401" s="187"/>
      <c r="C2401" s="187"/>
      <c r="D2401" s="187"/>
      <c r="E2401" s="187" t="s">
        <v>759</v>
      </c>
      <c r="F2401" s="188">
        <v>0</v>
      </c>
      <c r="G2401" s="187"/>
      <c r="H2401" s="187" t="s">
        <v>760</v>
      </c>
      <c r="I2401" s="242"/>
      <c r="J2401" s="242">
        <v>30.02</v>
      </c>
    </row>
    <row r="2402" spans="1:10" x14ac:dyDescent="0.25">
      <c r="A2402" s="182"/>
      <c r="B2402" s="182"/>
      <c r="C2402" s="182"/>
      <c r="D2402" s="182"/>
      <c r="E2402" s="182"/>
      <c r="F2402" s="182"/>
      <c r="G2402" s="182" t="s">
        <v>761</v>
      </c>
      <c r="H2402" s="189" t="s">
        <v>1538</v>
      </c>
      <c r="I2402" s="239" t="s">
        <v>763</v>
      </c>
      <c r="J2402" s="239">
        <v>60.04</v>
      </c>
    </row>
    <row r="2403" spans="1:10" x14ac:dyDescent="0.25">
      <c r="A2403" s="183"/>
      <c r="B2403" s="183"/>
      <c r="C2403" s="183"/>
      <c r="D2403" s="183"/>
      <c r="E2403" s="183"/>
      <c r="F2403" s="183"/>
      <c r="G2403" s="183"/>
      <c r="H2403" s="183"/>
      <c r="I2403" s="240"/>
      <c r="J2403" s="240"/>
    </row>
    <row r="2404" spans="1:10" x14ac:dyDescent="0.25">
      <c r="A2404" s="182" t="s">
        <v>2060</v>
      </c>
      <c r="B2404" s="182" t="s">
        <v>66</v>
      </c>
      <c r="C2404" s="182" t="s">
        <v>64</v>
      </c>
      <c r="D2404" s="182" t="s">
        <v>67</v>
      </c>
      <c r="E2404" s="182" t="s">
        <v>65</v>
      </c>
      <c r="F2404" s="182"/>
      <c r="G2404" s="182" t="s">
        <v>744</v>
      </c>
      <c r="H2404" s="182" t="s">
        <v>69</v>
      </c>
      <c r="I2404" s="239" t="s">
        <v>745</v>
      </c>
      <c r="J2404" s="239" t="s">
        <v>0</v>
      </c>
    </row>
    <row r="2405" spans="1:10" ht="57" x14ac:dyDescent="0.25">
      <c r="A2405" s="183" t="s">
        <v>58</v>
      </c>
      <c r="B2405" s="183" t="s">
        <v>2061</v>
      </c>
      <c r="C2405" s="183" t="s">
        <v>59</v>
      </c>
      <c r="D2405" s="183" t="s">
        <v>2062</v>
      </c>
      <c r="E2405" s="183" t="s">
        <v>2057</v>
      </c>
      <c r="F2405" s="183"/>
      <c r="G2405" s="183" t="s">
        <v>61</v>
      </c>
      <c r="H2405" s="184">
        <v>1</v>
      </c>
      <c r="I2405" s="240">
        <v>406.63</v>
      </c>
      <c r="J2405" s="240">
        <v>406.63</v>
      </c>
    </row>
    <row r="2406" spans="1:10" ht="28.5" x14ac:dyDescent="0.25">
      <c r="A2406" s="185" t="s">
        <v>119</v>
      </c>
      <c r="B2406" s="185" t="s">
        <v>1985</v>
      </c>
      <c r="C2406" s="185" t="s">
        <v>59</v>
      </c>
      <c r="D2406" s="185" t="s">
        <v>1986</v>
      </c>
      <c r="E2406" s="185" t="s">
        <v>754</v>
      </c>
      <c r="F2406" s="185"/>
      <c r="G2406" s="185" t="s">
        <v>60</v>
      </c>
      <c r="H2406" s="186">
        <v>1.0344827999999999</v>
      </c>
      <c r="I2406" s="241">
        <v>32.57</v>
      </c>
      <c r="J2406" s="241">
        <v>33.69</v>
      </c>
    </row>
    <row r="2407" spans="1:10" ht="28.5" x14ac:dyDescent="0.25">
      <c r="A2407" s="185" t="s">
        <v>119</v>
      </c>
      <c r="B2407" s="185" t="s">
        <v>1987</v>
      </c>
      <c r="C2407" s="185" t="s">
        <v>59</v>
      </c>
      <c r="D2407" s="185" t="s">
        <v>1988</v>
      </c>
      <c r="E2407" s="185" t="s">
        <v>754</v>
      </c>
      <c r="F2407" s="185"/>
      <c r="G2407" s="185" t="s">
        <v>60</v>
      </c>
      <c r="H2407" s="186">
        <v>0.7758621</v>
      </c>
      <c r="I2407" s="241">
        <v>23.13</v>
      </c>
      <c r="J2407" s="241">
        <v>17.940000000000001</v>
      </c>
    </row>
    <row r="2408" spans="1:10" ht="85.5" x14ac:dyDescent="0.25">
      <c r="A2408" s="191" t="s">
        <v>62</v>
      </c>
      <c r="B2408" s="191" t="s">
        <v>2063</v>
      </c>
      <c r="C2408" s="191" t="s">
        <v>59</v>
      </c>
      <c r="D2408" s="191" t="s">
        <v>2064</v>
      </c>
      <c r="E2408" s="191" t="s">
        <v>120</v>
      </c>
      <c r="F2408" s="191"/>
      <c r="G2408" s="191" t="s">
        <v>61</v>
      </c>
      <c r="H2408" s="192">
        <v>1</v>
      </c>
      <c r="I2408" s="244">
        <v>355</v>
      </c>
      <c r="J2408" s="244">
        <v>355</v>
      </c>
    </row>
    <row r="2409" spans="1:10" x14ac:dyDescent="0.25">
      <c r="A2409" s="187"/>
      <c r="B2409" s="187"/>
      <c r="C2409" s="187"/>
      <c r="D2409" s="187"/>
      <c r="E2409" s="187" t="s">
        <v>756</v>
      </c>
      <c r="F2409" s="188">
        <v>37.979999999999997</v>
      </c>
      <c r="G2409" s="187" t="s">
        <v>757</v>
      </c>
      <c r="H2409" s="188">
        <v>0</v>
      </c>
      <c r="I2409" s="242" t="s">
        <v>758</v>
      </c>
      <c r="J2409" s="242">
        <v>37.979999999999997</v>
      </c>
    </row>
    <row r="2410" spans="1:10" x14ac:dyDescent="0.25">
      <c r="A2410" s="187"/>
      <c r="B2410" s="187"/>
      <c r="C2410" s="187"/>
      <c r="D2410" s="187"/>
      <c r="E2410" s="187" t="s">
        <v>759</v>
      </c>
      <c r="F2410" s="188">
        <v>0</v>
      </c>
      <c r="G2410" s="187"/>
      <c r="H2410" s="187" t="s">
        <v>760</v>
      </c>
      <c r="I2410" s="242"/>
      <c r="J2410" s="242">
        <v>406.63</v>
      </c>
    </row>
    <row r="2411" spans="1:10" x14ac:dyDescent="0.25">
      <c r="A2411" s="182"/>
      <c r="B2411" s="182"/>
      <c r="C2411" s="182"/>
      <c r="D2411" s="182"/>
      <c r="E2411" s="182"/>
      <c r="F2411" s="182"/>
      <c r="G2411" s="182" t="s">
        <v>761</v>
      </c>
      <c r="H2411" s="189" t="s">
        <v>1538</v>
      </c>
      <c r="I2411" s="239" t="s">
        <v>763</v>
      </c>
      <c r="J2411" s="239">
        <v>813.26</v>
      </c>
    </row>
    <row r="2412" spans="1:10" x14ac:dyDescent="0.25">
      <c r="A2412" s="183"/>
      <c r="B2412" s="183"/>
      <c r="C2412" s="183"/>
      <c r="D2412" s="183"/>
      <c r="E2412" s="183"/>
      <c r="F2412" s="183"/>
      <c r="G2412" s="183"/>
      <c r="H2412" s="183"/>
      <c r="I2412" s="240"/>
      <c r="J2412" s="240"/>
    </row>
    <row r="2413" spans="1:10" x14ac:dyDescent="0.25">
      <c r="A2413" s="190" t="s">
        <v>2065</v>
      </c>
      <c r="B2413" s="190"/>
      <c r="C2413" s="190"/>
      <c r="D2413" s="190" t="s">
        <v>573</v>
      </c>
      <c r="E2413" s="190"/>
      <c r="F2413" s="190"/>
      <c r="G2413" s="190"/>
      <c r="H2413" s="190"/>
      <c r="I2413" s="243"/>
      <c r="J2413" s="243">
        <v>8953.27</v>
      </c>
    </row>
    <row r="2414" spans="1:10" x14ac:dyDescent="0.25">
      <c r="A2414" s="182" t="s">
        <v>2066</v>
      </c>
      <c r="B2414" s="182" t="s">
        <v>66</v>
      </c>
      <c r="C2414" s="182" t="s">
        <v>64</v>
      </c>
      <c r="D2414" s="182" t="s">
        <v>67</v>
      </c>
      <c r="E2414" s="182" t="s">
        <v>65</v>
      </c>
      <c r="F2414" s="182"/>
      <c r="G2414" s="182" t="s">
        <v>744</v>
      </c>
      <c r="H2414" s="182" t="s">
        <v>69</v>
      </c>
      <c r="I2414" s="239" t="s">
        <v>745</v>
      </c>
      <c r="J2414" s="239" t="s">
        <v>0</v>
      </c>
    </row>
    <row r="2415" spans="1:10" ht="99.75" x14ac:dyDescent="0.25">
      <c r="A2415" s="183" t="s">
        <v>58</v>
      </c>
      <c r="B2415" s="183" t="s">
        <v>2067</v>
      </c>
      <c r="C2415" s="183" t="s">
        <v>59</v>
      </c>
      <c r="D2415" s="183" t="s">
        <v>2068</v>
      </c>
      <c r="E2415" s="183" t="s">
        <v>1984</v>
      </c>
      <c r="F2415" s="183"/>
      <c r="G2415" s="183" t="s">
        <v>116</v>
      </c>
      <c r="H2415" s="184">
        <v>1</v>
      </c>
      <c r="I2415" s="240">
        <v>21.73</v>
      </c>
      <c r="J2415" s="240">
        <v>21.73</v>
      </c>
    </row>
    <row r="2416" spans="1:10" ht="28.5" x14ac:dyDescent="0.25">
      <c r="A2416" s="185" t="s">
        <v>119</v>
      </c>
      <c r="B2416" s="185" t="s">
        <v>1987</v>
      </c>
      <c r="C2416" s="185" t="s">
        <v>59</v>
      </c>
      <c r="D2416" s="185" t="s">
        <v>1988</v>
      </c>
      <c r="E2416" s="185" t="s">
        <v>754</v>
      </c>
      <c r="F2416" s="185"/>
      <c r="G2416" s="185" t="s">
        <v>60</v>
      </c>
      <c r="H2416" s="186">
        <v>0.105</v>
      </c>
      <c r="I2416" s="241">
        <v>23.13</v>
      </c>
      <c r="J2416" s="241">
        <v>2.42</v>
      </c>
    </row>
    <row r="2417" spans="1:10" ht="142.5" x14ac:dyDescent="0.25">
      <c r="A2417" s="185" t="s">
        <v>119</v>
      </c>
      <c r="B2417" s="185" t="s">
        <v>2069</v>
      </c>
      <c r="C2417" s="185" t="s">
        <v>59</v>
      </c>
      <c r="D2417" s="185" t="s">
        <v>2070</v>
      </c>
      <c r="E2417" s="185" t="s">
        <v>2071</v>
      </c>
      <c r="F2417" s="185"/>
      <c r="G2417" s="185" t="s">
        <v>116</v>
      </c>
      <c r="H2417" s="186">
        <v>1</v>
      </c>
      <c r="I2417" s="241">
        <v>10.02</v>
      </c>
      <c r="J2417" s="241">
        <v>10.02</v>
      </c>
    </row>
    <row r="2418" spans="1:10" ht="28.5" x14ac:dyDescent="0.25">
      <c r="A2418" s="185" t="s">
        <v>119</v>
      </c>
      <c r="B2418" s="185" t="s">
        <v>1985</v>
      </c>
      <c r="C2418" s="185" t="s">
        <v>59</v>
      </c>
      <c r="D2418" s="185" t="s">
        <v>1986</v>
      </c>
      <c r="E2418" s="185" t="s">
        <v>754</v>
      </c>
      <c r="F2418" s="185"/>
      <c r="G2418" s="185" t="s">
        <v>60</v>
      </c>
      <c r="H2418" s="186">
        <v>0.105</v>
      </c>
      <c r="I2418" s="241">
        <v>32.57</v>
      </c>
      <c r="J2418" s="241">
        <v>3.41</v>
      </c>
    </row>
    <row r="2419" spans="1:10" ht="57" x14ac:dyDescent="0.25">
      <c r="A2419" s="191" t="s">
        <v>62</v>
      </c>
      <c r="B2419" s="191" t="s">
        <v>2072</v>
      </c>
      <c r="C2419" s="191" t="s">
        <v>59</v>
      </c>
      <c r="D2419" s="191" t="s">
        <v>2073</v>
      </c>
      <c r="E2419" s="191" t="s">
        <v>120</v>
      </c>
      <c r="F2419" s="191"/>
      <c r="G2419" s="191" t="s">
        <v>116</v>
      </c>
      <c r="H2419" s="192">
        <v>1.1000000000000001</v>
      </c>
      <c r="I2419" s="244">
        <v>5.35</v>
      </c>
      <c r="J2419" s="244">
        <v>5.88</v>
      </c>
    </row>
    <row r="2420" spans="1:10" x14ac:dyDescent="0.25">
      <c r="A2420" s="187"/>
      <c r="B2420" s="187"/>
      <c r="C2420" s="187"/>
      <c r="D2420" s="187"/>
      <c r="E2420" s="187" t="s">
        <v>756</v>
      </c>
      <c r="F2420" s="188">
        <v>10.17</v>
      </c>
      <c r="G2420" s="187" t="s">
        <v>757</v>
      </c>
      <c r="H2420" s="188">
        <v>0</v>
      </c>
      <c r="I2420" s="242" t="s">
        <v>758</v>
      </c>
      <c r="J2420" s="242">
        <v>10.17</v>
      </c>
    </row>
    <row r="2421" spans="1:10" x14ac:dyDescent="0.25">
      <c r="A2421" s="187"/>
      <c r="B2421" s="187"/>
      <c r="C2421" s="187"/>
      <c r="D2421" s="187"/>
      <c r="E2421" s="187" t="s">
        <v>759</v>
      </c>
      <c r="F2421" s="188">
        <v>0</v>
      </c>
      <c r="G2421" s="187"/>
      <c r="H2421" s="187" t="s">
        <v>760</v>
      </c>
      <c r="I2421" s="242"/>
      <c r="J2421" s="242">
        <v>21.73</v>
      </c>
    </row>
    <row r="2422" spans="1:10" x14ac:dyDescent="0.25">
      <c r="A2422" s="182"/>
      <c r="B2422" s="182"/>
      <c r="C2422" s="182"/>
      <c r="D2422" s="182"/>
      <c r="E2422" s="182"/>
      <c r="F2422" s="182"/>
      <c r="G2422" s="182" t="s">
        <v>761</v>
      </c>
      <c r="H2422" s="189" t="s">
        <v>2074</v>
      </c>
      <c r="I2422" s="239" t="s">
        <v>763</v>
      </c>
      <c r="J2422" s="239">
        <v>1382.24</v>
      </c>
    </row>
    <row r="2423" spans="1:10" x14ac:dyDescent="0.25">
      <c r="A2423" s="183"/>
      <c r="B2423" s="183"/>
      <c r="C2423" s="183"/>
      <c r="D2423" s="183"/>
      <c r="E2423" s="183"/>
      <c r="F2423" s="183"/>
      <c r="G2423" s="183"/>
      <c r="H2423" s="183"/>
      <c r="I2423" s="240"/>
      <c r="J2423" s="240"/>
    </row>
    <row r="2424" spans="1:10" x14ac:dyDescent="0.25">
      <c r="A2424" s="182" t="s">
        <v>2075</v>
      </c>
      <c r="B2424" s="182" t="s">
        <v>66</v>
      </c>
      <c r="C2424" s="182" t="s">
        <v>64</v>
      </c>
      <c r="D2424" s="182" t="s">
        <v>67</v>
      </c>
      <c r="E2424" s="182" t="s">
        <v>65</v>
      </c>
      <c r="F2424" s="182"/>
      <c r="G2424" s="182" t="s">
        <v>744</v>
      </c>
      <c r="H2424" s="182" t="s">
        <v>69</v>
      </c>
      <c r="I2424" s="239" t="s">
        <v>745</v>
      </c>
      <c r="J2424" s="239" t="s">
        <v>0</v>
      </c>
    </row>
    <row r="2425" spans="1:10" ht="99.75" x14ac:dyDescent="0.25">
      <c r="A2425" s="183" t="s">
        <v>58</v>
      </c>
      <c r="B2425" s="183" t="s">
        <v>2076</v>
      </c>
      <c r="C2425" s="183" t="s">
        <v>59</v>
      </c>
      <c r="D2425" s="183" t="s">
        <v>2077</v>
      </c>
      <c r="E2425" s="183" t="s">
        <v>1984</v>
      </c>
      <c r="F2425" s="183"/>
      <c r="G2425" s="183" t="s">
        <v>116</v>
      </c>
      <c r="H2425" s="184">
        <v>1</v>
      </c>
      <c r="I2425" s="240">
        <v>10.27</v>
      </c>
      <c r="J2425" s="240">
        <v>10.27</v>
      </c>
    </row>
    <row r="2426" spans="1:10" ht="28.5" x14ac:dyDescent="0.25">
      <c r="A2426" s="185" t="s">
        <v>119</v>
      </c>
      <c r="B2426" s="185" t="s">
        <v>1987</v>
      </c>
      <c r="C2426" s="185" t="s">
        <v>59</v>
      </c>
      <c r="D2426" s="185" t="s">
        <v>1988</v>
      </c>
      <c r="E2426" s="185" t="s">
        <v>754</v>
      </c>
      <c r="F2426" s="185"/>
      <c r="G2426" s="185" t="s">
        <v>60</v>
      </c>
      <c r="H2426" s="186">
        <v>0.13400000000000001</v>
      </c>
      <c r="I2426" s="241">
        <v>23.13</v>
      </c>
      <c r="J2426" s="241">
        <v>3.09</v>
      </c>
    </row>
    <row r="2427" spans="1:10" ht="28.5" x14ac:dyDescent="0.25">
      <c r="A2427" s="185" t="s">
        <v>119</v>
      </c>
      <c r="B2427" s="185" t="s">
        <v>1985</v>
      </c>
      <c r="C2427" s="185" t="s">
        <v>59</v>
      </c>
      <c r="D2427" s="185" t="s">
        <v>1986</v>
      </c>
      <c r="E2427" s="185" t="s">
        <v>754</v>
      </c>
      <c r="F2427" s="185"/>
      <c r="G2427" s="185" t="s">
        <v>60</v>
      </c>
      <c r="H2427" s="186">
        <v>0.13400000000000001</v>
      </c>
      <c r="I2427" s="241">
        <v>32.57</v>
      </c>
      <c r="J2427" s="241">
        <v>4.3600000000000003</v>
      </c>
    </row>
    <row r="2428" spans="1:10" ht="57" x14ac:dyDescent="0.25">
      <c r="A2428" s="191" t="s">
        <v>62</v>
      </c>
      <c r="B2428" s="191" t="s">
        <v>2078</v>
      </c>
      <c r="C2428" s="191" t="s">
        <v>59</v>
      </c>
      <c r="D2428" s="191" t="s">
        <v>2079</v>
      </c>
      <c r="E2428" s="191" t="s">
        <v>120</v>
      </c>
      <c r="F2428" s="191"/>
      <c r="G2428" s="191" t="s">
        <v>116</v>
      </c>
      <c r="H2428" s="192">
        <v>1.0169999999999999</v>
      </c>
      <c r="I2428" s="244">
        <v>2.78</v>
      </c>
      <c r="J2428" s="244">
        <v>2.82</v>
      </c>
    </row>
    <row r="2429" spans="1:10" x14ac:dyDescent="0.25">
      <c r="A2429" s="187"/>
      <c r="B2429" s="187"/>
      <c r="C2429" s="187"/>
      <c r="D2429" s="187"/>
      <c r="E2429" s="187" t="s">
        <v>756</v>
      </c>
      <c r="F2429" s="188">
        <v>5.43</v>
      </c>
      <c r="G2429" s="187" t="s">
        <v>757</v>
      </c>
      <c r="H2429" s="188">
        <v>0</v>
      </c>
      <c r="I2429" s="242" t="s">
        <v>758</v>
      </c>
      <c r="J2429" s="242">
        <v>5.43</v>
      </c>
    </row>
    <row r="2430" spans="1:10" x14ac:dyDescent="0.25">
      <c r="A2430" s="187"/>
      <c r="B2430" s="187"/>
      <c r="C2430" s="187"/>
      <c r="D2430" s="187"/>
      <c r="E2430" s="187" t="s">
        <v>759</v>
      </c>
      <c r="F2430" s="188">
        <v>0</v>
      </c>
      <c r="G2430" s="187"/>
      <c r="H2430" s="187" t="s">
        <v>760</v>
      </c>
      <c r="I2430" s="242"/>
      <c r="J2430" s="242">
        <v>10.27</v>
      </c>
    </row>
    <row r="2431" spans="1:10" x14ac:dyDescent="0.25">
      <c r="A2431" s="182"/>
      <c r="B2431" s="182"/>
      <c r="C2431" s="182"/>
      <c r="D2431" s="182"/>
      <c r="E2431" s="182"/>
      <c r="F2431" s="182"/>
      <c r="G2431" s="182" t="s">
        <v>761</v>
      </c>
      <c r="H2431" s="189" t="s">
        <v>2080</v>
      </c>
      <c r="I2431" s="239" t="s">
        <v>763</v>
      </c>
      <c r="J2431" s="239">
        <v>7245.89</v>
      </c>
    </row>
    <row r="2432" spans="1:10" x14ac:dyDescent="0.25">
      <c r="A2432" s="183"/>
      <c r="B2432" s="183"/>
      <c r="C2432" s="183"/>
      <c r="D2432" s="183"/>
      <c r="E2432" s="183"/>
      <c r="F2432" s="183"/>
      <c r="G2432" s="183"/>
      <c r="H2432" s="183"/>
      <c r="I2432" s="240"/>
      <c r="J2432" s="240"/>
    </row>
    <row r="2433" spans="1:10" x14ac:dyDescent="0.25">
      <c r="A2433" s="182" t="s">
        <v>2081</v>
      </c>
      <c r="B2433" s="182" t="s">
        <v>66</v>
      </c>
      <c r="C2433" s="182" t="s">
        <v>64</v>
      </c>
      <c r="D2433" s="182" t="s">
        <v>67</v>
      </c>
      <c r="E2433" s="182" t="s">
        <v>65</v>
      </c>
      <c r="F2433" s="182"/>
      <c r="G2433" s="182" t="s">
        <v>744</v>
      </c>
      <c r="H2433" s="182" t="s">
        <v>69</v>
      </c>
      <c r="I2433" s="239" t="s">
        <v>745</v>
      </c>
      <c r="J2433" s="239" t="s">
        <v>0</v>
      </c>
    </row>
    <row r="2434" spans="1:10" ht="85.5" x14ac:dyDescent="0.25">
      <c r="A2434" s="183" t="s">
        <v>58</v>
      </c>
      <c r="B2434" s="183" t="s">
        <v>2082</v>
      </c>
      <c r="C2434" s="183" t="s">
        <v>59</v>
      </c>
      <c r="D2434" s="183" t="s">
        <v>2083</v>
      </c>
      <c r="E2434" s="183" t="s">
        <v>1984</v>
      </c>
      <c r="F2434" s="183"/>
      <c r="G2434" s="183" t="s">
        <v>116</v>
      </c>
      <c r="H2434" s="184">
        <v>1</v>
      </c>
      <c r="I2434" s="240">
        <v>19.54</v>
      </c>
      <c r="J2434" s="240">
        <v>19.54</v>
      </c>
    </row>
    <row r="2435" spans="1:10" ht="28.5" x14ac:dyDescent="0.25">
      <c r="A2435" s="185" t="s">
        <v>119</v>
      </c>
      <c r="B2435" s="185" t="s">
        <v>1987</v>
      </c>
      <c r="C2435" s="185" t="s">
        <v>59</v>
      </c>
      <c r="D2435" s="185" t="s">
        <v>1988</v>
      </c>
      <c r="E2435" s="185" t="s">
        <v>754</v>
      </c>
      <c r="F2435" s="185"/>
      <c r="G2435" s="185" t="s">
        <v>60</v>
      </c>
      <c r="H2435" s="186">
        <v>0.219</v>
      </c>
      <c r="I2435" s="241">
        <v>23.13</v>
      </c>
      <c r="J2435" s="241">
        <v>5.0599999999999996</v>
      </c>
    </row>
    <row r="2436" spans="1:10" ht="28.5" x14ac:dyDescent="0.25">
      <c r="A2436" s="185" t="s">
        <v>119</v>
      </c>
      <c r="B2436" s="185" t="s">
        <v>1985</v>
      </c>
      <c r="C2436" s="185" t="s">
        <v>59</v>
      </c>
      <c r="D2436" s="185" t="s">
        <v>1986</v>
      </c>
      <c r="E2436" s="185" t="s">
        <v>754</v>
      </c>
      <c r="F2436" s="185"/>
      <c r="G2436" s="185" t="s">
        <v>60</v>
      </c>
      <c r="H2436" s="186">
        <v>0.219</v>
      </c>
      <c r="I2436" s="241">
        <v>32.57</v>
      </c>
      <c r="J2436" s="241">
        <v>7.13</v>
      </c>
    </row>
    <row r="2437" spans="1:10" ht="28.5" x14ac:dyDescent="0.25">
      <c r="A2437" s="191" t="s">
        <v>62</v>
      </c>
      <c r="B2437" s="191" t="s">
        <v>2084</v>
      </c>
      <c r="C2437" s="191" t="s">
        <v>59</v>
      </c>
      <c r="D2437" s="191" t="s">
        <v>2085</v>
      </c>
      <c r="E2437" s="191" t="s">
        <v>120</v>
      </c>
      <c r="F2437" s="191"/>
      <c r="G2437" s="191" t="s">
        <v>116</v>
      </c>
      <c r="H2437" s="192">
        <v>1.0169999999999999</v>
      </c>
      <c r="I2437" s="244">
        <v>7.23</v>
      </c>
      <c r="J2437" s="244">
        <v>7.35</v>
      </c>
    </row>
    <row r="2438" spans="1:10" x14ac:dyDescent="0.25">
      <c r="A2438" s="187"/>
      <c r="B2438" s="187"/>
      <c r="C2438" s="187"/>
      <c r="D2438" s="187"/>
      <c r="E2438" s="187" t="s">
        <v>756</v>
      </c>
      <c r="F2438" s="188">
        <v>8.89</v>
      </c>
      <c r="G2438" s="187" t="s">
        <v>757</v>
      </c>
      <c r="H2438" s="188">
        <v>0</v>
      </c>
      <c r="I2438" s="242" t="s">
        <v>758</v>
      </c>
      <c r="J2438" s="242">
        <v>8.89</v>
      </c>
    </row>
    <row r="2439" spans="1:10" x14ac:dyDescent="0.25">
      <c r="A2439" s="187"/>
      <c r="B2439" s="187"/>
      <c r="C2439" s="187"/>
      <c r="D2439" s="187"/>
      <c r="E2439" s="187" t="s">
        <v>759</v>
      </c>
      <c r="F2439" s="188">
        <v>0</v>
      </c>
      <c r="G2439" s="187"/>
      <c r="H2439" s="187" t="s">
        <v>760</v>
      </c>
      <c r="I2439" s="242"/>
      <c r="J2439" s="242">
        <v>19.54</v>
      </c>
    </row>
    <row r="2440" spans="1:10" x14ac:dyDescent="0.25">
      <c r="A2440" s="182"/>
      <c r="B2440" s="182"/>
      <c r="C2440" s="182"/>
      <c r="D2440" s="182"/>
      <c r="E2440" s="182"/>
      <c r="F2440" s="182"/>
      <c r="G2440" s="182" t="s">
        <v>761</v>
      </c>
      <c r="H2440" s="189" t="s">
        <v>2086</v>
      </c>
      <c r="I2440" s="239" t="s">
        <v>763</v>
      </c>
      <c r="J2440" s="239">
        <v>325.14</v>
      </c>
    </row>
    <row r="2441" spans="1:10" x14ac:dyDescent="0.25">
      <c r="A2441" s="183"/>
      <c r="B2441" s="183"/>
      <c r="C2441" s="183"/>
      <c r="D2441" s="183"/>
      <c r="E2441" s="183"/>
      <c r="F2441" s="183"/>
      <c r="G2441" s="183"/>
      <c r="H2441" s="183"/>
      <c r="I2441" s="240"/>
      <c r="J2441" s="240"/>
    </row>
    <row r="2442" spans="1:10" x14ac:dyDescent="0.25">
      <c r="A2442" s="190" t="s">
        <v>2087</v>
      </c>
      <c r="B2442" s="190"/>
      <c r="C2442" s="190"/>
      <c r="D2442" s="190" t="s">
        <v>577</v>
      </c>
      <c r="E2442" s="190"/>
      <c r="F2442" s="190"/>
      <c r="G2442" s="190"/>
      <c r="H2442" s="190"/>
      <c r="I2442" s="243"/>
      <c r="J2442" s="243">
        <v>6712.08</v>
      </c>
    </row>
    <row r="2443" spans="1:10" x14ac:dyDescent="0.25">
      <c r="A2443" s="182" t="s">
        <v>2088</v>
      </c>
      <c r="B2443" s="182" t="s">
        <v>66</v>
      </c>
      <c r="C2443" s="182" t="s">
        <v>64</v>
      </c>
      <c r="D2443" s="182" t="s">
        <v>67</v>
      </c>
      <c r="E2443" s="182" t="s">
        <v>65</v>
      </c>
      <c r="F2443" s="182"/>
      <c r="G2443" s="182" t="s">
        <v>744</v>
      </c>
      <c r="H2443" s="182" t="s">
        <v>69</v>
      </c>
      <c r="I2443" s="239" t="s">
        <v>745</v>
      </c>
      <c r="J2443" s="239" t="s">
        <v>0</v>
      </c>
    </row>
    <row r="2444" spans="1:10" ht="71.25" x14ac:dyDescent="0.25">
      <c r="A2444" s="183" t="s">
        <v>58</v>
      </c>
      <c r="B2444" s="183" t="s">
        <v>2089</v>
      </c>
      <c r="C2444" s="183" t="s">
        <v>59</v>
      </c>
      <c r="D2444" s="183" t="s">
        <v>2090</v>
      </c>
      <c r="E2444" s="183" t="s">
        <v>1984</v>
      </c>
      <c r="F2444" s="183"/>
      <c r="G2444" s="183" t="s">
        <v>61</v>
      </c>
      <c r="H2444" s="184">
        <v>1</v>
      </c>
      <c r="I2444" s="240">
        <v>51.02</v>
      </c>
      <c r="J2444" s="240">
        <v>51.02</v>
      </c>
    </row>
    <row r="2445" spans="1:10" ht="71.25" x14ac:dyDescent="0.25">
      <c r="A2445" s="185" t="s">
        <v>119</v>
      </c>
      <c r="B2445" s="185" t="s">
        <v>2091</v>
      </c>
      <c r="C2445" s="185" t="s">
        <v>59</v>
      </c>
      <c r="D2445" s="185" t="s">
        <v>2092</v>
      </c>
      <c r="E2445" s="185" t="s">
        <v>1984</v>
      </c>
      <c r="F2445" s="185"/>
      <c r="G2445" s="185" t="s">
        <v>61</v>
      </c>
      <c r="H2445" s="186">
        <v>1</v>
      </c>
      <c r="I2445" s="241">
        <v>11.18</v>
      </c>
      <c r="J2445" s="241">
        <v>11.18</v>
      </c>
    </row>
    <row r="2446" spans="1:10" ht="71.25" x14ac:dyDescent="0.25">
      <c r="A2446" s="185" t="s">
        <v>119</v>
      </c>
      <c r="B2446" s="185" t="s">
        <v>2093</v>
      </c>
      <c r="C2446" s="185" t="s">
        <v>59</v>
      </c>
      <c r="D2446" s="185" t="s">
        <v>2094</v>
      </c>
      <c r="E2446" s="185" t="s">
        <v>1984</v>
      </c>
      <c r="F2446" s="185"/>
      <c r="G2446" s="185" t="s">
        <v>61</v>
      </c>
      <c r="H2446" s="186">
        <v>1</v>
      </c>
      <c r="I2446" s="241">
        <v>39.840000000000003</v>
      </c>
      <c r="J2446" s="241">
        <v>39.840000000000003</v>
      </c>
    </row>
    <row r="2447" spans="1:10" x14ac:dyDescent="0.25">
      <c r="A2447" s="187"/>
      <c r="B2447" s="187"/>
      <c r="C2447" s="187"/>
      <c r="D2447" s="187"/>
      <c r="E2447" s="187" t="s">
        <v>756</v>
      </c>
      <c r="F2447" s="188">
        <v>21.51</v>
      </c>
      <c r="G2447" s="187" t="s">
        <v>757</v>
      </c>
      <c r="H2447" s="188">
        <v>0</v>
      </c>
      <c r="I2447" s="242" t="s">
        <v>758</v>
      </c>
      <c r="J2447" s="242">
        <v>21.51</v>
      </c>
    </row>
    <row r="2448" spans="1:10" x14ac:dyDescent="0.25">
      <c r="A2448" s="187"/>
      <c r="B2448" s="187"/>
      <c r="C2448" s="187"/>
      <c r="D2448" s="187"/>
      <c r="E2448" s="187" t="s">
        <v>759</v>
      </c>
      <c r="F2448" s="188">
        <v>0</v>
      </c>
      <c r="G2448" s="187"/>
      <c r="H2448" s="187" t="s">
        <v>760</v>
      </c>
      <c r="I2448" s="242"/>
      <c r="J2448" s="242">
        <v>51.02</v>
      </c>
    </row>
    <row r="2449" spans="1:10" x14ac:dyDescent="0.25">
      <c r="A2449" s="182"/>
      <c r="B2449" s="182"/>
      <c r="C2449" s="182"/>
      <c r="D2449" s="182"/>
      <c r="E2449" s="182"/>
      <c r="F2449" s="182"/>
      <c r="G2449" s="182" t="s">
        <v>761</v>
      </c>
      <c r="H2449" s="189" t="s">
        <v>762</v>
      </c>
      <c r="I2449" s="239" t="s">
        <v>763</v>
      </c>
      <c r="J2449" s="239">
        <v>51.02</v>
      </c>
    </row>
    <row r="2450" spans="1:10" x14ac:dyDescent="0.25">
      <c r="A2450" s="183"/>
      <c r="B2450" s="183"/>
      <c r="C2450" s="183"/>
      <c r="D2450" s="183"/>
      <c r="E2450" s="183"/>
      <c r="F2450" s="183"/>
      <c r="G2450" s="183"/>
      <c r="H2450" s="183"/>
      <c r="I2450" s="240"/>
      <c r="J2450" s="240"/>
    </row>
    <row r="2451" spans="1:10" x14ac:dyDescent="0.25">
      <c r="A2451" s="182" t="s">
        <v>2095</v>
      </c>
      <c r="B2451" s="182" t="s">
        <v>66</v>
      </c>
      <c r="C2451" s="182" t="s">
        <v>64</v>
      </c>
      <c r="D2451" s="182" t="s">
        <v>67</v>
      </c>
      <c r="E2451" s="182" t="s">
        <v>65</v>
      </c>
      <c r="F2451" s="182"/>
      <c r="G2451" s="182" t="s">
        <v>744</v>
      </c>
      <c r="H2451" s="182" t="s">
        <v>69</v>
      </c>
      <c r="I2451" s="239" t="s">
        <v>745</v>
      </c>
      <c r="J2451" s="239" t="s">
        <v>0</v>
      </c>
    </row>
    <row r="2452" spans="1:10" ht="71.25" x14ac:dyDescent="0.25">
      <c r="A2452" s="183" t="s">
        <v>58</v>
      </c>
      <c r="B2452" s="183" t="s">
        <v>2096</v>
      </c>
      <c r="C2452" s="183" t="s">
        <v>59</v>
      </c>
      <c r="D2452" s="183" t="s">
        <v>2097</v>
      </c>
      <c r="E2452" s="183" t="s">
        <v>1984</v>
      </c>
      <c r="F2452" s="183"/>
      <c r="G2452" s="183" t="s">
        <v>61</v>
      </c>
      <c r="H2452" s="184">
        <v>1</v>
      </c>
      <c r="I2452" s="240">
        <v>37.049999999999997</v>
      </c>
      <c r="J2452" s="240">
        <v>37.049999999999997</v>
      </c>
    </row>
    <row r="2453" spans="1:10" ht="71.25" x14ac:dyDescent="0.25">
      <c r="A2453" s="185" t="s">
        <v>119</v>
      </c>
      <c r="B2453" s="185" t="s">
        <v>2091</v>
      </c>
      <c r="C2453" s="185" t="s">
        <v>59</v>
      </c>
      <c r="D2453" s="185" t="s">
        <v>2092</v>
      </c>
      <c r="E2453" s="185" t="s">
        <v>1984</v>
      </c>
      <c r="F2453" s="185"/>
      <c r="G2453" s="185" t="s">
        <v>61</v>
      </c>
      <c r="H2453" s="186">
        <v>1</v>
      </c>
      <c r="I2453" s="241">
        <v>11.18</v>
      </c>
      <c r="J2453" s="241">
        <v>11.18</v>
      </c>
    </row>
    <row r="2454" spans="1:10" ht="71.25" x14ac:dyDescent="0.25">
      <c r="A2454" s="185" t="s">
        <v>119</v>
      </c>
      <c r="B2454" s="185" t="s">
        <v>2098</v>
      </c>
      <c r="C2454" s="185" t="s">
        <v>59</v>
      </c>
      <c r="D2454" s="185" t="s">
        <v>2099</v>
      </c>
      <c r="E2454" s="185" t="s">
        <v>1984</v>
      </c>
      <c r="F2454" s="185"/>
      <c r="G2454" s="185" t="s">
        <v>61</v>
      </c>
      <c r="H2454" s="186">
        <v>1</v>
      </c>
      <c r="I2454" s="241">
        <v>25.87</v>
      </c>
      <c r="J2454" s="241">
        <v>25.87</v>
      </c>
    </row>
    <row r="2455" spans="1:10" x14ac:dyDescent="0.25">
      <c r="A2455" s="187"/>
      <c r="B2455" s="187"/>
      <c r="C2455" s="187"/>
      <c r="D2455" s="187"/>
      <c r="E2455" s="187" t="s">
        <v>756</v>
      </c>
      <c r="F2455" s="188">
        <v>18.059999999999999</v>
      </c>
      <c r="G2455" s="187" t="s">
        <v>757</v>
      </c>
      <c r="H2455" s="188">
        <v>0</v>
      </c>
      <c r="I2455" s="242" t="s">
        <v>758</v>
      </c>
      <c r="J2455" s="242">
        <v>18.059999999999999</v>
      </c>
    </row>
    <row r="2456" spans="1:10" x14ac:dyDescent="0.25">
      <c r="A2456" s="187"/>
      <c r="B2456" s="187"/>
      <c r="C2456" s="187"/>
      <c r="D2456" s="187"/>
      <c r="E2456" s="187" t="s">
        <v>759</v>
      </c>
      <c r="F2456" s="188">
        <v>0</v>
      </c>
      <c r="G2456" s="187"/>
      <c r="H2456" s="187" t="s">
        <v>760</v>
      </c>
      <c r="I2456" s="242"/>
      <c r="J2456" s="242">
        <v>37.049999999999997</v>
      </c>
    </row>
    <row r="2457" spans="1:10" x14ac:dyDescent="0.25">
      <c r="A2457" s="182"/>
      <c r="B2457" s="182"/>
      <c r="C2457" s="182"/>
      <c r="D2457" s="182"/>
      <c r="E2457" s="182"/>
      <c r="F2457" s="182"/>
      <c r="G2457" s="182" t="s">
        <v>761</v>
      </c>
      <c r="H2457" s="189" t="s">
        <v>1555</v>
      </c>
      <c r="I2457" s="239" t="s">
        <v>763</v>
      </c>
      <c r="J2457" s="239">
        <v>148.19999999999999</v>
      </c>
    </row>
    <row r="2458" spans="1:10" x14ac:dyDescent="0.25">
      <c r="A2458" s="183"/>
      <c r="B2458" s="183"/>
      <c r="C2458" s="183"/>
      <c r="D2458" s="183"/>
      <c r="E2458" s="183"/>
      <c r="F2458" s="183"/>
      <c r="G2458" s="183"/>
      <c r="H2458" s="183"/>
      <c r="I2458" s="240"/>
      <c r="J2458" s="240"/>
    </row>
    <row r="2459" spans="1:10" x14ac:dyDescent="0.25">
      <c r="A2459" s="182" t="s">
        <v>2100</v>
      </c>
      <c r="B2459" s="182" t="s">
        <v>66</v>
      </c>
      <c r="C2459" s="182" t="s">
        <v>64</v>
      </c>
      <c r="D2459" s="182" t="s">
        <v>67</v>
      </c>
      <c r="E2459" s="182" t="s">
        <v>65</v>
      </c>
      <c r="F2459" s="182"/>
      <c r="G2459" s="182" t="s">
        <v>744</v>
      </c>
      <c r="H2459" s="182" t="s">
        <v>69</v>
      </c>
      <c r="I2459" s="239" t="s">
        <v>745</v>
      </c>
      <c r="J2459" s="239" t="s">
        <v>0</v>
      </c>
    </row>
    <row r="2460" spans="1:10" ht="71.25" x14ac:dyDescent="0.25">
      <c r="A2460" s="183" t="s">
        <v>58</v>
      </c>
      <c r="B2460" s="183" t="s">
        <v>2101</v>
      </c>
      <c r="C2460" s="183" t="s">
        <v>59</v>
      </c>
      <c r="D2460" s="183" t="s">
        <v>2102</v>
      </c>
      <c r="E2460" s="183" t="s">
        <v>1984</v>
      </c>
      <c r="F2460" s="183"/>
      <c r="G2460" s="183" t="s">
        <v>61</v>
      </c>
      <c r="H2460" s="184">
        <v>1</v>
      </c>
      <c r="I2460" s="240">
        <v>30.4</v>
      </c>
      <c r="J2460" s="240">
        <v>30.4</v>
      </c>
    </row>
    <row r="2461" spans="1:10" ht="71.25" x14ac:dyDescent="0.25">
      <c r="A2461" s="185" t="s">
        <v>119</v>
      </c>
      <c r="B2461" s="185" t="s">
        <v>2103</v>
      </c>
      <c r="C2461" s="185" t="s">
        <v>59</v>
      </c>
      <c r="D2461" s="185" t="s">
        <v>2104</v>
      </c>
      <c r="E2461" s="185" t="s">
        <v>1984</v>
      </c>
      <c r="F2461" s="185"/>
      <c r="G2461" s="185" t="s">
        <v>61</v>
      </c>
      <c r="H2461" s="186">
        <v>1</v>
      </c>
      <c r="I2461" s="241">
        <v>19.22</v>
      </c>
      <c r="J2461" s="241">
        <v>19.22</v>
      </c>
    </row>
    <row r="2462" spans="1:10" ht="71.25" x14ac:dyDescent="0.25">
      <c r="A2462" s="185" t="s">
        <v>119</v>
      </c>
      <c r="B2462" s="185" t="s">
        <v>2091</v>
      </c>
      <c r="C2462" s="185" t="s">
        <v>59</v>
      </c>
      <c r="D2462" s="185" t="s">
        <v>2092</v>
      </c>
      <c r="E2462" s="185" t="s">
        <v>1984</v>
      </c>
      <c r="F2462" s="185"/>
      <c r="G2462" s="185" t="s">
        <v>61</v>
      </c>
      <c r="H2462" s="186">
        <v>1</v>
      </c>
      <c r="I2462" s="241">
        <v>11.18</v>
      </c>
      <c r="J2462" s="241">
        <v>11.18</v>
      </c>
    </row>
    <row r="2463" spans="1:10" x14ac:dyDescent="0.25">
      <c r="A2463" s="187"/>
      <c r="B2463" s="187"/>
      <c r="C2463" s="187"/>
      <c r="D2463" s="187"/>
      <c r="E2463" s="187" t="s">
        <v>756</v>
      </c>
      <c r="F2463" s="188">
        <v>14.6</v>
      </c>
      <c r="G2463" s="187" t="s">
        <v>757</v>
      </c>
      <c r="H2463" s="188">
        <v>0</v>
      </c>
      <c r="I2463" s="242" t="s">
        <v>758</v>
      </c>
      <c r="J2463" s="242">
        <v>14.6</v>
      </c>
    </row>
    <row r="2464" spans="1:10" x14ac:dyDescent="0.25">
      <c r="A2464" s="187"/>
      <c r="B2464" s="187"/>
      <c r="C2464" s="187"/>
      <c r="D2464" s="187"/>
      <c r="E2464" s="187" t="s">
        <v>759</v>
      </c>
      <c r="F2464" s="188">
        <v>0</v>
      </c>
      <c r="G2464" s="187"/>
      <c r="H2464" s="187" t="s">
        <v>760</v>
      </c>
      <c r="I2464" s="242"/>
      <c r="J2464" s="242">
        <v>30.4</v>
      </c>
    </row>
    <row r="2465" spans="1:10" x14ac:dyDescent="0.25">
      <c r="A2465" s="182"/>
      <c r="B2465" s="182"/>
      <c r="C2465" s="182"/>
      <c r="D2465" s="182"/>
      <c r="E2465" s="182"/>
      <c r="F2465" s="182"/>
      <c r="G2465" s="182" t="s">
        <v>761</v>
      </c>
      <c r="H2465" s="189" t="s">
        <v>2105</v>
      </c>
      <c r="I2465" s="239" t="s">
        <v>763</v>
      </c>
      <c r="J2465" s="239">
        <v>912</v>
      </c>
    </row>
    <row r="2466" spans="1:10" x14ac:dyDescent="0.25">
      <c r="A2466" s="183"/>
      <c r="B2466" s="183"/>
      <c r="C2466" s="183"/>
      <c r="D2466" s="183"/>
      <c r="E2466" s="183"/>
      <c r="F2466" s="183"/>
      <c r="G2466" s="183"/>
      <c r="H2466" s="183"/>
      <c r="I2466" s="240"/>
      <c r="J2466" s="240"/>
    </row>
    <row r="2467" spans="1:10" x14ac:dyDescent="0.25">
      <c r="A2467" s="182" t="s">
        <v>2106</v>
      </c>
      <c r="B2467" s="182" t="s">
        <v>66</v>
      </c>
      <c r="C2467" s="182" t="s">
        <v>64</v>
      </c>
      <c r="D2467" s="182" t="s">
        <v>67</v>
      </c>
      <c r="E2467" s="182" t="s">
        <v>65</v>
      </c>
      <c r="F2467" s="182"/>
      <c r="G2467" s="182" t="s">
        <v>744</v>
      </c>
      <c r="H2467" s="182" t="s">
        <v>69</v>
      </c>
      <c r="I2467" s="239" t="s">
        <v>745</v>
      </c>
      <c r="J2467" s="239" t="s">
        <v>0</v>
      </c>
    </row>
    <row r="2468" spans="1:10" ht="71.25" x14ac:dyDescent="0.25">
      <c r="A2468" s="183" t="s">
        <v>58</v>
      </c>
      <c r="B2468" s="183" t="s">
        <v>2107</v>
      </c>
      <c r="C2468" s="183" t="s">
        <v>59</v>
      </c>
      <c r="D2468" s="183" t="s">
        <v>2108</v>
      </c>
      <c r="E2468" s="183" t="s">
        <v>1984</v>
      </c>
      <c r="F2468" s="183"/>
      <c r="G2468" s="183" t="s">
        <v>61</v>
      </c>
      <c r="H2468" s="184">
        <v>1</v>
      </c>
      <c r="I2468" s="240">
        <v>36.01</v>
      </c>
      <c r="J2468" s="240">
        <v>36.01</v>
      </c>
    </row>
    <row r="2469" spans="1:10" ht="71.25" x14ac:dyDescent="0.25">
      <c r="A2469" s="185" t="s">
        <v>119</v>
      </c>
      <c r="B2469" s="185" t="s">
        <v>2109</v>
      </c>
      <c r="C2469" s="185" t="s">
        <v>59</v>
      </c>
      <c r="D2469" s="185" t="s">
        <v>2110</v>
      </c>
      <c r="E2469" s="185" t="s">
        <v>1984</v>
      </c>
      <c r="F2469" s="185"/>
      <c r="G2469" s="185" t="s">
        <v>61</v>
      </c>
      <c r="H2469" s="186">
        <v>1</v>
      </c>
      <c r="I2469" s="241">
        <v>24.83</v>
      </c>
      <c r="J2469" s="241">
        <v>24.83</v>
      </c>
    </row>
    <row r="2470" spans="1:10" ht="71.25" x14ac:dyDescent="0.25">
      <c r="A2470" s="185" t="s">
        <v>119</v>
      </c>
      <c r="B2470" s="185" t="s">
        <v>2091</v>
      </c>
      <c r="C2470" s="185" t="s">
        <v>59</v>
      </c>
      <c r="D2470" s="185" t="s">
        <v>2092</v>
      </c>
      <c r="E2470" s="185" t="s">
        <v>1984</v>
      </c>
      <c r="F2470" s="185"/>
      <c r="G2470" s="185" t="s">
        <v>61</v>
      </c>
      <c r="H2470" s="186">
        <v>1</v>
      </c>
      <c r="I2470" s="241">
        <v>11.18</v>
      </c>
      <c r="J2470" s="241">
        <v>11.18</v>
      </c>
    </row>
    <row r="2471" spans="1:10" x14ac:dyDescent="0.25">
      <c r="A2471" s="187"/>
      <c r="B2471" s="187"/>
      <c r="C2471" s="187"/>
      <c r="D2471" s="187"/>
      <c r="E2471" s="187" t="s">
        <v>756</v>
      </c>
      <c r="F2471" s="188">
        <v>18.059999999999999</v>
      </c>
      <c r="G2471" s="187" t="s">
        <v>757</v>
      </c>
      <c r="H2471" s="188">
        <v>0</v>
      </c>
      <c r="I2471" s="242" t="s">
        <v>758</v>
      </c>
      <c r="J2471" s="242">
        <v>18.059999999999999</v>
      </c>
    </row>
    <row r="2472" spans="1:10" x14ac:dyDescent="0.25">
      <c r="A2472" s="187"/>
      <c r="B2472" s="187"/>
      <c r="C2472" s="187"/>
      <c r="D2472" s="187"/>
      <c r="E2472" s="187" t="s">
        <v>759</v>
      </c>
      <c r="F2472" s="188">
        <v>0</v>
      </c>
      <c r="G2472" s="187"/>
      <c r="H2472" s="187" t="s">
        <v>760</v>
      </c>
      <c r="I2472" s="242"/>
      <c r="J2472" s="242">
        <v>36.01</v>
      </c>
    </row>
    <row r="2473" spans="1:10" x14ac:dyDescent="0.25">
      <c r="A2473" s="182"/>
      <c r="B2473" s="182"/>
      <c r="C2473" s="182"/>
      <c r="D2473" s="182"/>
      <c r="E2473" s="182"/>
      <c r="F2473" s="182"/>
      <c r="G2473" s="182" t="s">
        <v>761</v>
      </c>
      <c r="H2473" s="189" t="s">
        <v>2111</v>
      </c>
      <c r="I2473" s="239" t="s">
        <v>763</v>
      </c>
      <c r="J2473" s="239">
        <v>720.2</v>
      </c>
    </row>
    <row r="2474" spans="1:10" x14ac:dyDescent="0.25">
      <c r="A2474" s="183"/>
      <c r="B2474" s="183"/>
      <c r="C2474" s="183"/>
      <c r="D2474" s="183"/>
      <c r="E2474" s="183"/>
      <c r="F2474" s="183"/>
      <c r="G2474" s="183"/>
      <c r="H2474" s="183"/>
      <c r="I2474" s="240"/>
      <c r="J2474" s="240"/>
    </row>
    <row r="2475" spans="1:10" x14ac:dyDescent="0.25">
      <c r="A2475" s="182" t="s">
        <v>2112</v>
      </c>
      <c r="B2475" s="182" t="s">
        <v>66</v>
      </c>
      <c r="C2475" s="182" t="s">
        <v>64</v>
      </c>
      <c r="D2475" s="182" t="s">
        <v>67</v>
      </c>
      <c r="E2475" s="182" t="s">
        <v>65</v>
      </c>
      <c r="F2475" s="182"/>
      <c r="G2475" s="182" t="s">
        <v>744</v>
      </c>
      <c r="H2475" s="182" t="s">
        <v>69</v>
      </c>
      <c r="I2475" s="239" t="s">
        <v>745</v>
      </c>
      <c r="J2475" s="239" t="s">
        <v>0</v>
      </c>
    </row>
    <row r="2476" spans="1:10" ht="71.25" x14ac:dyDescent="0.25">
      <c r="A2476" s="183" t="s">
        <v>58</v>
      </c>
      <c r="B2476" s="183" t="s">
        <v>2113</v>
      </c>
      <c r="C2476" s="183" t="s">
        <v>59</v>
      </c>
      <c r="D2476" s="183" t="s">
        <v>2114</v>
      </c>
      <c r="E2476" s="183" t="s">
        <v>1984</v>
      </c>
      <c r="F2476" s="183"/>
      <c r="G2476" s="183" t="s">
        <v>61</v>
      </c>
      <c r="H2476" s="184">
        <v>1</v>
      </c>
      <c r="I2476" s="240">
        <v>84.75</v>
      </c>
      <c r="J2476" s="240">
        <v>84.75</v>
      </c>
    </row>
    <row r="2477" spans="1:10" ht="71.25" x14ac:dyDescent="0.25">
      <c r="A2477" s="185" t="s">
        <v>119</v>
      </c>
      <c r="B2477" s="185" t="s">
        <v>2091</v>
      </c>
      <c r="C2477" s="185" t="s">
        <v>59</v>
      </c>
      <c r="D2477" s="185" t="s">
        <v>2092</v>
      </c>
      <c r="E2477" s="185" t="s">
        <v>1984</v>
      </c>
      <c r="F2477" s="185"/>
      <c r="G2477" s="185" t="s">
        <v>61</v>
      </c>
      <c r="H2477" s="186">
        <v>1</v>
      </c>
      <c r="I2477" s="241">
        <v>11.18</v>
      </c>
      <c r="J2477" s="241">
        <v>11.18</v>
      </c>
    </row>
    <row r="2478" spans="1:10" ht="71.25" x14ac:dyDescent="0.25">
      <c r="A2478" s="185" t="s">
        <v>119</v>
      </c>
      <c r="B2478" s="185" t="s">
        <v>2115</v>
      </c>
      <c r="C2478" s="185" t="s">
        <v>59</v>
      </c>
      <c r="D2478" s="185" t="s">
        <v>2116</v>
      </c>
      <c r="E2478" s="185" t="s">
        <v>1984</v>
      </c>
      <c r="F2478" s="185"/>
      <c r="G2478" s="185" t="s">
        <v>61</v>
      </c>
      <c r="H2478" s="186">
        <v>1</v>
      </c>
      <c r="I2478" s="241">
        <v>73.569999999999993</v>
      </c>
      <c r="J2478" s="241">
        <v>73.569999999999993</v>
      </c>
    </row>
    <row r="2479" spans="1:10" x14ac:dyDescent="0.25">
      <c r="A2479" s="187"/>
      <c r="B2479" s="187"/>
      <c r="C2479" s="187"/>
      <c r="D2479" s="187"/>
      <c r="E2479" s="187" t="s">
        <v>756</v>
      </c>
      <c r="F2479" s="188">
        <v>38.729999999999997</v>
      </c>
      <c r="G2479" s="187" t="s">
        <v>757</v>
      </c>
      <c r="H2479" s="188">
        <v>0</v>
      </c>
      <c r="I2479" s="242" t="s">
        <v>758</v>
      </c>
      <c r="J2479" s="242">
        <v>38.729999999999997</v>
      </c>
    </row>
    <row r="2480" spans="1:10" x14ac:dyDescent="0.25">
      <c r="A2480" s="187"/>
      <c r="B2480" s="187"/>
      <c r="C2480" s="187"/>
      <c r="D2480" s="187"/>
      <c r="E2480" s="187" t="s">
        <v>759</v>
      </c>
      <c r="F2480" s="188">
        <v>0</v>
      </c>
      <c r="G2480" s="187"/>
      <c r="H2480" s="187" t="s">
        <v>760</v>
      </c>
      <c r="I2480" s="242"/>
      <c r="J2480" s="242">
        <v>84.75</v>
      </c>
    </row>
    <row r="2481" spans="1:10" x14ac:dyDescent="0.25">
      <c r="A2481" s="182"/>
      <c r="B2481" s="182"/>
      <c r="C2481" s="182"/>
      <c r="D2481" s="182"/>
      <c r="E2481" s="182"/>
      <c r="F2481" s="182"/>
      <c r="G2481" s="182" t="s">
        <v>761</v>
      </c>
      <c r="H2481" s="189" t="s">
        <v>2117</v>
      </c>
      <c r="I2481" s="239" t="s">
        <v>763</v>
      </c>
      <c r="J2481" s="239">
        <v>4576.5</v>
      </c>
    </row>
    <row r="2482" spans="1:10" x14ac:dyDescent="0.25">
      <c r="A2482" s="183"/>
      <c r="B2482" s="183"/>
      <c r="C2482" s="183"/>
      <c r="D2482" s="183"/>
      <c r="E2482" s="183"/>
      <c r="F2482" s="183"/>
      <c r="G2482" s="183"/>
      <c r="H2482" s="183"/>
      <c r="I2482" s="240"/>
      <c r="J2482" s="240"/>
    </row>
    <row r="2483" spans="1:10" x14ac:dyDescent="0.25">
      <c r="A2483" s="182" t="s">
        <v>2118</v>
      </c>
      <c r="B2483" s="182" t="s">
        <v>66</v>
      </c>
      <c r="C2483" s="182" t="s">
        <v>64</v>
      </c>
      <c r="D2483" s="182" t="s">
        <v>67</v>
      </c>
      <c r="E2483" s="182" t="s">
        <v>65</v>
      </c>
      <c r="F2483" s="182"/>
      <c r="G2483" s="182" t="s">
        <v>744</v>
      </c>
      <c r="H2483" s="182" t="s">
        <v>69</v>
      </c>
      <c r="I2483" s="239" t="s">
        <v>745</v>
      </c>
      <c r="J2483" s="239" t="s">
        <v>0</v>
      </c>
    </row>
    <row r="2484" spans="1:10" ht="71.25" x14ac:dyDescent="0.25">
      <c r="A2484" s="183" t="s">
        <v>58</v>
      </c>
      <c r="B2484" s="183" t="s">
        <v>2119</v>
      </c>
      <c r="C2484" s="183" t="s">
        <v>59</v>
      </c>
      <c r="D2484" s="183" t="s">
        <v>2120</v>
      </c>
      <c r="E2484" s="183" t="s">
        <v>1984</v>
      </c>
      <c r="F2484" s="183"/>
      <c r="G2484" s="183" t="s">
        <v>61</v>
      </c>
      <c r="H2484" s="184">
        <v>1</v>
      </c>
      <c r="I2484" s="240">
        <v>38.020000000000003</v>
      </c>
      <c r="J2484" s="240">
        <v>38.020000000000003</v>
      </c>
    </row>
    <row r="2485" spans="1:10" ht="71.25" x14ac:dyDescent="0.25">
      <c r="A2485" s="185" t="s">
        <v>119</v>
      </c>
      <c r="B2485" s="185" t="s">
        <v>2121</v>
      </c>
      <c r="C2485" s="185" t="s">
        <v>59</v>
      </c>
      <c r="D2485" s="185" t="s">
        <v>2122</v>
      </c>
      <c r="E2485" s="185" t="s">
        <v>1984</v>
      </c>
      <c r="F2485" s="185"/>
      <c r="G2485" s="185" t="s">
        <v>61</v>
      </c>
      <c r="H2485" s="186">
        <v>1</v>
      </c>
      <c r="I2485" s="241">
        <v>26.84</v>
      </c>
      <c r="J2485" s="241">
        <v>26.84</v>
      </c>
    </row>
    <row r="2486" spans="1:10" ht="71.25" x14ac:dyDescent="0.25">
      <c r="A2486" s="185" t="s">
        <v>119</v>
      </c>
      <c r="B2486" s="185" t="s">
        <v>2091</v>
      </c>
      <c r="C2486" s="185" t="s">
        <v>59</v>
      </c>
      <c r="D2486" s="185" t="s">
        <v>2092</v>
      </c>
      <c r="E2486" s="185" t="s">
        <v>1984</v>
      </c>
      <c r="F2486" s="185"/>
      <c r="G2486" s="185" t="s">
        <v>61</v>
      </c>
      <c r="H2486" s="186">
        <v>1</v>
      </c>
      <c r="I2486" s="241">
        <v>11.18</v>
      </c>
      <c r="J2486" s="241">
        <v>11.18</v>
      </c>
    </row>
    <row r="2487" spans="1:10" x14ac:dyDescent="0.25">
      <c r="A2487" s="187"/>
      <c r="B2487" s="187"/>
      <c r="C2487" s="187"/>
      <c r="D2487" s="187"/>
      <c r="E2487" s="187" t="s">
        <v>756</v>
      </c>
      <c r="F2487" s="188">
        <v>18.059999999999999</v>
      </c>
      <c r="G2487" s="187" t="s">
        <v>757</v>
      </c>
      <c r="H2487" s="188">
        <v>0</v>
      </c>
      <c r="I2487" s="242" t="s">
        <v>758</v>
      </c>
      <c r="J2487" s="242">
        <v>18.059999999999999</v>
      </c>
    </row>
    <row r="2488" spans="1:10" x14ac:dyDescent="0.25">
      <c r="A2488" s="187"/>
      <c r="B2488" s="187"/>
      <c r="C2488" s="187"/>
      <c r="D2488" s="187"/>
      <c r="E2488" s="187" t="s">
        <v>759</v>
      </c>
      <c r="F2488" s="188">
        <v>0</v>
      </c>
      <c r="G2488" s="187"/>
      <c r="H2488" s="187" t="s">
        <v>760</v>
      </c>
      <c r="I2488" s="242"/>
      <c r="J2488" s="242">
        <v>38.020000000000003</v>
      </c>
    </row>
    <row r="2489" spans="1:10" x14ac:dyDescent="0.25">
      <c r="A2489" s="182"/>
      <c r="B2489" s="182"/>
      <c r="C2489" s="182"/>
      <c r="D2489" s="182"/>
      <c r="E2489" s="182"/>
      <c r="F2489" s="182"/>
      <c r="G2489" s="182" t="s">
        <v>761</v>
      </c>
      <c r="H2489" s="189" t="s">
        <v>1183</v>
      </c>
      <c r="I2489" s="239" t="s">
        <v>763</v>
      </c>
      <c r="J2489" s="239">
        <v>304.16000000000003</v>
      </c>
    </row>
    <row r="2490" spans="1:10" x14ac:dyDescent="0.25">
      <c r="A2490" s="183"/>
      <c r="B2490" s="183"/>
      <c r="C2490" s="183"/>
      <c r="D2490" s="183"/>
      <c r="E2490" s="183"/>
      <c r="F2490" s="183"/>
      <c r="G2490" s="183"/>
      <c r="H2490" s="183"/>
      <c r="I2490" s="240"/>
      <c r="J2490" s="240"/>
    </row>
    <row r="2491" spans="1:10" x14ac:dyDescent="0.25">
      <c r="A2491" s="190" t="s">
        <v>2123</v>
      </c>
      <c r="B2491" s="190"/>
      <c r="C2491" s="190"/>
      <c r="D2491" s="190" t="s">
        <v>581</v>
      </c>
      <c r="E2491" s="190"/>
      <c r="F2491" s="190"/>
      <c r="G2491" s="190"/>
      <c r="H2491" s="190"/>
      <c r="I2491" s="243"/>
      <c r="J2491" s="243">
        <v>2209.34</v>
      </c>
    </row>
    <row r="2492" spans="1:10" x14ac:dyDescent="0.25">
      <c r="A2492" s="182" t="s">
        <v>2124</v>
      </c>
      <c r="B2492" s="182" t="s">
        <v>66</v>
      </c>
      <c r="C2492" s="182" t="s">
        <v>64</v>
      </c>
      <c r="D2492" s="182" t="s">
        <v>67</v>
      </c>
      <c r="E2492" s="182" t="s">
        <v>65</v>
      </c>
      <c r="F2492" s="182"/>
      <c r="G2492" s="182" t="s">
        <v>744</v>
      </c>
      <c r="H2492" s="182" t="s">
        <v>69</v>
      </c>
      <c r="I2492" s="239" t="s">
        <v>745</v>
      </c>
      <c r="J2492" s="239" t="s">
        <v>0</v>
      </c>
    </row>
    <row r="2493" spans="1:10" ht="42.75" x14ac:dyDescent="0.25">
      <c r="A2493" s="183" t="s">
        <v>58</v>
      </c>
      <c r="B2493" s="183" t="s">
        <v>2125</v>
      </c>
      <c r="C2493" s="183" t="s">
        <v>59</v>
      </c>
      <c r="D2493" s="183" t="s">
        <v>2126</v>
      </c>
      <c r="E2493" s="183" t="s">
        <v>2127</v>
      </c>
      <c r="F2493" s="183"/>
      <c r="G2493" s="183" t="s">
        <v>61</v>
      </c>
      <c r="H2493" s="184">
        <v>1</v>
      </c>
      <c r="I2493" s="240">
        <v>13.23</v>
      </c>
      <c r="J2493" s="240">
        <v>13.23</v>
      </c>
    </row>
    <row r="2494" spans="1:10" ht="28.5" x14ac:dyDescent="0.25">
      <c r="A2494" s="185" t="s">
        <v>119</v>
      </c>
      <c r="B2494" s="185" t="s">
        <v>1985</v>
      </c>
      <c r="C2494" s="185" t="s">
        <v>59</v>
      </c>
      <c r="D2494" s="185" t="s">
        <v>1986</v>
      </c>
      <c r="E2494" s="185" t="s">
        <v>754</v>
      </c>
      <c r="F2494" s="185"/>
      <c r="G2494" s="185" t="s">
        <v>60</v>
      </c>
      <c r="H2494" s="186">
        <v>0.1628</v>
      </c>
      <c r="I2494" s="241">
        <v>32.57</v>
      </c>
      <c r="J2494" s="241">
        <v>5.3</v>
      </c>
    </row>
    <row r="2495" spans="1:10" ht="28.5" x14ac:dyDescent="0.25">
      <c r="A2495" s="185" t="s">
        <v>119</v>
      </c>
      <c r="B2495" s="185" t="s">
        <v>1987</v>
      </c>
      <c r="C2495" s="185" t="s">
        <v>59</v>
      </c>
      <c r="D2495" s="185" t="s">
        <v>1988</v>
      </c>
      <c r="E2495" s="185" t="s">
        <v>754</v>
      </c>
      <c r="F2495" s="185"/>
      <c r="G2495" s="185" t="s">
        <v>60</v>
      </c>
      <c r="H2495" s="186">
        <v>5.0874999999999997E-2</v>
      </c>
      <c r="I2495" s="241">
        <v>23.13</v>
      </c>
      <c r="J2495" s="241">
        <v>1.17</v>
      </c>
    </row>
    <row r="2496" spans="1:10" ht="42.75" x14ac:dyDescent="0.25">
      <c r="A2496" s="191" t="s">
        <v>62</v>
      </c>
      <c r="B2496" s="191" t="s">
        <v>2128</v>
      </c>
      <c r="C2496" s="191" t="s">
        <v>59</v>
      </c>
      <c r="D2496" s="191" t="s">
        <v>2129</v>
      </c>
      <c r="E2496" s="191" t="s">
        <v>120</v>
      </c>
      <c r="F2496" s="191"/>
      <c r="G2496" s="191" t="s">
        <v>61</v>
      </c>
      <c r="H2496" s="192">
        <v>1</v>
      </c>
      <c r="I2496" s="244">
        <v>4.5</v>
      </c>
      <c r="J2496" s="244">
        <v>4.5</v>
      </c>
    </row>
    <row r="2497" spans="1:10" ht="28.5" x14ac:dyDescent="0.25">
      <c r="A2497" s="191" t="s">
        <v>62</v>
      </c>
      <c r="B2497" s="191" t="s">
        <v>2130</v>
      </c>
      <c r="C2497" s="191" t="s">
        <v>59</v>
      </c>
      <c r="D2497" s="191" t="s">
        <v>2131</v>
      </c>
      <c r="E2497" s="191" t="s">
        <v>120</v>
      </c>
      <c r="F2497" s="191"/>
      <c r="G2497" s="191" t="s">
        <v>61</v>
      </c>
      <c r="H2497" s="192">
        <v>1</v>
      </c>
      <c r="I2497" s="244">
        <v>2.2599999999999998</v>
      </c>
      <c r="J2497" s="244">
        <v>2.2599999999999998</v>
      </c>
    </row>
    <row r="2498" spans="1:10" x14ac:dyDescent="0.25">
      <c r="A2498" s="187"/>
      <c r="B2498" s="187"/>
      <c r="C2498" s="187"/>
      <c r="D2498" s="187"/>
      <c r="E2498" s="187" t="s">
        <v>756</v>
      </c>
      <c r="F2498" s="188">
        <v>4.8600000000000003</v>
      </c>
      <c r="G2498" s="187" t="s">
        <v>757</v>
      </c>
      <c r="H2498" s="188">
        <v>0</v>
      </c>
      <c r="I2498" s="242" t="s">
        <v>758</v>
      </c>
      <c r="J2498" s="242">
        <v>4.8600000000000003</v>
      </c>
    </row>
    <row r="2499" spans="1:10" x14ac:dyDescent="0.25">
      <c r="A2499" s="187"/>
      <c r="B2499" s="187"/>
      <c r="C2499" s="187"/>
      <c r="D2499" s="187"/>
      <c r="E2499" s="187" t="s">
        <v>759</v>
      </c>
      <c r="F2499" s="188">
        <v>0</v>
      </c>
      <c r="G2499" s="187"/>
      <c r="H2499" s="187" t="s">
        <v>760</v>
      </c>
      <c r="I2499" s="242"/>
      <c r="J2499" s="242">
        <v>13.23</v>
      </c>
    </row>
    <row r="2500" spans="1:10" x14ac:dyDescent="0.25">
      <c r="A2500" s="182"/>
      <c r="B2500" s="182"/>
      <c r="C2500" s="182"/>
      <c r="D2500" s="182"/>
      <c r="E2500" s="182"/>
      <c r="F2500" s="182"/>
      <c r="G2500" s="182" t="s">
        <v>761</v>
      </c>
      <c r="H2500" s="189" t="s">
        <v>1538</v>
      </c>
      <c r="I2500" s="239" t="s">
        <v>763</v>
      </c>
      <c r="J2500" s="239">
        <v>26.46</v>
      </c>
    </row>
    <row r="2501" spans="1:10" x14ac:dyDescent="0.25">
      <c r="A2501" s="183"/>
      <c r="B2501" s="183"/>
      <c r="C2501" s="183"/>
      <c r="D2501" s="183"/>
      <c r="E2501" s="183"/>
      <c r="F2501" s="183"/>
      <c r="G2501" s="183"/>
      <c r="H2501" s="183"/>
      <c r="I2501" s="240"/>
      <c r="J2501" s="240"/>
    </row>
    <row r="2502" spans="1:10" x14ac:dyDescent="0.25">
      <c r="A2502" s="182" t="s">
        <v>2132</v>
      </c>
      <c r="B2502" s="182" t="s">
        <v>66</v>
      </c>
      <c r="C2502" s="182" t="s">
        <v>64</v>
      </c>
      <c r="D2502" s="182" t="s">
        <v>67</v>
      </c>
      <c r="E2502" s="182" t="s">
        <v>65</v>
      </c>
      <c r="F2502" s="182"/>
      <c r="G2502" s="182" t="s">
        <v>744</v>
      </c>
      <c r="H2502" s="182" t="s">
        <v>69</v>
      </c>
      <c r="I2502" s="239" t="s">
        <v>745</v>
      </c>
      <c r="J2502" s="239" t="s">
        <v>0</v>
      </c>
    </row>
    <row r="2503" spans="1:10" ht="71.25" x14ac:dyDescent="0.25">
      <c r="A2503" s="183" t="s">
        <v>58</v>
      </c>
      <c r="B2503" s="183" t="s">
        <v>2133</v>
      </c>
      <c r="C2503" s="183" t="s">
        <v>59</v>
      </c>
      <c r="D2503" s="183" t="s">
        <v>2134</v>
      </c>
      <c r="E2503" s="183" t="s">
        <v>2127</v>
      </c>
      <c r="F2503" s="183"/>
      <c r="G2503" s="183" t="s">
        <v>61</v>
      </c>
      <c r="H2503" s="184">
        <v>1</v>
      </c>
      <c r="I2503" s="240">
        <v>29.56</v>
      </c>
      <c r="J2503" s="240">
        <v>29.56</v>
      </c>
    </row>
    <row r="2504" spans="1:10" ht="28.5" x14ac:dyDescent="0.25">
      <c r="A2504" s="185" t="s">
        <v>119</v>
      </c>
      <c r="B2504" s="185" t="s">
        <v>1987</v>
      </c>
      <c r="C2504" s="185" t="s">
        <v>59</v>
      </c>
      <c r="D2504" s="185" t="s">
        <v>1988</v>
      </c>
      <c r="E2504" s="185" t="s">
        <v>754</v>
      </c>
      <c r="F2504" s="185"/>
      <c r="G2504" s="185" t="s">
        <v>60</v>
      </c>
      <c r="H2504" s="186">
        <v>0.1509375</v>
      </c>
      <c r="I2504" s="241">
        <v>23.13</v>
      </c>
      <c r="J2504" s="241">
        <v>3.49</v>
      </c>
    </row>
    <row r="2505" spans="1:10" ht="28.5" x14ac:dyDescent="0.25">
      <c r="A2505" s="185" t="s">
        <v>119</v>
      </c>
      <c r="B2505" s="185" t="s">
        <v>1985</v>
      </c>
      <c r="C2505" s="185" t="s">
        <v>59</v>
      </c>
      <c r="D2505" s="185" t="s">
        <v>1986</v>
      </c>
      <c r="E2505" s="185" t="s">
        <v>754</v>
      </c>
      <c r="F2505" s="185"/>
      <c r="G2505" s="185" t="s">
        <v>60</v>
      </c>
      <c r="H2505" s="186">
        <v>0.48299989999999998</v>
      </c>
      <c r="I2505" s="241">
        <v>32.57</v>
      </c>
      <c r="J2505" s="241">
        <v>15.73</v>
      </c>
    </row>
    <row r="2506" spans="1:10" ht="42.75" x14ac:dyDescent="0.25">
      <c r="A2506" s="191" t="s">
        <v>62</v>
      </c>
      <c r="B2506" s="191" t="s">
        <v>2135</v>
      </c>
      <c r="C2506" s="191" t="s">
        <v>59</v>
      </c>
      <c r="D2506" s="191" t="s">
        <v>2136</v>
      </c>
      <c r="E2506" s="191" t="s">
        <v>120</v>
      </c>
      <c r="F2506" s="191"/>
      <c r="G2506" s="191" t="s">
        <v>61</v>
      </c>
      <c r="H2506" s="192">
        <v>1</v>
      </c>
      <c r="I2506" s="244">
        <v>10.34</v>
      </c>
      <c r="J2506" s="244">
        <v>10.34</v>
      </c>
    </row>
    <row r="2507" spans="1:10" x14ac:dyDescent="0.25">
      <c r="A2507" s="187"/>
      <c r="B2507" s="187"/>
      <c r="C2507" s="187"/>
      <c r="D2507" s="187"/>
      <c r="E2507" s="187" t="s">
        <v>756</v>
      </c>
      <c r="F2507" s="188">
        <v>14.43</v>
      </c>
      <c r="G2507" s="187" t="s">
        <v>757</v>
      </c>
      <c r="H2507" s="188">
        <v>0</v>
      </c>
      <c r="I2507" s="242" t="s">
        <v>758</v>
      </c>
      <c r="J2507" s="242">
        <v>14.43</v>
      </c>
    </row>
    <row r="2508" spans="1:10" x14ac:dyDescent="0.25">
      <c r="A2508" s="187"/>
      <c r="B2508" s="187"/>
      <c r="C2508" s="187"/>
      <c r="D2508" s="187"/>
      <c r="E2508" s="187" t="s">
        <v>759</v>
      </c>
      <c r="F2508" s="188">
        <v>0</v>
      </c>
      <c r="G2508" s="187"/>
      <c r="H2508" s="187" t="s">
        <v>760</v>
      </c>
      <c r="I2508" s="242"/>
      <c r="J2508" s="242">
        <v>29.56</v>
      </c>
    </row>
    <row r="2509" spans="1:10" x14ac:dyDescent="0.25">
      <c r="A2509" s="182"/>
      <c r="B2509" s="182"/>
      <c r="C2509" s="182"/>
      <c r="D2509" s="182"/>
      <c r="E2509" s="182"/>
      <c r="F2509" s="182"/>
      <c r="G2509" s="182" t="s">
        <v>761</v>
      </c>
      <c r="H2509" s="189" t="s">
        <v>1260</v>
      </c>
      <c r="I2509" s="239" t="s">
        <v>763</v>
      </c>
      <c r="J2509" s="239">
        <v>88.68</v>
      </c>
    </row>
    <row r="2510" spans="1:10" x14ac:dyDescent="0.25">
      <c r="A2510" s="183"/>
      <c r="B2510" s="183"/>
      <c r="C2510" s="183"/>
      <c r="D2510" s="183"/>
      <c r="E2510" s="183"/>
      <c r="F2510" s="183"/>
      <c r="G2510" s="183"/>
      <c r="H2510" s="183"/>
      <c r="I2510" s="240"/>
      <c r="J2510" s="240"/>
    </row>
    <row r="2511" spans="1:10" x14ac:dyDescent="0.25">
      <c r="A2511" s="182" t="s">
        <v>2137</v>
      </c>
      <c r="B2511" s="182" t="s">
        <v>66</v>
      </c>
      <c r="C2511" s="182" t="s">
        <v>64</v>
      </c>
      <c r="D2511" s="182" t="s">
        <v>67</v>
      </c>
      <c r="E2511" s="182" t="s">
        <v>65</v>
      </c>
      <c r="F2511" s="182"/>
      <c r="G2511" s="182" t="s">
        <v>744</v>
      </c>
      <c r="H2511" s="182" t="s">
        <v>69</v>
      </c>
      <c r="I2511" s="239" t="s">
        <v>745</v>
      </c>
      <c r="J2511" s="239" t="s">
        <v>0</v>
      </c>
    </row>
    <row r="2512" spans="1:10" ht="42.75" x14ac:dyDescent="0.25">
      <c r="A2512" s="183" t="s">
        <v>58</v>
      </c>
      <c r="B2512" s="183" t="s">
        <v>2138</v>
      </c>
      <c r="C2512" s="183" t="s">
        <v>59</v>
      </c>
      <c r="D2512" s="183" t="s">
        <v>2139</v>
      </c>
      <c r="E2512" s="183" t="s">
        <v>2127</v>
      </c>
      <c r="F2512" s="183"/>
      <c r="G2512" s="183" t="s">
        <v>61</v>
      </c>
      <c r="H2512" s="184">
        <v>1</v>
      </c>
      <c r="I2512" s="240">
        <v>12.64</v>
      </c>
      <c r="J2512" s="240">
        <v>12.64</v>
      </c>
    </row>
    <row r="2513" spans="1:10" ht="28.5" x14ac:dyDescent="0.25">
      <c r="A2513" s="185" t="s">
        <v>119</v>
      </c>
      <c r="B2513" s="185" t="s">
        <v>1987</v>
      </c>
      <c r="C2513" s="185" t="s">
        <v>59</v>
      </c>
      <c r="D2513" s="185" t="s">
        <v>1988</v>
      </c>
      <c r="E2513" s="185" t="s">
        <v>754</v>
      </c>
      <c r="F2513" s="185"/>
      <c r="G2513" s="185" t="s">
        <v>60</v>
      </c>
      <c r="H2513" s="186">
        <v>5.0874999999999997E-2</v>
      </c>
      <c r="I2513" s="241">
        <v>23.13</v>
      </c>
      <c r="J2513" s="241">
        <v>1.17</v>
      </c>
    </row>
    <row r="2514" spans="1:10" ht="28.5" x14ac:dyDescent="0.25">
      <c r="A2514" s="185" t="s">
        <v>119</v>
      </c>
      <c r="B2514" s="185" t="s">
        <v>1985</v>
      </c>
      <c r="C2514" s="185" t="s">
        <v>59</v>
      </c>
      <c r="D2514" s="185" t="s">
        <v>1986</v>
      </c>
      <c r="E2514" s="185" t="s">
        <v>754</v>
      </c>
      <c r="F2514" s="185"/>
      <c r="G2514" s="185" t="s">
        <v>60</v>
      </c>
      <c r="H2514" s="186">
        <v>0.1628</v>
      </c>
      <c r="I2514" s="241">
        <v>32.57</v>
      </c>
      <c r="J2514" s="241">
        <v>5.3</v>
      </c>
    </row>
    <row r="2515" spans="1:10" ht="28.5" x14ac:dyDescent="0.25">
      <c r="A2515" s="191" t="s">
        <v>62</v>
      </c>
      <c r="B2515" s="191" t="s">
        <v>2130</v>
      </c>
      <c r="C2515" s="191" t="s">
        <v>59</v>
      </c>
      <c r="D2515" s="191" t="s">
        <v>2131</v>
      </c>
      <c r="E2515" s="191" t="s">
        <v>120</v>
      </c>
      <c r="F2515" s="191"/>
      <c r="G2515" s="191" t="s">
        <v>61</v>
      </c>
      <c r="H2515" s="192">
        <v>1</v>
      </c>
      <c r="I2515" s="244">
        <v>2.2599999999999998</v>
      </c>
      <c r="J2515" s="244">
        <v>2.2599999999999998</v>
      </c>
    </row>
    <row r="2516" spans="1:10" ht="42.75" x14ac:dyDescent="0.25">
      <c r="A2516" s="191" t="s">
        <v>62</v>
      </c>
      <c r="B2516" s="191" t="s">
        <v>2140</v>
      </c>
      <c r="C2516" s="191" t="s">
        <v>59</v>
      </c>
      <c r="D2516" s="191" t="s">
        <v>2141</v>
      </c>
      <c r="E2516" s="191" t="s">
        <v>120</v>
      </c>
      <c r="F2516" s="191"/>
      <c r="G2516" s="191" t="s">
        <v>61</v>
      </c>
      <c r="H2516" s="192">
        <v>1</v>
      </c>
      <c r="I2516" s="244">
        <v>3.91</v>
      </c>
      <c r="J2516" s="244">
        <v>3.91</v>
      </c>
    </row>
    <row r="2517" spans="1:10" x14ac:dyDescent="0.25">
      <c r="A2517" s="187"/>
      <c r="B2517" s="187"/>
      <c r="C2517" s="187"/>
      <c r="D2517" s="187"/>
      <c r="E2517" s="187" t="s">
        <v>756</v>
      </c>
      <c r="F2517" s="188">
        <v>4.8600000000000003</v>
      </c>
      <c r="G2517" s="187" t="s">
        <v>757</v>
      </c>
      <c r="H2517" s="188">
        <v>0</v>
      </c>
      <c r="I2517" s="242" t="s">
        <v>758</v>
      </c>
      <c r="J2517" s="242">
        <v>4.8600000000000003</v>
      </c>
    </row>
    <row r="2518" spans="1:10" x14ac:dyDescent="0.25">
      <c r="A2518" s="187"/>
      <c r="B2518" s="187"/>
      <c r="C2518" s="187"/>
      <c r="D2518" s="187"/>
      <c r="E2518" s="187" t="s">
        <v>759</v>
      </c>
      <c r="F2518" s="188">
        <v>0</v>
      </c>
      <c r="G2518" s="187"/>
      <c r="H2518" s="187" t="s">
        <v>760</v>
      </c>
      <c r="I2518" s="242"/>
      <c r="J2518" s="242">
        <v>12.64</v>
      </c>
    </row>
    <row r="2519" spans="1:10" x14ac:dyDescent="0.25">
      <c r="A2519" s="182"/>
      <c r="B2519" s="182"/>
      <c r="C2519" s="182"/>
      <c r="D2519" s="182"/>
      <c r="E2519" s="182"/>
      <c r="F2519" s="182"/>
      <c r="G2519" s="182" t="s">
        <v>761</v>
      </c>
      <c r="H2519" s="189" t="s">
        <v>2142</v>
      </c>
      <c r="I2519" s="239" t="s">
        <v>763</v>
      </c>
      <c r="J2519" s="239">
        <v>846.88</v>
      </c>
    </row>
    <row r="2520" spans="1:10" x14ac:dyDescent="0.25">
      <c r="A2520" s="183"/>
      <c r="B2520" s="183"/>
      <c r="C2520" s="183"/>
      <c r="D2520" s="183"/>
      <c r="E2520" s="183"/>
      <c r="F2520" s="183"/>
      <c r="G2520" s="183"/>
      <c r="H2520" s="183"/>
      <c r="I2520" s="240"/>
      <c r="J2520" s="240"/>
    </row>
    <row r="2521" spans="1:10" x14ac:dyDescent="0.25">
      <c r="A2521" s="182" t="s">
        <v>2143</v>
      </c>
      <c r="B2521" s="182" t="s">
        <v>66</v>
      </c>
      <c r="C2521" s="182" t="s">
        <v>64</v>
      </c>
      <c r="D2521" s="182" t="s">
        <v>67</v>
      </c>
      <c r="E2521" s="182" t="s">
        <v>65</v>
      </c>
      <c r="F2521" s="182"/>
      <c r="G2521" s="182" t="s">
        <v>744</v>
      </c>
      <c r="H2521" s="182" t="s">
        <v>69</v>
      </c>
      <c r="I2521" s="239" t="s">
        <v>745</v>
      </c>
      <c r="J2521" s="239" t="s">
        <v>0</v>
      </c>
    </row>
    <row r="2522" spans="1:10" ht="57" x14ac:dyDescent="0.25">
      <c r="A2522" s="183" t="s">
        <v>58</v>
      </c>
      <c r="B2522" s="183" t="s">
        <v>1323</v>
      </c>
      <c r="C2522" s="183" t="s">
        <v>59</v>
      </c>
      <c r="D2522" s="183" t="s">
        <v>2144</v>
      </c>
      <c r="E2522" s="183" t="s">
        <v>2127</v>
      </c>
      <c r="F2522" s="183"/>
      <c r="G2522" s="183" t="s">
        <v>61</v>
      </c>
      <c r="H2522" s="184">
        <v>1</v>
      </c>
      <c r="I2522" s="240">
        <v>29.06</v>
      </c>
      <c r="J2522" s="240">
        <v>29.06</v>
      </c>
    </row>
    <row r="2523" spans="1:10" ht="28.5" x14ac:dyDescent="0.25">
      <c r="A2523" s="185" t="s">
        <v>119</v>
      </c>
      <c r="B2523" s="185" t="s">
        <v>1987</v>
      </c>
      <c r="C2523" s="185" t="s">
        <v>59</v>
      </c>
      <c r="D2523" s="185" t="s">
        <v>1988</v>
      </c>
      <c r="E2523" s="185" t="s">
        <v>754</v>
      </c>
      <c r="F2523" s="185"/>
      <c r="G2523" s="185" t="s">
        <v>60</v>
      </c>
      <c r="H2523" s="186">
        <v>0.12503120000000001</v>
      </c>
      <c r="I2523" s="241">
        <v>23.13</v>
      </c>
      <c r="J2523" s="241">
        <v>2.89</v>
      </c>
    </row>
    <row r="2524" spans="1:10" ht="28.5" x14ac:dyDescent="0.25">
      <c r="A2524" s="185" t="s">
        <v>119</v>
      </c>
      <c r="B2524" s="185" t="s">
        <v>1985</v>
      </c>
      <c r="C2524" s="185" t="s">
        <v>59</v>
      </c>
      <c r="D2524" s="185" t="s">
        <v>1986</v>
      </c>
      <c r="E2524" s="185" t="s">
        <v>754</v>
      </c>
      <c r="F2524" s="185"/>
      <c r="G2524" s="185" t="s">
        <v>60</v>
      </c>
      <c r="H2524" s="186">
        <v>0.40010000000000001</v>
      </c>
      <c r="I2524" s="241">
        <v>32.57</v>
      </c>
      <c r="J2524" s="241">
        <v>13.03</v>
      </c>
    </row>
    <row r="2525" spans="1:10" ht="28.5" x14ac:dyDescent="0.25">
      <c r="A2525" s="191" t="s">
        <v>62</v>
      </c>
      <c r="B2525" s="191" t="s">
        <v>2145</v>
      </c>
      <c r="C2525" s="191" t="s">
        <v>59</v>
      </c>
      <c r="D2525" s="191" t="s">
        <v>2146</v>
      </c>
      <c r="E2525" s="191" t="s">
        <v>120</v>
      </c>
      <c r="F2525" s="191"/>
      <c r="G2525" s="191" t="s">
        <v>61</v>
      </c>
      <c r="H2525" s="192">
        <v>1</v>
      </c>
      <c r="I2525" s="244">
        <v>8.6199999999999992</v>
      </c>
      <c r="J2525" s="244">
        <v>8.6199999999999992</v>
      </c>
    </row>
    <row r="2526" spans="1:10" ht="28.5" x14ac:dyDescent="0.25">
      <c r="A2526" s="191" t="s">
        <v>62</v>
      </c>
      <c r="B2526" s="191" t="s">
        <v>2130</v>
      </c>
      <c r="C2526" s="191" t="s">
        <v>59</v>
      </c>
      <c r="D2526" s="191" t="s">
        <v>2131</v>
      </c>
      <c r="E2526" s="191" t="s">
        <v>120</v>
      </c>
      <c r="F2526" s="191"/>
      <c r="G2526" s="191" t="s">
        <v>61</v>
      </c>
      <c r="H2526" s="192">
        <v>2</v>
      </c>
      <c r="I2526" s="244">
        <v>2.2599999999999998</v>
      </c>
      <c r="J2526" s="244">
        <v>4.5199999999999996</v>
      </c>
    </row>
    <row r="2527" spans="1:10" x14ac:dyDescent="0.25">
      <c r="A2527" s="187"/>
      <c r="B2527" s="187"/>
      <c r="C2527" s="187"/>
      <c r="D2527" s="187"/>
      <c r="E2527" s="187" t="s">
        <v>756</v>
      </c>
      <c r="F2527" s="188">
        <v>11.95</v>
      </c>
      <c r="G2527" s="187" t="s">
        <v>757</v>
      </c>
      <c r="H2527" s="188">
        <v>0</v>
      </c>
      <c r="I2527" s="242" t="s">
        <v>758</v>
      </c>
      <c r="J2527" s="242">
        <v>11.95</v>
      </c>
    </row>
    <row r="2528" spans="1:10" x14ac:dyDescent="0.25">
      <c r="A2528" s="187"/>
      <c r="B2528" s="187"/>
      <c r="C2528" s="187"/>
      <c r="D2528" s="187"/>
      <c r="E2528" s="187" t="s">
        <v>759</v>
      </c>
      <c r="F2528" s="188">
        <v>0</v>
      </c>
      <c r="G2528" s="187"/>
      <c r="H2528" s="187" t="s">
        <v>760</v>
      </c>
      <c r="I2528" s="242"/>
      <c r="J2528" s="242">
        <v>29.06</v>
      </c>
    </row>
    <row r="2529" spans="1:10" x14ac:dyDescent="0.25">
      <c r="A2529" s="182"/>
      <c r="B2529" s="182"/>
      <c r="C2529" s="182"/>
      <c r="D2529" s="182"/>
      <c r="E2529" s="182"/>
      <c r="F2529" s="182"/>
      <c r="G2529" s="182" t="s">
        <v>761</v>
      </c>
      <c r="H2529" s="189" t="s">
        <v>1997</v>
      </c>
      <c r="I2529" s="239" t="s">
        <v>763</v>
      </c>
      <c r="J2529" s="239">
        <v>929.92</v>
      </c>
    </row>
    <row r="2530" spans="1:10" x14ac:dyDescent="0.25">
      <c r="A2530" s="183"/>
      <c r="B2530" s="183"/>
      <c r="C2530" s="183"/>
      <c r="D2530" s="183"/>
      <c r="E2530" s="183"/>
      <c r="F2530" s="183"/>
      <c r="G2530" s="183"/>
      <c r="H2530" s="183"/>
      <c r="I2530" s="240"/>
      <c r="J2530" s="240"/>
    </row>
    <row r="2531" spans="1:10" x14ac:dyDescent="0.25">
      <c r="A2531" s="182" t="s">
        <v>2147</v>
      </c>
      <c r="B2531" s="182" t="s">
        <v>66</v>
      </c>
      <c r="C2531" s="182" t="s">
        <v>64</v>
      </c>
      <c r="D2531" s="182" t="s">
        <v>67</v>
      </c>
      <c r="E2531" s="182" t="s">
        <v>65</v>
      </c>
      <c r="F2531" s="182"/>
      <c r="G2531" s="182" t="s">
        <v>744</v>
      </c>
      <c r="H2531" s="182" t="s">
        <v>69</v>
      </c>
      <c r="I2531" s="239" t="s">
        <v>745</v>
      </c>
      <c r="J2531" s="239" t="s">
        <v>0</v>
      </c>
    </row>
    <row r="2532" spans="1:10" ht="57" x14ac:dyDescent="0.25">
      <c r="A2532" s="183" t="s">
        <v>58</v>
      </c>
      <c r="B2532" s="183" t="s">
        <v>1293</v>
      </c>
      <c r="C2532" s="183" t="s">
        <v>59</v>
      </c>
      <c r="D2532" s="183" t="s">
        <v>2148</v>
      </c>
      <c r="E2532" s="183" t="s">
        <v>2127</v>
      </c>
      <c r="F2532" s="183"/>
      <c r="G2532" s="183" t="s">
        <v>61</v>
      </c>
      <c r="H2532" s="184">
        <v>1</v>
      </c>
      <c r="I2532" s="240">
        <v>26.45</v>
      </c>
      <c r="J2532" s="240">
        <v>26.45</v>
      </c>
    </row>
    <row r="2533" spans="1:10" ht="28.5" x14ac:dyDescent="0.25">
      <c r="A2533" s="185" t="s">
        <v>119</v>
      </c>
      <c r="B2533" s="185" t="s">
        <v>1987</v>
      </c>
      <c r="C2533" s="185" t="s">
        <v>59</v>
      </c>
      <c r="D2533" s="185" t="s">
        <v>1988</v>
      </c>
      <c r="E2533" s="185" t="s">
        <v>754</v>
      </c>
      <c r="F2533" s="185"/>
      <c r="G2533" s="185" t="s">
        <v>60</v>
      </c>
      <c r="H2533" s="186">
        <v>0.12503120000000001</v>
      </c>
      <c r="I2533" s="241">
        <v>23.13</v>
      </c>
      <c r="J2533" s="241">
        <v>2.89</v>
      </c>
    </row>
    <row r="2534" spans="1:10" ht="28.5" x14ac:dyDescent="0.25">
      <c r="A2534" s="185" t="s">
        <v>119</v>
      </c>
      <c r="B2534" s="185" t="s">
        <v>1985</v>
      </c>
      <c r="C2534" s="185" t="s">
        <v>59</v>
      </c>
      <c r="D2534" s="185" t="s">
        <v>1986</v>
      </c>
      <c r="E2534" s="185" t="s">
        <v>754</v>
      </c>
      <c r="F2534" s="185"/>
      <c r="G2534" s="185" t="s">
        <v>60</v>
      </c>
      <c r="H2534" s="186">
        <v>0.40010000000000001</v>
      </c>
      <c r="I2534" s="241">
        <v>32.57</v>
      </c>
      <c r="J2534" s="241">
        <v>13.03</v>
      </c>
    </row>
    <row r="2535" spans="1:10" ht="28.5" x14ac:dyDescent="0.25">
      <c r="A2535" s="191" t="s">
        <v>62</v>
      </c>
      <c r="B2535" s="191" t="s">
        <v>2130</v>
      </c>
      <c r="C2535" s="191" t="s">
        <v>59</v>
      </c>
      <c r="D2535" s="191" t="s">
        <v>2131</v>
      </c>
      <c r="E2535" s="191" t="s">
        <v>120</v>
      </c>
      <c r="F2535" s="191"/>
      <c r="G2535" s="191" t="s">
        <v>61</v>
      </c>
      <c r="H2535" s="192">
        <v>2</v>
      </c>
      <c r="I2535" s="244">
        <v>2.2599999999999998</v>
      </c>
      <c r="J2535" s="244">
        <v>4.5199999999999996</v>
      </c>
    </row>
    <row r="2536" spans="1:10" ht="28.5" x14ac:dyDescent="0.25">
      <c r="A2536" s="191" t="s">
        <v>62</v>
      </c>
      <c r="B2536" s="191" t="s">
        <v>2149</v>
      </c>
      <c r="C2536" s="191" t="s">
        <v>59</v>
      </c>
      <c r="D2536" s="191" t="s">
        <v>2150</v>
      </c>
      <c r="E2536" s="191" t="s">
        <v>120</v>
      </c>
      <c r="F2536" s="191"/>
      <c r="G2536" s="191" t="s">
        <v>61</v>
      </c>
      <c r="H2536" s="192">
        <v>1</v>
      </c>
      <c r="I2536" s="244">
        <v>6.01</v>
      </c>
      <c r="J2536" s="244">
        <v>6.01</v>
      </c>
    </row>
    <row r="2537" spans="1:10" x14ac:dyDescent="0.25">
      <c r="A2537" s="187"/>
      <c r="B2537" s="187"/>
      <c r="C2537" s="187"/>
      <c r="D2537" s="187"/>
      <c r="E2537" s="187" t="s">
        <v>756</v>
      </c>
      <c r="F2537" s="188">
        <v>11.95</v>
      </c>
      <c r="G2537" s="187" t="s">
        <v>757</v>
      </c>
      <c r="H2537" s="188">
        <v>0</v>
      </c>
      <c r="I2537" s="242" t="s">
        <v>758</v>
      </c>
      <c r="J2537" s="242">
        <v>11.95</v>
      </c>
    </row>
    <row r="2538" spans="1:10" x14ac:dyDescent="0.25">
      <c r="A2538" s="187"/>
      <c r="B2538" s="187"/>
      <c r="C2538" s="187"/>
      <c r="D2538" s="187"/>
      <c r="E2538" s="187" t="s">
        <v>759</v>
      </c>
      <c r="F2538" s="188">
        <v>0</v>
      </c>
      <c r="G2538" s="187"/>
      <c r="H2538" s="187" t="s">
        <v>760</v>
      </c>
      <c r="I2538" s="242"/>
      <c r="J2538" s="242">
        <v>26.45</v>
      </c>
    </row>
    <row r="2539" spans="1:10" x14ac:dyDescent="0.25">
      <c r="A2539" s="182"/>
      <c r="B2539" s="182"/>
      <c r="C2539" s="182"/>
      <c r="D2539" s="182"/>
      <c r="E2539" s="182"/>
      <c r="F2539" s="182"/>
      <c r="G2539" s="182" t="s">
        <v>761</v>
      </c>
      <c r="H2539" s="189" t="s">
        <v>1254</v>
      </c>
      <c r="I2539" s="239" t="s">
        <v>763</v>
      </c>
      <c r="J2539" s="239">
        <v>317.39999999999998</v>
      </c>
    </row>
    <row r="2540" spans="1:10" x14ac:dyDescent="0.25">
      <c r="A2540" s="183"/>
      <c r="B2540" s="183"/>
      <c r="C2540" s="183"/>
      <c r="D2540" s="183"/>
      <c r="E2540" s="183"/>
      <c r="F2540" s="183"/>
      <c r="G2540" s="183"/>
      <c r="H2540" s="183"/>
      <c r="I2540" s="240"/>
      <c r="J2540" s="240"/>
    </row>
    <row r="2541" spans="1:10" x14ac:dyDescent="0.25">
      <c r="A2541" s="190" t="s">
        <v>2151</v>
      </c>
      <c r="B2541" s="190"/>
      <c r="C2541" s="190"/>
      <c r="D2541" s="190" t="s">
        <v>584</v>
      </c>
      <c r="E2541" s="190"/>
      <c r="F2541" s="190"/>
      <c r="G2541" s="190"/>
      <c r="H2541" s="190"/>
      <c r="I2541" s="243"/>
      <c r="J2541" s="243">
        <v>4144.83</v>
      </c>
    </row>
    <row r="2542" spans="1:10" x14ac:dyDescent="0.25">
      <c r="A2542" s="182" t="s">
        <v>2152</v>
      </c>
      <c r="B2542" s="182" t="s">
        <v>66</v>
      </c>
      <c r="C2542" s="182" t="s">
        <v>64</v>
      </c>
      <c r="D2542" s="182" t="s">
        <v>67</v>
      </c>
      <c r="E2542" s="182" t="s">
        <v>65</v>
      </c>
      <c r="F2542" s="182"/>
      <c r="G2542" s="182" t="s">
        <v>744</v>
      </c>
      <c r="H2542" s="182" t="s">
        <v>69</v>
      </c>
      <c r="I2542" s="239" t="s">
        <v>745</v>
      </c>
      <c r="J2542" s="239" t="s">
        <v>0</v>
      </c>
    </row>
    <row r="2543" spans="1:10" ht="85.5" x14ac:dyDescent="0.25">
      <c r="A2543" s="183" t="s">
        <v>58</v>
      </c>
      <c r="B2543" s="183" t="s">
        <v>2153</v>
      </c>
      <c r="C2543" s="183" t="s">
        <v>59</v>
      </c>
      <c r="D2543" s="183" t="s">
        <v>2154</v>
      </c>
      <c r="E2543" s="183" t="s">
        <v>2155</v>
      </c>
      <c r="F2543" s="183"/>
      <c r="G2543" s="183" t="s">
        <v>61</v>
      </c>
      <c r="H2543" s="184">
        <v>1</v>
      </c>
      <c r="I2543" s="240">
        <v>3823.38</v>
      </c>
      <c r="J2543" s="240">
        <v>3823.38</v>
      </c>
    </row>
    <row r="2544" spans="1:10" ht="85.5" x14ac:dyDescent="0.25">
      <c r="A2544" s="185" t="s">
        <v>119</v>
      </c>
      <c r="B2544" s="185" t="s">
        <v>2156</v>
      </c>
      <c r="C2544" s="185" t="s">
        <v>59</v>
      </c>
      <c r="D2544" s="185" t="s">
        <v>2157</v>
      </c>
      <c r="E2544" s="185" t="s">
        <v>1984</v>
      </c>
      <c r="F2544" s="185"/>
      <c r="G2544" s="185" t="s">
        <v>116</v>
      </c>
      <c r="H2544" s="186">
        <v>6.05</v>
      </c>
      <c r="I2544" s="241">
        <v>16.48</v>
      </c>
      <c r="J2544" s="241">
        <v>99.7</v>
      </c>
    </row>
    <row r="2545" spans="1:10" ht="28.5" x14ac:dyDescent="0.25">
      <c r="A2545" s="185" t="s">
        <v>119</v>
      </c>
      <c r="B2545" s="185" t="s">
        <v>1985</v>
      </c>
      <c r="C2545" s="185" t="s">
        <v>59</v>
      </c>
      <c r="D2545" s="185" t="s">
        <v>1986</v>
      </c>
      <c r="E2545" s="185" t="s">
        <v>754</v>
      </c>
      <c r="F2545" s="185"/>
      <c r="G2545" s="185" t="s">
        <v>60</v>
      </c>
      <c r="H2545" s="186">
        <v>3.5078</v>
      </c>
      <c r="I2545" s="241">
        <v>32.57</v>
      </c>
      <c r="J2545" s="241">
        <v>114.24</v>
      </c>
    </row>
    <row r="2546" spans="1:10" ht="85.5" x14ac:dyDescent="0.25">
      <c r="A2546" s="185" t="s">
        <v>119</v>
      </c>
      <c r="B2546" s="185" t="s">
        <v>2158</v>
      </c>
      <c r="C2546" s="185" t="s">
        <v>59</v>
      </c>
      <c r="D2546" s="185" t="s">
        <v>2159</v>
      </c>
      <c r="E2546" s="185" t="s">
        <v>1984</v>
      </c>
      <c r="F2546" s="185"/>
      <c r="G2546" s="185" t="s">
        <v>61</v>
      </c>
      <c r="H2546" s="186">
        <v>1</v>
      </c>
      <c r="I2546" s="241">
        <v>22.03</v>
      </c>
      <c r="J2546" s="241">
        <v>22.03</v>
      </c>
    </row>
    <row r="2547" spans="1:10" ht="85.5" x14ac:dyDescent="0.25">
      <c r="A2547" s="185" t="s">
        <v>119</v>
      </c>
      <c r="B2547" s="185" t="s">
        <v>2160</v>
      </c>
      <c r="C2547" s="185" t="s">
        <v>59</v>
      </c>
      <c r="D2547" s="185" t="s">
        <v>2161</v>
      </c>
      <c r="E2547" s="185" t="s">
        <v>1984</v>
      </c>
      <c r="F2547" s="185"/>
      <c r="G2547" s="185" t="s">
        <v>61</v>
      </c>
      <c r="H2547" s="186">
        <v>1</v>
      </c>
      <c r="I2547" s="241">
        <v>20.81</v>
      </c>
      <c r="J2547" s="241">
        <v>20.81</v>
      </c>
    </row>
    <row r="2548" spans="1:10" ht="85.5" x14ac:dyDescent="0.25">
      <c r="A2548" s="185" t="s">
        <v>119</v>
      </c>
      <c r="B2548" s="185" t="s">
        <v>2162</v>
      </c>
      <c r="C2548" s="185" t="s">
        <v>59</v>
      </c>
      <c r="D2548" s="185" t="s">
        <v>2163</v>
      </c>
      <c r="E2548" s="185" t="s">
        <v>1984</v>
      </c>
      <c r="F2548" s="185"/>
      <c r="G2548" s="185" t="s">
        <v>61</v>
      </c>
      <c r="H2548" s="186">
        <v>1</v>
      </c>
      <c r="I2548" s="241">
        <v>13.21</v>
      </c>
      <c r="J2548" s="241">
        <v>13.21</v>
      </c>
    </row>
    <row r="2549" spans="1:10" ht="85.5" x14ac:dyDescent="0.25">
      <c r="A2549" s="185" t="s">
        <v>119</v>
      </c>
      <c r="B2549" s="185" t="s">
        <v>2164</v>
      </c>
      <c r="C2549" s="185" t="s">
        <v>59</v>
      </c>
      <c r="D2549" s="185" t="s">
        <v>2165</v>
      </c>
      <c r="E2549" s="185" t="s">
        <v>2166</v>
      </c>
      <c r="F2549" s="185"/>
      <c r="G2549" s="185" t="s">
        <v>61</v>
      </c>
      <c r="H2549" s="186">
        <v>1</v>
      </c>
      <c r="I2549" s="241">
        <v>19.2</v>
      </c>
      <c r="J2549" s="241">
        <v>19.2</v>
      </c>
    </row>
    <row r="2550" spans="1:10" ht="28.5" x14ac:dyDescent="0.25">
      <c r="A2550" s="185" t="s">
        <v>119</v>
      </c>
      <c r="B2550" s="185" t="s">
        <v>1987</v>
      </c>
      <c r="C2550" s="185" t="s">
        <v>59</v>
      </c>
      <c r="D2550" s="185" t="s">
        <v>1988</v>
      </c>
      <c r="E2550" s="185" t="s">
        <v>754</v>
      </c>
      <c r="F2550" s="185"/>
      <c r="G2550" s="185" t="s">
        <v>60</v>
      </c>
      <c r="H2550" s="186">
        <v>0.38969999999999999</v>
      </c>
      <c r="I2550" s="241">
        <v>23.13</v>
      </c>
      <c r="J2550" s="241">
        <v>9.01</v>
      </c>
    </row>
    <row r="2551" spans="1:10" ht="57" x14ac:dyDescent="0.25">
      <c r="A2551" s="185" t="s">
        <v>119</v>
      </c>
      <c r="B2551" s="185" t="s">
        <v>2167</v>
      </c>
      <c r="C2551" s="185" t="s">
        <v>59</v>
      </c>
      <c r="D2551" s="185" t="s">
        <v>2168</v>
      </c>
      <c r="E2551" s="185" t="s">
        <v>2166</v>
      </c>
      <c r="F2551" s="185"/>
      <c r="G2551" s="185" t="s">
        <v>61</v>
      </c>
      <c r="H2551" s="186">
        <v>1</v>
      </c>
      <c r="I2551" s="241">
        <v>107.15</v>
      </c>
      <c r="J2551" s="241">
        <v>107.15</v>
      </c>
    </row>
    <row r="2552" spans="1:10" ht="57" x14ac:dyDescent="0.25">
      <c r="A2552" s="185" t="s">
        <v>119</v>
      </c>
      <c r="B2552" s="185" t="s">
        <v>2169</v>
      </c>
      <c r="C2552" s="185" t="s">
        <v>59</v>
      </c>
      <c r="D2552" s="185" t="s">
        <v>2170</v>
      </c>
      <c r="E2552" s="185" t="s">
        <v>2166</v>
      </c>
      <c r="F2552" s="185"/>
      <c r="G2552" s="185" t="s">
        <v>116</v>
      </c>
      <c r="H2552" s="186">
        <v>1.95</v>
      </c>
      <c r="I2552" s="241">
        <v>60.47</v>
      </c>
      <c r="J2552" s="241">
        <v>117.91</v>
      </c>
    </row>
    <row r="2553" spans="1:10" ht="42.75" x14ac:dyDescent="0.25">
      <c r="A2553" s="185" t="s">
        <v>119</v>
      </c>
      <c r="B2553" s="185" t="s">
        <v>2050</v>
      </c>
      <c r="C2553" s="185" t="s">
        <v>59</v>
      </c>
      <c r="D2553" s="185" t="s">
        <v>2051</v>
      </c>
      <c r="E2553" s="185" t="s">
        <v>2030</v>
      </c>
      <c r="F2553" s="185"/>
      <c r="G2553" s="185" t="s">
        <v>61</v>
      </c>
      <c r="H2553" s="186">
        <v>1</v>
      </c>
      <c r="I2553" s="241">
        <v>106.43</v>
      </c>
      <c r="J2553" s="241">
        <v>106.43</v>
      </c>
    </row>
    <row r="2554" spans="1:10" ht="114" x14ac:dyDescent="0.25">
      <c r="A2554" s="185" t="s">
        <v>119</v>
      </c>
      <c r="B2554" s="185" t="s">
        <v>2171</v>
      </c>
      <c r="C2554" s="185" t="s">
        <v>59</v>
      </c>
      <c r="D2554" s="185" t="s">
        <v>2172</v>
      </c>
      <c r="E2554" s="185" t="s">
        <v>2173</v>
      </c>
      <c r="F2554" s="185"/>
      <c r="G2554" s="185" t="s">
        <v>61</v>
      </c>
      <c r="H2554" s="186">
        <v>1</v>
      </c>
      <c r="I2554" s="241">
        <v>603.91999999999996</v>
      </c>
      <c r="J2554" s="241">
        <v>603.91999999999996</v>
      </c>
    </row>
    <row r="2555" spans="1:10" ht="99.75" x14ac:dyDescent="0.25">
      <c r="A2555" s="185" t="s">
        <v>119</v>
      </c>
      <c r="B2555" s="185" t="s">
        <v>2020</v>
      </c>
      <c r="C2555" s="185" t="s">
        <v>59</v>
      </c>
      <c r="D2555" s="185" t="s">
        <v>2021</v>
      </c>
      <c r="E2555" s="185" t="s">
        <v>2022</v>
      </c>
      <c r="F2555" s="185"/>
      <c r="G2555" s="185" t="s">
        <v>116</v>
      </c>
      <c r="H2555" s="186">
        <v>22.2</v>
      </c>
      <c r="I2555" s="241">
        <v>29.21</v>
      </c>
      <c r="J2555" s="241">
        <v>648.46</v>
      </c>
    </row>
    <row r="2556" spans="1:10" ht="85.5" x14ac:dyDescent="0.25">
      <c r="A2556" s="191" t="s">
        <v>62</v>
      </c>
      <c r="B2556" s="191" t="s">
        <v>2174</v>
      </c>
      <c r="C2556" s="191" t="s">
        <v>59</v>
      </c>
      <c r="D2556" s="191" t="s">
        <v>2175</v>
      </c>
      <c r="E2556" s="191" t="s">
        <v>120</v>
      </c>
      <c r="F2556" s="191"/>
      <c r="G2556" s="191" t="s">
        <v>61</v>
      </c>
      <c r="H2556" s="192">
        <v>1</v>
      </c>
      <c r="I2556" s="244">
        <v>158.16</v>
      </c>
      <c r="J2556" s="244">
        <v>158.16</v>
      </c>
    </row>
    <row r="2557" spans="1:10" ht="57" x14ac:dyDescent="0.25">
      <c r="A2557" s="191" t="s">
        <v>62</v>
      </c>
      <c r="B2557" s="191" t="s">
        <v>2176</v>
      </c>
      <c r="C2557" s="191" t="s">
        <v>59</v>
      </c>
      <c r="D2557" s="191" t="s">
        <v>2177</v>
      </c>
      <c r="E2557" s="191" t="s">
        <v>120</v>
      </c>
      <c r="F2557" s="191"/>
      <c r="G2557" s="191" t="s">
        <v>61</v>
      </c>
      <c r="H2557" s="192">
        <v>1</v>
      </c>
      <c r="I2557" s="244">
        <v>1664.28</v>
      </c>
      <c r="J2557" s="244">
        <v>1664.28</v>
      </c>
    </row>
    <row r="2558" spans="1:10" ht="42.75" x14ac:dyDescent="0.25">
      <c r="A2558" s="191" t="s">
        <v>62</v>
      </c>
      <c r="B2558" s="191" t="s">
        <v>2178</v>
      </c>
      <c r="C2558" s="191" t="s">
        <v>59</v>
      </c>
      <c r="D2558" s="191" t="s">
        <v>2179</v>
      </c>
      <c r="E2558" s="191" t="s">
        <v>120</v>
      </c>
      <c r="F2558" s="191"/>
      <c r="G2558" s="191" t="s">
        <v>61</v>
      </c>
      <c r="H2558" s="192">
        <v>0.06</v>
      </c>
      <c r="I2558" s="244">
        <v>57.68</v>
      </c>
      <c r="J2558" s="244">
        <v>3.46</v>
      </c>
    </row>
    <row r="2559" spans="1:10" ht="28.5" x14ac:dyDescent="0.25">
      <c r="A2559" s="191" t="s">
        <v>62</v>
      </c>
      <c r="B2559" s="191" t="s">
        <v>2180</v>
      </c>
      <c r="C2559" s="191" t="s">
        <v>59</v>
      </c>
      <c r="D2559" s="191" t="s">
        <v>2181</v>
      </c>
      <c r="E2559" s="191" t="s">
        <v>120</v>
      </c>
      <c r="F2559" s="191"/>
      <c r="G2559" s="191" t="s">
        <v>116</v>
      </c>
      <c r="H2559" s="192">
        <v>0.16639999999999999</v>
      </c>
      <c r="I2559" s="244">
        <v>3.74</v>
      </c>
      <c r="J2559" s="244">
        <v>0.62</v>
      </c>
    </row>
    <row r="2560" spans="1:10" ht="57" x14ac:dyDescent="0.25">
      <c r="A2560" s="191" t="s">
        <v>62</v>
      </c>
      <c r="B2560" s="191" t="s">
        <v>2182</v>
      </c>
      <c r="C2560" s="191" t="s">
        <v>59</v>
      </c>
      <c r="D2560" s="191" t="s">
        <v>2183</v>
      </c>
      <c r="E2560" s="191" t="s">
        <v>120</v>
      </c>
      <c r="F2560" s="191"/>
      <c r="G2560" s="191" t="s">
        <v>61</v>
      </c>
      <c r="H2560" s="192">
        <v>1</v>
      </c>
      <c r="I2560" s="244">
        <v>29.26</v>
      </c>
      <c r="J2560" s="244">
        <v>29.26</v>
      </c>
    </row>
    <row r="2561" spans="1:10" ht="28.5" x14ac:dyDescent="0.25">
      <c r="A2561" s="191" t="s">
        <v>62</v>
      </c>
      <c r="B2561" s="191" t="s">
        <v>2184</v>
      </c>
      <c r="C2561" s="191" t="s">
        <v>59</v>
      </c>
      <c r="D2561" s="191" t="s">
        <v>2185</v>
      </c>
      <c r="E2561" s="191" t="s">
        <v>120</v>
      </c>
      <c r="F2561" s="191"/>
      <c r="G2561" s="191" t="s">
        <v>61</v>
      </c>
      <c r="H2561" s="192">
        <v>2</v>
      </c>
      <c r="I2561" s="244">
        <v>0.28000000000000003</v>
      </c>
      <c r="J2561" s="244">
        <v>0.56000000000000005</v>
      </c>
    </row>
    <row r="2562" spans="1:10" ht="85.5" x14ac:dyDescent="0.25">
      <c r="A2562" s="191" t="s">
        <v>62</v>
      </c>
      <c r="B2562" s="191" t="s">
        <v>2186</v>
      </c>
      <c r="C2562" s="191" t="s">
        <v>59</v>
      </c>
      <c r="D2562" s="191" t="s">
        <v>2187</v>
      </c>
      <c r="E2562" s="191" t="s">
        <v>120</v>
      </c>
      <c r="F2562" s="191"/>
      <c r="G2562" s="191" t="s">
        <v>61</v>
      </c>
      <c r="H2562" s="192">
        <v>2</v>
      </c>
      <c r="I2562" s="244">
        <v>1.43</v>
      </c>
      <c r="J2562" s="244">
        <v>2.86</v>
      </c>
    </row>
    <row r="2563" spans="1:10" ht="71.25" x14ac:dyDescent="0.25">
      <c r="A2563" s="191" t="s">
        <v>62</v>
      </c>
      <c r="B2563" s="191" t="s">
        <v>2188</v>
      </c>
      <c r="C2563" s="191" t="s">
        <v>59</v>
      </c>
      <c r="D2563" s="191" t="s">
        <v>2189</v>
      </c>
      <c r="E2563" s="191" t="s">
        <v>120</v>
      </c>
      <c r="F2563" s="191"/>
      <c r="G2563" s="191" t="s">
        <v>61</v>
      </c>
      <c r="H2563" s="192">
        <v>3</v>
      </c>
      <c r="I2563" s="244">
        <v>9.3699999999999992</v>
      </c>
      <c r="J2563" s="244">
        <v>28.11</v>
      </c>
    </row>
    <row r="2564" spans="1:10" ht="85.5" x14ac:dyDescent="0.25">
      <c r="A2564" s="191" t="s">
        <v>62</v>
      </c>
      <c r="B2564" s="191" t="s">
        <v>2190</v>
      </c>
      <c r="C2564" s="191" t="s">
        <v>59</v>
      </c>
      <c r="D2564" s="191" t="s">
        <v>2191</v>
      </c>
      <c r="E2564" s="191" t="s">
        <v>120</v>
      </c>
      <c r="F2564" s="191"/>
      <c r="G2564" s="191" t="s">
        <v>61</v>
      </c>
      <c r="H2564" s="192">
        <v>1</v>
      </c>
      <c r="I2564" s="244">
        <v>46.35</v>
      </c>
      <c r="J2564" s="244">
        <v>46.35</v>
      </c>
    </row>
    <row r="2565" spans="1:10" ht="71.25" x14ac:dyDescent="0.25">
      <c r="A2565" s="191" t="s">
        <v>62</v>
      </c>
      <c r="B2565" s="191" t="s">
        <v>1230</v>
      </c>
      <c r="C2565" s="191" t="s">
        <v>59</v>
      </c>
      <c r="D2565" s="191" t="s">
        <v>1231</v>
      </c>
      <c r="E2565" s="191" t="s">
        <v>120</v>
      </c>
      <c r="F2565" s="191"/>
      <c r="G2565" s="191" t="s">
        <v>61</v>
      </c>
      <c r="H2565" s="192">
        <v>4</v>
      </c>
      <c r="I2565" s="244">
        <v>0.26</v>
      </c>
      <c r="J2565" s="244">
        <v>1.04</v>
      </c>
    </row>
    <row r="2566" spans="1:10" ht="57" x14ac:dyDescent="0.25">
      <c r="A2566" s="191" t="s">
        <v>62</v>
      </c>
      <c r="B2566" s="191" t="s">
        <v>2192</v>
      </c>
      <c r="C2566" s="191" t="s">
        <v>59</v>
      </c>
      <c r="D2566" s="191" t="s">
        <v>2193</v>
      </c>
      <c r="E2566" s="191" t="s">
        <v>120</v>
      </c>
      <c r="F2566" s="191"/>
      <c r="G2566" s="191" t="s">
        <v>61</v>
      </c>
      <c r="H2566" s="192">
        <v>1</v>
      </c>
      <c r="I2566" s="244">
        <v>6.61</v>
      </c>
      <c r="J2566" s="244">
        <v>6.61</v>
      </c>
    </row>
    <row r="2567" spans="1:10" x14ac:dyDescent="0.25">
      <c r="A2567" s="187"/>
      <c r="B2567" s="187"/>
      <c r="C2567" s="187"/>
      <c r="D2567" s="187"/>
      <c r="E2567" s="187" t="s">
        <v>756</v>
      </c>
      <c r="F2567" s="188">
        <v>427.15</v>
      </c>
      <c r="G2567" s="187" t="s">
        <v>757</v>
      </c>
      <c r="H2567" s="188">
        <v>0</v>
      </c>
      <c r="I2567" s="242" t="s">
        <v>758</v>
      </c>
      <c r="J2567" s="242">
        <v>427.15</v>
      </c>
    </row>
    <row r="2568" spans="1:10" x14ac:dyDescent="0.25">
      <c r="A2568" s="187"/>
      <c r="B2568" s="187"/>
      <c r="C2568" s="187"/>
      <c r="D2568" s="187"/>
      <c r="E2568" s="187" t="s">
        <v>759</v>
      </c>
      <c r="F2568" s="188">
        <v>0</v>
      </c>
      <c r="G2568" s="187"/>
      <c r="H2568" s="187" t="s">
        <v>760</v>
      </c>
      <c r="I2568" s="242"/>
      <c r="J2568" s="242">
        <v>3823.38</v>
      </c>
    </row>
    <row r="2569" spans="1:10" x14ac:dyDescent="0.25">
      <c r="A2569" s="182"/>
      <c r="B2569" s="182"/>
      <c r="C2569" s="182"/>
      <c r="D2569" s="182"/>
      <c r="E2569" s="182"/>
      <c r="F2569" s="182"/>
      <c r="G2569" s="182" t="s">
        <v>761</v>
      </c>
      <c r="H2569" s="189" t="s">
        <v>762</v>
      </c>
      <c r="I2569" s="239" t="s">
        <v>763</v>
      </c>
      <c r="J2569" s="239">
        <v>3823.38</v>
      </c>
    </row>
    <row r="2570" spans="1:10" x14ac:dyDescent="0.25">
      <c r="A2570" s="183"/>
      <c r="B2570" s="183"/>
      <c r="C2570" s="183"/>
      <c r="D2570" s="183"/>
      <c r="E2570" s="183"/>
      <c r="F2570" s="183"/>
      <c r="G2570" s="183"/>
      <c r="H2570" s="183"/>
      <c r="I2570" s="240"/>
      <c r="J2570" s="240"/>
    </row>
    <row r="2571" spans="1:10" x14ac:dyDescent="0.25">
      <c r="A2571" s="182" t="s">
        <v>2194</v>
      </c>
      <c r="B2571" s="182" t="s">
        <v>66</v>
      </c>
      <c r="C2571" s="182" t="s">
        <v>64</v>
      </c>
      <c r="D2571" s="182" t="s">
        <v>67</v>
      </c>
      <c r="E2571" s="182" t="s">
        <v>65</v>
      </c>
      <c r="F2571" s="182"/>
      <c r="G2571" s="182" t="s">
        <v>744</v>
      </c>
      <c r="H2571" s="182" t="s">
        <v>69</v>
      </c>
      <c r="I2571" s="239" t="s">
        <v>745</v>
      </c>
      <c r="J2571" s="239" t="s">
        <v>0</v>
      </c>
    </row>
    <row r="2572" spans="1:10" ht="57" x14ac:dyDescent="0.25">
      <c r="A2572" s="183" t="s">
        <v>58</v>
      </c>
      <c r="B2572" s="183" t="s">
        <v>2167</v>
      </c>
      <c r="C2572" s="183" t="s">
        <v>59</v>
      </c>
      <c r="D2572" s="183" t="s">
        <v>2168</v>
      </c>
      <c r="E2572" s="183" t="s">
        <v>2166</v>
      </c>
      <c r="F2572" s="183"/>
      <c r="G2572" s="183" t="s">
        <v>61</v>
      </c>
      <c r="H2572" s="184">
        <v>1</v>
      </c>
      <c r="I2572" s="240">
        <v>107.15</v>
      </c>
      <c r="J2572" s="240">
        <v>107.15</v>
      </c>
    </row>
    <row r="2573" spans="1:10" ht="28.5" x14ac:dyDescent="0.25">
      <c r="A2573" s="185" t="s">
        <v>119</v>
      </c>
      <c r="B2573" s="185" t="s">
        <v>1987</v>
      </c>
      <c r="C2573" s="185" t="s">
        <v>59</v>
      </c>
      <c r="D2573" s="185" t="s">
        <v>1988</v>
      </c>
      <c r="E2573" s="185" t="s">
        <v>754</v>
      </c>
      <c r="F2573" s="185"/>
      <c r="G2573" s="185" t="s">
        <v>60</v>
      </c>
      <c r="H2573" s="186">
        <v>0.38819999999999999</v>
      </c>
      <c r="I2573" s="241">
        <v>23.13</v>
      </c>
      <c r="J2573" s="241">
        <v>8.9700000000000006</v>
      </c>
    </row>
    <row r="2574" spans="1:10" ht="28.5" x14ac:dyDescent="0.25">
      <c r="A2574" s="185" t="s">
        <v>119</v>
      </c>
      <c r="B2574" s="185" t="s">
        <v>1985</v>
      </c>
      <c r="C2574" s="185" t="s">
        <v>59</v>
      </c>
      <c r="D2574" s="185" t="s">
        <v>1986</v>
      </c>
      <c r="E2574" s="185" t="s">
        <v>754</v>
      </c>
      <c r="F2574" s="185"/>
      <c r="G2574" s="185" t="s">
        <v>60</v>
      </c>
      <c r="H2574" s="186">
        <v>0.38819999999999999</v>
      </c>
      <c r="I2574" s="241">
        <v>32.57</v>
      </c>
      <c r="J2574" s="241">
        <v>12.64</v>
      </c>
    </row>
    <row r="2575" spans="1:10" ht="71.25" x14ac:dyDescent="0.25">
      <c r="A2575" s="191" t="s">
        <v>62</v>
      </c>
      <c r="B2575" s="191" t="s">
        <v>2195</v>
      </c>
      <c r="C2575" s="191" t="s">
        <v>59</v>
      </c>
      <c r="D2575" s="191" t="s">
        <v>2196</v>
      </c>
      <c r="E2575" s="191" t="s">
        <v>120</v>
      </c>
      <c r="F2575" s="191"/>
      <c r="G2575" s="191" t="s">
        <v>61</v>
      </c>
      <c r="H2575" s="192">
        <v>1</v>
      </c>
      <c r="I2575" s="244">
        <v>85.54</v>
      </c>
      <c r="J2575" s="244">
        <v>85.54</v>
      </c>
    </row>
    <row r="2576" spans="1:10" x14ac:dyDescent="0.25">
      <c r="A2576" s="187"/>
      <c r="B2576" s="187"/>
      <c r="C2576" s="187"/>
      <c r="D2576" s="187"/>
      <c r="E2576" s="187" t="s">
        <v>756</v>
      </c>
      <c r="F2576" s="188">
        <v>15.76</v>
      </c>
      <c r="G2576" s="187" t="s">
        <v>757</v>
      </c>
      <c r="H2576" s="188">
        <v>0</v>
      </c>
      <c r="I2576" s="242" t="s">
        <v>758</v>
      </c>
      <c r="J2576" s="242">
        <v>15.76</v>
      </c>
    </row>
    <row r="2577" spans="1:10" x14ac:dyDescent="0.25">
      <c r="A2577" s="187"/>
      <c r="B2577" s="187"/>
      <c r="C2577" s="187"/>
      <c r="D2577" s="187"/>
      <c r="E2577" s="187" t="s">
        <v>759</v>
      </c>
      <c r="F2577" s="188">
        <v>0</v>
      </c>
      <c r="G2577" s="187"/>
      <c r="H2577" s="187" t="s">
        <v>760</v>
      </c>
      <c r="I2577" s="242"/>
      <c r="J2577" s="242">
        <v>107.15</v>
      </c>
    </row>
    <row r="2578" spans="1:10" x14ac:dyDescent="0.25">
      <c r="A2578" s="182"/>
      <c r="B2578" s="182"/>
      <c r="C2578" s="182"/>
      <c r="D2578" s="182"/>
      <c r="E2578" s="182"/>
      <c r="F2578" s="182"/>
      <c r="G2578" s="182" t="s">
        <v>761</v>
      </c>
      <c r="H2578" s="189" t="s">
        <v>1260</v>
      </c>
      <c r="I2578" s="239" t="s">
        <v>763</v>
      </c>
      <c r="J2578" s="239">
        <v>321.45</v>
      </c>
    </row>
    <row r="2579" spans="1:10" x14ac:dyDescent="0.25">
      <c r="A2579" s="183"/>
      <c r="B2579" s="183"/>
      <c r="C2579" s="183"/>
      <c r="D2579" s="183"/>
      <c r="E2579" s="183"/>
      <c r="F2579" s="183"/>
      <c r="G2579" s="183"/>
      <c r="H2579" s="183"/>
      <c r="I2579" s="240"/>
      <c r="J2579" s="240"/>
    </row>
    <row r="2580" spans="1:10" x14ac:dyDescent="0.25">
      <c r="A2580" s="190" t="s">
        <v>2197</v>
      </c>
      <c r="B2580" s="190"/>
      <c r="C2580" s="190"/>
      <c r="D2580" s="190" t="s">
        <v>2198</v>
      </c>
      <c r="E2580" s="190"/>
      <c r="F2580" s="190"/>
      <c r="G2580" s="190"/>
      <c r="H2580" s="190"/>
      <c r="I2580" s="243"/>
      <c r="J2580" s="243">
        <v>51918.2</v>
      </c>
    </row>
    <row r="2581" spans="1:10" x14ac:dyDescent="0.25">
      <c r="A2581" s="182" t="s">
        <v>2199</v>
      </c>
      <c r="B2581" s="182" t="s">
        <v>66</v>
      </c>
      <c r="C2581" s="182" t="s">
        <v>64</v>
      </c>
      <c r="D2581" s="182" t="s">
        <v>67</v>
      </c>
      <c r="E2581" s="182" t="s">
        <v>65</v>
      </c>
      <c r="F2581" s="182"/>
      <c r="G2581" s="182" t="s">
        <v>744</v>
      </c>
      <c r="H2581" s="182" t="s">
        <v>69</v>
      </c>
      <c r="I2581" s="239" t="s">
        <v>745</v>
      </c>
      <c r="J2581" s="239" t="s">
        <v>0</v>
      </c>
    </row>
    <row r="2582" spans="1:10" ht="42.75" x14ac:dyDescent="0.25">
      <c r="A2582" s="183" t="s">
        <v>58</v>
      </c>
      <c r="B2582" s="183" t="s">
        <v>2200</v>
      </c>
      <c r="C2582" s="183" t="s">
        <v>165</v>
      </c>
      <c r="D2582" s="183" t="s">
        <v>704</v>
      </c>
      <c r="E2582" s="183" t="s">
        <v>706</v>
      </c>
      <c r="F2582" s="183"/>
      <c r="G2582" s="183" t="s">
        <v>217</v>
      </c>
      <c r="H2582" s="184">
        <v>1</v>
      </c>
      <c r="I2582" s="240">
        <v>413.79</v>
      </c>
      <c r="J2582" s="240">
        <v>413.79</v>
      </c>
    </row>
    <row r="2583" spans="1:10" ht="42.75" x14ac:dyDescent="0.25">
      <c r="A2583" s="185" t="s">
        <v>119</v>
      </c>
      <c r="B2583" s="185" t="s">
        <v>1391</v>
      </c>
      <c r="C2583" s="185" t="s">
        <v>59</v>
      </c>
      <c r="D2583" s="185" t="s">
        <v>699</v>
      </c>
      <c r="E2583" s="185" t="s">
        <v>754</v>
      </c>
      <c r="F2583" s="185"/>
      <c r="G2583" s="185" t="s">
        <v>60</v>
      </c>
      <c r="H2583" s="186">
        <v>4</v>
      </c>
      <c r="I2583" s="241">
        <v>23.81</v>
      </c>
      <c r="J2583" s="241">
        <v>95.24</v>
      </c>
    </row>
    <row r="2584" spans="1:10" ht="42.75" x14ac:dyDescent="0.25">
      <c r="A2584" s="185" t="s">
        <v>119</v>
      </c>
      <c r="B2584" s="185" t="s">
        <v>2201</v>
      </c>
      <c r="C2584" s="185" t="s">
        <v>59</v>
      </c>
      <c r="D2584" s="185" t="s">
        <v>698</v>
      </c>
      <c r="E2584" s="185" t="s">
        <v>754</v>
      </c>
      <c r="F2584" s="185"/>
      <c r="G2584" s="185" t="s">
        <v>60</v>
      </c>
      <c r="H2584" s="186">
        <v>4</v>
      </c>
      <c r="I2584" s="241">
        <v>21.52</v>
      </c>
      <c r="J2584" s="241">
        <v>86.08</v>
      </c>
    </row>
    <row r="2585" spans="1:10" ht="42.75" x14ac:dyDescent="0.25">
      <c r="A2585" s="191" t="s">
        <v>62</v>
      </c>
      <c r="B2585" s="191" t="s">
        <v>2202</v>
      </c>
      <c r="C2585" s="191" t="s">
        <v>785</v>
      </c>
      <c r="D2585" s="191" t="s">
        <v>701</v>
      </c>
      <c r="E2585" s="191" t="s">
        <v>120</v>
      </c>
      <c r="F2585" s="191"/>
      <c r="G2585" s="191" t="s">
        <v>183</v>
      </c>
      <c r="H2585" s="192">
        <v>5.1516000000000002</v>
      </c>
      <c r="I2585" s="244">
        <v>16.149999999999999</v>
      </c>
      <c r="J2585" s="244">
        <v>83.19</v>
      </c>
    </row>
    <row r="2586" spans="1:10" x14ac:dyDescent="0.25">
      <c r="A2586" s="191" t="s">
        <v>62</v>
      </c>
      <c r="B2586" s="191" t="s">
        <v>2203</v>
      </c>
      <c r="C2586" s="191" t="s">
        <v>706</v>
      </c>
      <c r="D2586" s="191" t="s">
        <v>702</v>
      </c>
      <c r="E2586" s="191" t="s">
        <v>120</v>
      </c>
      <c r="F2586" s="191"/>
      <c r="G2586" s="191" t="s">
        <v>705</v>
      </c>
      <c r="H2586" s="192">
        <v>1</v>
      </c>
      <c r="I2586" s="244">
        <v>4.18</v>
      </c>
      <c r="J2586" s="244">
        <v>4.18</v>
      </c>
    </row>
    <row r="2587" spans="1:10" ht="28.5" x14ac:dyDescent="0.25">
      <c r="A2587" s="191" t="s">
        <v>62</v>
      </c>
      <c r="B2587" s="191" t="s">
        <v>2204</v>
      </c>
      <c r="C2587" s="191" t="s">
        <v>703</v>
      </c>
      <c r="D2587" s="191" t="s">
        <v>700</v>
      </c>
      <c r="E2587" s="191" t="s">
        <v>120</v>
      </c>
      <c r="F2587" s="191"/>
      <c r="G2587" s="191" t="s">
        <v>217</v>
      </c>
      <c r="H2587" s="192">
        <v>1</v>
      </c>
      <c r="I2587" s="244">
        <v>145.10310000000001</v>
      </c>
      <c r="J2587" s="244">
        <v>145.1</v>
      </c>
    </row>
    <row r="2588" spans="1:10" x14ac:dyDescent="0.25">
      <c r="A2588" s="187"/>
      <c r="B2588" s="187"/>
      <c r="C2588" s="187"/>
      <c r="D2588" s="187"/>
      <c r="E2588" s="187" t="s">
        <v>756</v>
      </c>
      <c r="F2588" s="188">
        <v>130.76</v>
      </c>
      <c r="G2588" s="187" t="s">
        <v>757</v>
      </c>
      <c r="H2588" s="188">
        <v>0</v>
      </c>
      <c r="I2588" s="242" t="s">
        <v>758</v>
      </c>
      <c r="J2588" s="242">
        <v>130.76</v>
      </c>
    </row>
    <row r="2589" spans="1:10" x14ac:dyDescent="0.25">
      <c r="A2589" s="187"/>
      <c r="B2589" s="187"/>
      <c r="C2589" s="187"/>
      <c r="D2589" s="187"/>
      <c r="E2589" s="187" t="s">
        <v>759</v>
      </c>
      <c r="F2589" s="188">
        <v>0</v>
      </c>
      <c r="G2589" s="187"/>
      <c r="H2589" s="187" t="s">
        <v>760</v>
      </c>
      <c r="I2589" s="242"/>
      <c r="J2589" s="242">
        <v>413.79</v>
      </c>
    </row>
    <row r="2590" spans="1:10" x14ac:dyDescent="0.25">
      <c r="A2590" s="182"/>
      <c r="B2590" s="182"/>
      <c r="C2590" s="182"/>
      <c r="D2590" s="182"/>
      <c r="E2590" s="182"/>
      <c r="F2590" s="182"/>
      <c r="G2590" s="182" t="s">
        <v>761</v>
      </c>
      <c r="H2590" s="189" t="s">
        <v>2205</v>
      </c>
      <c r="I2590" s="239" t="s">
        <v>763</v>
      </c>
      <c r="J2590" s="239">
        <v>49369.279999999999</v>
      </c>
    </row>
    <row r="2591" spans="1:10" x14ac:dyDescent="0.25">
      <c r="A2591" s="183"/>
      <c r="B2591" s="183"/>
      <c r="C2591" s="183"/>
      <c r="D2591" s="183"/>
      <c r="E2591" s="183"/>
      <c r="F2591" s="183"/>
      <c r="G2591" s="183"/>
      <c r="H2591" s="183"/>
      <c r="I2591" s="240"/>
      <c r="J2591" s="240"/>
    </row>
    <row r="2592" spans="1:10" x14ac:dyDescent="0.25">
      <c r="A2592" s="182" t="s">
        <v>2206</v>
      </c>
      <c r="B2592" s="182" t="s">
        <v>66</v>
      </c>
      <c r="C2592" s="182" t="s">
        <v>64</v>
      </c>
      <c r="D2592" s="182" t="s">
        <v>67</v>
      </c>
      <c r="E2592" s="182" t="s">
        <v>65</v>
      </c>
      <c r="F2592" s="182"/>
      <c r="G2592" s="182" t="s">
        <v>744</v>
      </c>
      <c r="H2592" s="182" t="s">
        <v>69</v>
      </c>
      <c r="I2592" s="239" t="s">
        <v>745</v>
      </c>
      <c r="J2592" s="239" t="s">
        <v>0</v>
      </c>
    </row>
    <row r="2593" spans="1:10" ht="28.5" x14ac:dyDescent="0.25">
      <c r="A2593" s="183" t="s">
        <v>58</v>
      </c>
      <c r="B2593" s="183" t="s">
        <v>2207</v>
      </c>
      <c r="C2593" s="183" t="s">
        <v>165</v>
      </c>
      <c r="D2593" s="183" t="s">
        <v>728</v>
      </c>
      <c r="E2593" s="183" t="s">
        <v>706</v>
      </c>
      <c r="F2593" s="183"/>
      <c r="G2593" s="183" t="s">
        <v>217</v>
      </c>
      <c r="H2593" s="184">
        <v>1</v>
      </c>
      <c r="I2593" s="240">
        <v>330.6</v>
      </c>
      <c r="J2593" s="240">
        <v>330.6</v>
      </c>
    </row>
    <row r="2594" spans="1:10" ht="42.75" x14ac:dyDescent="0.25">
      <c r="A2594" s="185" t="s">
        <v>119</v>
      </c>
      <c r="B2594" s="185" t="s">
        <v>2201</v>
      </c>
      <c r="C2594" s="185" t="s">
        <v>59</v>
      </c>
      <c r="D2594" s="185" t="s">
        <v>698</v>
      </c>
      <c r="E2594" s="185" t="s">
        <v>754</v>
      </c>
      <c r="F2594" s="185"/>
      <c r="G2594" s="185" t="s">
        <v>60</v>
      </c>
      <c r="H2594" s="186">
        <v>4</v>
      </c>
      <c r="I2594" s="241">
        <v>21.52</v>
      </c>
      <c r="J2594" s="241">
        <v>86.08</v>
      </c>
    </row>
    <row r="2595" spans="1:10" ht="42.75" x14ac:dyDescent="0.25">
      <c r="A2595" s="185" t="s">
        <v>119</v>
      </c>
      <c r="B2595" s="185" t="s">
        <v>1391</v>
      </c>
      <c r="C2595" s="185" t="s">
        <v>59</v>
      </c>
      <c r="D2595" s="185" t="s">
        <v>699</v>
      </c>
      <c r="E2595" s="185" t="s">
        <v>754</v>
      </c>
      <c r="F2595" s="185"/>
      <c r="G2595" s="185" t="s">
        <v>60</v>
      </c>
      <c r="H2595" s="186">
        <v>4</v>
      </c>
      <c r="I2595" s="241">
        <v>23.81</v>
      </c>
      <c r="J2595" s="241">
        <v>95.24</v>
      </c>
    </row>
    <row r="2596" spans="1:10" x14ac:dyDescent="0.25">
      <c r="A2596" s="191" t="s">
        <v>62</v>
      </c>
      <c r="B2596" s="191" t="s">
        <v>2203</v>
      </c>
      <c r="C2596" s="191" t="s">
        <v>706</v>
      </c>
      <c r="D2596" s="191" t="s">
        <v>702</v>
      </c>
      <c r="E2596" s="191" t="s">
        <v>120</v>
      </c>
      <c r="F2596" s="191"/>
      <c r="G2596" s="191" t="s">
        <v>705</v>
      </c>
      <c r="H2596" s="192">
        <v>1</v>
      </c>
      <c r="I2596" s="244">
        <v>4.18</v>
      </c>
      <c r="J2596" s="244">
        <v>4.18</v>
      </c>
    </row>
    <row r="2597" spans="1:10" ht="28.5" x14ac:dyDescent="0.25">
      <c r="A2597" s="191" t="s">
        <v>62</v>
      </c>
      <c r="B2597" s="191" t="s">
        <v>2204</v>
      </c>
      <c r="C2597" s="191" t="s">
        <v>703</v>
      </c>
      <c r="D2597" s="191" t="s">
        <v>700</v>
      </c>
      <c r="E2597" s="191" t="s">
        <v>120</v>
      </c>
      <c r="F2597" s="191"/>
      <c r="G2597" s="191" t="s">
        <v>217</v>
      </c>
      <c r="H2597" s="192">
        <v>1</v>
      </c>
      <c r="I2597" s="244">
        <v>145.10310000000001</v>
      </c>
      <c r="J2597" s="244">
        <v>145.1</v>
      </c>
    </row>
    <row r="2598" spans="1:10" x14ac:dyDescent="0.25">
      <c r="A2598" s="187"/>
      <c r="B2598" s="187"/>
      <c r="C2598" s="187"/>
      <c r="D2598" s="187"/>
      <c r="E2598" s="187" t="s">
        <v>756</v>
      </c>
      <c r="F2598" s="188">
        <v>130.76</v>
      </c>
      <c r="G2598" s="187" t="s">
        <v>757</v>
      </c>
      <c r="H2598" s="188">
        <v>0</v>
      </c>
      <c r="I2598" s="242" t="s">
        <v>758</v>
      </c>
      <c r="J2598" s="242">
        <v>130.76</v>
      </c>
    </row>
    <row r="2599" spans="1:10" x14ac:dyDescent="0.25">
      <c r="A2599" s="187"/>
      <c r="B2599" s="187"/>
      <c r="C2599" s="187"/>
      <c r="D2599" s="187"/>
      <c r="E2599" s="187" t="s">
        <v>759</v>
      </c>
      <c r="F2599" s="188">
        <v>0</v>
      </c>
      <c r="G2599" s="187"/>
      <c r="H2599" s="187" t="s">
        <v>760</v>
      </c>
      <c r="I2599" s="242"/>
      <c r="J2599" s="242">
        <v>330.6</v>
      </c>
    </row>
    <row r="2600" spans="1:10" x14ac:dyDescent="0.25">
      <c r="A2600" s="182"/>
      <c r="B2600" s="182"/>
      <c r="C2600" s="182"/>
      <c r="D2600" s="182"/>
      <c r="E2600" s="182"/>
      <c r="F2600" s="182"/>
      <c r="G2600" s="182" t="s">
        <v>761</v>
      </c>
      <c r="H2600" s="189" t="s">
        <v>2208</v>
      </c>
      <c r="I2600" s="239" t="s">
        <v>763</v>
      </c>
      <c r="J2600" s="239">
        <v>2548.92</v>
      </c>
    </row>
    <row r="2601" spans="1:10" x14ac:dyDescent="0.25">
      <c r="A2601" s="183"/>
      <c r="B2601" s="183"/>
      <c r="C2601" s="183"/>
      <c r="D2601" s="183"/>
      <c r="E2601" s="183"/>
      <c r="F2601" s="183"/>
      <c r="G2601" s="183"/>
      <c r="H2601" s="183"/>
      <c r="I2601" s="240"/>
      <c r="J2601" s="240"/>
    </row>
    <row r="2602" spans="1:10" x14ac:dyDescent="0.25">
      <c r="A2602" s="190" t="s">
        <v>2209</v>
      </c>
      <c r="B2602" s="190"/>
      <c r="C2602" s="190"/>
      <c r="D2602" s="190" t="s">
        <v>515</v>
      </c>
      <c r="E2602" s="190"/>
      <c r="F2602" s="190"/>
      <c r="G2602" s="190"/>
      <c r="H2602" s="190"/>
      <c r="I2602" s="243"/>
      <c r="J2602" s="243">
        <v>6487.92</v>
      </c>
    </row>
    <row r="2603" spans="1:10" x14ac:dyDescent="0.25">
      <c r="A2603" s="182"/>
      <c r="B2603" s="182" t="s">
        <v>66</v>
      </c>
      <c r="C2603" s="182" t="s">
        <v>64</v>
      </c>
      <c r="D2603" s="182" t="s">
        <v>67</v>
      </c>
      <c r="E2603" s="182" t="s">
        <v>65</v>
      </c>
      <c r="F2603" s="182"/>
      <c r="G2603" s="182" t="s">
        <v>744</v>
      </c>
      <c r="H2603" s="182" t="s">
        <v>69</v>
      </c>
      <c r="I2603" s="239" t="s">
        <v>745</v>
      </c>
      <c r="J2603" s="239" t="s">
        <v>0</v>
      </c>
    </row>
    <row r="2604" spans="1:10" x14ac:dyDescent="0.25">
      <c r="A2604" s="182" t="s">
        <v>2247</v>
      </c>
      <c r="B2604" s="182" t="s">
        <v>66</v>
      </c>
      <c r="C2604" s="182" t="s">
        <v>64</v>
      </c>
      <c r="D2604" s="182" t="s">
        <v>67</v>
      </c>
      <c r="E2604" s="182" t="s">
        <v>65</v>
      </c>
      <c r="F2604" s="182"/>
      <c r="G2604" s="182" t="s">
        <v>744</v>
      </c>
      <c r="H2604" s="182" t="s">
        <v>69</v>
      </c>
      <c r="I2604" s="239" t="s">
        <v>745</v>
      </c>
      <c r="J2604" s="239" t="s">
        <v>0</v>
      </c>
    </row>
    <row r="2605" spans="1:10" ht="71.25" x14ac:dyDescent="0.25">
      <c r="A2605" s="193" t="s">
        <v>62</v>
      </c>
      <c r="B2605" s="193" t="s">
        <v>2210</v>
      </c>
      <c r="C2605" s="193" t="s">
        <v>59</v>
      </c>
      <c r="D2605" s="193" t="s">
        <v>2211</v>
      </c>
      <c r="E2605" s="193" t="s">
        <v>120</v>
      </c>
      <c r="F2605" s="193"/>
      <c r="G2605" s="193" t="s">
        <v>61</v>
      </c>
      <c r="H2605" s="194">
        <v>1</v>
      </c>
      <c r="I2605" s="245">
        <v>71.83</v>
      </c>
      <c r="J2605" s="245">
        <v>71.83</v>
      </c>
    </row>
    <row r="2606" spans="1:10" x14ac:dyDescent="0.25">
      <c r="A2606" s="187"/>
      <c r="B2606" s="187"/>
      <c r="C2606" s="187"/>
      <c r="D2606" s="187"/>
      <c r="E2606" s="187" t="s">
        <v>756</v>
      </c>
      <c r="F2606" s="188">
        <v>0</v>
      </c>
      <c r="G2606" s="187" t="s">
        <v>757</v>
      </c>
      <c r="H2606" s="188">
        <v>0</v>
      </c>
      <c r="I2606" s="242" t="s">
        <v>758</v>
      </c>
      <c r="J2606" s="242">
        <v>0</v>
      </c>
    </row>
    <row r="2607" spans="1:10" x14ac:dyDescent="0.25">
      <c r="A2607" s="187"/>
      <c r="B2607" s="187"/>
      <c r="C2607" s="187"/>
      <c r="D2607" s="187"/>
      <c r="E2607" s="187" t="s">
        <v>759</v>
      </c>
      <c r="F2607" s="188"/>
      <c r="G2607" s="187"/>
      <c r="H2607" s="187" t="s">
        <v>760</v>
      </c>
      <c r="I2607" s="242"/>
      <c r="J2607" s="242">
        <v>71.83</v>
      </c>
    </row>
    <row r="2608" spans="1:10" x14ac:dyDescent="0.25">
      <c r="A2608" s="182"/>
      <c r="B2608" s="182"/>
      <c r="C2608" s="182"/>
      <c r="D2608" s="182"/>
      <c r="E2608" s="182"/>
      <c r="F2608" s="182"/>
      <c r="G2608" s="182" t="s">
        <v>761</v>
      </c>
      <c r="H2608" s="189" t="s">
        <v>2212</v>
      </c>
      <c r="I2608" s="239" t="s">
        <v>763</v>
      </c>
      <c r="J2608" s="239">
        <v>5315.42</v>
      </c>
    </row>
    <row r="2609" spans="1:10" x14ac:dyDescent="0.25">
      <c r="A2609" s="183"/>
      <c r="B2609" s="183"/>
      <c r="C2609" s="183"/>
      <c r="D2609" s="183"/>
      <c r="E2609" s="183"/>
      <c r="F2609" s="183"/>
      <c r="G2609" s="183"/>
      <c r="H2609" s="183"/>
      <c r="I2609" s="240"/>
      <c r="J2609" s="240"/>
    </row>
    <row r="2610" spans="1:10" x14ac:dyDescent="0.25">
      <c r="A2610" s="182" t="s">
        <v>2213</v>
      </c>
      <c r="B2610" s="182" t="s">
        <v>66</v>
      </c>
      <c r="C2610" s="182" t="s">
        <v>64</v>
      </c>
      <c r="D2610" s="182" t="s">
        <v>67</v>
      </c>
      <c r="E2610" s="182" t="s">
        <v>65</v>
      </c>
      <c r="F2610" s="182"/>
      <c r="G2610" s="182" t="s">
        <v>744</v>
      </c>
      <c r="H2610" s="182" t="s">
        <v>69</v>
      </c>
      <c r="I2610" s="239" t="s">
        <v>745</v>
      </c>
      <c r="J2610" s="239" t="s">
        <v>0</v>
      </c>
    </row>
    <row r="2611" spans="1:10" ht="42.75" x14ac:dyDescent="0.25">
      <c r="A2611" s="183" t="s">
        <v>58</v>
      </c>
      <c r="B2611" s="183" t="s">
        <v>2214</v>
      </c>
      <c r="C2611" s="183" t="s">
        <v>785</v>
      </c>
      <c r="D2611" s="183" t="s">
        <v>2215</v>
      </c>
      <c r="E2611" s="183">
        <v>2201</v>
      </c>
      <c r="F2611" s="183"/>
      <c r="G2611" s="183" t="s">
        <v>217</v>
      </c>
      <c r="H2611" s="184">
        <v>1</v>
      </c>
      <c r="I2611" s="240">
        <v>56.67</v>
      </c>
      <c r="J2611" s="240">
        <v>56.67</v>
      </c>
    </row>
    <row r="2612" spans="1:10" ht="28.5" x14ac:dyDescent="0.25">
      <c r="A2612" s="191" t="s">
        <v>62</v>
      </c>
      <c r="B2612" s="191" t="s">
        <v>1276</v>
      </c>
      <c r="C2612" s="191" t="s">
        <v>785</v>
      </c>
      <c r="D2612" s="191" t="s">
        <v>1277</v>
      </c>
      <c r="E2612" s="191" t="s">
        <v>124</v>
      </c>
      <c r="F2612" s="191"/>
      <c r="G2612" s="191" t="s">
        <v>60</v>
      </c>
      <c r="H2612" s="192">
        <v>0.3463</v>
      </c>
      <c r="I2612" s="244">
        <v>29.14</v>
      </c>
      <c r="J2612" s="244">
        <v>10.09</v>
      </c>
    </row>
    <row r="2613" spans="1:10" ht="28.5" x14ac:dyDescent="0.25">
      <c r="A2613" s="191" t="s">
        <v>62</v>
      </c>
      <c r="B2613" s="191" t="s">
        <v>2216</v>
      </c>
      <c r="C2613" s="191" t="s">
        <v>785</v>
      </c>
      <c r="D2613" s="191" t="s">
        <v>2217</v>
      </c>
      <c r="E2613" s="191" t="s">
        <v>120</v>
      </c>
      <c r="F2613" s="191"/>
      <c r="G2613" s="191" t="s">
        <v>113</v>
      </c>
      <c r="H2613" s="192">
        <v>0.2</v>
      </c>
      <c r="I2613" s="244">
        <v>7</v>
      </c>
      <c r="J2613" s="244">
        <v>1.4</v>
      </c>
    </row>
    <row r="2614" spans="1:10" ht="28.5" x14ac:dyDescent="0.25">
      <c r="A2614" s="191" t="s">
        <v>62</v>
      </c>
      <c r="B2614" s="191" t="s">
        <v>1523</v>
      </c>
      <c r="C2614" s="191" t="s">
        <v>785</v>
      </c>
      <c r="D2614" s="191" t="s">
        <v>1524</v>
      </c>
      <c r="E2614" s="191" t="s">
        <v>120</v>
      </c>
      <c r="F2614" s="191"/>
      <c r="G2614" s="191" t="s">
        <v>191</v>
      </c>
      <c r="H2614" s="192">
        <v>2.53E-2</v>
      </c>
      <c r="I2614" s="244">
        <v>160.61000000000001</v>
      </c>
      <c r="J2614" s="244">
        <v>4.0599999999999996</v>
      </c>
    </row>
    <row r="2615" spans="1:10" ht="28.5" x14ac:dyDescent="0.25">
      <c r="A2615" s="191" t="s">
        <v>62</v>
      </c>
      <c r="B2615" s="191" t="s">
        <v>1520</v>
      </c>
      <c r="C2615" s="191" t="s">
        <v>785</v>
      </c>
      <c r="D2615" s="191" t="s">
        <v>1521</v>
      </c>
      <c r="E2615" s="191" t="s">
        <v>120</v>
      </c>
      <c r="F2615" s="191"/>
      <c r="G2615" s="191" t="s">
        <v>191</v>
      </c>
      <c r="H2615" s="192">
        <v>4.6300000000000001E-2</v>
      </c>
      <c r="I2615" s="244">
        <v>158.72</v>
      </c>
      <c r="J2615" s="244">
        <v>7.34</v>
      </c>
    </row>
    <row r="2616" spans="1:10" ht="28.5" x14ac:dyDescent="0.25">
      <c r="A2616" s="191" t="s">
        <v>62</v>
      </c>
      <c r="B2616" s="191" t="s">
        <v>1536</v>
      </c>
      <c r="C2616" s="191" t="s">
        <v>785</v>
      </c>
      <c r="D2616" s="191" t="s">
        <v>1537</v>
      </c>
      <c r="E2616" s="191" t="s">
        <v>120</v>
      </c>
      <c r="F2616" s="191"/>
      <c r="G2616" s="191" t="s">
        <v>191</v>
      </c>
      <c r="H2616" s="192">
        <v>2.53E-2</v>
      </c>
      <c r="I2616" s="244">
        <v>154.61000000000001</v>
      </c>
      <c r="J2616" s="244">
        <v>3.91</v>
      </c>
    </row>
    <row r="2617" spans="1:10" ht="28.5" x14ac:dyDescent="0.25">
      <c r="A2617" s="191" t="s">
        <v>62</v>
      </c>
      <c r="B2617" s="191" t="s">
        <v>799</v>
      </c>
      <c r="C2617" s="191" t="s">
        <v>785</v>
      </c>
      <c r="D2617" s="191" t="s">
        <v>188</v>
      </c>
      <c r="E2617" s="191" t="s">
        <v>124</v>
      </c>
      <c r="F2617" s="191"/>
      <c r="G2617" s="191" t="s">
        <v>60</v>
      </c>
      <c r="H2617" s="192">
        <v>0.66620000000000001</v>
      </c>
      <c r="I2617" s="244">
        <v>20.21</v>
      </c>
      <c r="J2617" s="244">
        <v>13.46</v>
      </c>
    </row>
    <row r="2618" spans="1:10" ht="28.5" x14ac:dyDescent="0.25">
      <c r="A2618" s="191" t="s">
        <v>62</v>
      </c>
      <c r="B2618" s="191" t="s">
        <v>1284</v>
      </c>
      <c r="C2618" s="191" t="s">
        <v>785</v>
      </c>
      <c r="D2618" s="191" t="s">
        <v>184</v>
      </c>
      <c r="E2618" s="191" t="s">
        <v>120</v>
      </c>
      <c r="F2618" s="191"/>
      <c r="G2618" s="191" t="s">
        <v>183</v>
      </c>
      <c r="H2618" s="192">
        <v>20.51</v>
      </c>
      <c r="I2618" s="244">
        <v>0.63</v>
      </c>
      <c r="J2618" s="244">
        <v>12.92</v>
      </c>
    </row>
    <row r="2619" spans="1:10" ht="28.5" x14ac:dyDescent="0.25">
      <c r="A2619" s="191" t="s">
        <v>62</v>
      </c>
      <c r="B2619" s="191" t="s">
        <v>1530</v>
      </c>
      <c r="C2619" s="191" t="s">
        <v>785</v>
      </c>
      <c r="D2619" s="191" t="s">
        <v>1531</v>
      </c>
      <c r="E2619" s="191" t="s">
        <v>124</v>
      </c>
      <c r="F2619" s="191"/>
      <c r="G2619" s="191" t="s">
        <v>60</v>
      </c>
      <c r="H2619" s="192">
        <v>0.1512</v>
      </c>
      <c r="I2619" s="244">
        <v>23.13</v>
      </c>
      <c r="J2619" s="244">
        <v>3.49</v>
      </c>
    </row>
    <row r="2620" spans="1:10" x14ac:dyDescent="0.25">
      <c r="A2620" s="187"/>
      <c r="B2620" s="187"/>
      <c r="C2620" s="187"/>
      <c r="D2620" s="187"/>
      <c r="E2620" s="187" t="s">
        <v>756</v>
      </c>
      <c r="F2620" s="188">
        <v>27.04</v>
      </c>
      <c r="G2620" s="187" t="s">
        <v>757</v>
      </c>
      <c r="H2620" s="188">
        <v>0</v>
      </c>
      <c r="I2620" s="242" t="s">
        <v>758</v>
      </c>
      <c r="J2620" s="242">
        <v>27.04</v>
      </c>
    </row>
    <row r="2621" spans="1:10" x14ac:dyDescent="0.25">
      <c r="A2621" s="187"/>
      <c r="B2621" s="187"/>
      <c r="C2621" s="187"/>
      <c r="D2621" s="187"/>
      <c r="E2621" s="187" t="s">
        <v>759</v>
      </c>
      <c r="F2621" s="188">
        <v>0</v>
      </c>
      <c r="G2621" s="187"/>
      <c r="H2621" s="187" t="s">
        <v>760</v>
      </c>
      <c r="I2621" s="242"/>
      <c r="J2621" s="242">
        <v>56.67</v>
      </c>
    </row>
    <row r="2622" spans="1:10" x14ac:dyDescent="0.25">
      <c r="A2622" s="182"/>
      <c r="B2622" s="182"/>
      <c r="C2622" s="182"/>
      <c r="D2622" s="182"/>
      <c r="E2622" s="182"/>
      <c r="F2622" s="182"/>
      <c r="G2622" s="182" t="s">
        <v>761</v>
      </c>
      <c r="H2622" s="189" t="s">
        <v>2218</v>
      </c>
      <c r="I2622" s="239" t="s">
        <v>763</v>
      </c>
      <c r="J2622" s="239">
        <v>1172.5</v>
      </c>
    </row>
    <row r="2623" spans="1:10" x14ac:dyDescent="0.25">
      <c r="A2623" s="183"/>
      <c r="B2623" s="183"/>
      <c r="C2623" s="183"/>
      <c r="D2623" s="183"/>
      <c r="E2623" s="183"/>
      <c r="F2623" s="183"/>
      <c r="G2623" s="183"/>
      <c r="H2623" s="183"/>
      <c r="I2623" s="240"/>
      <c r="J2623" s="240"/>
    </row>
    <row r="2624" spans="1:10" ht="30" x14ac:dyDescent="0.25">
      <c r="A2624" s="190" t="s">
        <v>2219</v>
      </c>
      <c r="B2624" s="190"/>
      <c r="C2624" s="190"/>
      <c r="D2624" s="190" t="s">
        <v>223</v>
      </c>
      <c r="E2624" s="190"/>
      <c r="F2624" s="190"/>
      <c r="G2624" s="190"/>
      <c r="H2624" s="190"/>
      <c r="I2624" s="243"/>
      <c r="J2624" s="243">
        <v>6567.25</v>
      </c>
    </row>
    <row r="2625" spans="1:10" x14ac:dyDescent="0.25">
      <c r="A2625" s="182" t="s">
        <v>2220</v>
      </c>
      <c r="B2625" s="182" t="s">
        <v>66</v>
      </c>
      <c r="C2625" s="182" t="s">
        <v>64</v>
      </c>
      <c r="D2625" s="182" t="s">
        <v>67</v>
      </c>
      <c r="E2625" s="182" t="s">
        <v>65</v>
      </c>
      <c r="F2625" s="182"/>
      <c r="G2625" s="182" t="s">
        <v>744</v>
      </c>
      <c r="H2625" s="182" t="s">
        <v>69</v>
      </c>
      <c r="I2625" s="239" t="s">
        <v>745</v>
      </c>
      <c r="J2625" s="239" t="s">
        <v>0</v>
      </c>
    </row>
    <row r="2626" spans="1:10" ht="42.75" x14ac:dyDescent="0.25">
      <c r="A2626" s="183" t="s">
        <v>58</v>
      </c>
      <c r="B2626" s="183" t="s">
        <v>2221</v>
      </c>
      <c r="C2626" s="183" t="s">
        <v>59</v>
      </c>
      <c r="D2626" s="183" t="s">
        <v>211</v>
      </c>
      <c r="E2626" s="183" t="s">
        <v>2222</v>
      </c>
      <c r="F2626" s="183"/>
      <c r="G2626" s="183" t="s">
        <v>217</v>
      </c>
      <c r="H2626" s="184">
        <v>1</v>
      </c>
      <c r="I2626" s="240">
        <v>2.06</v>
      </c>
      <c r="J2626" s="240">
        <v>2.06</v>
      </c>
    </row>
    <row r="2627" spans="1:10" ht="85.5" x14ac:dyDescent="0.25">
      <c r="A2627" s="185" t="s">
        <v>119</v>
      </c>
      <c r="B2627" s="185" t="s">
        <v>2223</v>
      </c>
      <c r="C2627" s="185" t="s">
        <v>59</v>
      </c>
      <c r="D2627" s="185" t="s">
        <v>212</v>
      </c>
      <c r="E2627" s="185" t="s">
        <v>807</v>
      </c>
      <c r="F2627" s="185"/>
      <c r="G2627" s="185" t="s">
        <v>117</v>
      </c>
      <c r="H2627" s="186">
        <v>1.4999999999999999E-2</v>
      </c>
      <c r="I2627" s="241">
        <v>4.9400000000000004</v>
      </c>
      <c r="J2627" s="241">
        <v>7.0000000000000007E-2</v>
      </c>
    </row>
    <row r="2628" spans="1:10" ht="28.5" x14ac:dyDescent="0.25">
      <c r="A2628" s="185" t="s">
        <v>119</v>
      </c>
      <c r="B2628" s="185" t="s">
        <v>769</v>
      </c>
      <c r="C2628" s="185" t="s">
        <v>59</v>
      </c>
      <c r="D2628" s="185" t="s">
        <v>115</v>
      </c>
      <c r="E2628" s="185" t="s">
        <v>754</v>
      </c>
      <c r="F2628" s="185"/>
      <c r="G2628" s="185" t="s">
        <v>60</v>
      </c>
      <c r="H2628" s="186">
        <v>8.8999999999999996E-2</v>
      </c>
      <c r="I2628" s="241">
        <v>22.42</v>
      </c>
      <c r="J2628" s="241">
        <v>1.99</v>
      </c>
    </row>
    <row r="2629" spans="1:10" x14ac:dyDescent="0.25">
      <c r="A2629" s="187"/>
      <c r="B2629" s="187"/>
      <c r="C2629" s="187"/>
      <c r="D2629" s="187"/>
      <c r="E2629" s="187" t="s">
        <v>756</v>
      </c>
      <c r="F2629" s="188">
        <v>1.33</v>
      </c>
      <c r="G2629" s="187" t="s">
        <v>757</v>
      </c>
      <c r="H2629" s="188">
        <v>0</v>
      </c>
      <c r="I2629" s="242" t="s">
        <v>758</v>
      </c>
      <c r="J2629" s="242">
        <v>1.33</v>
      </c>
    </row>
    <row r="2630" spans="1:10" x14ac:dyDescent="0.25">
      <c r="A2630" s="187"/>
      <c r="B2630" s="187"/>
      <c r="C2630" s="187"/>
      <c r="D2630" s="187"/>
      <c r="E2630" s="187" t="s">
        <v>759</v>
      </c>
      <c r="F2630" s="188">
        <v>0</v>
      </c>
      <c r="G2630" s="187"/>
      <c r="H2630" s="187" t="s">
        <v>760</v>
      </c>
      <c r="I2630" s="242"/>
      <c r="J2630" s="242">
        <v>2.06</v>
      </c>
    </row>
    <row r="2631" spans="1:10" x14ac:dyDescent="0.25">
      <c r="A2631" s="182"/>
      <c r="B2631" s="182"/>
      <c r="C2631" s="182"/>
      <c r="D2631" s="182"/>
      <c r="E2631" s="182"/>
      <c r="F2631" s="182"/>
      <c r="G2631" s="182" t="s">
        <v>761</v>
      </c>
      <c r="H2631" s="189" t="s">
        <v>2224</v>
      </c>
      <c r="I2631" s="239" t="s">
        <v>763</v>
      </c>
      <c r="J2631" s="239">
        <v>5152.96</v>
      </c>
    </row>
    <row r="2632" spans="1:10" x14ac:dyDescent="0.25">
      <c r="A2632" s="183"/>
      <c r="B2632" s="183"/>
      <c r="C2632" s="183"/>
      <c r="D2632" s="183"/>
      <c r="E2632" s="183"/>
      <c r="F2632" s="183"/>
      <c r="G2632" s="183"/>
      <c r="H2632" s="183"/>
      <c r="I2632" s="240"/>
      <c r="J2632" s="240"/>
    </row>
    <row r="2633" spans="1:10" x14ac:dyDescent="0.25">
      <c r="A2633" s="182" t="s">
        <v>2225</v>
      </c>
      <c r="B2633" s="182" t="s">
        <v>66</v>
      </c>
      <c r="C2633" s="182" t="s">
        <v>64</v>
      </c>
      <c r="D2633" s="182" t="s">
        <v>67</v>
      </c>
      <c r="E2633" s="182" t="s">
        <v>65</v>
      </c>
      <c r="F2633" s="182"/>
      <c r="G2633" s="182" t="s">
        <v>744</v>
      </c>
      <c r="H2633" s="182" t="s">
        <v>69</v>
      </c>
      <c r="I2633" s="239" t="s">
        <v>745</v>
      </c>
      <c r="J2633" s="239" t="s">
        <v>0</v>
      </c>
    </row>
    <row r="2634" spans="1:10" ht="42.75" x14ac:dyDescent="0.25">
      <c r="A2634" s="183" t="s">
        <v>58</v>
      </c>
      <c r="B2634" s="183" t="s">
        <v>2226</v>
      </c>
      <c r="C2634" s="183" t="s">
        <v>785</v>
      </c>
      <c r="D2634" s="183" t="s">
        <v>2227</v>
      </c>
      <c r="E2634" s="183">
        <v>2708</v>
      </c>
      <c r="F2634" s="183"/>
      <c r="G2634" s="183" t="s">
        <v>1498</v>
      </c>
      <c r="H2634" s="184">
        <v>1</v>
      </c>
      <c r="I2634" s="240">
        <v>882.51</v>
      </c>
      <c r="J2634" s="240">
        <v>882.51</v>
      </c>
    </row>
    <row r="2635" spans="1:10" ht="28.5" x14ac:dyDescent="0.25">
      <c r="A2635" s="191" t="s">
        <v>62</v>
      </c>
      <c r="B2635" s="191" t="s">
        <v>2228</v>
      </c>
      <c r="C2635" s="191" t="s">
        <v>785</v>
      </c>
      <c r="D2635" s="191" t="s">
        <v>2229</v>
      </c>
      <c r="E2635" s="191" t="s">
        <v>120</v>
      </c>
      <c r="F2635" s="191"/>
      <c r="G2635" s="191" t="s">
        <v>2230</v>
      </c>
      <c r="H2635" s="192">
        <v>0.40799999999999997</v>
      </c>
      <c r="I2635" s="244">
        <v>9.07</v>
      </c>
      <c r="J2635" s="244">
        <v>3.7</v>
      </c>
    </row>
    <row r="2636" spans="1:10" ht="28.5" x14ac:dyDescent="0.25">
      <c r="A2636" s="191" t="s">
        <v>62</v>
      </c>
      <c r="B2636" s="191" t="s">
        <v>1284</v>
      </c>
      <c r="C2636" s="191" t="s">
        <v>785</v>
      </c>
      <c r="D2636" s="191" t="s">
        <v>184</v>
      </c>
      <c r="E2636" s="191" t="s">
        <v>120</v>
      </c>
      <c r="F2636" s="191"/>
      <c r="G2636" s="191" t="s">
        <v>183</v>
      </c>
      <c r="H2636" s="192">
        <v>62.84</v>
      </c>
      <c r="I2636" s="244">
        <v>0.63</v>
      </c>
      <c r="J2636" s="244">
        <v>39.58</v>
      </c>
    </row>
    <row r="2637" spans="1:10" ht="28.5" x14ac:dyDescent="0.25">
      <c r="A2637" s="191" t="s">
        <v>62</v>
      </c>
      <c r="B2637" s="191" t="s">
        <v>2231</v>
      </c>
      <c r="C2637" s="191" t="s">
        <v>785</v>
      </c>
      <c r="D2637" s="191" t="s">
        <v>2232</v>
      </c>
      <c r="E2637" s="191" t="s">
        <v>120</v>
      </c>
      <c r="F2637" s="191"/>
      <c r="G2637" s="191" t="s">
        <v>129</v>
      </c>
      <c r="H2637" s="192">
        <v>0.85</v>
      </c>
      <c r="I2637" s="244">
        <v>1.3</v>
      </c>
      <c r="J2637" s="244">
        <v>1.1000000000000001</v>
      </c>
    </row>
    <row r="2638" spans="1:10" ht="28.5" x14ac:dyDescent="0.25">
      <c r="A2638" s="191" t="s">
        <v>62</v>
      </c>
      <c r="B2638" s="191" t="s">
        <v>1515</v>
      </c>
      <c r="C2638" s="191" t="s">
        <v>785</v>
      </c>
      <c r="D2638" s="191" t="s">
        <v>181</v>
      </c>
      <c r="E2638" s="191" t="s">
        <v>124</v>
      </c>
      <c r="F2638" s="191"/>
      <c r="G2638" s="191" t="s">
        <v>60</v>
      </c>
      <c r="H2638" s="192">
        <v>1.36</v>
      </c>
      <c r="I2638" s="244">
        <v>22.05</v>
      </c>
      <c r="J2638" s="244">
        <v>29.98</v>
      </c>
    </row>
    <row r="2639" spans="1:10" ht="28.5" x14ac:dyDescent="0.25">
      <c r="A2639" s="191" t="s">
        <v>62</v>
      </c>
      <c r="B2639" s="191" t="s">
        <v>1523</v>
      </c>
      <c r="C2639" s="191" t="s">
        <v>785</v>
      </c>
      <c r="D2639" s="191" t="s">
        <v>1524</v>
      </c>
      <c r="E2639" s="191" t="s">
        <v>120</v>
      </c>
      <c r="F2639" s="191"/>
      <c r="G2639" s="191" t="s">
        <v>191</v>
      </c>
      <c r="H2639" s="192">
        <v>2.5000000000000001E-2</v>
      </c>
      <c r="I2639" s="244">
        <v>160.61000000000001</v>
      </c>
      <c r="J2639" s="244">
        <v>4.01</v>
      </c>
    </row>
    <row r="2640" spans="1:10" ht="28.5" x14ac:dyDescent="0.25">
      <c r="A2640" s="191" t="s">
        <v>62</v>
      </c>
      <c r="B2640" s="191" t="s">
        <v>2233</v>
      </c>
      <c r="C2640" s="191" t="s">
        <v>785</v>
      </c>
      <c r="D2640" s="191" t="s">
        <v>2234</v>
      </c>
      <c r="E2640" s="191" t="s">
        <v>124</v>
      </c>
      <c r="F2640" s="191"/>
      <c r="G2640" s="191" t="s">
        <v>60</v>
      </c>
      <c r="H2640" s="192">
        <v>1.7</v>
      </c>
      <c r="I2640" s="244">
        <v>29.18</v>
      </c>
      <c r="J2640" s="244">
        <v>49.6</v>
      </c>
    </row>
    <row r="2641" spans="1:10" ht="28.5" x14ac:dyDescent="0.25">
      <c r="A2641" s="191" t="s">
        <v>62</v>
      </c>
      <c r="B2641" s="191" t="s">
        <v>2235</v>
      </c>
      <c r="C2641" s="191" t="s">
        <v>785</v>
      </c>
      <c r="D2641" s="191" t="s">
        <v>2236</v>
      </c>
      <c r="E2641" s="191" t="s">
        <v>120</v>
      </c>
      <c r="F2641" s="191"/>
      <c r="G2641" s="191" t="s">
        <v>2230</v>
      </c>
      <c r="H2641" s="192">
        <v>0.81599999999999995</v>
      </c>
      <c r="I2641" s="244">
        <v>21.25</v>
      </c>
      <c r="J2641" s="244">
        <v>17.34</v>
      </c>
    </row>
    <row r="2642" spans="1:10" ht="28.5" x14ac:dyDescent="0.25">
      <c r="A2642" s="191" t="s">
        <v>62</v>
      </c>
      <c r="B2642" s="191" t="s">
        <v>1532</v>
      </c>
      <c r="C2642" s="191" t="s">
        <v>785</v>
      </c>
      <c r="D2642" s="191" t="s">
        <v>1533</v>
      </c>
      <c r="E2642" s="191" t="s">
        <v>120</v>
      </c>
      <c r="F2642" s="191"/>
      <c r="G2642" s="191" t="s">
        <v>183</v>
      </c>
      <c r="H2642" s="192">
        <v>12.166</v>
      </c>
      <c r="I2642" s="244">
        <v>0.84</v>
      </c>
      <c r="J2642" s="244">
        <v>10.210000000000001</v>
      </c>
    </row>
    <row r="2643" spans="1:10" ht="28.5" x14ac:dyDescent="0.25">
      <c r="A2643" s="191" t="s">
        <v>62</v>
      </c>
      <c r="B2643" s="191" t="s">
        <v>1285</v>
      </c>
      <c r="C2643" s="191" t="s">
        <v>785</v>
      </c>
      <c r="D2643" s="191" t="s">
        <v>1286</v>
      </c>
      <c r="E2643" s="191" t="s">
        <v>120</v>
      </c>
      <c r="F2643" s="191"/>
      <c r="G2643" s="191" t="s">
        <v>191</v>
      </c>
      <c r="H2643" s="192">
        <v>0.26</v>
      </c>
      <c r="I2643" s="244">
        <v>169.62</v>
      </c>
      <c r="J2643" s="244">
        <v>44.1</v>
      </c>
    </row>
    <row r="2644" spans="1:10" ht="28.5" x14ac:dyDescent="0.25">
      <c r="A2644" s="191" t="s">
        <v>62</v>
      </c>
      <c r="B2644" s="191" t="s">
        <v>1536</v>
      </c>
      <c r="C2644" s="191" t="s">
        <v>785</v>
      </c>
      <c r="D2644" s="191" t="s">
        <v>1537</v>
      </c>
      <c r="E2644" s="191" t="s">
        <v>120</v>
      </c>
      <c r="F2644" s="191"/>
      <c r="G2644" s="191" t="s">
        <v>191</v>
      </c>
      <c r="H2644" s="192">
        <v>2.5000000000000001E-2</v>
      </c>
      <c r="I2644" s="244">
        <v>154.61000000000001</v>
      </c>
      <c r="J2644" s="244">
        <v>3.86</v>
      </c>
    </row>
    <row r="2645" spans="1:10" ht="28.5" x14ac:dyDescent="0.25">
      <c r="A2645" s="191" t="s">
        <v>62</v>
      </c>
      <c r="B2645" s="191" t="s">
        <v>2237</v>
      </c>
      <c r="C2645" s="191" t="s">
        <v>785</v>
      </c>
      <c r="D2645" s="191" t="s">
        <v>2238</v>
      </c>
      <c r="E2645" s="191" t="s">
        <v>120</v>
      </c>
      <c r="F2645" s="191"/>
      <c r="G2645" s="191" t="s">
        <v>191</v>
      </c>
      <c r="H2645" s="192">
        <v>2.58E-2</v>
      </c>
      <c r="I2645" s="244">
        <v>201.64</v>
      </c>
      <c r="J2645" s="244">
        <v>5.2</v>
      </c>
    </row>
    <row r="2646" spans="1:10" ht="28.5" x14ac:dyDescent="0.25">
      <c r="A2646" s="191" t="s">
        <v>62</v>
      </c>
      <c r="B2646" s="191" t="s">
        <v>1276</v>
      </c>
      <c r="C2646" s="191" t="s">
        <v>785</v>
      </c>
      <c r="D2646" s="191" t="s">
        <v>1277</v>
      </c>
      <c r="E2646" s="191" t="s">
        <v>124</v>
      </c>
      <c r="F2646" s="191"/>
      <c r="G2646" s="191" t="s">
        <v>60</v>
      </c>
      <c r="H2646" s="192">
        <v>8.6920000000000002</v>
      </c>
      <c r="I2646" s="244">
        <v>29.14</v>
      </c>
      <c r="J2646" s="244">
        <v>253.28</v>
      </c>
    </row>
    <row r="2647" spans="1:10" ht="28.5" x14ac:dyDescent="0.25">
      <c r="A2647" s="191" t="s">
        <v>62</v>
      </c>
      <c r="B2647" s="191" t="s">
        <v>799</v>
      </c>
      <c r="C2647" s="191" t="s">
        <v>785</v>
      </c>
      <c r="D2647" s="191" t="s">
        <v>188</v>
      </c>
      <c r="E2647" s="191" t="s">
        <v>124</v>
      </c>
      <c r="F2647" s="191"/>
      <c r="G2647" s="191" t="s">
        <v>60</v>
      </c>
      <c r="H2647" s="192">
        <v>14.016</v>
      </c>
      <c r="I2647" s="244">
        <v>20.21</v>
      </c>
      <c r="J2647" s="244">
        <v>283.26</v>
      </c>
    </row>
    <row r="2648" spans="1:10" ht="28.5" x14ac:dyDescent="0.25">
      <c r="A2648" s="191" t="s">
        <v>62</v>
      </c>
      <c r="B2648" s="191" t="s">
        <v>1501</v>
      </c>
      <c r="C2648" s="191" t="s">
        <v>785</v>
      </c>
      <c r="D2648" s="191" t="s">
        <v>1502</v>
      </c>
      <c r="E2648" s="191" t="s">
        <v>120</v>
      </c>
      <c r="F2648" s="191"/>
      <c r="G2648" s="191" t="s">
        <v>129</v>
      </c>
      <c r="H2648" s="192">
        <v>231</v>
      </c>
      <c r="I2648" s="244">
        <v>0.47</v>
      </c>
      <c r="J2648" s="244">
        <v>108.57</v>
      </c>
    </row>
    <row r="2649" spans="1:10" ht="28.5" x14ac:dyDescent="0.25">
      <c r="A2649" s="191" t="s">
        <v>62</v>
      </c>
      <c r="B2649" s="191" t="s">
        <v>2239</v>
      </c>
      <c r="C2649" s="191" t="s">
        <v>785</v>
      </c>
      <c r="D2649" s="191" t="s">
        <v>2240</v>
      </c>
      <c r="E2649" s="191" t="s">
        <v>120</v>
      </c>
      <c r="F2649" s="191"/>
      <c r="G2649" s="191" t="s">
        <v>191</v>
      </c>
      <c r="H2649" s="192">
        <v>0.20899999999999999</v>
      </c>
      <c r="I2649" s="244">
        <v>137.43</v>
      </c>
      <c r="J2649" s="244">
        <v>28.72</v>
      </c>
    </row>
    <row r="2650" spans="1:10" x14ac:dyDescent="0.25">
      <c r="A2650" s="187"/>
      <c r="B2650" s="187"/>
      <c r="C2650" s="187"/>
      <c r="D2650" s="187"/>
      <c r="E2650" s="187" t="s">
        <v>756</v>
      </c>
      <c r="F2650" s="188">
        <v>616.12</v>
      </c>
      <c r="G2650" s="187" t="s">
        <v>757</v>
      </c>
      <c r="H2650" s="188">
        <v>0</v>
      </c>
      <c r="I2650" s="242" t="s">
        <v>758</v>
      </c>
      <c r="J2650" s="242">
        <v>616.12</v>
      </c>
    </row>
    <row r="2651" spans="1:10" x14ac:dyDescent="0.25">
      <c r="A2651" s="187"/>
      <c r="B2651" s="187"/>
      <c r="C2651" s="187"/>
      <c r="D2651" s="187"/>
      <c r="E2651" s="187" t="s">
        <v>759</v>
      </c>
      <c r="F2651" s="188">
        <v>0</v>
      </c>
      <c r="G2651" s="187"/>
      <c r="H2651" s="187" t="s">
        <v>760</v>
      </c>
      <c r="I2651" s="242"/>
      <c r="J2651" s="242">
        <v>882.51</v>
      </c>
    </row>
    <row r="2652" spans="1:10" x14ac:dyDescent="0.25">
      <c r="A2652" s="182"/>
      <c r="B2652" s="182"/>
      <c r="C2652" s="182"/>
      <c r="D2652" s="182"/>
      <c r="E2652" s="182"/>
      <c r="F2652" s="182"/>
      <c r="G2652" s="182" t="s">
        <v>761</v>
      </c>
      <c r="H2652" s="189" t="s">
        <v>762</v>
      </c>
      <c r="I2652" s="239" t="s">
        <v>763</v>
      </c>
      <c r="J2652" s="239">
        <v>882.51</v>
      </c>
    </row>
    <row r="2653" spans="1:10" x14ac:dyDescent="0.25">
      <c r="A2653" s="183"/>
      <c r="B2653" s="183"/>
      <c r="C2653" s="183"/>
      <c r="D2653" s="183"/>
      <c r="E2653" s="183"/>
      <c r="F2653" s="183"/>
      <c r="G2653" s="183"/>
      <c r="H2653" s="183"/>
      <c r="I2653" s="240"/>
      <c r="J2653" s="240"/>
    </row>
    <row r="2654" spans="1:10" x14ac:dyDescent="0.25">
      <c r="A2654" s="182" t="s">
        <v>2241</v>
      </c>
      <c r="B2654" s="182" t="s">
        <v>66</v>
      </c>
      <c r="C2654" s="182" t="s">
        <v>64</v>
      </c>
      <c r="D2654" s="182" t="s">
        <v>67</v>
      </c>
      <c r="E2654" s="182" t="s">
        <v>65</v>
      </c>
      <c r="F2654" s="182"/>
      <c r="G2654" s="182" t="s">
        <v>744</v>
      </c>
      <c r="H2654" s="182" t="s">
        <v>69</v>
      </c>
      <c r="I2654" s="239" t="s">
        <v>745</v>
      </c>
      <c r="J2654" s="239" t="s">
        <v>0</v>
      </c>
    </row>
    <row r="2655" spans="1:10" ht="28.5" x14ac:dyDescent="0.25">
      <c r="A2655" s="183" t="s">
        <v>58</v>
      </c>
      <c r="B2655" s="183" t="s">
        <v>2242</v>
      </c>
      <c r="C2655" s="183" t="s">
        <v>785</v>
      </c>
      <c r="D2655" s="183" t="s">
        <v>2243</v>
      </c>
      <c r="E2655" s="183">
        <v>2708</v>
      </c>
      <c r="F2655" s="183"/>
      <c r="G2655" s="183" t="s">
        <v>1498</v>
      </c>
      <c r="H2655" s="184">
        <v>1</v>
      </c>
      <c r="I2655" s="240">
        <v>531.78</v>
      </c>
      <c r="J2655" s="240">
        <v>531.78</v>
      </c>
    </row>
    <row r="2656" spans="1:10" ht="28.5" x14ac:dyDescent="0.25">
      <c r="A2656" s="191" t="s">
        <v>62</v>
      </c>
      <c r="B2656" s="191" t="s">
        <v>2244</v>
      </c>
      <c r="C2656" s="191" t="s">
        <v>785</v>
      </c>
      <c r="D2656" s="191" t="s">
        <v>2243</v>
      </c>
      <c r="E2656" s="191" t="s">
        <v>120</v>
      </c>
      <c r="F2656" s="191"/>
      <c r="G2656" s="191" t="s">
        <v>129</v>
      </c>
      <c r="H2656" s="192">
        <v>1</v>
      </c>
      <c r="I2656" s="244">
        <v>522.5</v>
      </c>
      <c r="J2656" s="244">
        <v>522.5</v>
      </c>
    </row>
    <row r="2657" spans="1:10" ht="28.5" x14ac:dyDescent="0.25">
      <c r="A2657" s="191" t="s">
        <v>62</v>
      </c>
      <c r="B2657" s="191" t="s">
        <v>2245</v>
      </c>
      <c r="C2657" s="191" t="s">
        <v>785</v>
      </c>
      <c r="D2657" s="191" t="s">
        <v>2246</v>
      </c>
      <c r="E2657" s="191" t="s">
        <v>120</v>
      </c>
      <c r="F2657" s="191"/>
      <c r="G2657" s="191" t="s">
        <v>129</v>
      </c>
      <c r="H2657" s="192">
        <v>4</v>
      </c>
      <c r="I2657" s="244">
        <v>0.5</v>
      </c>
      <c r="J2657" s="244">
        <v>2</v>
      </c>
    </row>
    <row r="2658" spans="1:10" ht="28.5" x14ac:dyDescent="0.25">
      <c r="A2658" s="191" t="s">
        <v>62</v>
      </c>
      <c r="B2658" s="191" t="s">
        <v>1276</v>
      </c>
      <c r="C2658" s="191" t="s">
        <v>785</v>
      </c>
      <c r="D2658" s="191" t="s">
        <v>1277</v>
      </c>
      <c r="E2658" s="191" t="s">
        <v>124</v>
      </c>
      <c r="F2658" s="191"/>
      <c r="G2658" s="191" t="s">
        <v>60</v>
      </c>
      <c r="H2658" s="192">
        <v>0.25</v>
      </c>
      <c r="I2658" s="244">
        <v>29.14</v>
      </c>
      <c r="J2658" s="244">
        <v>7.28</v>
      </c>
    </row>
    <row r="2659" spans="1:10" x14ac:dyDescent="0.25">
      <c r="A2659" s="187"/>
      <c r="B2659" s="187"/>
      <c r="C2659" s="187"/>
      <c r="D2659" s="187"/>
      <c r="E2659" s="187" t="s">
        <v>756</v>
      </c>
      <c r="F2659" s="188">
        <v>7.28</v>
      </c>
      <c r="G2659" s="187" t="s">
        <v>757</v>
      </c>
      <c r="H2659" s="188">
        <v>0</v>
      </c>
      <c r="I2659" s="242" t="s">
        <v>758</v>
      </c>
      <c r="J2659" s="242">
        <v>7.28</v>
      </c>
    </row>
    <row r="2660" spans="1:10" x14ac:dyDescent="0.25">
      <c r="A2660" s="187"/>
      <c r="B2660" s="187"/>
      <c r="C2660" s="187"/>
      <c r="D2660" s="187"/>
      <c r="E2660" s="187" t="s">
        <v>759</v>
      </c>
      <c r="F2660" s="188">
        <v>0</v>
      </c>
      <c r="G2660" s="187"/>
      <c r="H2660" s="187" t="s">
        <v>760</v>
      </c>
      <c r="I2660" s="242"/>
      <c r="J2660" s="242">
        <v>531.78</v>
      </c>
    </row>
    <row r="2661" spans="1:10" x14ac:dyDescent="0.25">
      <c r="A2661" s="182"/>
      <c r="B2661" s="182"/>
      <c r="C2661" s="182"/>
      <c r="D2661" s="182"/>
      <c r="E2661" s="182"/>
      <c r="F2661" s="182"/>
      <c r="G2661" s="182" t="s">
        <v>761</v>
      </c>
      <c r="H2661" s="189" t="s">
        <v>762</v>
      </c>
      <c r="I2661" s="239" t="s">
        <v>763</v>
      </c>
      <c r="J2661" s="239">
        <v>531.78</v>
      </c>
    </row>
    <row r="2669" spans="1:10" ht="15.75" x14ac:dyDescent="0.25">
      <c r="I2669" s="297" t="s">
        <v>2256</v>
      </c>
      <c r="J2669" s="298"/>
    </row>
  </sheetData>
  <mergeCells count="9">
    <mergeCell ref="A1:J9"/>
    <mergeCell ref="I2669:J2669"/>
    <mergeCell ref="I12:J12"/>
    <mergeCell ref="A16:J16"/>
    <mergeCell ref="I14:J14"/>
    <mergeCell ref="I10:J10"/>
    <mergeCell ref="I11:J11"/>
    <mergeCell ref="I13:J13"/>
    <mergeCell ref="H10:H12"/>
  </mergeCells>
  <pageMargins left="0.51181102362204722" right="0.51181102362204722" top="0.78740157480314965" bottom="0.78740157480314965" header="0.31496062992125984" footer="0.31496062992125984"/>
  <pageSetup paperSize="9" scale="60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6ED0D-35AB-49C6-BF50-0F027BC03AF5}">
  <sheetPr>
    <pageSetUpPr fitToPage="1"/>
  </sheetPr>
  <dimension ref="A1:O2211"/>
  <sheetViews>
    <sheetView showGridLines="0" topLeftCell="A31" zoomScaleNormal="100" zoomScaleSheetLayoutView="85" workbookViewId="0">
      <selection sqref="A1:M8"/>
    </sheetView>
  </sheetViews>
  <sheetFormatPr defaultColWidth="8.85546875" defaultRowHeight="15" x14ac:dyDescent="0.25"/>
  <cols>
    <col min="1" max="1" width="18.28515625" style="1" bestFit="1" customWidth="1"/>
    <col min="2" max="2" width="58.5703125" style="3" bestFit="1" customWidth="1"/>
    <col min="3" max="3" width="21.85546875" style="3" bestFit="1" customWidth="1"/>
    <col min="4" max="4" width="40.140625" style="3" bestFit="1" customWidth="1"/>
    <col min="5" max="5" width="40.140625" style="1" bestFit="1" customWidth="1"/>
    <col min="6" max="6" width="25.7109375" style="1" bestFit="1" customWidth="1"/>
    <col min="7" max="7" width="21.28515625" style="1" bestFit="1" customWidth="1"/>
    <col min="8" max="8" width="22.85546875" style="1" bestFit="1" customWidth="1"/>
    <col min="9" max="9" width="22.7109375" style="1" bestFit="1" customWidth="1"/>
    <col min="10" max="10" width="12.28515625" style="1" bestFit="1" customWidth="1"/>
    <col min="11" max="11" width="24.28515625" style="1" bestFit="1" customWidth="1"/>
    <col min="12" max="12" width="15.140625" style="1" bestFit="1" customWidth="1"/>
    <col min="13" max="13" width="29.42578125" style="1" customWidth="1"/>
    <col min="14" max="14" width="11" style="1" bestFit="1" customWidth="1"/>
    <col min="15" max="16384" width="8.85546875" style="1"/>
  </cols>
  <sheetData>
    <row r="1" spans="1:13" ht="16.5" customHeight="1" x14ac:dyDescent="0.25">
      <c r="A1" s="332" t="str">
        <f>'II-PO'!A1</f>
        <v>GABINETES DOS VEREADORES DE ARAGARÇAS - GO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4"/>
    </row>
    <row r="2" spans="1:13" ht="15" customHeight="1" x14ac:dyDescent="0.25">
      <c r="A2" s="335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7"/>
    </row>
    <row r="3" spans="1:13" ht="15" customHeight="1" x14ac:dyDescent="0.25">
      <c r="A3" s="335"/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7"/>
    </row>
    <row r="4" spans="1:13" ht="15" customHeight="1" x14ac:dyDescent="0.25">
      <c r="A4" s="335"/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7"/>
    </row>
    <row r="5" spans="1:13" ht="15" customHeight="1" x14ac:dyDescent="0.25">
      <c r="A5" s="335"/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7"/>
    </row>
    <row r="6" spans="1:13" ht="15" customHeight="1" x14ac:dyDescent="0.25">
      <c r="A6" s="335"/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7"/>
    </row>
    <row r="7" spans="1:13" ht="15" customHeight="1" x14ac:dyDescent="0.25">
      <c r="A7" s="335"/>
      <c r="B7" s="336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7"/>
    </row>
    <row r="8" spans="1:13" ht="36" customHeight="1" thickBot="1" x14ac:dyDescent="0.3">
      <c r="A8" s="338"/>
      <c r="B8" s="339"/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40"/>
    </row>
    <row r="9" spans="1:13" ht="15.75" x14ac:dyDescent="0.25">
      <c r="A9" s="88" t="s">
        <v>7</v>
      </c>
      <c r="B9" s="30" t="str">
        <f>'I-RESUMO'!$B$6</f>
        <v>GABINETES DOS VEREADORES DE ARAGARÇAS - GO</v>
      </c>
      <c r="K9" s="302" t="s">
        <v>8</v>
      </c>
      <c r="L9" s="307" t="str">
        <f>'III-PA'!I10</f>
        <v>SINAPI GO 9/2025</v>
      </c>
      <c r="M9" s="308"/>
    </row>
    <row r="10" spans="1:13" ht="15.75" x14ac:dyDescent="0.25">
      <c r="A10" s="88" t="s">
        <v>11</v>
      </c>
      <c r="B10" s="30" t="str">
        <f>'I-RESUMO'!$B$7</f>
        <v>Rua José de Barros Souza, 09. Setor Centro Administrativo, Aragarças-GO.</v>
      </c>
      <c r="K10" s="303"/>
      <c r="L10" s="309" t="str">
        <f>'III-PA'!I11</f>
        <v>GOINFRA CIVIL (AGETOP) 8/2025</v>
      </c>
      <c r="M10" s="310"/>
    </row>
    <row r="11" spans="1:13" ht="15.75" x14ac:dyDescent="0.25">
      <c r="A11" s="88" t="s">
        <v>16</v>
      </c>
      <c r="B11" s="90">
        <f ca="1">TODAY()</f>
        <v>46071</v>
      </c>
      <c r="K11" s="303"/>
      <c r="L11" s="309" t="str">
        <f>'III-PA'!I12</f>
        <v>SICRO3 GO 7/2025</v>
      </c>
      <c r="M11" s="354"/>
    </row>
    <row r="12" spans="1:13" ht="15.75" x14ac:dyDescent="0.25">
      <c r="A12" s="86"/>
      <c r="B12" s="1"/>
      <c r="K12" s="31" t="s">
        <v>18</v>
      </c>
      <c r="L12" s="317" t="str">
        <f>'I-RESUMO'!$F$9</f>
        <v>NÃO DESONERADO</v>
      </c>
      <c r="M12" s="318"/>
    </row>
    <row r="13" spans="1:13" ht="15.75" x14ac:dyDescent="0.25">
      <c r="A13" s="86"/>
      <c r="K13" s="31" t="s">
        <v>55</v>
      </c>
      <c r="L13" s="355">
        <f>'I-RESUMO'!$F$10</f>
        <v>0.252</v>
      </c>
      <c r="M13" s="356"/>
    </row>
    <row r="14" spans="1:13" ht="15.75" thickBot="1" x14ac:dyDescent="0.3">
      <c r="A14" s="86"/>
      <c r="M14" s="87"/>
    </row>
    <row r="15" spans="1:13" ht="16.5" thickBot="1" x14ac:dyDescent="0.3">
      <c r="A15" s="357" t="str">
        <f>CAPA!A15</f>
        <v>ANEXO IV - MEMORIAL DE CÁLCULO</v>
      </c>
      <c r="B15" s="358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x14ac:dyDescent="0.25">
      <c r="A16" s="86"/>
      <c r="M16" s="87"/>
    </row>
    <row r="17" spans="1:14" ht="15.75" x14ac:dyDescent="0.25">
      <c r="A17" s="105">
        <v>1</v>
      </c>
      <c r="B17" s="43" t="s">
        <v>108</v>
      </c>
      <c r="C17" s="44"/>
      <c r="D17" s="44"/>
      <c r="E17" s="45"/>
      <c r="F17" s="45"/>
      <c r="G17" s="45"/>
      <c r="H17" s="45"/>
      <c r="I17" s="45"/>
      <c r="J17" s="45"/>
      <c r="K17" s="45"/>
      <c r="L17" s="45"/>
      <c r="M17" s="106"/>
    </row>
    <row r="18" spans="1:14" x14ac:dyDescent="0.25">
      <c r="A18" s="86"/>
      <c r="M18" s="87"/>
    </row>
    <row r="19" spans="1:14" x14ac:dyDescent="0.25">
      <c r="A19" s="107" t="s">
        <v>97</v>
      </c>
      <c r="B19" s="47" t="str">
        <f>VLOOKUP('IV-MEMORIAL'!A19,'II-PO'!$A$19:$M$295,5,0)</f>
        <v>ADMINISTRAÇÃO LOCAL DA OBRA</v>
      </c>
      <c r="C19" s="47"/>
      <c r="D19" s="47"/>
      <c r="E19" s="48"/>
      <c r="F19" s="48"/>
      <c r="G19" s="48"/>
      <c r="H19" s="48"/>
      <c r="I19" s="48"/>
      <c r="J19" s="48"/>
      <c r="K19" s="48"/>
      <c r="L19" s="48"/>
      <c r="M19" s="108"/>
      <c r="N19" s="3">
        <f>C21</f>
        <v>1</v>
      </c>
    </row>
    <row r="20" spans="1:14" x14ac:dyDescent="0.25">
      <c r="A20" s="86"/>
      <c r="M20" s="87"/>
    </row>
    <row r="21" spans="1:14" ht="15.75" x14ac:dyDescent="0.25">
      <c r="A21" s="86"/>
      <c r="B21" s="46" t="s">
        <v>109</v>
      </c>
      <c r="C21" s="46">
        <v>1</v>
      </c>
      <c r="D21" s="46" t="s">
        <v>110</v>
      </c>
      <c r="M21" s="87"/>
    </row>
    <row r="22" spans="1:14" x14ac:dyDescent="0.25">
      <c r="A22" s="86"/>
      <c r="M22" s="87"/>
    </row>
    <row r="23" spans="1:14" ht="15.75" x14ac:dyDescent="0.25">
      <c r="A23" s="105">
        <v>2</v>
      </c>
      <c r="B23" s="43" t="s">
        <v>218</v>
      </c>
      <c r="C23" s="44"/>
      <c r="D23" s="44"/>
      <c r="E23" s="45"/>
      <c r="F23" s="45"/>
      <c r="G23" s="45"/>
      <c r="H23" s="45"/>
      <c r="I23" s="45"/>
      <c r="J23" s="45"/>
      <c r="K23" s="45"/>
      <c r="L23" s="45"/>
      <c r="M23" s="106"/>
    </row>
    <row r="24" spans="1:14" x14ac:dyDescent="0.25">
      <c r="A24" s="86"/>
      <c r="M24" s="87"/>
    </row>
    <row r="25" spans="1:14" x14ac:dyDescent="0.25">
      <c r="A25" s="107" t="s">
        <v>98</v>
      </c>
      <c r="B25" s="47" t="str">
        <f>VLOOKUP('IV-MEMORIAL'!A25,'II-PO'!$A$19:$M$295,5,0)</f>
        <v>FORNECIMENTO E INSTALAÇÃO DE PLACA DE OBRA COM CHAPA GALVANIZADA E ESTRUTURA DE MADEIRA. AF_03/2022_PS</v>
      </c>
      <c r="C25" s="47"/>
      <c r="D25" s="47"/>
      <c r="E25" s="48"/>
      <c r="F25" s="48"/>
      <c r="G25" s="48"/>
      <c r="H25" s="48"/>
      <c r="I25" s="48"/>
      <c r="J25" s="48"/>
      <c r="K25" s="48"/>
      <c r="L25" s="48"/>
      <c r="M25" s="108"/>
      <c r="N25" s="3">
        <f>C30</f>
        <v>4.5</v>
      </c>
    </row>
    <row r="26" spans="1:14" x14ac:dyDescent="0.25">
      <c r="A26" s="86"/>
      <c r="M26" s="87"/>
    </row>
    <row r="27" spans="1:14" x14ac:dyDescent="0.25">
      <c r="A27" s="86"/>
      <c r="B27" s="2" t="s">
        <v>111</v>
      </c>
      <c r="C27" s="2">
        <v>1.5</v>
      </c>
      <c r="D27" s="2" t="s">
        <v>113</v>
      </c>
      <c r="M27" s="87"/>
    </row>
    <row r="28" spans="1:14" x14ac:dyDescent="0.25">
      <c r="A28" s="86"/>
      <c r="B28" s="2" t="s">
        <v>112</v>
      </c>
      <c r="C28" s="2">
        <v>3</v>
      </c>
      <c r="D28" s="2" t="s">
        <v>113</v>
      </c>
      <c r="M28" s="87"/>
    </row>
    <row r="29" spans="1:14" x14ac:dyDescent="0.25">
      <c r="A29" s="86"/>
      <c r="M29" s="87"/>
    </row>
    <row r="30" spans="1:14" ht="15.75" x14ac:dyDescent="0.25">
      <c r="A30" s="86"/>
      <c r="B30" s="46" t="s">
        <v>109</v>
      </c>
      <c r="C30" s="46">
        <f>C27*C28</f>
        <v>4.5</v>
      </c>
      <c r="D30" s="46" t="s">
        <v>118</v>
      </c>
      <c r="M30" s="87"/>
    </row>
    <row r="31" spans="1:14" x14ac:dyDescent="0.25">
      <c r="A31" s="86"/>
      <c r="M31" s="87"/>
    </row>
    <row r="32" spans="1:14" x14ac:dyDescent="0.25">
      <c r="A32" s="107" t="s">
        <v>99</v>
      </c>
      <c r="B32" s="47" t="str">
        <f>VLOOKUP('IV-MEMORIAL'!A32,'II-PO'!$A$19:$M$295,5,0)</f>
        <v>LOCAÇÃO DE CONTAINER COM REVESTIMENTO INTERNO, PARA ESCRITÓRIO SEM SANITÁRIOS 6,00 X 2,40 M, INCLUSIVE APARELHO DE AR CONDICIONADO E MOBILIÁRIO (EXCLUSO MOBILIZAÇÃO / DESMOBILIZAÇÃO)</v>
      </c>
      <c r="C32" s="47"/>
      <c r="D32" s="47"/>
      <c r="E32" s="48"/>
      <c r="F32" s="48"/>
      <c r="G32" s="48"/>
      <c r="H32" s="48"/>
      <c r="I32" s="48"/>
      <c r="J32" s="48"/>
      <c r="K32" s="48"/>
      <c r="L32" s="48"/>
      <c r="M32" s="108"/>
      <c r="N32" s="3">
        <f>C34</f>
        <v>5</v>
      </c>
    </row>
    <row r="33" spans="1:14" x14ac:dyDescent="0.25">
      <c r="A33" s="86"/>
      <c r="M33" s="87"/>
    </row>
    <row r="34" spans="1:14" ht="15.75" x14ac:dyDescent="0.25">
      <c r="A34" s="86"/>
      <c r="B34" s="46" t="s">
        <v>109</v>
      </c>
      <c r="C34" s="46">
        <v>5</v>
      </c>
      <c r="D34" s="46" t="s">
        <v>75</v>
      </c>
      <c r="M34" s="87"/>
    </row>
    <row r="35" spans="1:14" x14ac:dyDescent="0.25">
      <c r="A35" s="86"/>
      <c r="M35" s="87"/>
    </row>
    <row r="36" spans="1:14" x14ac:dyDescent="0.25">
      <c r="A36" s="107" t="s">
        <v>100</v>
      </c>
      <c r="B36" s="47" t="str">
        <f>VLOOKUP('IV-MEMORIAL'!A36,'II-PO'!$A$19:$M$295,5,0)</f>
        <v>LOCAÇÃO DE CONTAINER SANITÁRIO MISTO 6,00 X 2,40 M, COM 3 VASOS, 6 CHUVEIROS, LAVATÓRIO E MICTÓRIO (EXCLUSO MOBILIZAÇÃO / DESMOBILIZAÇÃO)</v>
      </c>
      <c r="C36" s="47"/>
      <c r="D36" s="47"/>
      <c r="E36" s="48"/>
      <c r="F36" s="48"/>
      <c r="G36" s="48"/>
      <c r="H36" s="48"/>
      <c r="I36" s="48"/>
      <c r="J36" s="48"/>
      <c r="K36" s="48"/>
      <c r="L36" s="48"/>
      <c r="M36" s="108"/>
      <c r="N36" s="3">
        <f>C38</f>
        <v>5</v>
      </c>
    </row>
    <row r="37" spans="1:14" x14ac:dyDescent="0.25">
      <c r="A37" s="86"/>
      <c r="M37" s="87"/>
    </row>
    <row r="38" spans="1:14" ht="15.75" x14ac:dyDescent="0.25">
      <c r="A38" s="86"/>
      <c r="B38" s="46" t="s">
        <v>109</v>
      </c>
      <c r="C38" s="46">
        <v>5</v>
      </c>
      <c r="D38" s="46" t="s">
        <v>110</v>
      </c>
      <c r="M38" s="87"/>
    </row>
    <row r="39" spans="1:14" x14ac:dyDescent="0.25">
      <c r="A39" s="86"/>
      <c r="M39" s="87"/>
    </row>
    <row r="40" spans="1:14" x14ac:dyDescent="0.25">
      <c r="A40" s="107" t="s">
        <v>262</v>
      </c>
      <c r="B40" s="47" t="str">
        <f>VLOOKUP('IV-MEMORIAL'!A40,'II-PO'!$A$19:$M$295,5,0)</f>
        <v>LOCAÇÃO DE CONTAINER SEM REVESTIMENTO INTERNO PARA ALMOXARIFADO / DEPÓSITO 6,00 X 2,40 M, INCLUSIVE MOBILIÁRIO (EXCLUSO MOBILIZAÇÃO / DESMOBILIZAÇÃO)</v>
      </c>
      <c r="C40" s="47"/>
      <c r="D40" s="47"/>
      <c r="E40" s="48"/>
      <c r="F40" s="48"/>
      <c r="G40" s="48"/>
      <c r="H40" s="48"/>
      <c r="I40" s="48"/>
      <c r="J40" s="48"/>
      <c r="K40" s="48"/>
      <c r="L40" s="48"/>
      <c r="M40" s="108"/>
      <c r="N40" s="3">
        <f>C42</f>
        <v>5</v>
      </c>
    </row>
    <row r="41" spans="1:14" x14ac:dyDescent="0.25">
      <c r="A41" s="86"/>
      <c r="M41" s="87"/>
    </row>
    <row r="42" spans="1:14" ht="15.75" x14ac:dyDescent="0.25">
      <c r="A42" s="86"/>
      <c r="B42" s="46" t="s">
        <v>109</v>
      </c>
      <c r="C42" s="46">
        <v>5</v>
      </c>
      <c r="D42" s="46" t="s">
        <v>110</v>
      </c>
      <c r="M42" s="87"/>
    </row>
    <row r="43" spans="1:14" x14ac:dyDescent="0.25">
      <c r="A43" s="86"/>
      <c r="M43" s="87"/>
    </row>
    <row r="44" spans="1:14" x14ac:dyDescent="0.25">
      <c r="A44" s="107" t="s">
        <v>261</v>
      </c>
      <c r="B44" s="47" t="str">
        <f>VLOOKUP('IV-MEMORIAL'!A44,'II-PO'!$A$19:$M$295,5,0)</f>
        <v>CARGA, MANOBRA E DESCARGA DE CONTAINER</v>
      </c>
      <c r="C44" s="47"/>
      <c r="D44" s="47"/>
      <c r="E44" s="48"/>
      <c r="F44" s="48"/>
      <c r="G44" s="48"/>
      <c r="H44" s="48"/>
      <c r="I44" s="48"/>
      <c r="J44" s="48"/>
      <c r="K44" s="48"/>
      <c r="L44" s="48"/>
      <c r="M44" s="108"/>
      <c r="N44" s="3">
        <f>C53</f>
        <v>6</v>
      </c>
    </row>
    <row r="45" spans="1:14" x14ac:dyDescent="0.25">
      <c r="A45" s="86"/>
      <c r="M45" s="87"/>
    </row>
    <row r="46" spans="1:14" x14ac:dyDescent="0.25">
      <c r="A46" s="86"/>
      <c r="B46" s="2" t="s">
        <v>263</v>
      </c>
      <c r="C46" s="2">
        <v>1</v>
      </c>
      <c r="M46" s="87"/>
    </row>
    <row r="47" spans="1:14" x14ac:dyDescent="0.25">
      <c r="A47" s="86"/>
      <c r="B47" s="2" t="s">
        <v>264</v>
      </c>
      <c r="C47" s="2">
        <v>1</v>
      </c>
      <c r="M47" s="87"/>
    </row>
    <row r="48" spans="1:14" x14ac:dyDescent="0.25">
      <c r="A48" s="86"/>
      <c r="B48" s="2" t="s">
        <v>265</v>
      </c>
      <c r="C48" s="2">
        <v>1</v>
      </c>
      <c r="M48" s="87"/>
    </row>
    <row r="49" spans="1:14" x14ac:dyDescent="0.25">
      <c r="A49" s="86"/>
      <c r="M49" s="87"/>
    </row>
    <row r="50" spans="1:14" x14ac:dyDescent="0.25">
      <c r="A50" s="86"/>
      <c r="B50" s="2" t="s">
        <v>267</v>
      </c>
      <c r="C50" s="2">
        <v>1</v>
      </c>
      <c r="M50" s="87"/>
    </row>
    <row r="51" spans="1:14" x14ac:dyDescent="0.25">
      <c r="A51" s="86"/>
      <c r="B51" s="2" t="s">
        <v>268</v>
      </c>
      <c r="C51" s="2">
        <v>1</v>
      </c>
      <c r="M51" s="87"/>
    </row>
    <row r="52" spans="1:14" x14ac:dyDescent="0.25">
      <c r="A52" s="86"/>
      <c r="M52" s="87"/>
    </row>
    <row r="53" spans="1:14" ht="15.75" x14ac:dyDescent="0.25">
      <c r="A53" s="86"/>
      <c r="B53" s="46" t="s">
        <v>109</v>
      </c>
      <c r="C53" s="46">
        <f>SUM(C46:C48)*SUM(C50:C51)</f>
        <v>6</v>
      </c>
      <c r="D53" s="46" t="s">
        <v>110</v>
      </c>
      <c r="M53" s="87"/>
    </row>
    <row r="54" spans="1:14" x14ac:dyDescent="0.25">
      <c r="A54" s="86"/>
      <c r="M54" s="87"/>
    </row>
    <row r="55" spans="1:14" x14ac:dyDescent="0.25">
      <c r="A55" s="107" t="s">
        <v>266</v>
      </c>
      <c r="B55" s="47" t="str">
        <f>VLOOKUP('IV-MEMORIAL'!A55,'II-PO'!$A$19:$M$295,5,0)</f>
        <v>LIMPEZA MECANIZADA DE CAMADA VEGETAL, VEGETAÇÃO E PEQUENAS ÁRVORES (DIÂMETRO DE TRONCO MENOR QUE 0,20 M), COM TRATOR DE ESTEIRAS. AF_03/2024</v>
      </c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108"/>
      <c r="N55" s="3">
        <f>C60</f>
        <v>459</v>
      </c>
    </row>
    <row r="56" spans="1:14" x14ac:dyDescent="0.25">
      <c r="A56" s="86"/>
      <c r="M56" s="87"/>
    </row>
    <row r="57" spans="1:14" x14ac:dyDescent="0.25">
      <c r="A57" s="86"/>
      <c r="B57" s="2" t="s">
        <v>151</v>
      </c>
      <c r="C57" s="2">
        <f>0.15+1.45+13.8+1.45+0.15</f>
        <v>17</v>
      </c>
      <c r="M57" s="87"/>
    </row>
    <row r="58" spans="1:14" x14ac:dyDescent="0.25">
      <c r="A58" s="86"/>
      <c r="B58" s="2" t="s">
        <v>163</v>
      </c>
      <c r="C58" s="2">
        <v>27</v>
      </c>
      <c r="M58" s="87"/>
    </row>
    <row r="59" spans="1:14" x14ac:dyDescent="0.25">
      <c r="A59" s="86"/>
      <c r="M59" s="87"/>
    </row>
    <row r="60" spans="1:14" ht="15.75" x14ac:dyDescent="0.25">
      <c r="A60" s="86"/>
      <c r="B60" s="46" t="s">
        <v>109</v>
      </c>
      <c r="C60" s="46">
        <f>TRUNC(C57*C58,2)</f>
        <v>459</v>
      </c>
      <c r="D60" s="46" t="s">
        <v>167</v>
      </c>
      <c r="M60" s="87"/>
    </row>
    <row r="61" spans="1:14" x14ac:dyDescent="0.25">
      <c r="A61" s="86"/>
      <c r="M61" s="87"/>
    </row>
    <row r="62" spans="1:14" x14ac:dyDescent="0.25">
      <c r="A62" s="107" t="s">
        <v>346</v>
      </c>
      <c r="B62" s="47" t="str">
        <f>VLOOKUP('IV-MEMORIAL'!A62,'II-PO'!$A$19:$M$295,5,0)</f>
        <v>LOCAÇÃO CONVENCIONAL DE OBRA, UTILIZANDO GABARITO DE TÁBUAS CORRIDAS PONTALETADAS A CADA 2,00M - 2 UTILIZAÇÕES. AF_03/2024</v>
      </c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108"/>
      <c r="N62" s="3">
        <f>C67</f>
        <v>88</v>
      </c>
    </row>
    <row r="63" spans="1:14" x14ac:dyDescent="0.25">
      <c r="A63" s="86"/>
      <c r="M63" s="87"/>
    </row>
    <row r="64" spans="1:14" x14ac:dyDescent="0.25">
      <c r="A64" s="86"/>
      <c r="B64" s="2" t="s">
        <v>151</v>
      </c>
      <c r="C64" s="2">
        <f>0.15+1.45+13.8+1.45+0.15</f>
        <v>17</v>
      </c>
      <c r="M64" s="87"/>
    </row>
    <row r="65" spans="1:14" x14ac:dyDescent="0.25">
      <c r="A65" s="86"/>
      <c r="B65" s="2" t="s">
        <v>163</v>
      </c>
      <c r="C65" s="2">
        <v>27</v>
      </c>
      <c r="M65" s="87"/>
    </row>
    <row r="66" spans="1:14" x14ac:dyDescent="0.25">
      <c r="A66" s="86"/>
      <c r="M66" s="87"/>
    </row>
    <row r="67" spans="1:14" ht="15.75" x14ac:dyDescent="0.25">
      <c r="A67" s="86"/>
      <c r="B67" s="46" t="s">
        <v>109</v>
      </c>
      <c r="C67" s="46">
        <f>2*(C65+C64)</f>
        <v>88</v>
      </c>
      <c r="D67" s="46" t="s">
        <v>116</v>
      </c>
      <c r="M67" s="87"/>
    </row>
    <row r="68" spans="1:14" x14ac:dyDescent="0.25">
      <c r="A68" s="86"/>
      <c r="M68" s="87"/>
    </row>
    <row r="69" spans="1:14" ht="15.75" x14ac:dyDescent="0.25">
      <c r="A69" s="105">
        <v>3</v>
      </c>
      <c r="B69" s="43" t="s">
        <v>276</v>
      </c>
      <c r="C69" s="44"/>
      <c r="D69" s="44"/>
      <c r="E69" s="45"/>
      <c r="F69" s="45"/>
      <c r="G69" s="45"/>
      <c r="H69" s="45"/>
      <c r="I69" s="45"/>
      <c r="J69" s="45"/>
      <c r="K69" s="45"/>
      <c r="L69" s="45"/>
      <c r="M69" s="106"/>
    </row>
    <row r="70" spans="1:14" x14ac:dyDescent="0.25">
      <c r="A70" s="86"/>
      <c r="M70" s="87"/>
    </row>
    <row r="71" spans="1:14" x14ac:dyDescent="0.25">
      <c r="A71" s="107" t="s">
        <v>101</v>
      </c>
      <c r="B71" s="47" t="str">
        <f>VLOOKUP('IV-MEMORIAL'!A71,'II-PO'!$A$19:$M$295,5,0)</f>
        <v>REGULARIZAÇÃO DE SUPERFÍCIES COM MOTONIVELADORA. AF_09/2024</v>
      </c>
      <c r="C71" s="47"/>
      <c r="D71" s="47"/>
      <c r="E71" s="48"/>
      <c r="F71" s="48"/>
      <c r="G71" s="48"/>
      <c r="H71" s="48"/>
      <c r="I71" s="48"/>
      <c r="J71" s="48"/>
      <c r="K71" s="48"/>
      <c r="L71" s="48"/>
      <c r="M71" s="108"/>
      <c r="N71" s="3">
        <f>C76</f>
        <v>459</v>
      </c>
    </row>
    <row r="72" spans="1:14" x14ac:dyDescent="0.25">
      <c r="A72" s="86"/>
      <c r="M72" s="87"/>
    </row>
    <row r="73" spans="1:14" x14ac:dyDescent="0.25">
      <c r="A73" s="86"/>
      <c r="B73" s="2" t="s">
        <v>151</v>
      </c>
      <c r="C73" s="2">
        <f>0.15+1.45+13.8+1.45+0.15</f>
        <v>17</v>
      </c>
      <c r="M73" s="87"/>
    </row>
    <row r="74" spans="1:14" x14ac:dyDescent="0.25">
      <c r="A74" s="86"/>
      <c r="B74" s="2" t="s">
        <v>163</v>
      </c>
      <c r="C74" s="2">
        <v>27</v>
      </c>
      <c r="M74" s="87"/>
    </row>
    <row r="75" spans="1:14" x14ac:dyDescent="0.25">
      <c r="A75" s="86"/>
      <c r="M75" s="87"/>
    </row>
    <row r="76" spans="1:14" ht="15.75" x14ac:dyDescent="0.25">
      <c r="A76" s="86"/>
      <c r="B76" s="46" t="s">
        <v>109</v>
      </c>
      <c r="C76" s="46">
        <f>C73*C74</f>
        <v>459</v>
      </c>
      <c r="D76" s="46" t="s">
        <v>167</v>
      </c>
      <c r="M76" s="87"/>
    </row>
    <row r="77" spans="1:14" x14ac:dyDescent="0.25">
      <c r="A77" s="86"/>
      <c r="M77" s="87"/>
    </row>
    <row r="78" spans="1:14" x14ac:dyDescent="0.25">
      <c r="A78" s="107" t="s">
        <v>102</v>
      </c>
      <c r="B78" s="47" t="str">
        <f>VLOOKUP('IV-MEMORIAL'!A78,'II-PO'!$A$19:$M$295,5,0)</f>
        <v>ESCAVAÇÃO HORIZONTAL, INCLUINDO CARGA, DESCARGA E TRANSPORTE EM SOLO DE 1A CATEGORIA COM TRATOR DE ESTEIRAS (170HP/LÂMINA: 5,20M3) E CAMINHÃO BASCULANTE DE 10M3, DMT ATÉ 200M. AF_07/2020</v>
      </c>
      <c r="C78" s="47"/>
      <c r="D78" s="47"/>
      <c r="E78" s="48"/>
      <c r="F78" s="48"/>
      <c r="G78" s="48"/>
      <c r="H78" s="48"/>
      <c r="I78" s="48"/>
      <c r="J78" s="48"/>
      <c r="K78" s="48"/>
      <c r="L78" s="48"/>
      <c r="M78" s="108"/>
      <c r="N78" s="3">
        <f>C86</f>
        <v>137.69999999999999</v>
      </c>
    </row>
    <row r="79" spans="1:14" x14ac:dyDescent="0.25">
      <c r="A79" s="86"/>
      <c r="M79" s="87"/>
    </row>
    <row r="80" spans="1:14" x14ac:dyDescent="0.25">
      <c r="A80" s="86"/>
      <c r="B80" s="30" t="s">
        <v>270</v>
      </c>
      <c r="M80" s="87"/>
    </row>
    <row r="81" spans="1:14" x14ac:dyDescent="0.25">
      <c r="A81" s="86"/>
      <c r="M81" s="87"/>
    </row>
    <row r="82" spans="1:14" x14ac:dyDescent="0.25">
      <c r="A82" s="86"/>
      <c r="B82" s="2" t="s">
        <v>151</v>
      </c>
      <c r="C82" s="2">
        <f>0.15+1.45+13.8+1.45+0.15</f>
        <v>17</v>
      </c>
      <c r="M82" s="87"/>
    </row>
    <row r="83" spans="1:14" x14ac:dyDescent="0.25">
      <c r="A83" s="86"/>
      <c r="B83" s="2" t="s">
        <v>163</v>
      </c>
      <c r="C83" s="2">
        <v>27</v>
      </c>
      <c r="M83" s="87"/>
    </row>
    <row r="84" spans="1:14" x14ac:dyDescent="0.25">
      <c r="A84" s="86"/>
      <c r="B84" s="2" t="s">
        <v>150</v>
      </c>
      <c r="C84" s="2">
        <v>0.3</v>
      </c>
      <c r="M84" s="87"/>
    </row>
    <row r="85" spans="1:14" x14ac:dyDescent="0.25">
      <c r="A85" s="86"/>
      <c r="M85" s="87"/>
    </row>
    <row r="86" spans="1:14" ht="15.75" x14ac:dyDescent="0.25">
      <c r="A86" s="86"/>
      <c r="B86" s="46" t="s">
        <v>109</v>
      </c>
      <c r="C86" s="46">
        <f>C82*C83*C84</f>
        <v>137.69999999999999</v>
      </c>
      <c r="D86" s="46" t="s">
        <v>123</v>
      </c>
      <c r="M86" s="87"/>
    </row>
    <row r="87" spans="1:14" x14ac:dyDescent="0.25">
      <c r="A87" s="86"/>
      <c r="M87" s="87"/>
    </row>
    <row r="88" spans="1:14" x14ac:dyDescent="0.25">
      <c r="A88" s="107" t="s">
        <v>269</v>
      </c>
      <c r="B88" s="47" t="str">
        <f>VLOOKUP('IV-MEMORIAL'!A88,'II-PO'!$A$19:$M$295,5,0)</f>
        <v>EXECUÇÃO E COMPACTAÇÃO DE CAMADA FINAL DE ATERRO (100% DE ENERGIA DO PROCTOR NORMAL) COM SOLO PREDOMINANTEMENTE ARGILOSO, EM CAMADAS COM ESPESSURA DE 15 CM - EXCLUSIVE ESCAVAÇÃO, CARGA E TRANSPORTE E SOLO. AF_09/2024</v>
      </c>
      <c r="C88" s="47"/>
      <c r="D88" s="47"/>
      <c r="E88" s="48"/>
      <c r="F88" s="48"/>
      <c r="G88" s="48"/>
      <c r="H88" s="48"/>
      <c r="I88" s="48"/>
      <c r="J88" s="48"/>
      <c r="K88" s="48"/>
      <c r="L88" s="48"/>
      <c r="M88" s="108"/>
      <c r="N88" s="3">
        <f>C92</f>
        <v>137.69999999999999</v>
      </c>
    </row>
    <row r="89" spans="1:14" x14ac:dyDescent="0.25">
      <c r="A89" s="86"/>
      <c r="M89" s="87"/>
    </row>
    <row r="90" spans="1:14" x14ac:dyDescent="0.25">
      <c r="A90" s="86"/>
      <c r="B90" s="30" t="s">
        <v>271</v>
      </c>
      <c r="M90" s="87"/>
    </row>
    <row r="91" spans="1:14" x14ac:dyDescent="0.25">
      <c r="A91" s="86"/>
      <c r="M91" s="87"/>
    </row>
    <row r="92" spans="1:14" ht="15.75" x14ac:dyDescent="0.25">
      <c r="A92" s="86"/>
      <c r="B92" s="46" t="s">
        <v>109</v>
      </c>
      <c r="C92" s="46">
        <f>C86</f>
        <v>137.69999999999999</v>
      </c>
      <c r="D92" s="46" t="s">
        <v>123</v>
      </c>
      <c r="M92" s="87"/>
    </row>
    <row r="93" spans="1:14" x14ac:dyDescent="0.25">
      <c r="A93" s="86"/>
      <c r="M93" s="87"/>
    </row>
    <row r="94" spans="1:14" ht="15.75" x14ac:dyDescent="0.25">
      <c r="A94" s="105">
        <v>4</v>
      </c>
      <c r="B94" s="43" t="s">
        <v>287</v>
      </c>
      <c r="C94" s="44"/>
      <c r="D94" s="44"/>
      <c r="E94" s="45"/>
      <c r="F94" s="45"/>
      <c r="G94" s="45"/>
      <c r="H94" s="45"/>
      <c r="I94" s="45"/>
      <c r="J94" s="45"/>
      <c r="K94" s="45"/>
      <c r="L94" s="45"/>
      <c r="M94" s="106"/>
    </row>
    <row r="95" spans="1:14" x14ac:dyDescent="0.25">
      <c r="A95" s="86"/>
      <c r="M95" s="87"/>
    </row>
    <row r="96" spans="1:14" ht="15.75" x14ac:dyDescent="0.25">
      <c r="A96" s="86"/>
      <c r="B96" s="4" t="s">
        <v>225</v>
      </c>
      <c r="C96" s="4" t="s">
        <v>224</v>
      </c>
      <c r="D96" s="4" t="s">
        <v>229</v>
      </c>
      <c r="E96" s="4" t="s">
        <v>163</v>
      </c>
      <c r="F96" s="149" t="s">
        <v>226</v>
      </c>
      <c r="G96" s="149" t="s">
        <v>227</v>
      </c>
      <c r="M96" s="87"/>
    </row>
    <row r="97" spans="1:13" x14ac:dyDescent="0.25">
      <c r="A97" s="86"/>
      <c r="B97" s="351" t="s">
        <v>236</v>
      </c>
      <c r="C97" s="2">
        <v>6.3</v>
      </c>
      <c r="D97" s="2" t="str">
        <f t="shared" ref="D97:D103" si="0">VLOOKUP(C97,$B$310:$C$314,2,0)</f>
        <v>CA-50</v>
      </c>
      <c r="E97" s="2">
        <v>148</v>
      </c>
      <c r="F97" s="150">
        <f t="shared" ref="F97:F103" si="1">VLOOKUP(C97,$B$310:$D$314,3,0)</f>
        <v>0.24470375687617107</v>
      </c>
      <c r="G97" s="2">
        <f t="shared" ref="G97:G103" si="2">TRUNC(E97*F97,2)</f>
        <v>36.21</v>
      </c>
      <c r="M97" s="87"/>
    </row>
    <row r="98" spans="1:13" x14ac:dyDescent="0.25">
      <c r="A98" s="86"/>
      <c r="B98" s="353"/>
      <c r="C98" s="2">
        <v>10</v>
      </c>
      <c r="D98" s="2" t="str">
        <f t="shared" si="0"/>
        <v>CA-50</v>
      </c>
      <c r="E98" s="2">
        <v>630</v>
      </c>
      <c r="F98" s="150">
        <f t="shared" si="1"/>
        <v>0.61653755826699697</v>
      </c>
      <c r="G98" s="2">
        <f t="shared" si="2"/>
        <v>388.41</v>
      </c>
      <c r="M98" s="87"/>
    </row>
    <row r="99" spans="1:13" x14ac:dyDescent="0.25">
      <c r="A99" s="86"/>
      <c r="B99" s="351" t="s">
        <v>237</v>
      </c>
      <c r="C99" s="2">
        <v>6.3</v>
      </c>
      <c r="D99" s="2" t="str">
        <f t="shared" si="0"/>
        <v>CA-50</v>
      </c>
      <c r="E99" s="2">
        <v>267.10000000000002</v>
      </c>
      <c r="F99" s="150">
        <f t="shared" si="1"/>
        <v>0.24470375687617107</v>
      </c>
      <c r="G99" s="2">
        <f t="shared" si="2"/>
        <v>65.36</v>
      </c>
      <c r="M99" s="87"/>
    </row>
    <row r="100" spans="1:13" x14ac:dyDescent="0.25">
      <c r="A100" s="86"/>
      <c r="B100" s="353"/>
      <c r="C100" s="2">
        <v>8</v>
      </c>
      <c r="D100" s="2" t="str">
        <f t="shared" si="0"/>
        <v>CA-50</v>
      </c>
      <c r="E100" s="2">
        <v>137.80000000000001</v>
      </c>
      <c r="F100" s="150">
        <f t="shared" si="1"/>
        <v>0.39458403729087799</v>
      </c>
      <c r="G100" s="2">
        <f t="shared" si="2"/>
        <v>54.37</v>
      </c>
      <c r="M100" s="87"/>
    </row>
    <row r="101" spans="1:13" x14ac:dyDescent="0.25">
      <c r="A101" s="86"/>
      <c r="B101" s="351" t="s">
        <v>240</v>
      </c>
      <c r="C101" s="2">
        <v>5</v>
      </c>
      <c r="D101" s="2" t="str">
        <f t="shared" si="0"/>
        <v>CA-60</v>
      </c>
      <c r="E101" s="2">
        <v>850</v>
      </c>
      <c r="F101" s="150">
        <f t="shared" si="1"/>
        <v>0.15413438956674924</v>
      </c>
      <c r="G101" s="2">
        <f t="shared" si="2"/>
        <v>131.01</v>
      </c>
      <c r="M101" s="87"/>
    </row>
    <row r="102" spans="1:13" x14ac:dyDescent="0.25">
      <c r="A102" s="86"/>
      <c r="B102" s="352"/>
      <c r="C102" s="2">
        <v>8</v>
      </c>
      <c r="D102" s="2" t="str">
        <f t="shared" si="0"/>
        <v>CA-50</v>
      </c>
      <c r="E102" s="2">
        <v>457</v>
      </c>
      <c r="F102" s="150">
        <f t="shared" si="1"/>
        <v>0.39458403729087799</v>
      </c>
      <c r="G102" s="2">
        <f t="shared" si="2"/>
        <v>180.32</v>
      </c>
      <c r="M102" s="87"/>
    </row>
    <row r="103" spans="1:13" x14ac:dyDescent="0.25">
      <c r="A103" s="86"/>
      <c r="B103" s="353"/>
      <c r="C103" s="2">
        <v>10</v>
      </c>
      <c r="D103" s="2" t="str">
        <f t="shared" si="0"/>
        <v>CA-50</v>
      </c>
      <c r="E103" s="2">
        <v>197</v>
      </c>
      <c r="F103" s="150">
        <f t="shared" si="1"/>
        <v>0.61653755826699697</v>
      </c>
      <c r="G103" s="2">
        <f t="shared" si="2"/>
        <v>121.45</v>
      </c>
      <c r="M103" s="87"/>
    </row>
    <row r="104" spans="1:13" x14ac:dyDescent="0.25">
      <c r="A104" s="86"/>
      <c r="G104" s="3">
        <f>SUM(G97:G103)</f>
        <v>977.13000000000011</v>
      </c>
      <c r="M104" s="87"/>
    </row>
    <row r="105" spans="1:13" ht="15.75" x14ac:dyDescent="0.25">
      <c r="A105" s="86"/>
      <c r="B105" s="4" t="s">
        <v>224</v>
      </c>
      <c r="C105" s="4" t="s">
        <v>229</v>
      </c>
      <c r="D105" s="149" t="s">
        <v>226</v>
      </c>
      <c r="E105" s="149" t="s">
        <v>227</v>
      </c>
      <c r="G105" s="1" t="b">
        <f>G104=E111</f>
        <v>1</v>
      </c>
      <c r="M105" s="87"/>
    </row>
    <row r="106" spans="1:13" x14ac:dyDescent="0.25">
      <c r="A106" s="86"/>
      <c r="B106" s="2">
        <v>5</v>
      </c>
      <c r="C106" s="2" t="s">
        <v>230</v>
      </c>
      <c r="D106" s="150">
        <f t="shared" ref="D106" si="3">7850*((5/1000)^2)*0.25*PI()</f>
        <v>0.15413438956674924</v>
      </c>
      <c r="E106" s="2">
        <f>SUMIF($C$97:$C$103,B106,$G$97:$G$103)</f>
        <v>131.01</v>
      </c>
      <c r="M106" s="87"/>
    </row>
    <row r="107" spans="1:13" x14ac:dyDescent="0.25">
      <c r="A107" s="86"/>
      <c r="B107" s="2">
        <v>6.3</v>
      </c>
      <c r="C107" s="2" t="s">
        <v>231</v>
      </c>
      <c r="D107" s="150">
        <f>7850*((6.3/1000)^2)*0.25*PI()</f>
        <v>0.24470375687617107</v>
      </c>
      <c r="E107" s="2">
        <f t="shared" ref="E107:E110" si="4">SUMIF($C$97:$C$103,B107,$G$97:$G$103)</f>
        <v>101.57</v>
      </c>
      <c r="M107" s="87"/>
    </row>
    <row r="108" spans="1:13" x14ac:dyDescent="0.25">
      <c r="A108" s="86"/>
      <c r="B108" s="2">
        <v>8</v>
      </c>
      <c r="C108" s="2" t="s">
        <v>231</v>
      </c>
      <c r="D108" s="150">
        <f>7850*((8/1000)^2)*0.25*PI()</f>
        <v>0.39458403729087799</v>
      </c>
      <c r="E108" s="2">
        <f t="shared" si="4"/>
        <v>234.69</v>
      </c>
      <c r="M108" s="87"/>
    </row>
    <row r="109" spans="1:13" x14ac:dyDescent="0.25">
      <c r="A109" s="86"/>
      <c r="B109" s="2">
        <v>10</v>
      </c>
      <c r="C109" s="2" t="s">
        <v>231</v>
      </c>
      <c r="D109" s="150">
        <f>7850*((10/1000)^2)*0.25*PI()</f>
        <v>0.61653755826699697</v>
      </c>
      <c r="E109" s="2">
        <f t="shared" si="4"/>
        <v>509.86</v>
      </c>
      <c r="M109" s="87"/>
    </row>
    <row r="110" spans="1:13" x14ac:dyDescent="0.25">
      <c r="A110" s="86"/>
      <c r="B110" s="2">
        <v>12.5</v>
      </c>
      <c r="C110" s="2" t="s">
        <v>231</v>
      </c>
      <c r="D110" s="150">
        <f>7850*((12.5/1000)^2)*0.25*PI()</f>
        <v>0.96333993479218283</v>
      </c>
      <c r="E110" s="2">
        <f t="shared" si="4"/>
        <v>0</v>
      </c>
      <c r="M110" s="87"/>
    </row>
    <row r="111" spans="1:13" x14ac:dyDescent="0.25">
      <c r="A111" s="86"/>
      <c r="E111" s="3">
        <f>SUM(E106:E110)</f>
        <v>977.13</v>
      </c>
      <c r="M111" s="87"/>
    </row>
    <row r="112" spans="1:13" ht="15.75" x14ac:dyDescent="0.25">
      <c r="A112" s="86"/>
      <c r="B112" s="4" t="s">
        <v>225</v>
      </c>
      <c r="C112" s="4" t="s">
        <v>233</v>
      </c>
      <c r="D112" s="4" t="s">
        <v>243</v>
      </c>
      <c r="E112" s="4" t="s">
        <v>232</v>
      </c>
      <c r="M112" s="87"/>
    </row>
    <row r="113" spans="1:13" ht="15.75" x14ac:dyDescent="0.25">
      <c r="A113" s="86"/>
      <c r="B113" s="4" t="s">
        <v>236</v>
      </c>
      <c r="C113" s="2">
        <v>9</v>
      </c>
      <c r="D113" s="2" t="s">
        <v>244</v>
      </c>
      <c r="E113" s="2">
        <v>0</v>
      </c>
      <c r="M113" s="87"/>
    </row>
    <row r="114" spans="1:13" ht="15.75" x14ac:dyDescent="0.25">
      <c r="A114" s="86"/>
      <c r="B114" s="4" t="s">
        <v>237</v>
      </c>
      <c r="C114" s="2">
        <v>7.9</v>
      </c>
      <c r="D114" s="2" t="s">
        <v>244</v>
      </c>
      <c r="E114" s="2">
        <v>56</v>
      </c>
      <c r="M114" s="87"/>
    </row>
    <row r="115" spans="1:13" ht="15.75" x14ac:dyDescent="0.25">
      <c r="A115" s="86"/>
      <c r="B115" s="4" t="s">
        <v>240</v>
      </c>
      <c r="C115" s="2">
        <v>11.05</v>
      </c>
      <c r="D115" s="2" t="s">
        <v>244</v>
      </c>
      <c r="E115" s="2">
        <v>145</v>
      </c>
      <c r="M115" s="87"/>
    </row>
    <row r="116" spans="1:13" x14ac:dyDescent="0.25">
      <c r="A116" s="86"/>
      <c r="M116" s="87"/>
    </row>
    <row r="117" spans="1:13" ht="15.75" x14ac:dyDescent="0.25">
      <c r="A117" s="86"/>
      <c r="B117" s="149" t="s">
        <v>245</v>
      </c>
      <c r="C117" s="149" t="s">
        <v>246</v>
      </c>
      <c r="D117" s="149" t="s">
        <v>178</v>
      </c>
      <c r="E117" s="149" t="s">
        <v>109</v>
      </c>
      <c r="F117" s="149" t="s">
        <v>179</v>
      </c>
      <c r="M117" s="87"/>
    </row>
    <row r="118" spans="1:13" x14ac:dyDescent="0.25">
      <c r="A118" s="86"/>
      <c r="B118" s="2" t="s">
        <v>247</v>
      </c>
      <c r="C118" s="2">
        <v>30</v>
      </c>
      <c r="D118" s="2">
        <v>6</v>
      </c>
      <c r="E118" s="2">
        <v>42</v>
      </c>
      <c r="F118" s="2">
        <f>D118*E118</f>
        <v>252</v>
      </c>
      <c r="M118" s="87"/>
    </row>
    <row r="119" spans="1:13" x14ac:dyDescent="0.25">
      <c r="A119" s="86"/>
      <c r="M119" s="87"/>
    </row>
    <row r="120" spans="1:13" ht="15.75" x14ac:dyDescent="0.25">
      <c r="A120" s="151" t="s">
        <v>103</v>
      </c>
      <c r="B120" s="152" t="s">
        <v>249</v>
      </c>
      <c r="C120" s="153"/>
      <c r="D120" s="153"/>
      <c r="E120" s="154"/>
      <c r="F120" s="154"/>
      <c r="G120" s="154"/>
      <c r="H120" s="154"/>
      <c r="I120" s="154"/>
      <c r="J120" s="154"/>
      <c r="K120" s="154"/>
      <c r="L120" s="154"/>
      <c r="M120" s="155"/>
    </row>
    <row r="121" spans="1:13" x14ac:dyDescent="0.25">
      <c r="A121" s="86"/>
      <c r="M121" s="87"/>
    </row>
    <row r="122" spans="1:13" ht="15.75" x14ac:dyDescent="0.25">
      <c r="A122" s="86"/>
      <c r="B122" s="4" t="s">
        <v>225</v>
      </c>
      <c r="C122" s="4" t="s">
        <v>224</v>
      </c>
      <c r="D122" s="4" t="s">
        <v>229</v>
      </c>
      <c r="E122" s="4" t="s">
        <v>163</v>
      </c>
      <c r="F122" s="149" t="s">
        <v>226</v>
      </c>
      <c r="G122" s="149" t="s">
        <v>227</v>
      </c>
      <c r="M122" s="87"/>
    </row>
    <row r="123" spans="1:13" x14ac:dyDescent="0.25">
      <c r="A123" s="86"/>
      <c r="B123" s="351" t="s">
        <v>236</v>
      </c>
      <c r="C123" s="2">
        <v>6.3</v>
      </c>
      <c r="D123" s="2" t="str">
        <f>VLOOKUP(C123,$B$310:$C$314,2,0)</f>
        <v>CA-50</v>
      </c>
      <c r="E123" s="2">
        <v>148</v>
      </c>
      <c r="F123" s="150">
        <f>VLOOKUP(C123,$B$310:$D$314,3,0)</f>
        <v>0.24470375687617107</v>
      </c>
      <c r="G123" s="2">
        <f>TRUNC(E123*F123,2)</f>
        <v>36.21</v>
      </c>
      <c r="M123" s="87"/>
    </row>
    <row r="124" spans="1:13" x14ac:dyDescent="0.25">
      <c r="A124" s="86"/>
      <c r="B124" s="353"/>
      <c r="C124" s="2">
        <v>10</v>
      </c>
      <c r="D124" s="2" t="str">
        <f>VLOOKUP(C124,$B$310:$C$314,2,0)</f>
        <v>CA-50</v>
      </c>
      <c r="E124" s="2">
        <v>630</v>
      </c>
      <c r="F124" s="150">
        <f>VLOOKUP(C124,$B$310:$D$314,3,0)</f>
        <v>0.61653755826699697</v>
      </c>
      <c r="G124" s="2">
        <f>TRUNC(E124*F124,2)</f>
        <v>388.41</v>
      </c>
      <c r="M124" s="87"/>
    </row>
    <row r="125" spans="1:13" ht="15.75" x14ac:dyDescent="0.25">
      <c r="A125" s="86"/>
      <c r="B125" s="156"/>
      <c r="E125" s="3"/>
      <c r="F125" s="157"/>
      <c r="G125" s="3"/>
      <c r="M125" s="87"/>
    </row>
    <row r="126" spans="1:13" ht="15.75" x14ac:dyDescent="0.25">
      <c r="A126" s="86"/>
      <c r="B126" s="149" t="s">
        <v>245</v>
      </c>
      <c r="C126" s="149" t="s">
        <v>246</v>
      </c>
      <c r="D126" s="149" t="s">
        <v>178</v>
      </c>
      <c r="E126" s="149" t="s">
        <v>109</v>
      </c>
      <c r="F126" s="149" t="s">
        <v>179</v>
      </c>
      <c r="G126" s="3"/>
      <c r="M126" s="87"/>
    </row>
    <row r="127" spans="1:13" x14ac:dyDescent="0.25">
      <c r="A127" s="86"/>
      <c r="B127" s="2" t="s">
        <v>247</v>
      </c>
      <c r="C127" s="2">
        <v>30</v>
      </c>
      <c r="D127" s="2">
        <v>6</v>
      </c>
      <c r="E127" s="2">
        <v>42</v>
      </c>
      <c r="F127" s="2">
        <f>D127*E127</f>
        <v>252</v>
      </c>
      <c r="G127" s="3"/>
      <c r="M127" s="87"/>
    </row>
    <row r="128" spans="1:13" x14ac:dyDescent="0.25">
      <c r="A128" s="86"/>
      <c r="M128" s="87"/>
    </row>
    <row r="129" spans="1:14" x14ac:dyDescent="0.25">
      <c r="A129" s="107" t="s">
        <v>248</v>
      </c>
      <c r="B129" s="47" t="str">
        <f>VLOOKUP('IV-MEMORIAL'!A129,'II-PO'!$A$19:$M$295,5,0)</f>
        <v>MONTAGEM DE ARMADURA TRANSVERSAL DE ESTACAS DE SEÇÃO CIRCULAR, DIÂMETRO = 6,30 MM. AF_09/2021_PS</v>
      </c>
      <c r="C129" s="47"/>
      <c r="D129" s="47"/>
      <c r="E129" s="48"/>
      <c r="F129" s="48"/>
      <c r="G129" s="48"/>
      <c r="H129" s="48"/>
      <c r="I129" s="48"/>
      <c r="J129" s="48"/>
      <c r="K129" s="48"/>
      <c r="L129" s="48"/>
      <c r="M129" s="108"/>
      <c r="N129" s="3">
        <f>C131</f>
        <v>36.21</v>
      </c>
    </row>
    <row r="130" spans="1:14" x14ac:dyDescent="0.25">
      <c r="A130" s="86"/>
      <c r="M130" s="87"/>
    </row>
    <row r="131" spans="1:14" ht="15.75" x14ac:dyDescent="0.25">
      <c r="A131" s="86"/>
      <c r="B131" s="46" t="s">
        <v>109</v>
      </c>
      <c r="C131" s="46">
        <f>G123</f>
        <v>36.21</v>
      </c>
      <c r="D131" s="46" t="s">
        <v>121</v>
      </c>
      <c r="M131" s="87"/>
    </row>
    <row r="132" spans="1:14" x14ac:dyDescent="0.25">
      <c r="A132" s="86"/>
      <c r="M132" s="87"/>
    </row>
    <row r="133" spans="1:14" x14ac:dyDescent="0.25">
      <c r="A133" s="107" t="s">
        <v>250</v>
      </c>
      <c r="B133" s="47" t="str">
        <f>VLOOKUP('IV-MEMORIAL'!A133,'II-PO'!$A$19:$M$295,5,0)</f>
        <v>MONTAGEM DE ARMADURA DE ESTACAS, DIÂMETRO = 10,0 MM. AF_09/2021_PS</v>
      </c>
      <c r="C133" s="47"/>
      <c r="D133" s="47"/>
      <c r="E133" s="48"/>
      <c r="F133" s="48"/>
      <c r="G133" s="48"/>
      <c r="H133" s="48"/>
      <c r="I133" s="48"/>
      <c r="J133" s="48"/>
      <c r="K133" s="48"/>
      <c r="L133" s="48"/>
      <c r="M133" s="108"/>
      <c r="N133" s="3">
        <f>C135</f>
        <v>388.41</v>
      </c>
    </row>
    <row r="134" spans="1:14" x14ac:dyDescent="0.25">
      <c r="A134" s="86"/>
      <c r="M134" s="87"/>
    </row>
    <row r="135" spans="1:14" ht="15.75" x14ac:dyDescent="0.25">
      <c r="A135" s="86"/>
      <c r="B135" s="46" t="s">
        <v>109</v>
      </c>
      <c r="C135" s="46">
        <f>G124</f>
        <v>388.41</v>
      </c>
      <c r="D135" s="46" t="s">
        <v>121</v>
      </c>
      <c r="M135" s="87"/>
    </row>
    <row r="136" spans="1:14" x14ac:dyDescent="0.25">
      <c r="A136" s="86"/>
      <c r="M136" s="87"/>
    </row>
    <row r="137" spans="1:14" x14ac:dyDescent="0.25">
      <c r="A137" s="107" t="s">
        <v>251</v>
      </c>
      <c r="B137" s="47" t="str">
        <f>VLOOKUP('IV-MEMORIAL'!A137,'II-PO'!$A$19:$M$295,5,0)</f>
        <v>ESTACA BROCA DE CONCRETO, DIÂMETRO DE 30CM, ESCAVAÇÃO MANUAL COM TRADO CONCHA, SEM ARMADURA DE ARRANQUE. AF_05/2020 (REF.: SINAPI 101175)</v>
      </c>
      <c r="C137" s="47"/>
      <c r="D137" s="47"/>
      <c r="E137" s="48"/>
      <c r="F137" s="48"/>
      <c r="G137" s="48"/>
      <c r="H137" s="48"/>
      <c r="I137" s="48"/>
      <c r="J137" s="48"/>
      <c r="K137" s="48"/>
      <c r="L137" s="48"/>
      <c r="M137" s="108"/>
      <c r="N137" s="3">
        <f>C139</f>
        <v>252</v>
      </c>
    </row>
    <row r="138" spans="1:14" x14ac:dyDescent="0.25">
      <c r="A138" s="86"/>
      <c r="M138" s="87"/>
    </row>
    <row r="139" spans="1:14" ht="15.75" x14ac:dyDescent="0.25">
      <c r="A139" s="86"/>
      <c r="B139" s="46" t="s">
        <v>109</v>
      </c>
      <c r="C139" s="46">
        <f>F127</f>
        <v>252</v>
      </c>
      <c r="D139" s="46" t="s">
        <v>116</v>
      </c>
      <c r="M139" s="87"/>
    </row>
    <row r="140" spans="1:14" x14ac:dyDescent="0.25">
      <c r="A140" s="86"/>
      <c r="M140" s="87"/>
    </row>
    <row r="141" spans="1:14" ht="15.75" x14ac:dyDescent="0.25">
      <c r="A141" s="151" t="s">
        <v>104</v>
      </c>
      <c r="B141" s="152" t="s">
        <v>252</v>
      </c>
      <c r="C141" s="153"/>
      <c r="D141" s="153"/>
      <c r="E141" s="154"/>
      <c r="F141" s="154"/>
      <c r="G141" s="154"/>
      <c r="H141" s="154"/>
      <c r="I141" s="154"/>
      <c r="J141" s="154"/>
      <c r="K141" s="154"/>
      <c r="L141" s="154"/>
      <c r="M141" s="155"/>
    </row>
    <row r="142" spans="1:14" x14ac:dyDescent="0.25">
      <c r="A142" s="86"/>
      <c r="M142" s="87"/>
    </row>
    <row r="143" spans="1:14" x14ac:dyDescent="0.25">
      <c r="A143" s="86"/>
      <c r="B143" s="351" t="s">
        <v>237</v>
      </c>
      <c r="C143" s="2">
        <v>6.3</v>
      </c>
      <c r="D143" s="2" t="str">
        <f>VLOOKUP(C143,$B$310:$C$314,2,0)</f>
        <v>CA-50</v>
      </c>
      <c r="E143" s="2">
        <v>267.10000000000002</v>
      </c>
      <c r="F143" s="150">
        <f>VLOOKUP(C143,$B$310:$D$314,3,0)</f>
        <v>0.24470375687617107</v>
      </c>
      <c r="G143" s="2">
        <f>TRUNC(E143*F143,2)</f>
        <v>65.36</v>
      </c>
      <c r="M143" s="87"/>
    </row>
    <row r="144" spans="1:14" x14ac:dyDescent="0.25">
      <c r="A144" s="86"/>
      <c r="B144" s="353"/>
      <c r="C144" s="2">
        <v>8</v>
      </c>
      <c r="D144" s="2" t="str">
        <f>VLOOKUP(C144,$B$310:$C$314,2,0)</f>
        <v>CA-50</v>
      </c>
      <c r="E144" s="2">
        <v>137.80000000000001</v>
      </c>
      <c r="F144" s="150">
        <f>VLOOKUP(C144,$B$310:$D$314,3,0)</f>
        <v>0.39458403729087799</v>
      </c>
      <c r="G144" s="2">
        <f>TRUNC(E144*F144,2)</f>
        <v>54.37</v>
      </c>
      <c r="M144" s="87"/>
    </row>
    <row r="145" spans="1:14" x14ac:dyDescent="0.25">
      <c r="A145" s="86"/>
      <c r="M145" s="87"/>
    </row>
    <row r="146" spans="1:14" ht="15.75" x14ac:dyDescent="0.25">
      <c r="A146" s="86"/>
      <c r="B146" s="4" t="s">
        <v>225</v>
      </c>
      <c r="C146" s="4" t="s">
        <v>233</v>
      </c>
      <c r="D146" s="4" t="s">
        <v>243</v>
      </c>
      <c r="E146" s="4" t="s">
        <v>232</v>
      </c>
      <c r="M146" s="87"/>
    </row>
    <row r="147" spans="1:14" ht="15.75" x14ac:dyDescent="0.25">
      <c r="A147" s="86"/>
      <c r="B147" s="4" t="s">
        <v>237</v>
      </c>
      <c r="C147" s="2">
        <v>7.9</v>
      </c>
      <c r="D147" s="2" t="s">
        <v>244</v>
      </c>
      <c r="E147" s="2">
        <v>56</v>
      </c>
      <c r="M147" s="87"/>
    </row>
    <row r="148" spans="1:14" x14ac:dyDescent="0.25">
      <c r="A148" s="86"/>
      <c r="M148" s="87"/>
    </row>
    <row r="149" spans="1:14" x14ac:dyDescent="0.25">
      <c r="A149" s="107" t="s">
        <v>253</v>
      </c>
      <c r="B149" s="47" t="str">
        <f>VLOOKUP('IV-MEMORIAL'!A149,'II-PO'!$A$19:$M$295,5,0)</f>
        <v>ARMAÇÃO DE BLOCO UTILIZANDO AÇO CA-50 DE 6,3 MM - MONTAGEM. AF_01/2024</v>
      </c>
      <c r="C149" s="47"/>
      <c r="D149" s="47"/>
      <c r="E149" s="48"/>
      <c r="F149" s="48"/>
      <c r="G149" s="48"/>
      <c r="H149" s="48"/>
      <c r="I149" s="48"/>
      <c r="J149" s="48"/>
      <c r="K149" s="48"/>
      <c r="L149" s="48"/>
      <c r="M149" s="108"/>
      <c r="N149" s="3">
        <f>C151</f>
        <v>65.36</v>
      </c>
    </row>
    <row r="150" spans="1:14" x14ac:dyDescent="0.25">
      <c r="A150" s="86"/>
      <c r="M150" s="87"/>
    </row>
    <row r="151" spans="1:14" ht="15.75" x14ac:dyDescent="0.25">
      <c r="A151" s="86"/>
      <c r="B151" s="46" t="s">
        <v>109</v>
      </c>
      <c r="C151" s="46">
        <f>G143</f>
        <v>65.36</v>
      </c>
      <c r="D151" s="46" t="s">
        <v>121</v>
      </c>
      <c r="M151" s="87"/>
    </row>
    <row r="152" spans="1:14" x14ac:dyDescent="0.25">
      <c r="A152" s="86"/>
      <c r="M152" s="87"/>
    </row>
    <row r="153" spans="1:14" x14ac:dyDescent="0.25">
      <c r="A153" s="107" t="s">
        <v>254</v>
      </c>
      <c r="B153" s="47" t="str">
        <f>VLOOKUP('IV-MEMORIAL'!A153,'II-PO'!$A$19:$M$295,5,0)</f>
        <v>ARMAÇÃO DE BLOCO UTILIZANDO AÇO CA-50 DE 10 MM - MONTAGEM. AF_01/2024</v>
      </c>
      <c r="C153" s="47"/>
      <c r="D153" s="47"/>
      <c r="E153" s="48"/>
      <c r="F153" s="48"/>
      <c r="G153" s="48"/>
      <c r="H153" s="48"/>
      <c r="I153" s="48"/>
      <c r="J153" s="48"/>
      <c r="K153" s="48"/>
      <c r="L153" s="48"/>
      <c r="M153" s="108"/>
      <c r="N153" s="3">
        <f>C155</f>
        <v>54.37</v>
      </c>
    </row>
    <row r="154" spans="1:14" x14ac:dyDescent="0.25">
      <c r="A154" s="86"/>
      <c r="M154" s="87"/>
    </row>
    <row r="155" spans="1:14" ht="15.75" x14ac:dyDescent="0.25">
      <c r="A155" s="86"/>
      <c r="B155" s="46" t="s">
        <v>109</v>
      </c>
      <c r="C155" s="46">
        <f>G144</f>
        <v>54.37</v>
      </c>
      <c r="D155" s="46" t="s">
        <v>121</v>
      </c>
      <c r="M155" s="87"/>
    </row>
    <row r="156" spans="1:14" x14ac:dyDescent="0.25">
      <c r="A156" s="86"/>
      <c r="M156" s="87"/>
    </row>
    <row r="157" spans="1:14" x14ac:dyDescent="0.25">
      <c r="A157" s="107" t="s">
        <v>255</v>
      </c>
      <c r="B157" s="47" t="str">
        <f>VLOOKUP('IV-MEMORIAL'!A157,'II-PO'!$A$19:$M$295,5,0)</f>
        <v>CONCRETO FCK = 25MPA, TRAÇO 1:2,3:2,7 (EM MASSA SECA DE CIMENTO/ AREIA MÉDIA/ BRITA 1) - PREPARO MECÂNICO COM BETONEIRA 600 L. AF_05/2021</v>
      </c>
      <c r="C157" s="47"/>
      <c r="D157" s="47"/>
      <c r="E157" s="48"/>
      <c r="F157" s="48"/>
      <c r="G157" s="48"/>
      <c r="H157" s="48"/>
      <c r="I157" s="48"/>
      <c r="J157" s="48"/>
      <c r="K157" s="48"/>
      <c r="L157" s="48"/>
      <c r="M157" s="108"/>
      <c r="N157" s="3">
        <f>C159</f>
        <v>7.9</v>
      </c>
    </row>
    <row r="158" spans="1:14" x14ac:dyDescent="0.25">
      <c r="A158" s="86"/>
      <c r="M158" s="87"/>
    </row>
    <row r="159" spans="1:14" ht="15.75" x14ac:dyDescent="0.25">
      <c r="A159" s="86"/>
      <c r="B159" s="46" t="s">
        <v>109</v>
      </c>
      <c r="C159" s="46">
        <f>C147</f>
        <v>7.9</v>
      </c>
      <c r="D159" s="46" t="s">
        <v>177</v>
      </c>
      <c r="M159" s="87"/>
    </row>
    <row r="160" spans="1:14" x14ac:dyDescent="0.25">
      <c r="A160" s="86"/>
      <c r="M160" s="87"/>
    </row>
    <row r="161" spans="1:14" x14ac:dyDescent="0.25">
      <c r="A161" s="107" t="s">
        <v>256</v>
      </c>
      <c r="B161" s="47" t="str">
        <f>VLOOKUP('IV-MEMORIAL'!A161,'II-PO'!$A$19:$M$295,5,0)</f>
        <v>LANÇAMENTO COM USO DE BALDES, ADENSAMENTO E ACABAMENTO DE CONCRETO EM ESTRUTURAS. AF_02/2022</v>
      </c>
      <c r="C161" s="47"/>
      <c r="D161" s="47"/>
      <c r="E161" s="48"/>
      <c r="F161" s="48"/>
      <c r="G161" s="48"/>
      <c r="H161" s="48"/>
      <c r="I161" s="48"/>
      <c r="J161" s="48"/>
      <c r="K161" s="48"/>
      <c r="L161" s="48"/>
      <c r="M161" s="108"/>
      <c r="N161" s="3">
        <f>C163</f>
        <v>7.9</v>
      </c>
    </row>
    <row r="162" spans="1:14" x14ac:dyDescent="0.25">
      <c r="A162" s="86"/>
      <c r="M162" s="87"/>
    </row>
    <row r="163" spans="1:14" ht="15.75" x14ac:dyDescent="0.25">
      <c r="A163" s="86"/>
      <c r="B163" s="46" t="s">
        <v>109</v>
      </c>
      <c r="C163" s="46">
        <f>C147</f>
        <v>7.9</v>
      </c>
      <c r="D163" s="46" t="s">
        <v>177</v>
      </c>
      <c r="M163" s="87"/>
    </row>
    <row r="164" spans="1:14" x14ac:dyDescent="0.25">
      <c r="A164" s="86"/>
      <c r="M164" s="87"/>
    </row>
    <row r="165" spans="1:14" x14ac:dyDescent="0.25">
      <c r="A165" s="107" t="s">
        <v>260</v>
      </c>
      <c r="B165" s="47" t="str">
        <f>VLOOKUP('IV-MEMORIAL'!A165,'II-PO'!$A$19:$M$295,5,0)</f>
        <v>ESCAVAÇÃO MECANIZADA PARA BLOCO DE COROAMENTO OU SAPATA COM RETROESCAVADEIRA (INCLUINDO ESCAVAÇÃO PARA COLOCAÇÃO DE FÔRMAS). AF_01/2024</v>
      </c>
      <c r="C165" s="47"/>
      <c r="D165" s="47"/>
      <c r="E165" s="48"/>
      <c r="F165" s="48"/>
      <c r="G165" s="48"/>
      <c r="H165" s="48"/>
      <c r="I165" s="48"/>
      <c r="J165" s="48"/>
      <c r="K165" s="48"/>
      <c r="L165" s="48"/>
      <c r="M165" s="108"/>
      <c r="N165" s="3">
        <f>C170</f>
        <v>33.26</v>
      </c>
    </row>
    <row r="166" spans="1:14" x14ac:dyDescent="0.25">
      <c r="A166" s="86"/>
      <c r="M166" s="87"/>
    </row>
    <row r="167" spans="1:14" ht="15.75" x14ac:dyDescent="0.25">
      <c r="A167" s="86"/>
      <c r="B167" s="4" t="s">
        <v>151</v>
      </c>
      <c r="C167" s="4" t="s">
        <v>163</v>
      </c>
      <c r="D167" s="4" t="s">
        <v>257</v>
      </c>
      <c r="E167" s="149" t="s">
        <v>150</v>
      </c>
      <c r="F167" s="149" t="s">
        <v>258</v>
      </c>
      <c r="G167" s="149" t="s">
        <v>109</v>
      </c>
      <c r="H167" s="149" t="s">
        <v>259</v>
      </c>
      <c r="M167" s="87"/>
    </row>
    <row r="168" spans="1:14" x14ac:dyDescent="0.25">
      <c r="A168" s="86"/>
      <c r="B168" s="2">
        <v>0.6</v>
      </c>
      <c r="C168" s="2">
        <v>0.6</v>
      </c>
      <c r="D168" s="2">
        <v>0.6</v>
      </c>
      <c r="E168" s="2">
        <v>0.55000000000000004</v>
      </c>
      <c r="F168" s="2">
        <f>(B168+D168)*(C168+D168)*E168</f>
        <v>0.79200000000000004</v>
      </c>
      <c r="G168" s="2">
        <v>42</v>
      </c>
      <c r="H168" s="2">
        <f>TRUNC(F168*G168,2)</f>
        <v>33.26</v>
      </c>
      <c r="M168" s="87"/>
    </row>
    <row r="169" spans="1:14" x14ac:dyDescent="0.25">
      <c r="A169" s="86"/>
      <c r="M169" s="87"/>
    </row>
    <row r="170" spans="1:14" ht="15.75" x14ac:dyDescent="0.25">
      <c r="A170" s="86"/>
      <c r="B170" s="46" t="s">
        <v>109</v>
      </c>
      <c r="C170" s="46">
        <f>H168</f>
        <v>33.26</v>
      </c>
      <c r="D170" s="46" t="s">
        <v>177</v>
      </c>
      <c r="M170" s="87"/>
    </row>
    <row r="171" spans="1:14" x14ac:dyDescent="0.25">
      <c r="A171" s="86"/>
      <c r="M171" s="87"/>
    </row>
    <row r="172" spans="1:14" x14ac:dyDescent="0.25">
      <c r="A172" s="107" t="s">
        <v>278</v>
      </c>
      <c r="B172" s="47" t="str">
        <f>VLOOKUP('IV-MEMORIAL'!A172,'II-PO'!$A$19:$M$295,5,0)</f>
        <v>REATERRO COM APILOAMENTO MANUAL (BLOCOS/SAPATAS)</v>
      </c>
      <c r="C172" s="47"/>
      <c r="D172" s="47"/>
      <c r="E172" s="48"/>
      <c r="F172" s="48"/>
      <c r="G172" s="48"/>
      <c r="H172" s="48"/>
      <c r="I172" s="48"/>
      <c r="J172" s="48"/>
      <c r="K172" s="48"/>
      <c r="L172" s="48"/>
      <c r="M172" s="108"/>
      <c r="N172" s="3">
        <f>C181</f>
        <v>24.949999999999996</v>
      </c>
    </row>
    <row r="173" spans="1:14" x14ac:dyDescent="0.25">
      <c r="A173" s="86"/>
      <c r="M173" s="87"/>
    </row>
    <row r="174" spans="1:14" ht="15.75" x14ac:dyDescent="0.25">
      <c r="A174" s="86"/>
      <c r="B174" s="4" t="s">
        <v>151</v>
      </c>
      <c r="C174" s="4" t="s">
        <v>163</v>
      </c>
      <c r="D174" s="149" t="s">
        <v>150</v>
      </c>
      <c r="E174" s="149" t="s">
        <v>258</v>
      </c>
      <c r="F174" s="149" t="s">
        <v>109</v>
      </c>
      <c r="G174" s="149" t="s">
        <v>259</v>
      </c>
      <c r="M174" s="87"/>
    </row>
    <row r="175" spans="1:14" x14ac:dyDescent="0.25">
      <c r="A175" s="86"/>
      <c r="B175" s="2">
        <v>0.6</v>
      </c>
      <c r="C175" s="2">
        <v>0.6</v>
      </c>
      <c r="D175" s="2">
        <v>0.55000000000000004</v>
      </c>
      <c r="E175" s="2">
        <f>B175*C175*D175</f>
        <v>0.19800000000000001</v>
      </c>
      <c r="F175" s="2">
        <v>42</v>
      </c>
      <c r="G175" s="2">
        <f>TRUNC(E175*F175,2)</f>
        <v>8.31</v>
      </c>
      <c r="M175" s="87"/>
    </row>
    <row r="176" spans="1:14" x14ac:dyDescent="0.25">
      <c r="A176" s="86"/>
      <c r="M176" s="87"/>
    </row>
    <row r="177" spans="1:14" x14ac:dyDescent="0.25">
      <c r="A177" s="86"/>
      <c r="M177" s="87"/>
    </row>
    <row r="178" spans="1:14" ht="15.75" x14ac:dyDescent="0.25">
      <c r="A178" s="86"/>
      <c r="B178" s="4" t="s">
        <v>151</v>
      </c>
      <c r="C178" s="4" t="s">
        <v>163</v>
      </c>
      <c r="D178" s="4" t="s">
        <v>257</v>
      </c>
      <c r="E178" s="149" t="s">
        <v>150</v>
      </c>
      <c r="F178" s="149" t="s">
        <v>258</v>
      </c>
      <c r="G178" s="149" t="s">
        <v>109</v>
      </c>
      <c r="H178" s="149" t="s">
        <v>259</v>
      </c>
      <c r="M178" s="87"/>
    </row>
    <row r="179" spans="1:14" x14ac:dyDescent="0.25">
      <c r="A179" s="86"/>
      <c r="B179" s="2">
        <v>0.6</v>
      </c>
      <c r="C179" s="2">
        <v>0.6</v>
      </c>
      <c r="D179" s="2">
        <v>0.6</v>
      </c>
      <c r="E179" s="2">
        <v>0.55000000000000004</v>
      </c>
      <c r="F179" s="2">
        <f>(B179+D179)*(C179+D179)*E179</f>
        <v>0.79200000000000004</v>
      </c>
      <c r="G179" s="2">
        <v>42</v>
      </c>
      <c r="H179" s="2">
        <f>TRUNC(F179*G179,2)</f>
        <v>33.26</v>
      </c>
      <c r="M179" s="87"/>
    </row>
    <row r="180" spans="1:14" x14ac:dyDescent="0.25">
      <c r="A180" s="86"/>
      <c r="M180" s="87"/>
    </row>
    <row r="181" spans="1:14" ht="15.75" x14ac:dyDescent="0.25">
      <c r="A181" s="86"/>
      <c r="B181" s="46" t="s">
        <v>109</v>
      </c>
      <c r="C181" s="46">
        <f>H179-G175</f>
        <v>24.949999999999996</v>
      </c>
      <c r="D181" s="46" t="s">
        <v>177</v>
      </c>
      <c r="M181" s="87"/>
    </row>
    <row r="182" spans="1:14" x14ac:dyDescent="0.25">
      <c r="A182" s="86"/>
      <c r="M182" s="87"/>
    </row>
    <row r="183" spans="1:14" x14ac:dyDescent="0.25">
      <c r="A183" s="107" t="s">
        <v>279</v>
      </c>
      <c r="B183" s="47" t="str">
        <f>VLOOKUP('IV-MEMORIAL'!A183,'II-PO'!$A$19:$M$295,5,0)</f>
        <v>FABRICAÇÃO, MONTAGEM E DESMONTAGEM DE FÔRMA PARA BLOCO DE COROAMENTO, EM MADEIRA SERRADA, E=25 MM, 4 UTILIZAÇÕES. AF_01/2024</v>
      </c>
      <c r="C183" s="47"/>
      <c r="D183" s="47"/>
      <c r="E183" s="48"/>
      <c r="F183" s="48"/>
      <c r="G183" s="48"/>
      <c r="H183" s="48"/>
      <c r="I183" s="48"/>
      <c r="J183" s="48"/>
      <c r="K183" s="48"/>
      <c r="L183" s="48"/>
      <c r="M183" s="108"/>
      <c r="N183" s="3">
        <f>C185</f>
        <v>56</v>
      </c>
    </row>
    <row r="184" spans="1:14" x14ac:dyDescent="0.25">
      <c r="A184" s="86"/>
      <c r="M184" s="87"/>
    </row>
    <row r="185" spans="1:14" ht="15.75" x14ac:dyDescent="0.25">
      <c r="A185" s="86"/>
      <c r="B185" s="46" t="s">
        <v>109</v>
      </c>
      <c r="C185" s="46">
        <f>E147</f>
        <v>56</v>
      </c>
      <c r="D185" s="46" t="s">
        <v>167</v>
      </c>
      <c r="M185" s="87"/>
    </row>
    <row r="186" spans="1:14" x14ac:dyDescent="0.25">
      <c r="A186" s="86"/>
      <c r="M186" s="87"/>
    </row>
    <row r="187" spans="1:14" ht="15.75" x14ac:dyDescent="0.25">
      <c r="A187" s="151" t="s">
        <v>114</v>
      </c>
      <c r="B187" s="152" t="s">
        <v>288</v>
      </c>
      <c r="C187" s="153"/>
      <c r="D187" s="153"/>
      <c r="E187" s="154"/>
      <c r="F187" s="154"/>
      <c r="G187" s="154"/>
      <c r="H187" s="154"/>
      <c r="I187" s="154"/>
      <c r="J187" s="154"/>
      <c r="K187" s="154"/>
      <c r="L187" s="154"/>
      <c r="M187" s="155"/>
    </row>
    <row r="188" spans="1:14" x14ac:dyDescent="0.25">
      <c r="A188" s="86"/>
      <c r="M188" s="87"/>
    </row>
    <row r="189" spans="1:14" ht="15.75" x14ac:dyDescent="0.25">
      <c r="A189" s="86"/>
      <c r="B189" s="4" t="s">
        <v>225</v>
      </c>
      <c r="C189" s="4" t="s">
        <v>224</v>
      </c>
      <c r="D189" s="4" t="s">
        <v>229</v>
      </c>
      <c r="E189" s="4" t="s">
        <v>163</v>
      </c>
      <c r="F189" s="149" t="s">
        <v>226</v>
      </c>
      <c r="G189" s="149" t="s">
        <v>227</v>
      </c>
      <c r="M189" s="87"/>
    </row>
    <row r="190" spans="1:14" x14ac:dyDescent="0.25">
      <c r="A190" s="86"/>
      <c r="B190" s="351" t="s">
        <v>240</v>
      </c>
      <c r="C190" s="2">
        <v>5</v>
      </c>
      <c r="D190" s="2" t="str">
        <f>VLOOKUP(C190,$B$310:$C$314,2,0)</f>
        <v>CA-60</v>
      </c>
      <c r="E190" s="2">
        <v>850</v>
      </c>
      <c r="F190" s="150">
        <f>VLOOKUP(C190,$B$310:$D$314,3,0)</f>
        <v>0.15413438956674924</v>
      </c>
      <c r="G190" s="2">
        <f t="shared" ref="G190:G192" si="5">TRUNC(E190*F190,2)</f>
        <v>131.01</v>
      </c>
      <c r="M190" s="87"/>
    </row>
    <row r="191" spans="1:14" x14ac:dyDescent="0.25">
      <c r="A191" s="86"/>
      <c r="B191" s="352"/>
      <c r="C191" s="2">
        <v>8</v>
      </c>
      <c r="D191" s="2" t="str">
        <f>VLOOKUP(C191,$B$310:$C$314,2,0)</f>
        <v>CA-50</v>
      </c>
      <c r="E191" s="2">
        <v>457</v>
      </c>
      <c r="F191" s="150">
        <f>VLOOKUP(C191,$B$310:$D$314,3,0)</f>
        <v>0.39458403729087799</v>
      </c>
      <c r="G191" s="2">
        <f t="shared" si="5"/>
        <v>180.32</v>
      </c>
      <c r="M191" s="87"/>
    </row>
    <row r="192" spans="1:14" x14ac:dyDescent="0.25">
      <c r="A192" s="86"/>
      <c r="B192" s="353"/>
      <c r="C192" s="2">
        <v>10</v>
      </c>
      <c r="D192" s="2" t="str">
        <f>VLOOKUP(C192,$B$310:$C$314,2,0)</f>
        <v>CA-50</v>
      </c>
      <c r="E192" s="2">
        <v>197</v>
      </c>
      <c r="F192" s="150">
        <f>VLOOKUP(C192,$B$310:$D$314,3,0)</f>
        <v>0.61653755826699697</v>
      </c>
      <c r="G192" s="2">
        <f t="shared" si="5"/>
        <v>121.45</v>
      </c>
      <c r="M192" s="87"/>
    </row>
    <row r="193" spans="1:14" x14ac:dyDescent="0.25">
      <c r="A193" s="86"/>
      <c r="M193" s="87"/>
    </row>
    <row r="194" spans="1:14" ht="15.75" x14ac:dyDescent="0.25">
      <c r="A194" s="86"/>
      <c r="B194" s="4" t="s">
        <v>225</v>
      </c>
      <c r="C194" s="4" t="s">
        <v>233</v>
      </c>
      <c r="D194" s="4" t="s">
        <v>243</v>
      </c>
      <c r="E194" s="4" t="s">
        <v>232</v>
      </c>
      <c r="M194" s="87"/>
    </row>
    <row r="195" spans="1:14" ht="15.75" x14ac:dyDescent="0.25">
      <c r="A195" s="86"/>
      <c r="B195" s="4" t="s">
        <v>240</v>
      </c>
      <c r="C195" s="2">
        <v>11.05</v>
      </c>
      <c r="D195" s="2" t="s">
        <v>244</v>
      </c>
      <c r="E195" s="2">
        <v>145</v>
      </c>
      <c r="M195" s="87"/>
    </row>
    <row r="196" spans="1:14" x14ac:dyDescent="0.25">
      <c r="A196" s="86"/>
      <c r="M196" s="87"/>
    </row>
    <row r="197" spans="1:14" x14ac:dyDescent="0.25">
      <c r="A197" s="107" t="s">
        <v>277</v>
      </c>
      <c r="B197" s="47" t="str">
        <f>VLOOKUP('IV-MEMORIAL'!A197,'II-PO'!$A$19:$M$295,5,0)</f>
        <v>ARMAÇÃO DE SAPATA ISOLADA, VIGA BALDRAME E SAPATA CORRIDA UTILIZANDO AÇO CA-60 DE 5 MM - MONTAGEM. AF_01/2024</v>
      </c>
      <c r="C197" s="47"/>
      <c r="D197" s="47"/>
      <c r="E197" s="48"/>
      <c r="F197" s="48"/>
      <c r="G197" s="48"/>
      <c r="H197" s="48"/>
      <c r="I197" s="48"/>
      <c r="J197" s="48"/>
      <c r="K197" s="48"/>
      <c r="L197" s="48"/>
      <c r="M197" s="108"/>
      <c r="N197" s="3">
        <f>C199</f>
        <v>131.01</v>
      </c>
    </row>
    <row r="198" spans="1:14" x14ac:dyDescent="0.25">
      <c r="A198" s="86"/>
      <c r="M198" s="87"/>
    </row>
    <row r="199" spans="1:14" ht="15.75" x14ac:dyDescent="0.25">
      <c r="A199" s="86"/>
      <c r="B199" s="46" t="s">
        <v>109</v>
      </c>
      <c r="C199" s="46">
        <f>G190</f>
        <v>131.01</v>
      </c>
      <c r="D199" s="46" t="s">
        <v>121</v>
      </c>
      <c r="M199" s="87"/>
    </row>
    <row r="200" spans="1:14" x14ac:dyDescent="0.25">
      <c r="A200" s="86"/>
      <c r="M200" s="87"/>
    </row>
    <row r="201" spans="1:14" x14ac:dyDescent="0.25">
      <c r="A201" s="107" t="s">
        <v>281</v>
      </c>
      <c r="B201" s="47" t="str">
        <f>VLOOKUP('IV-MEMORIAL'!A201,'II-PO'!$A$19:$M$295,5,0)</f>
        <v>ARMAÇÃO DE SAPATA ISOLADA, VIGA BALDRAME E SAPATA CORRIDA UTILIZANDO AÇO CA-50 DE 8 MM - MONTAGEM. AF_01/2024</v>
      </c>
      <c r="C201" s="47"/>
      <c r="D201" s="47"/>
      <c r="E201" s="48"/>
      <c r="F201" s="48"/>
      <c r="G201" s="48"/>
      <c r="H201" s="48"/>
      <c r="I201" s="48"/>
      <c r="J201" s="48"/>
      <c r="K201" s="48"/>
      <c r="L201" s="48"/>
      <c r="M201" s="108"/>
      <c r="N201" s="3">
        <f>C203</f>
        <v>180.32</v>
      </c>
    </row>
    <row r="202" spans="1:14" x14ac:dyDescent="0.25">
      <c r="A202" s="86"/>
      <c r="M202" s="87"/>
    </row>
    <row r="203" spans="1:14" ht="15.75" x14ac:dyDescent="0.25">
      <c r="A203" s="86"/>
      <c r="B203" s="46" t="s">
        <v>109</v>
      </c>
      <c r="C203" s="46">
        <f>G191</f>
        <v>180.32</v>
      </c>
      <c r="D203" s="46" t="s">
        <v>121</v>
      </c>
      <c r="M203" s="87"/>
    </row>
    <row r="204" spans="1:14" x14ac:dyDescent="0.25">
      <c r="A204" s="86"/>
      <c r="M204" s="87"/>
    </row>
    <row r="205" spans="1:14" x14ac:dyDescent="0.25">
      <c r="A205" s="107" t="s">
        <v>282</v>
      </c>
      <c r="B205" s="47" t="str">
        <f>VLOOKUP('IV-MEMORIAL'!A205,'II-PO'!$A$19:$M$295,5,0)</f>
        <v>ARMAÇÃO DE SAPATA ISOLADA, VIGA BALDRAME E SAPATA CORRIDA UTILIZANDO AÇO CA-50 DE 10 MM - MONTAGEM. AF_01/2024</v>
      </c>
      <c r="C205" s="47"/>
      <c r="D205" s="47"/>
      <c r="E205" s="48"/>
      <c r="F205" s="48"/>
      <c r="G205" s="48"/>
      <c r="H205" s="48"/>
      <c r="I205" s="48"/>
      <c r="J205" s="48"/>
      <c r="K205" s="48"/>
      <c r="L205" s="48"/>
      <c r="M205" s="108"/>
      <c r="N205" s="3">
        <f>C207</f>
        <v>121.45</v>
      </c>
    </row>
    <row r="206" spans="1:14" x14ac:dyDescent="0.25">
      <c r="A206" s="86"/>
      <c r="M206" s="87"/>
    </row>
    <row r="207" spans="1:14" ht="15.75" x14ac:dyDescent="0.25">
      <c r="A207" s="86"/>
      <c r="B207" s="46" t="s">
        <v>109</v>
      </c>
      <c r="C207" s="46">
        <f>G192</f>
        <v>121.45</v>
      </c>
      <c r="D207" s="46" t="s">
        <v>121</v>
      </c>
      <c r="M207" s="87"/>
    </row>
    <row r="208" spans="1:14" x14ac:dyDescent="0.25">
      <c r="A208" s="86"/>
      <c r="M208" s="87"/>
    </row>
    <row r="209" spans="1:14" x14ac:dyDescent="0.25">
      <c r="A209" s="107" t="s">
        <v>283</v>
      </c>
      <c r="B209" s="47" t="str">
        <f>VLOOKUP('IV-MEMORIAL'!A209,'II-PO'!$A$19:$M$295,5,0)</f>
        <v>CONCRETO FCK = 25MPA, TRAÇO 1:2,3:2,7 (EM MASSA SECA DE CIMENTO/ AREIA MÉDIA/ BRITA 1) - PREPARO MECÂNICO COM BETONEIRA 600 L. AF_05/2021</v>
      </c>
      <c r="C209" s="47"/>
      <c r="D209" s="47"/>
      <c r="E209" s="48"/>
      <c r="F209" s="48"/>
      <c r="G209" s="48"/>
      <c r="H209" s="48"/>
      <c r="I209" s="48"/>
      <c r="J209" s="48"/>
      <c r="K209" s="48"/>
      <c r="L209" s="48"/>
      <c r="M209" s="108"/>
      <c r="N209" s="3">
        <f>C211</f>
        <v>11.05</v>
      </c>
    </row>
    <row r="210" spans="1:14" x14ac:dyDescent="0.25">
      <c r="A210" s="86"/>
      <c r="M210" s="87"/>
    </row>
    <row r="211" spans="1:14" ht="15.75" x14ac:dyDescent="0.25">
      <c r="A211" s="86"/>
      <c r="B211" s="46" t="s">
        <v>109</v>
      </c>
      <c r="C211" s="46">
        <f>C195</f>
        <v>11.05</v>
      </c>
      <c r="D211" s="46" t="s">
        <v>177</v>
      </c>
      <c r="M211" s="87"/>
    </row>
    <row r="212" spans="1:14" x14ac:dyDescent="0.25">
      <c r="A212" s="86"/>
      <c r="M212" s="87"/>
    </row>
    <row r="213" spans="1:14" x14ac:dyDescent="0.25">
      <c r="A213" s="107" t="s">
        <v>284</v>
      </c>
      <c r="B213" s="47" t="str">
        <f>VLOOKUP('IV-MEMORIAL'!A213,'II-PO'!$A$19:$M$295,5,0)</f>
        <v>LANÇAMENTO COM USO DE BALDES, ADENSAMENTO E ACABAMENTO DE CONCRETO EM ESTRUTURAS. AF_02/2022</v>
      </c>
      <c r="C213" s="47"/>
      <c r="D213" s="47"/>
      <c r="E213" s="48"/>
      <c r="F213" s="48"/>
      <c r="G213" s="48"/>
      <c r="H213" s="48"/>
      <c r="I213" s="48"/>
      <c r="J213" s="48"/>
      <c r="K213" s="48"/>
      <c r="L213" s="48"/>
      <c r="M213" s="108"/>
      <c r="N213" s="3">
        <f>C215</f>
        <v>11.05</v>
      </c>
    </row>
    <row r="214" spans="1:14" x14ac:dyDescent="0.25">
      <c r="A214" s="86"/>
      <c r="M214" s="87"/>
    </row>
    <row r="215" spans="1:14" ht="15.75" x14ac:dyDescent="0.25">
      <c r="A215" s="86"/>
      <c r="B215" s="46" t="s">
        <v>109</v>
      </c>
      <c r="C215" s="46">
        <f>C211</f>
        <v>11.05</v>
      </c>
      <c r="D215" s="46" t="s">
        <v>177</v>
      </c>
      <c r="M215" s="87"/>
    </row>
    <row r="216" spans="1:14" x14ac:dyDescent="0.25">
      <c r="A216" s="86"/>
      <c r="M216" s="87"/>
    </row>
    <row r="217" spans="1:14" x14ac:dyDescent="0.25">
      <c r="A217" s="107" t="s">
        <v>285</v>
      </c>
      <c r="B217" s="47" t="str">
        <f>VLOOKUP('IV-MEMORIAL'!A217,'II-PO'!$A$19:$M$295,5,0)</f>
        <v>ESCAVAÇÃO MECANIZADA PARA VIGA BALDRAME OU SAPATA CORRIDA COM MINI-ESCAVADEIRA (INCLUINDO ESCAVAÇÃO PARA COLOCAÇÃO DE FÔRMAS). AF_01/2024</v>
      </c>
      <c r="C217" s="47"/>
      <c r="D217" s="47"/>
      <c r="E217" s="48"/>
      <c r="F217" s="48"/>
      <c r="G217" s="48"/>
      <c r="H217" s="48"/>
      <c r="I217" s="48"/>
      <c r="J217" s="48"/>
      <c r="K217" s="48"/>
      <c r="L217" s="48"/>
      <c r="M217" s="108"/>
      <c r="N217" s="3">
        <f>C245</f>
        <v>17.8</v>
      </c>
    </row>
    <row r="218" spans="1:14" x14ac:dyDescent="0.25">
      <c r="A218" s="86"/>
      <c r="M218" s="87"/>
    </row>
    <row r="219" spans="1:14" ht="15.75" x14ac:dyDescent="0.25">
      <c r="A219" s="86"/>
      <c r="B219" s="4" t="s">
        <v>290</v>
      </c>
      <c r="C219" s="4" t="s">
        <v>151</v>
      </c>
      <c r="D219" s="4" t="s">
        <v>163</v>
      </c>
      <c r="E219" s="4" t="s">
        <v>257</v>
      </c>
      <c r="F219" s="149" t="s">
        <v>150</v>
      </c>
      <c r="G219" s="149" t="s">
        <v>259</v>
      </c>
      <c r="M219" s="87"/>
    </row>
    <row r="220" spans="1:14" x14ac:dyDescent="0.25">
      <c r="A220" s="86"/>
      <c r="B220" s="2" t="s">
        <v>291</v>
      </c>
      <c r="C220" s="2">
        <v>0.15</v>
      </c>
      <c r="D220" s="2">
        <f>4.5+4.65+4.5</f>
        <v>13.65</v>
      </c>
      <c r="E220" s="2">
        <v>0.15</v>
      </c>
      <c r="F220" s="2">
        <v>0.3</v>
      </c>
      <c r="G220" s="2">
        <f>TRUNC((C220+E220)*(D220+E220)*F220,2)</f>
        <v>1.24</v>
      </c>
      <c r="M220" s="87"/>
    </row>
    <row r="221" spans="1:14" x14ac:dyDescent="0.25">
      <c r="A221" s="86"/>
      <c r="B221" s="2" t="s">
        <v>292</v>
      </c>
      <c r="C221" s="2">
        <v>0.15</v>
      </c>
      <c r="D221" s="2">
        <v>4.5</v>
      </c>
      <c r="E221" s="2">
        <v>0.15</v>
      </c>
      <c r="F221" s="2">
        <v>0.3</v>
      </c>
      <c r="G221" s="2">
        <f t="shared" ref="G221:G243" si="6">TRUNC((C221+E221)*(D221+E221)*F221,2)</f>
        <v>0.41</v>
      </c>
      <c r="M221" s="87"/>
    </row>
    <row r="222" spans="1:14" x14ac:dyDescent="0.25">
      <c r="A222" s="86"/>
      <c r="B222" s="2" t="s">
        <v>293</v>
      </c>
      <c r="C222" s="2">
        <v>0.15</v>
      </c>
      <c r="D222" s="2">
        <v>4.5</v>
      </c>
      <c r="E222" s="2">
        <v>0.15</v>
      </c>
      <c r="F222" s="2">
        <v>0.3</v>
      </c>
      <c r="G222" s="2">
        <f t="shared" si="6"/>
        <v>0.41</v>
      </c>
      <c r="M222" s="87"/>
    </row>
    <row r="223" spans="1:14" x14ac:dyDescent="0.25">
      <c r="A223" s="86"/>
      <c r="B223" s="2" t="s">
        <v>294</v>
      </c>
      <c r="C223" s="2">
        <v>0.15</v>
      </c>
      <c r="D223" s="2">
        <v>4.5</v>
      </c>
      <c r="E223" s="2">
        <v>0.15</v>
      </c>
      <c r="F223" s="2">
        <v>0.3</v>
      </c>
      <c r="G223" s="2">
        <f t="shared" si="6"/>
        <v>0.41</v>
      </c>
      <c r="M223" s="87"/>
    </row>
    <row r="224" spans="1:14" x14ac:dyDescent="0.25">
      <c r="A224" s="86"/>
      <c r="B224" s="2" t="s">
        <v>295</v>
      </c>
      <c r="C224" s="2">
        <v>0.15</v>
      </c>
      <c r="D224" s="2">
        <v>4.5</v>
      </c>
      <c r="E224" s="2">
        <v>0.15</v>
      </c>
      <c r="F224" s="2">
        <v>0.3</v>
      </c>
      <c r="G224" s="2">
        <f t="shared" si="6"/>
        <v>0.41</v>
      </c>
      <c r="M224" s="87"/>
    </row>
    <row r="225" spans="1:13" x14ac:dyDescent="0.25">
      <c r="A225" s="86"/>
      <c r="B225" s="2" t="s">
        <v>296</v>
      </c>
      <c r="C225" s="2">
        <v>0.15</v>
      </c>
      <c r="D225" s="2">
        <v>4.5</v>
      </c>
      <c r="E225" s="2">
        <v>0.15</v>
      </c>
      <c r="F225" s="2">
        <v>0.3</v>
      </c>
      <c r="G225" s="2">
        <f t="shared" si="6"/>
        <v>0.41</v>
      </c>
      <c r="M225" s="87"/>
    </row>
    <row r="226" spans="1:13" x14ac:dyDescent="0.25">
      <c r="A226" s="86"/>
      <c r="B226" s="2" t="s">
        <v>297</v>
      </c>
      <c r="C226" s="2">
        <v>0.15</v>
      </c>
      <c r="D226" s="2">
        <v>4.5</v>
      </c>
      <c r="E226" s="2">
        <v>0.15</v>
      </c>
      <c r="F226" s="2">
        <v>0.3</v>
      </c>
      <c r="G226" s="2">
        <f t="shared" si="6"/>
        <v>0.41</v>
      </c>
      <c r="M226" s="87"/>
    </row>
    <row r="227" spans="1:13" x14ac:dyDescent="0.25">
      <c r="A227" s="86"/>
      <c r="B227" s="2" t="s">
        <v>298</v>
      </c>
      <c r="C227" s="2">
        <v>0.15</v>
      </c>
      <c r="D227" s="2">
        <v>4.5</v>
      </c>
      <c r="E227" s="2">
        <v>0.15</v>
      </c>
      <c r="F227" s="2">
        <v>0.3</v>
      </c>
      <c r="G227" s="2">
        <f t="shared" si="6"/>
        <v>0.41</v>
      </c>
      <c r="M227" s="87"/>
    </row>
    <row r="228" spans="1:13" x14ac:dyDescent="0.25">
      <c r="A228" s="86"/>
      <c r="B228" s="2" t="s">
        <v>299</v>
      </c>
      <c r="C228" s="2">
        <v>0.15</v>
      </c>
      <c r="D228" s="2">
        <v>4.5</v>
      </c>
      <c r="E228" s="2">
        <v>0.15</v>
      </c>
      <c r="F228" s="2">
        <v>0.3</v>
      </c>
      <c r="G228" s="2">
        <f t="shared" si="6"/>
        <v>0.41</v>
      </c>
      <c r="M228" s="87"/>
    </row>
    <row r="229" spans="1:13" x14ac:dyDescent="0.25">
      <c r="A229" s="86"/>
      <c r="B229" s="2" t="s">
        <v>300</v>
      </c>
      <c r="C229" s="2">
        <v>0.15</v>
      </c>
      <c r="D229" s="2">
        <v>4.5</v>
      </c>
      <c r="E229" s="2">
        <v>0.15</v>
      </c>
      <c r="F229" s="2">
        <v>0.3</v>
      </c>
      <c r="G229" s="2">
        <f t="shared" si="6"/>
        <v>0.41</v>
      </c>
      <c r="M229" s="87"/>
    </row>
    <row r="230" spans="1:13" x14ac:dyDescent="0.25">
      <c r="A230" s="86"/>
      <c r="B230" s="2" t="s">
        <v>301</v>
      </c>
      <c r="C230" s="2">
        <v>0.15</v>
      </c>
      <c r="D230" s="2">
        <v>4.5</v>
      </c>
      <c r="E230" s="2">
        <v>0.15</v>
      </c>
      <c r="F230" s="2">
        <v>0.3</v>
      </c>
      <c r="G230" s="2">
        <f t="shared" si="6"/>
        <v>0.41</v>
      </c>
      <c r="M230" s="87"/>
    </row>
    <row r="231" spans="1:13" x14ac:dyDescent="0.25">
      <c r="A231" s="86"/>
      <c r="B231" s="2" t="s">
        <v>302</v>
      </c>
      <c r="C231" s="2">
        <v>0.15</v>
      </c>
      <c r="D231" s="2">
        <v>4.5</v>
      </c>
      <c r="E231" s="2">
        <v>0.15</v>
      </c>
      <c r="F231" s="2">
        <v>0.3</v>
      </c>
      <c r="G231" s="2">
        <f t="shared" si="6"/>
        <v>0.41</v>
      </c>
      <c r="M231" s="87"/>
    </row>
    <row r="232" spans="1:13" x14ac:dyDescent="0.25">
      <c r="A232" s="86"/>
      <c r="B232" s="2" t="s">
        <v>303</v>
      </c>
      <c r="C232" s="2">
        <v>0.15</v>
      </c>
      <c r="D232" s="2">
        <v>4.5</v>
      </c>
      <c r="E232" s="2">
        <v>0.15</v>
      </c>
      <c r="F232" s="2">
        <v>0.3</v>
      </c>
      <c r="G232" s="2">
        <f t="shared" si="6"/>
        <v>0.41</v>
      </c>
      <c r="M232" s="87"/>
    </row>
    <row r="233" spans="1:13" x14ac:dyDescent="0.25">
      <c r="A233" s="86"/>
      <c r="B233" s="2" t="s">
        <v>304</v>
      </c>
      <c r="C233" s="2">
        <v>0.15</v>
      </c>
      <c r="D233" s="2">
        <v>4.5</v>
      </c>
      <c r="E233" s="2">
        <v>0.15</v>
      </c>
      <c r="F233" s="2">
        <v>0.3</v>
      </c>
      <c r="G233" s="2">
        <f t="shared" si="6"/>
        <v>0.41</v>
      </c>
      <c r="M233" s="87"/>
    </row>
    <row r="234" spans="1:13" x14ac:dyDescent="0.25">
      <c r="A234" s="86"/>
      <c r="B234" s="2" t="s">
        <v>305</v>
      </c>
      <c r="C234" s="2">
        <v>0.15</v>
      </c>
      <c r="D234" s="2">
        <v>4.5</v>
      </c>
      <c r="E234" s="2">
        <v>0.15</v>
      </c>
      <c r="F234" s="2">
        <v>0.3</v>
      </c>
      <c r="G234" s="2">
        <f t="shared" si="6"/>
        <v>0.41</v>
      </c>
      <c r="M234" s="87"/>
    </row>
    <row r="235" spans="1:13" x14ac:dyDescent="0.25">
      <c r="A235" s="86"/>
      <c r="B235" s="2" t="s">
        <v>306</v>
      </c>
      <c r="C235" s="2">
        <v>0.15</v>
      </c>
      <c r="D235" s="2">
        <v>3.15</v>
      </c>
      <c r="E235" s="2">
        <v>0.15</v>
      </c>
      <c r="F235" s="2">
        <v>0.3</v>
      </c>
      <c r="G235" s="2">
        <f t="shared" si="6"/>
        <v>0.28999999999999998</v>
      </c>
      <c r="M235" s="87"/>
    </row>
    <row r="236" spans="1:13" x14ac:dyDescent="0.25">
      <c r="A236" s="86"/>
      <c r="B236" s="2" t="s">
        <v>307</v>
      </c>
      <c r="C236" s="2">
        <v>0.15</v>
      </c>
      <c r="D236" s="2">
        <f>3.15+2.27+3.73+4.5</f>
        <v>13.65</v>
      </c>
      <c r="E236" s="2">
        <v>0.15</v>
      </c>
      <c r="F236" s="2">
        <v>0.3</v>
      </c>
      <c r="G236" s="2">
        <f t="shared" si="6"/>
        <v>1.24</v>
      </c>
      <c r="M236" s="87"/>
    </row>
    <row r="237" spans="1:13" x14ac:dyDescent="0.25">
      <c r="A237" s="86"/>
      <c r="B237" s="2" t="s">
        <v>308</v>
      </c>
      <c r="C237" s="2">
        <v>0.15</v>
      </c>
      <c r="D237" s="2">
        <f>1.81+3.27+1.09+3.05*5+1.65+1.65</f>
        <v>24.72</v>
      </c>
      <c r="E237" s="2">
        <v>0.15</v>
      </c>
      <c r="F237" s="2">
        <v>0.3</v>
      </c>
      <c r="G237" s="2">
        <f t="shared" si="6"/>
        <v>2.23</v>
      </c>
      <c r="M237" s="87"/>
    </row>
    <row r="238" spans="1:13" x14ac:dyDescent="0.25">
      <c r="A238" s="86"/>
      <c r="B238" s="2" t="s">
        <v>309</v>
      </c>
      <c r="C238" s="2">
        <v>0.15</v>
      </c>
      <c r="D238" s="2">
        <f>2*1.65</f>
        <v>3.3</v>
      </c>
      <c r="E238" s="2">
        <v>0.15</v>
      </c>
      <c r="F238" s="2">
        <v>0.3</v>
      </c>
      <c r="G238" s="2">
        <f t="shared" si="6"/>
        <v>0.31</v>
      </c>
      <c r="M238" s="87"/>
    </row>
    <row r="239" spans="1:13" x14ac:dyDescent="0.25">
      <c r="A239" s="86"/>
      <c r="B239" s="2" t="s">
        <v>310</v>
      </c>
      <c r="C239" s="2">
        <v>0.15</v>
      </c>
      <c r="D239" s="2">
        <f>3.05*5</f>
        <v>15.25</v>
      </c>
      <c r="E239" s="2">
        <v>0.15</v>
      </c>
      <c r="F239" s="2">
        <v>0.3</v>
      </c>
      <c r="G239" s="2">
        <f t="shared" si="6"/>
        <v>1.38</v>
      </c>
      <c r="M239" s="87"/>
    </row>
    <row r="240" spans="1:13" x14ac:dyDescent="0.25">
      <c r="A240" s="86"/>
      <c r="B240" s="2" t="s">
        <v>311</v>
      </c>
      <c r="C240" s="2">
        <v>0.15</v>
      </c>
      <c r="D240" s="2">
        <f>3.3+3+2*3.05+1.65+3*3.05+1.65</f>
        <v>24.849999999999994</v>
      </c>
      <c r="E240" s="2">
        <v>0.15</v>
      </c>
      <c r="F240" s="2">
        <v>0.3</v>
      </c>
      <c r="G240" s="2">
        <f t="shared" si="6"/>
        <v>2.25</v>
      </c>
      <c r="M240" s="87"/>
    </row>
    <row r="241" spans="1:14" x14ac:dyDescent="0.25">
      <c r="A241" s="86"/>
      <c r="B241" s="2" t="s">
        <v>312</v>
      </c>
      <c r="C241" s="2">
        <v>0.15</v>
      </c>
      <c r="D241" s="2">
        <f>3.3+3+2*3.05+1.65+3*3.05+1.65</f>
        <v>24.849999999999994</v>
      </c>
      <c r="E241" s="2">
        <v>0.15</v>
      </c>
      <c r="F241" s="2">
        <v>0.3</v>
      </c>
      <c r="G241" s="2">
        <f t="shared" si="6"/>
        <v>2.25</v>
      </c>
      <c r="M241" s="87"/>
    </row>
    <row r="242" spans="1:14" x14ac:dyDescent="0.25">
      <c r="A242" s="86"/>
      <c r="B242" s="2" t="s">
        <v>313</v>
      </c>
      <c r="C242" s="2">
        <v>0.15</v>
      </c>
      <c r="D242" s="2">
        <f>1.41+2.45+0.63*2</f>
        <v>5.12</v>
      </c>
      <c r="E242" s="2">
        <v>0.15</v>
      </c>
      <c r="F242" s="2">
        <v>0.3</v>
      </c>
      <c r="G242" s="2">
        <f t="shared" si="6"/>
        <v>0.47</v>
      </c>
      <c r="M242" s="87"/>
    </row>
    <row r="243" spans="1:14" x14ac:dyDescent="0.25">
      <c r="A243" s="86"/>
      <c r="B243" s="2" t="s">
        <v>314</v>
      </c>
      <c r="C243" s="2">
        <v>0.15</v>
      </c>
      <c r="D243" s="2">
        <v>4.4000000000000004</v>
      </c>
      <c r="E243" s="2">
        <v>0.15</v>
      </c>
      <c r="F243" s="2">
        <v>0.3</v>
      </c>
      <c r="G243" s="2">
        <f t="shared" si="6"/>
        <v>0.4</v>
      </c>
      <c r="M243" s="87"/>
    </row>
    <row r="244" spans="1:14" x14ac:dyDescent="0.25">
      <c r="A244" s="86"/>
      <c r="M244" s="87"/>
    </row>
    <row r="245" spans="1:14" ht="15.75" x14ac:dyDescent="0.25">
      <c r="A245" s="86"/>
      <c r="B245" s="46" t="s">
        <v>109</v>
      </c>
      <c r="C245" s="46">
        <f>SUM(G220:G243)</f>
        <v>17.8</v>
      </c>
      <c r="D245" s="46" t="s">
        <v>177</v>
      </c>
      <c r="M245" s="87"/>
    </row>
    <row r="246" spans="1:14" x14ac:dyDescent="0.25">
      <c r="A246" s="86"/>
      <c r="M246" s="87"/>
    </row>
    <row r="247" spans="1:14" x14ac:dyDescent="0.25">
      <c r="A247" s="107" t="s">
        <v>286</v>
      </c>
      <c r="B247" s="47" t="str">
        <f>VLOOKUP('IV-MEMORIAL'!A247,'II-PO'!$A$19:$M$295,5,0)</f>
        <v>REATERRO COM APILOAMENTO</v>
      </c>
      <c r="C247" s="47"/>
      <c r="D247" s="47"/>
      <c r="E247" s="48"/>
      <c r="F247" s="48"/>
      <c r="G247" s="48"/>
      <c r="H247" s="48"/>
      <c r="I247" s="48"/>
      <c r="J247" s="48"/>
      <c r="K247" s="48"/>
      <c r="L247" s="48"/>
      <c r="M247" s="108"/>
      <c r="N247" s="3">
        <f>C279</f>
        <v>9.07</v>
      </c>
    </row>
    <row r="248" spans="1:14" x14ac:dyDescent="0.25">
      <c r="A248" s="86"/>
      <c r="M248" s="87"/>
    </row>
    <row r="249" spans="1:14" x14ac:dyDescent="0.25">
      <c r="A249" s="86"/>
      <c r="B249" s="2" t="s">
        <v>315</v>
      </c>
      <c r="C249" s="2">
        <f>C245</f>
        <v>17.8</v>
      </c>
      <c r="M249" s="87"/>
    </row>
    <row r="250" spans="1:14" x14ac:dyDescent="0.25">
      <c r="A250" s="86"/>
      <c r="M250" s="87"/>
    </row>
    <row r="251" spans="1:14" ht="15.75" x14ac:dyDescent="0.25">
      <c r="A251" s="86"/>
      <c r="B251" s="4" t="s">
        <v>290</v>
      </c>
      <c r="C251" s="4" t="s">
        <v>151</v>
      </c>
      <c r="D251" s="4" t="s">
        <v>163</v>
      </c>
      <c r="E251" s="149" t="s">
        <v>150</v>
      </c>
      <c r="F251" s="149" t="s">
        <v>259</v>
      </c>
      <c r="M251" s="87"/>
    </row>
    <row r="252" spans="1:14" x14ac:dyDescent="0.25">
      <c r="A252" s="86"/>
      <c r="B252" s="2" t="s">
        <v>291</v>
      </c>
      <c r="C252" s="2">
        <v>0.15</v>
      </c>
      <c r="D252" s="2">
        <f>4.5+4.65+4.5</f>
        <v>13.65</v>
      </c>
      <c r="E252" s="2">
        <v>0.3</v>
      </c>
      <c r="F252" s="2">
        <f>TRUNC(C252*D252*E252,2)</f>
        <v>0.61</v>
      </c>
      <c r="M252" s="87"/>
    </row>
    <row r="253" spans="1:14" x14ac:dyDescent="0.25">
      <c r="A253" s="86"/>
      <c r="B253" s="2" t="s">
        <v>292</v>
      </c>
      <c r="C253" s="2">
        <v>0.15</v>
      </c>
      <c r="D253" s="2">
        <v>4.5</v>
      </c>
      <c r="E253" s="2">
        <v>0.3</v>
      </c>
      <c r="F253" s="2">
        <f t="shared" ref="F253:F275" si="7">TRUNC(C253*D253*E253,2)</f>
        <v>0.2</v>
      </c>
      <c r="M253" s="87"/>
    </row>
    <row r="254" spans="1:14" x14ac:dyDescent="0.25">
      <c r="A254" s="86"/>
      <c r="B254" s="2" t="s">
        <v>293</v>
      </c>
      <c r="C254" s="2">
        <v>0.15</v>
      </c>
      <c r="D254" s="2">
        <v>4.5</v>
      </c>
      <c r="E254" s="2">
        <v>0.3</v>
      </c>
      <c r="F254" s="2">
        <f t="shared" si="7"/>
        <v>0.2</v>
      </c>
      <c r="M254" s="87"/>
    </row>
    <row r="255" spans="1:14" x14ac:dyDescent="0.25">
      <c r="A255" s="86"/>
      <c r="B255" s="2" t="s">
        <v>294</v>
      </c>
      <c r="C255" s="2">
        <v>0.15</v>
      </c>
      <c r="D255" s="2">
        <v>4.5</v>
      </c>
      <c r="E255" s="2">
        <v>0.3</v>
      </c>
      <c r="F255" s="2">
        <f t="shared" si="7"/>
        <v>0.2</v>
      </c>
      <c r="M255" s="87"/>
    </row>
    <row r="256" spans="1:14" x14ac:dyDescent="0.25">
      <c r="A256" s="86"/>
      <c r="B256" s="2" t="s">
        <v>295</v>
      </c>
      <c r="C256" s="2">
        <v>0.15</v>
      </c>
      <c r="D256" s="2">
        <v>4.5</v>
      </c>
      <c r="E256" s="2">
        <v>0.3</v>
      </c>
      <c r="F256" s="2">
        <f t="shared" si="7"/>
        <v>0.2</v>
      </c>
      <c r="M256" s="87"/>
    </row>
    <row r="257" spans="1:13" x14ac:dyDescent="0.25">
      <c r="A257" s="86"/>
      <c r="B257" s="2" t="s">
        <v>296</v>
      </c>
      <c r="C257" s="2">
        <v>0.15</v>
      </c>
      <c r="D257" s="2">
        <v>4.5</v>
      </c>
      <c r="E257" s="2">
        <v>0.3</v>
      </c>
      <c r="F257" s="2">
        <f t="shared" si="7"/>
        <v>0.2</v>
      </c>
      <c r="M257" s="87"/>
    </row>
    <row r="258" spans="1:13" x14ac:dyDescent="0.25">
      <c r="A258" s="86"/>
      <c r="B258" s="2" t="s">
        <v>297</v>
      </c>
      <c r="C258" s="2">
        <v>0.15</v>
      </c>
      <c r="D258" s="2">
        <v>4.5</v>
      </c>
      <c r="E258" s="2">
        <v>0.3</v>
      </c>
      <c r="F258" s="2">
        <f t="shared" si="7"/>
        <v>0.2</v>
      </c>
      <c r="M258" s="87"/>
    </row>
    <row r="259" spans="1:13" x14ac:dyDescent="0.25">
      <c r="A259" s="86"/>
      <c r="B259" s="2" t="s">
        <v>298</v>
      </c>
      <c r="C259" s="2">
        <v>0.15</v>
      </c>
      <c r="D259" s="2">
        <v>4.5</v>
      </c>
      <c r="E259" s="2">
        <v>0.3</v>
      </c>
      <c r="F259" s="2">
        <f t="shared" si="7"/>
        <v>0.2</v>
      </c>
      <c r="M259" s="87"/>
    </row>
    <row r="260" spans="1:13" x14ac:dyDescent="0.25">
      <c r="A260" s="86"/>
      <c r="B260" s="2" t="s">
        <v>299</v>
      </c>
      <c r="C260" s="2">
        <v>0.15</v>
      </c>
      <c r="D260" s="2">
        <v>4.5</v>
      </c>
      <c r="E260" s="2">
        <v>0.3</v>
      </c>
      <c r="F260" s="2">
        <f t="shared" si="7"/>
        <v>0.2</v>
      </c>
      <c r="M260" s="87"/>
    </row>
    <row r="261" spans="1:13" x14ac:dyDescent="0.25">
      <c r="A261" s="86"/>
      <c r="B261" s="2" t="s">
        <v>300</v>
      </c>
      <c r="C261" s="2">
        <v>0.15</v>
      </c>
      <c r="D261" s="2">
        <v>4.5</v>
      </c>
      <c r="E261" s="2">
        <v>0.3</v>
      </c>
      <c r="F261" s="2">
        <f t="shared" si="7"/>
        <v>0.2</v>
      </c>
      <c r="M261" s="87"/>
    </row>
    <row r="262" spans="1:13" x14ac:dyDescent="0.25">
      <c r="A262" s="86"/>
      <c r="B262" s="2" t="s">
        <v>301</v>
      </c>
      <c r="C262" s="2">
        <v>0.15</v>
      </c>
      <c r="D262" s="2">
        <v>4.5</v>
      </c>
      <c r="E262" s="2">
        <v>0.3</v>
      </c>
      <c r="F262" s="2">
        <f t="shared" si="7"/>
        <v>0.2</v>
      </c>
      <c r="M262" s="87"/>
    </row>
    <row r="263" spans="1:13" x14ac:dyDescent="0.25">
      <c r="A263" s="86"/>
      <c r="B263" s="2" t="s">
        <v>302</v>
      </c>
      <c r="C263" s="2">
        <v>0.15</v>
      </c>
      <c r="D263" s="2">
        <v>4.5</v>
      </c>
      <c r="E263" s="2">
        <v>0.3</v>
      </c>
      <c r="F263" s="2">
        <f t="shared" si="7"/>
        <v>0.2</v>
      </c>
      <c r="M263" s="87"/>
    </row>
    <row r="264" spans="1:13" x14ac:dyDescent="0.25">
      <c r="A264" s="86"/>
      <c r="B264" s="2" t="s">
        <v>303</v>
      </c>
      <c r="C264" s="2">
        <v>0.15</v>
      </c>
      <c r="D264" s="2">
        <v>4.5</v>
      </c>
      <c r="E264" s="2">
        <v>0.3</v>
      </c>
      <c r="F264" s="2">
        <f t="shared" si="7"/>
        <v>0.2</v>
      </c>
      <c r="M264" s="87"/>
    </row>
    <row r="265" spans="1:13" x14ac:dyDescent="0.25">
      <c r="A265" s="86"/>
      <c r="B265" s="2" t="s">
        <v>304</v>
      </c>
      <c r="C265" s="2">
        <v>0.15</v>
      </c>
      <c r="D265" s="2">
        <v>4.5</v>
      </c>
      <c r="E265" s="2">
        <v>0.3</v>
      </c>
      <c r="F265" s="2">
        <f t="shared" si="7"/>
        <v>0.2</v>
      </c>
      <c r="M265" s="87"/>
    </row>
    <row r="266" spans="1:13" x14ac:dyDescent="0.25">
      <c r="A266" s="86"/>
      <c r="B266" s="2" t="s">
        <v>305</v>
      </c>
      <c r="C266" s="2">
        <v>0.15</v>
      </c>
      <c r="D266" s="2">
        <v>4.5</v>
      </c>
      <c r="E266" s="2">
        <v>0.3</v>
      </c>
      <c r="F266" s="2">
        <f t="shared" si="7"/>
        <v>0.2</v>
      </c>
      <c r="M266" s="87"/>
    </row>
    <row r="267" spans="1:13" x14ac:dyDescent="0.25">
      <c r="A267" s="86"/>
      <c r="B267" s="2" t="s">
        <v>306</v>
      </c>
      <c r="C267" s="2">
        <v>0.15</v>
      </c>
      <c r="D267" s="2">
        <v>3.15</v>
      </c>
      <c r="E267" s="2">
        <v>0.3</v>
      </c>
      <c r="F267" s="2">
        <f t="shared" si="7"/>
        <v>0.14000000000000001</v>
      </c>
      <c r="M267" s="87"/>
    </row>
    <row r="268" spans="1:13" x14ac:dyDescent="0.25">
      <c r="A268" s="86"/>
      <c r="B268" s="2" t="s">
        <v>307</v>
      </c>
      <c r="C268" s="2">
        <v>0.15</v>
      </c>
      <c r="D268" s="2">
        <f>3.15+2.27+3.73+4.5</f>
        <v>13.65</v>
      </c>
      <c r="E268" s="2">
        <v>0.3</v>
      </c>
      <c r="F268" s="2">
        <f t="shared" si="7"/>
        <v>0.61</v>
      </c>
      <c r="M268" s="87"/>
    </row>
    <row r="269" spans="1:13" x14ac:dyDescent="0.25">
      <c r="A269" s="86"/>
      <c r="B269" s="2" t="s">
        <v>308</v>
      </c>
      <c r="C269" s="2">
        <v>0.15</v>
      </c>
      <c r="D269" s="2">
        <f>1.81+3.27+1.09+3.05*5+1.65+1.65</f>
        <v>24.72</v>
      </c>
      <c r="E269" s="2">
        <v>0.3</v>
      </c>
      <c r="F269" s="2">
        <f t="shared" si="7"/>
        <v>1.1100000000000001</v>
      </c>
      <c r="M269" s="87"/>
    </row>
    <row r="270" spans="1:13" x14ac:dyDescent="0.25">
      <c r="A270" s="86"/>
      <c r="B270" s="2" t="s">
        <v>309</v>
      </c>
      <c r="C270" s="2">
        <v>0.15</v>
      </c>
      <c r="D270" s="2">
        <f>2*1.65</f>
        <v>3.3</v>
      </c>
      <c r="E270" s="2">
        <v>0.3</v>
      </c>
      <c r="F270" s="2">
        <f t="shared" si="7"/>
        <v>0.14000000000000001</v>
      </c>
      <c r="M270" s="87"/>
    </row>
    <row r="271" spans="1:13" x14ac:dyDescent="0.25">
      <c r="A271" s="86"/>
      <c r="B271" s="2" t="s">
        <v>310</v>
      </c>
      <c r="C271" s="2">
        <v>0.15</v>
      </c>
      <c r="D271" s="2">
        <f>3.05*5</f>
        <v>15.25</v>
      </c>
      <c r="E271" s="2">
        <v>0.3</v>
      </c>
      <c r="F271" s="2">
        <f t="shared" si="7"/>
        <v>0.68</v>
      </c>
      <c r="M271" s="87"/>
    </row>
    <row r="272" spans="1:13" x14ac:dyDescent="0.25">
      <c r="A272" s="86"/>
      <c r="B272" s="2" t="s">
        <v>311</v>
      </c>
      <c r="C272" s="2">
        <v>0.15</v>
      </c>
      <c r="D272" s="2">
        <f>3.3+3+2*3.05+1.65+3*3.05+1.65</f>
        <v>24.849999999999994</v>
      </c>
      <c r="E272" s="2">
        <v>0.3</v>
      </c>
      <c r="F272" s="2">
        <f t="shared" si="7"/>
        <v>1.1100000000000001</v>
      </c>
      <c r="M272" s="87"/>
    </row>
    <row r="273" spans="1:14" x14ac:dyDescent="0.25">
      <c r="A273" s="86"/>
      <c r="B273" s="2" t="s">
        <v>312</v>
      </c>
      <c r="C273" s="2">
        <v>0.15</v>
      </c>
      <c r="D273" s="2">
        <f>3.3+3+2*3.05+1.65+3*3.05+1.65</f>
        <v>24.849999999999994</v>
      </c>
      <c r="E273" s="2">
        <v>0.3</v>
      </c>
      <c r="F273" s="2">
        <f t="shared" si="7"/>
        <v>1.1100000000000001</v>
      </c>
      <c r="M273" s="87"/>
    </row>
    <row r="274" spans="1:14" x14ac:dyDescent="0.25">
      <c r="A274" s="86"/>
      <c r="B274" s="2" t="s">
        <v>313</v>
      </c>
      <c r="C274" s="2">
        <v>0.15</v>
      </c>
      <c r="D274" s="2">
        <f>1.41+2.45+0.63*2</f>
        <v>5.12</v>
      </c>
      <c r="E274" s="2">
        <v>0.3</v>
      </c>
      <c r="F274" s="2">
        <f t="shared" si="7"/>
        <v>0.23</v>
      </c>
      <c r="M274" s="87"/>
    </row>
    <row r="275" spans="1:14" x14ac:dyDescent="0.25">
      <c r="A275" s="86"/>
      <c r="B275" s="2" t="s">
        <v>314</v>
      </c>
      <c r="C275" s="2">
        <v>0.15</v>
      </c>
      <c r="D275" s="2">
        <v>4.4000000000000004</v>
      </c>
      <c r="E275" s="2">
        <v>0.3</v>
      </c>
      <c r="F275" s="2">
        <f t="shared" si="7"/>
        <v>0.19</v>
      </c>
      <c r="M275" s="87"/>
    </row>
    <row r="276" spans="1:14" x14ac:dyDescent="0.25">
      <c r="A276" s="86"/>
      <c r="M276" s="87"/>
    </row>
    <row r="277" spans="1:14" x14ac:dyDescent="0.25">
      <c r="A277" s="86"/>
      <c r="B277" s="2" t="s">
        <v>316</v>
      </c>
      <c r="C277" s="2">
        <f>SUM(F252:F275)</f>
        <v>8.73</v>
      </c>
      <c r="M277" s="87"/>
    </row>
    <row r="278" spans="1:14" x14ac:dyDescent="0.25">
      <c r="A278" s="86"/>
      <c r="M278" s="87"/>
    </row>
    <row r="279" spans="1:14" ht="15.75" x14ac:dyDescent="0.25">
      <c r="A279" s="86"/>
      <c r="B279" s="46" t="s">
        <v>109</v>
      </c>
      <c r="C279" s="46">
        <f>C249-C277</f>
        <v>9.07</v>
      </c>
      <c r="D279" s="46" t="s">
        <v>177</v>
      </c>
      <c r="M279" s="87"/>
    </row>
    <row r="280" spans="1:14" x14ac:dyDescent="0.25">
      <c r="A280" s="86"/>
      <c r="M280" s="87"/>
    </row>
    <row r="281" spans="1:14" x14ac:dyDescent="0.25">
      <c r="A281" s="107" t="s">
        <v>317</v>
      </c>
      <c r="B281" s="47" t="str">
        <f>VLOOKUP('IV-MEMORIAL'!A281,'II-PO'!$A$19:$M$295,5,0)</f>
        <v>FABRICAÇÃO, MONTAGEM E DESMONTAGEM DE FÔRMA PARA VIGA BALDRAME, EM MADEIRA SERRADA, E=25 MM, 4 UTILIZAÇÕES. AF_01/2024</v>
      </c>
      <c r="C281" s="47"/>
      <c r="D281" s="47"/>
      <c r="E281" s="48"/>
      <c r="F281" s="48"/>
      <c r="G281" s="48"/>
      <c r="H281" s="48"/>
      <c r="I281" s="48"/>
      <c r="J281" s="48"/>
      <c r="K281" s="48"/>
      <c r="L281" s="48"/>
      <c r="M281" s="108"/>
      <c r="N281" s="3">
        <f>C283</f>
        <v>145</v>
      </c>
    </row>
    <row r="282" spans="1:14" x14ac:dyDescent="0.25">
      <c r="A282" s="86"/>
      <c r="M282" s="87"/>
    </row>
    <row r="283" spans="1:14" ht="15.75" x14ac:dyDescent="0.25">
      <c r="A283" s="86"/>
      <c r="B283" s="46" t="s">
        <v>109</v>
      </c>
      <c r="C283" s="46">
        <f>E195</f>
        <v>145</v>
      </c>
      <c r="D283" s="46" t="s">
        <v>167</v>
      </c>
      <c r="M283" s="87"/>
    </row>
    <row r="284" spans="1:14" x14ac:dyDescent="0.25">
      <c r="A284" s="86"/>
      <c r="M284" s="87"/>
    </row>
    <row r="285" spans="1:14" ht="15.75" x14ac:dyDescent="0.25">
      <c r="A285" s="105">
        <v>5</v>
      </c>
      <c r="B285" s="43" t="s">
        <v>289</v>
      </c>
      <c r="C285" s="44"/>
      <c r="D285" s="44"/>
      <c r="E285" s="45"/>
      <c r="F285" s="45"/>
      <c r="G285" s="45"/>
      <c r="H285" s="45"/>
      <c r="I285" s="45"/>
      <c r="J285" s="45"/>
      <c r="K285" s="45"/>
      <c r="L285" s="45"/>
      <c r="M285" s="106"/>
    </row>
    <row r="286" spans="1:14" x14ac:dyDescent="0.25">
      <c r="A286" s="86"/>
      <c r="M286" s="87"/>
    </row>
    <row r="287" spans="1:14" ht="15.75" x14ac:dyDescent="0.25">
      <c r="A287" s="86"/>
      <c r="B287" s="4" t="s">
        <v>225</v>
      </c>
      <c r="C287" s="4" t="s">
        <v>224</v>
      </c>
      <c r="D287" s="4" t="s">
        <v>229</v>
      </c>
      <c r="E287" s="4" t="s">
        <v>163</v>
      </c>
      <c r="F287" s="149" t="s">
        <v>226</v>
      </c>
      <c r="G287" s="149" t="s">
        <v>227</v>
      </c>
      <c r="M287" s="87"/>
    </row>
    <row r="288" spans="1:14" x14ac:dyDescent="0.25">
      <c r="A288" s="86"/>
      <c r="B288" s="351" t="s">
        <v>228</v>
      </c>
      <c r="C288" s="2">
        <v>5</v>
      </c>
      <c r="D288" s="2" t="str">
        <f t="shared" ref="D288:D307" si="8">VLOOKUP(C288,$B$310:$C$314,2,0)</f>
        <v>CA-60</v>
      </c>
      <c r="E288" s="2">
        <v>179.3</v>
      </c>
      <c r="F288" s="150">
        <f t="shared" ref="F288:F307" si="9">VLOOKUP(C288,$B$310:$D$314,3,0)</f>
        <v>0.15413438956674924</v>
      </c>
      <c r="G288" s="2">
        <f>TRUNC(E288*F288,2)</f>
        <v>27.63</v>
      </c>
      <c r="M288" s="87"/>
    </row>
    <row r="289" spans="1:13" x14ac:dyDescent="0.25">
      <c r="A289" s="86"/>
      <c r="B289" s="353"/>
      <c r="C289" s="2">
        <v>10</v>
      </c>
      <c r="D289" s="2" t="str">
        <f t="shared" si="8"/>
        <v>CA-50</v>
      </c>
      <c r="E289" s="2">
        <v>97</v>
      </c>
      <c r="F289" s="150">
        <f t="shared" si="9"/>
        <v>0.61653755826699697</v>
      </c>
      <c r="G289" s="2">
        <f t="shared" ref="G289:G307" si="10">TRUNC(E289*F289,2)</f>
        <v>59.8</v>
      </c>
      <c r="M289" s="87"/>
    </row>
    <row r="290" spans="1:13" x14ac:dyDescent="0.25">
      <c r="A290" s="86"/>
      <c r="B290" s="351" t="s">
        <v>241</v>
      </c>
      <c r="C290" s="2">
        <v>5</v>
      </c>
      <c r="D290" s="2" t="str">
        <f t="shared" si="8"/>
        <v>CA-60</v>
      </c>
      <c r="E290" s="2">
        <v>411.2</v>
      </c>
      <c r="F290" s="150">
        <f t="shared" si="9"/>
        <v>0.15413438956674924</v>
      </c>
      <c r="G290" s="2">
        <f t="shared" si="10"/>
        <v>63.38</v>
      </c>
      <c r="M290" s="87"/>
    </row>
    <row r="291" spans="1:13" x14ac:dyDescent="0.25">
      <c r="A291" s="86"/>
      <c r="B291" s="353"/>
      <c r="C291" s="2">
        <v>8</v>
      </c>
      <c r="D291" s="2" t="str">
        <f t="shared" si="8"/>
        <v>CA-50</v>
      </c>
      <c r="E291" s="2">
        <v>335.4</v>
      </c>
      <c r="F291" s="150">
        <f t="shared" si="9"/>
        <v>0.39458403729087799</v>
      </c>
      <c r="G291" s="2">
        <f t="shared" si="10"/>
        <v>132.34</v>
      </c>
      <c r="M291" s="87"/>
    </row>
    <row r="292" spans="1:13" x14ac:dyDescent="0.25">
      <c r="A292" s="86"/>
      <c r="B292" s="351" t="s">
        <v>234</v>
      </c>
      <c r="C292" s="2">
        <v>5</v>
      </c>
      <c r="D292" s="2" t="str">
        <f t="shared" si="8"/>
        <v>CA-60</v>
      </c>
      <c r="E292" s="2">
        <v>23.1</v>
      </c>
      <c r="F292" s="150">
        <f t="shared" si="9"/>
        <v>0.15413438956674924</v>
      </c>
      <c r="G292" s="2">
        <f t="shared" si="10"/>
        <v>3.56</v>
      </c>
      <c r="M292" s="87"/>
    </row>
    <row r="293" spans="1:13" x14ac:dyDescent="0.25">
      <c r="A293" s="86"/>
      <c r="B293" s="352"/>
      <c r="C293" s="2">
        <v>6.3</v>
      </c>
      <c r="D293" s="2" t="str">
        <f t="shared" si="8"/>
        <v>CA-50</v>
      </c>
      <c r="E293" s="2">
        <v>1275.4000000000001</v>
      </c>
      <c r="F293" s="150">
        <f t="shared" si="9"/>
        <v>0.24470375687617107</v>
      </c>
      <c r="G293" s="2">
        <f t="shared" si="10"/>
        <v>312.08999999999997</v>
      </c>
      <c r="M293" s="87"/>
    </row>
    <row r="294" spans="1:13" x14ac:dyDescent="0.25">
      <c r="A294" s="86"/>
      <c r="B294" s="353"/>
      <c r="C294" s="2">
        <v>8</v>
      </c>
      <c r="D294" s="2" t="str">
        <f t="shared" si="8"/>
        <v>CA-50</v>
      </c>
      <c r="E294" s="2">
        <v>28</v>
      </c>
      <c r="F294" s="150">
        <f t="shared" si="9"/>
        <v>0.39458403729087799</v>
      </c>
      <c r="G294" s="2">
        <f t="shared" si="10"/>
        <v>11.04</v>
      </c>
      <c r="M294" s="87"/>
    </row>
    <row r="295" spans="1:13" x14ac:dyDescent="0.25">
      <c r="A295" s="86"/>
      <c r="B295" s="351" t="s">
        <v>238</v>
      </c>
      <c r="C295" s="2">
        <v>5</v>
      </c>
      <c r="D295" s="2" t="str">
        <f t="shared" si="8"/>
        <v>CA-60</v>
      </c>
      <c r="E295" s="2">
        <v>161</v>
      </c>
      <c r="F295" s="150">
        <f t="shared" si="9"/>
        <v>0.15413438956674924</v>
      </c>
      <c r="G295" s="2">
        <f t="shared" si="10"/>
        <v>24.81</v>
      </c>
      <c r="M295" s="87"/>
    </row>
    <row r="296" spans="1:13" x14ac:dyDescent="0.25">
      <c r="A296" s="86"/>
      <c r="B296" s="352"/>
      <c r="C296" s="2">
        <v>10</v>
      </c>
      <c r="D296" s="2" t="str">
        <f t="shared" si="8"/>
        <v>CA-50</v>
      </c>
      <c r="E296" s="2">
        <v>180.6</v>
      </c>
      <c r="F296" s="150">
        <f t="shared" si="9"/>
        <v>0.61653755826699697</v>
      </c>
      <c r="G296" s="2">
        <f t="shared" si="10"/>
        <v>111.34</v>
      </c>
      <c r="M296" s="87"/>
    </row>
    <row r="297" spans="1:13" x14ac:dyDescent="0.25">
      <c r="A297" s="86"/>
      <c r="B297" s="353"/>
      <c r="C297" s="2">
        <v>12.5</v>
      </c>
      <c r="D297" s="2" t="str">
        <f t="shared" si="8"/>
        <v>CA-50</v>
      </c>
      <c r="E297" s="2">
        <v>6.8</v>
      </c>
      <c r="F297" s="150">
        <f t="shared" si="9"/>
        <v>0.96333993479218283</v>
      </c>
      <c r="G297" s="2">
        <f t="shared" si="10"/>
        <v>6.55</v>
      </c>
      <c r="M297" s="87"/>
    </row>
    <row r="298" spans="1:13" x14ac:dyDescent="0.25">
      <c r="A298" s="86"/>
      <c r="B298" s="351" t="s">
        <v>239</v>
      </c>
      <c r="C298" s="2">
        <v>5</v>
      </c>
      <c r="D298" s="2" t="str">
        <f t="shared" si="8"/>
        <v>CA-60</v>
      </c>
      <c r="E298" s="2">
        <v>1046.5</v>
      </c>
      <c r="F298" s="150">
        <f t="shared" si="9"/>
        <v>0.15413438956674924</v>
      </c>
      <c r="G298" s="2">
        <f t="shared" si="10"/>
        <v>161.30000000000001</v>
      </c>
      <c r="M298" s="87"/>
    </row>
    <row r="299" spans="1:13" x14ac:dyDescent="0.25">
      <c r="A299" s="86"/>
      <c r="B299" s="352"/>
      <c r="C299" s="2">
        <v>10</v>
      </c>
      <c r="D299" s="2" t="str">
        <f t="shared" si="8"/>
        <v>CA-50</v>
      </c>
      <c r="E299" s="2">
        <v>721.1</v>
      </c>
      <c r="F299" s="150">
        <f t="shared" si="9"/>
        <v>0.61653755826699697</v>
      </c>
      <c r="G299" s="2">
        <f t="shared" si="10"/>
        <v>444.58</v>
      </c>
      <c r="M299" s="87"/>
    </row>
    <row r="300" spans="1:13" x14ac:dyDescent="0.25">
      <c r="A300" s="86"/>
      <c r="B300" s="353"/>
      <c r="C300" s="2">
        <v>12.5</v>
      </c>
      <c r="D300" s="2" t="str">
        <f t="shared" si="8"/>
        <v>CA-50</v>
      </c>
      <c r="E300" s="2">
        <v>24.7</v>
      </c>
      <c r="F300" s="150">
        <f t="shared" si="9"/>
        <v>0.96333993479218283</v>
      </c>
      <c r="G300" s="2">
        <f t="shared" si="10"/>
        <v>23.79</v>
      </c>
      <c r="M300" s="87"/>
    </row>
    <row r="301" spans="1:13" x14ac:dyDescent="0.25">
      <c r="A301" s="86"/>
      <c r="B301" s="351" t="s">
        <v>242</v>
      </c>
      <c r="C301" s="2">
        <v>5</v>
      </c>
      <c r="D301" s="2" t="str">
        <f t="shared" si="8"/>
        <v>CA-60</v>
      </c>
      <c r="E301" s="2">
        <v>565.1</v>
      </c>
      <c r="F301" s="150">
        <f t="shared" si="9"/>
        <v>0.15413438956674924</v>
      </c>
      <c r="G301" s="2">
        <f t="shared" si="10"/>
        <v>87.1</v>
      </c>
      <c r="M301" s="87"/>
    </row>
    <row r="302" spans="1:13" x14ac:dyDescent="0.25">
      <c r="A302" s="86"/>
      <c r="B302" s="352"/>
      <c r="C302" s="2">
        <v>8</v>
      </c>
      <c r="D302" s="2" t="str">
        <f t="shared" si="8"/>
        <v>CA-50</v>
      </c>
      <c r="E302" s="2">
        <v>365.2</v>
      </c>
      <c r="F302" s="150">
        <f t="shared" si="9"/>
        <v>0.39458403729087799</v>
      </c>
      <c r="G302" s="2">
        <f t="shared" si="10"/>
        <v>144.1</v>
      </c>
      <c r="M302" s="87"/>
    </row>
    <row r="303" spans="1:13" x14ac:dyDescent="0.25">
      <c r="A303" s="86"/>
      <c r="B303" s="352"/>
      <c r="C303" s="2">
        <v>10</v>
      </c>
      <c r="D303" s="2" t="str">
        <f t="shared" si="8"/>
        <v>CA-50</v>
      </c>
      <c r="E303" s="2">
        <v>103.8</v>
      </c>
      <c r="F303" s="150">
        <f t="shared" si="9"/>
        <v>0.61653755826699697</v>
      </c>
      <c r="G303" s="2">
        <f t="shared" si="10"/>
        <v>63.99</v>
      </c>
      <c r="M303" s="87"/>
    </row>
    <row r="304" spans="1:13" x14ac:dyDescent="0.25">
      <c r="A304" s="86"/>
      <c r="B304" s="352"/>
      <c r="C304" s="2">
        <v>12.5</v>
      </c>
      <c r="D304" s="2" t="str">
        <f t="shared" si="8"/>
        <v>CA-50</v>
      </c>
      <c r="E304" s="2">
        <v>20.399999999999999</v>
      </c>
      <c r="F304" s="150">
        <f t="shared" si="9"/>
        <v>0.96333993479218283</v>
      </c>
      <c r="G304" s="2">
        <f t="shared" si="10"/>
        <v>19.649999999999999</v>
      </c>
      <c r="M304" s="87"/>
    </row>
    <row r="305" spans="1:13" x14ac:dyDescent="0.25">
      <c r="A305" s="86"/>
      <c r="B305" s="352"/>
      <c r="C305" s="2">
        <v>5</v>
      </c>
      <c r="D305" s="2" t="str">
        <f t="shared" si="8"/>
        <v>CA-60</v>
      </c>
      <c r="E305" s="2">
        <v>22.1</v>
      </c>
      <c r="F305" s="150">
        <f t="shared" si="9"/>
        <v>0.15413438956674924</v>
      </c>
      <c r="G305" s="2">
        <f t="shared" si="10"/>
        <v>3.4</v>
      </c>
      <c r="M305" s="87"/>
    </row>
    <row r="306" spans="1:13" x14ac:dyDescent="0.25">
      <c r="A306" s="86"/>
      <c r="B306" s="352"/>
      <c r="C306" s="2">
        <v>8</v>
      </c>
      <c r="D306" s="2" t="str">
        <f t="shared" si="8"/>
        <v>CA-50</v>
      </c>
      <c r="E306" s="2">
        <v>9.5</v>
      </c>
      <c r="F306" s="150">
        <f t="shared" si="9"/>
        <v>0.39458403729087799</v>
      </c>
      <c r="G306" s="2">
        <f t="shared" si="10"/>
        <v>3.74</v>
      </c>
      <c r="M306" s="87"/>
    </row>
    <row r="307" spans="1:13" x14ac:dyDescent="0.25">
      <c r="A307" s="86"/>
      <c r="B307" s="353"/>
      <c r="C307" s="2">
        <v>10</v>
      </c>
      <c r="D307" s="2" t="str">
        <f t="shared" si="8"/>
        <v>CA-50</v>
      </c>
      <c r="E307" s="2">
        <v>14.3</v>
      </c>
      <c r="F307" s="150">
        <f t="shared" si="9"/>
        <v>0.61653755826699697</v>
      </c>
      <c r="G307" s="2">
        <f t="shared" si="10"/>
        <v>8.81</v>
      </c>
      <c r="M307" s="87"/>
    </row>
    <row r="308" spans="1:13" x14ac:dyDescent="0.25">
      <c r="A308" s="86"/>
      <c r="M308" s="87"/>
    </row>
    <row r="309" spans="1:13" ht="15.75" x14ac:dyDescent="0.25">
      <c r="A309" s="86"/>
      <c r="B309" s="4" t="s">
        <v>224</v>
      </c>
      <c r="C309" s="4" t="s">
        <v>229</v>
      </c>
      <c r="D309" s="149" t="s">
        <v>226</v>
      </c>
      <c r="E309" s="149" t="s">
        <v>227</v>
      </c>
      <c r="M309" s="87"/>
    </row>
    <row r="310" spans="1:13" x14ac:dyDescent="0.25">
      <c r="A310" s="86"/>
      <c r="B310" s="2">
        <v>5</v>
      </c>
      <c r="C310" s="2" t="s">
        <v>230</v>
      </c>
      <c r="D310" s="150">
        <f t="shared" ref="D310" si="11">7850*((5/1000)^2)*0.25*PI()</f>
        <v>0.15413438956674924</v>
      </c>
      <c r="E310" s="2">
        <f>SUMIF($C$288:$C$307,B310,$G$288:$G$307)</f>
        <v>371.17999999999995</v>
      </c>
      <c r="M310" s="87"/>
    </row>
    <row r="311" spans="1:13" x14ac:dyDescent="0.25">
      <c r="A311" s="86"/>
      <c r="B311" s="2">
        <v>6.3</v>
      </c>
      <c r="C311" s="2" t="s">
        <v>231</v>
      </c>
      <c r="D311" s="150">
        <f>7850*((6.3/1000)^2)*0.25*PI()</f>
        <v>0.24470375687617107</v>
      </c>
      <c r="E311" s="2">
        <f>SUMIF($C$288:$C$307,B311,$G$288:$G$307)</f>
        <v>312.08999999999997</v>
      </c>
      <c r="M311" s="87"/>
    </row>
    <row r="312" spans="1:13" x14ac:dyDescent="0.25">
      <c r="A312" s="86"/>
      <c r="B312" s="2">
        <v>8</v>
      </c>
      <c r="C312" s="2" t="s">
        <v>231</v>
      </c>
      <c r="D312" s="150">
        <f>7850*((8/1000)^2)*0.25*PI()</f>
        <v>0.39458403729087799</v>
      </c>
      <c r="E312" s="2">
        <f>SUMIF($C$288:$C$307,B312,$G$288:$G$307)</f>
        <v>291.22000000000003</v>
      </c>
      <c r="M312" s="87"/>
    </row>
    <row r="313" spans="1:13" x14ac:dyDescent="0.25">
      <c r="A313" s="86"/>
      <c r="B313" s="2">
        <v>10</v>
      </c>
      <c r="C313" s="2" t="s">
        <v>231</v>
      </c>
      <c r="D313" s="150">
        <f>7850*((10/1000)^2)*0.25*PI()</f>
        <v>0.61653755826699697</v>
      </c>
      <c r="E313" s="2">
        <f>SUMIF($C$288:$C$307,B313,$G$288:$G$307)</f>
        <v>688.52</v>
      </c>
      <c r="M313" s="87"/>
    </row>
    <row r="314" spans="1:13" x14ac:dyDescent="0.25">
      <c r="A314" s="86"/>
      <c r="B314" s="2">
        <v>12.5</v>
      </c>
      <c r="C314" s="2" t="s">
        <v>231</v>
      </c>
      <c r="D314" s="150">
        <f>7850*((12.5/1000)^2)*0.25*PI()</f>
        <v>0.96333993479218283</v>
      </c>
      <c r="E314" s="2">
        <f>SUMIF($C$288:$C$307,B314,$G$288:$G$307)</f>
        <v>49.989999999999995</v>
      </c>
      <c r="M314" s="87"/>
    </row>
    <row r="315" spans="1:13" x14ac:dyDescent="0.25">
      <c r="A315" s="86"/>
      <c r="M315" s="87"/>
    </row>
    <row r="316" spans="1:13" ht="15.75" x14ac:dyDescent="0.25">
      <c r="A316" s="86"/>
      <c r="B316" s="4" t="s">
        <v>225</v>
      </c>
      <c r="C316" s="4" t="s">
        <v>233</v>
      </c>
      <c r="D316" s="4" t="s">
        <v>243</v>
      </c>
      <c r="E316" s="4" t="s">
        <v>232</v>
      </c>
      <c r="M316" s="87"/>
    </row>
    <row r="317" spans="1:13" ht="15.75" x14ac:dyDescent="0.25">
      <c r="A317" s="86"/>
      <c r="B317" s="4" t="s">
        <v>228</v>
      </c>
      <c r="C317" s="2">
        <v>1</v>
      </c>
      <c r="D317" s="2" t="s">
        <v>244</v>
      </c>
      <c r="E317" s="2">
        <v>20.260000000000002</v>
      </c>
      <c r="M317" s="87"/>
    </row>
    <row r="318" spans="1:13" ht="15.75" x14ac:dyDescent="0.25">
      <c r="A318" s="86"/>
      <c r="B318" s="4" t="s">
        <v>241</v>
      </c>
      <c r="C318" s="2">
        <v>3.12</v>
      </c>
      <c r="D318" s="2" t="s">
        <v>244</v>
      </c>
      <c r="E318" s="2">
        <v>54.97</v>
      </c>
      <c r="M318" s="87"/>
    </row>
    <row r="319" spans="1:13" ht="15.75" x14ac:dyDescent="0.25">
      <c r="A319" s="86"/>
      <c r="B319" s="4" t="s">
        <v>234</v>
      </c>
      <c r="C319" s="2">
        <v>17.8</v>
      </c>
      <c r="D319" s="2" t="s">
        <v>244</v>
      </c>
      <c r="E319" s="2">
        <v>0</v>
      </c>
      <c r="M319" s="87"/>
    </row>
    <row r="320" spans="1:13" ht="15.75" x14ac:dyDescent="0.25">
      <c r="A320" s="86"/>
      <c r="B320" s="4" t="s">
        <v>236</v>
      </c>
      <c r="C320" s="2">
        <v>9</v>
      </c>
      <c r="D320" s="2" t="s">
        <v>244</v>
      </c>
      <c r="E320" s="2">
        <v>0</v>
      </c>
      <c r="M320" s="87"/>
    </row>
    <row r="321" spans="1:13" ht="15.75" x14ac:dyDescent="0.25">
      <c r="A321" s="86"/>
      <c r="B321" s="4" t="s">
        <v>237</v>
      </c>
      <c r="C321" s="2">
        <v>7.9</v>
      </c>
      <c r="D321" s="2" t="s">
        <v>244</v>
      </c>
      <c r="E321" s="2">
        <v>56</v>
      </c>
      <c r="M321" s="87"/>
    </row>
    <row r="322" spans="1:13" ht="15.75" x14ac:dyDescent="0.25">
      <c r="A322" s="86"/>
      <c r="B322" s="4" t="s">
        <v>238</v>
      </c>
      <c r="C322" s="2">
        <v>0</v>
      </c>
      <c r="D322" s="2"/>
      <c r="E322" s="2">
        <v>0</v>
      </c>
      <c r="M322" s="87"/>
    </row>
    <row r="323" spans="1:13" ht="15.75" x14ac:dyDescent="0.25">
      <c r="A323" s="86"/>
      <c r="B323" s="4" t="s">
        <v>239</v>
      </c>
      <c r="C323" s="2">
        <v>6.16</v>
      </c>
      <c r="D323" s="2" t="s">
        <v>244</v>
      </c>
      <c r="E323" s="2">
        <v>124.68</v>
      </c>
      <c r="M323" s="87"/>
    </row>
    <row r="324" spans="1:13" ht="15.75" x14ac:dyDescent="0.25">
      <c r="A324" s="86"/>
      <c r="B324" s="4" t="s">
        <v>240</v>
      </c>
      <c r="C324" s="2">
        <v>11.05</v>
      </c>
      <c r="D324" s="2" t="s">
        <v>244</v>
      </c>
      <c r="E324" s="2">
        <v>145</v>
      </c>
      <c r="M324" s="87"/>
    </row>
    <row r="325" spans="1:13" ht="15.75" x14ac:dyDescent="0.25">
      <c r="A325" s="86"/>
      <c r="B325" s="4" t="s">
        <v>242</v>
      </c>
      <c r="C325" s="2">
        <f>6.12+0.18</f>
        <v>6.3</v>
      </c>
      <c r="D325" s="2" t="s">
        <v>244</v>
      </c>
      <c r="E325" s="2">
        <f>77.75+2.1</f>
        <v>79.849999999999994</v>
      </c>
      <c r="M325" s="87"/>
    </row>
    <row r="326" spans="1:13" x14ac:dyDescent="0.25">
      <c r="A326" s="86"/>
      <c r="M326" s="87"/>
    </row>
    <row r="327" spans="1:13" ht="15.75" x14ac:dyDescent="0.25">
      <c r="A327" s="86"/>
      <c r="B327" s="149" t="s">
        <v>235</v>
      </c>
      <c r="C327" s="2">
        <v>317</v>
      </c>
      <c r="D327" s="2" t="s">
        <v>217</v>
      </c>
      <c r="M327" s="87"/>
    </row>
    <row r="328" spans="1:13" x14ac:dyDescent="0.25">
      <c r="A328" s="86"/>
      <c r="M328" s="87"/>
    </row>
    <row r="329" spans="1:13" ht="15.75" x14ac:dyDescent="0.25">
      <c r="A329" s="86"/>
      <c r="B329" s="149" t="s">
        <v>245</v>
      </c>
      <c r="C329" s="149" t="s">
        <v>246</v>
      </c>
      <c r="D329" s="149" t="s">
        <v>178</v>
      </c>
      <c r="E329" s="149" t="s">
        <v>109</v>
      </c>
      <c r="F329" s="149" t="s">
        <v>179</v>
      </c>
      <c r="M329" s="87"/>
    </row>
    <row r="330" spans="1:13" x14ac:dyDescent="0.25">
      <c r="A330" s="86"/>
      <c r="B330" s="2" t="s">
        <v>247</v>
      </c>
      <c r="C330" s="2">
        <v>30</v>
      </c>
      <c r="D330" s="2">
        <v>6</v>
      </c>
      <c r="E330" s="2">
        <v>42</v>
      </c>
      <c r="F330" s="2">
        <f>D330*E330</f>
        <v>252</v>
      </c>
      <c r="M330" s="87"/>
    </row>
    <row r="331" spans="1:13" x14ac:dyDescent="0.25">
      <c r="A331" s="86"/>
      <c r="M331" s="87"/>
    </row>
    <row r="332" spans="1:13" ht="15.75" x14ac:dyDescent="0.25">
      <c r="A332" s="151" t="s">
        <v>105</v>
      </c>
      <c r="B332" s="152" t="s">
        <v>272</v>
      </c>
      <c r="C332" s="153"/>
      <c r="D332" s="153"/>
      <c r="E332" s="154"/>
      <c r="F332" s="154"/>
      <c r="G332" s="154"/>
      <c r="H332" s="154"/>
      <c r="I332" s="154"/>
      <c r="J332" s="154"/>
      <c r="K332" s="154"/>
      <c r="L332" s="154"/>
      <c r="M332" s="155"/>
    </row>
    <row r="333" spans="1:13" x14ac:dyDescent="0.25">
      <c r="A333" s="86"/>
      <c r="M333" s="87"/>
    </row>
    <row r="334" spans="1:13" ht="15.75" x14ac:dyDescent="0.25">
      <c r="A334" s="86"/>
      <c r="B334" s="4" t="s">
        <v>225</v>
      </c>
      <c r="C334" s="4" t="s">
        <v>224</v>
      </c>
      <c r="D334" s="4" t="s">
        <v>229</v>
      </c>
      <c r="E334" s="4" t="s">
        <v>163</v>
      </c>
      <c r="F334" s="149" t="s">
        <v>226</v>
      </c>
      <c r="G334" s="149" t="s">
        <v>227</v>
      </c>
      <c r="M334" s="87"/>
    </row>
    <row r="335" spans="1:13" x14ac:dyDescent="0.25">
      <c r="A335" s="86"/>
      <c r="B335" s="351" t="s">
        <v>228</v>
      </c>
      <c r="C335" s="2">
        <v>5</v>
      </c>
      <c r="D335" s="2" t="str">
        <f t="shared" ref="D335:D342" si="12">VLOOKUP(C335,$B$310:$C$314,2,0)</f>
        <v>CA-60</v>
      </c>
      <c r="E335" s="2">
        <v>179.3</v>
      </c>
      <c r="F335" s="150">
        <f t="shared" ref="F335:F342" si="13">VLOOKUP(C335,$B$310:$D$314,3,0)</f>
        <v>0.15413438956674924</v>
      </c>
      <c r="G335" s="2">
        <f>TRUNC(E335*F335,2)</f>
        <v>27.63</v>
      </c>
      <c r="M335" s="87"/>
    </row>
    <row r="336" spans="1:13" x14ac:dyDescent="0.25">
      <c r="A336" s="86"/>
      <c r="B336" s="353"/>
      <c r="C336" s="2">
        <v>10</v>
      </c>
      <c r="D336" s="2" t="str">
        <f t="shared" si="12"/>
        <v>CA-50</v>
      </c>
      <c r="E336" s="2">
        <v>97</v>
      </c>
      <c r="F336" s="150">
        <f t="shared" si="13"/>
        <v>0.61653755826699697</v>
      </c>
      <c r="G336" s="2">
        <f t="shared" ref="G336:G342" si="14">TRUNC(E336*F336,2)</f>
        <v>59.8</v>
      </c>
      <c r="M336" s="87"/>
    </row>
    <row r="337" spans="1:14" x14ac:dyDescent="0.25">
      <c r="A337" s="86"/>
      <c r="B337" s="351" t="s">
        <v>238</v>
      </c>
      <c r="C337" s="2">
        <v>5</v>
      </c>
      <c r="D337" s="2" t="str">
        <f t="shared" si="12"/>
        <v>CA-60</v>
      </c>
      <c r="E337" s="2">
        <v>161</v>
      </c>
      <c r="F337" s="150">
        <f t="shared" si="13"/>
        <v>0.15413438956674924</v>
      </c>
      <c r="G337" s="2">
        <f t="shared" si="14"/>
        <v>24.81</v>
      </c>
      <c r="M337" s="87"/>
    </row>
    <row r="338" spans="1:14" x14ac:dyDescent="0.25">
      <c r="A338" s="86"/>
      <c r="B338" s="352"/>
      <c r="C338" s="2">
        <v>10</v>
      </c>
      <c r="D338" s="2" t="str">
        <f t="shared" si="12"/>
        <v>CA-50</v>
      </c>
      <c r="E338" s="2">
        <v>180.6</v>
      </c>
      <c r="F338" s="150">
        <f t="shared" si="13"/>
        <v>0.61653755826699697</v>
      </c>
      <c r="G338" s="2">
        <f t="shared" si="14"/>
        <v>111.34</v>
      </c>
      <c r="M338" s="87"/>
    </row>
    <row r="339" spans="1:14" x14ac:dyDescent="0.25">
      <c r="A339" s="86"/>
      <c r="B339" s="353"/>
      <c r="C339" s="2">
        <v>12.5</v>
      </c>
      <c r="D339" s="2" t="str">
        <f t="shared" si="12"/>
        <v>CA-50</v>
      </c>
      <c r="E339" s="2">
        <v>6.8</v>
      </c>
      <c r="F339" s="150">
        <f t="shared" si="13"/>
        <v>0.96333993479218283</v>
      </c>
      <c r="G339" s="2">
        <f t="shared" si="14"/>
        <v>6.55</v>
      </c>
      <c r="M339" s="87"/>
    </row>
    <row r="340" spans="1:14" x14ac:dyDescent="0.25">
      <c r="A340" s="86"/>
      <c r="B340" s="351" t="s">
        <v>239</v>
      </c>
      <c r="C340" s="2">
        <v>5</v>
      </c>
      <c r="D340" s="2" t="str">
        <f t="shared" si="12"/>
        <v>CA-60</v>
      </c>
      <c r="E340" s="2">
        <v>1046.5</v>
      </c>
      <c r="F340" s="150">
        <f t="shared" si="13"/>
        <v>0.15413438956674924</v>
      </c>
      <c r="G340" s="2">
        <f t="shared" si="14"/>
        <v>161.30000000000001</v>
      </c>
      <c r="M340" s="87"/>
    </row>
    <row r="341" spans="1:14" x14ac:dyDescent="0.25">
      <c r="A341" s="86"/>
      <c r="B341" s="352"/>
      <c r="C341" s="2">
        <v>10</v>
      </c>
      <c r="D341" s="2" t="str">
        <f t="shared" si="12"/>
        <v>CA-50</v>
      </c>
      <c r="E341" s="2">
        <v>721.1</v>
      </c>
      <c r="F341" s="150">
        <f t="shared" si="13"/>
        <v>0.61653755826699697</v>
      </c>
      <c r="G341" s="2">
        <f t="shared" si="14"/>
        <v>444.58</v>
      </c>
      <c r="M341" s="87"/>
    </row>
    <row r="342" spans="1:14" x14ac:dyDescent="0.25">
      <c r="A342" s="86"/>
      <c r="B342" s="353"/>
      <c r="C342" s="2">
        <v>12.5</v>
      </c>
      <c r="D342" s="2" t="str">
        <f t="shared" si="12"/>
        <v>CA-50</v>
      </c>
      <c r="E342" s="2">
        <v>24.7</v>
      </c>
      <c r="F342" s="150">
        <f t="shared" si="13"/>
        <v>0.96333993479218283</v>
      </c>
      <c r="G342" s="2">
        <f t="shared" si="14"/>
        <v>23.79</v>
      </c>
      <c r="M342" s="87"/>
    </row>
    <row r="343" spans="1:14" x14ac:dyDescent="0.25">
      <c r="A343" s="86"/>
      <c r="G343" s="3"/>
      <c r="M343" s="87"/>
    </row>
    <row r="344" spans="1:14" ht="15.75" x14ac:dyDescent="0.25">
      <c r="A344" s="86"/>
      <c r="B344" s="4" t="s">
        <v>225</v>
      </c>
      <c r="C344" s="4" t="s">
        <v>233</v>
      </c>
      <c r="D344" s="4" t="s">
        <v>243</v>
      </c>
      <c r="E344" s="4" t="s">
        <v>232</v>
      </c>
      <c r="M344" s="87"/>
    </row>
    <row r="345" spans="1:14" ht="15.75" x14ac:dyDescent="0.25">
      <c r="A345" s="86"/>
      <c r="B345" s="4" t="s">
        <v>228</v>
      </c>
      <c r="C345" s="2">
        <v>1</v>
      </c>
      <c r="D345" s="2" t="s">
        <v>244</v>
      </c>
      <c r="E345" s="2">
        <v>20.260000000000002</v>
      </c>
      <c r="M345" s="87"/>
    </row>
    <row r="346" spans="1:14" ht="15.75" x14ac:dyDescent="0.25">
      <c r="A346" s="86"/>
      <c r="B346" s="4" t="s">
        <v>238</v>
      </c>
      <c r="C346" s="2">
        <v>0</v>
      </c>
      <c r="D346" s="2"/>
      <c r="E346" s="2">
        <v>0</v>
      </c>
      <c r="M346" s="87"/>
    </row>
    <row r="347" spans="1:14" ht="15.75" x14ac:dyDescent="0.25">
      <c r="A347" s="86"/>
      <c r="B347" s="4" t="s">
        <v>239</v>
      </c>
      <c r="C347" s="2">
        <v>6.16</v>
      </c>
      <c r="D347" s="2" t="s">
        <v>244</v>
      </c>
      <c r="E347" s="2">
        <v>124.68</v>
      </c>
      <c r="M347" s="87"/>
    </row>
    <row r="348" spans="1:14" x14ac:dyDescent="0.25">
      <c r="A348" s="86"/>
      <c r="M348" s="87"/>
    </row>
    <row r="349" spans="1:14" x14ac:dyDescent="0.25">
      <c r="A349" s="107" t="s">
        <v>587</v>
      </c>
      <c r="B349" s="47" t="str">
        <f>VLOOKUP('IV-MEMORIAL'!A349,'II-PO'!$A$19:$M$295,5,0)</f>
        <v>ARMAÇÃO DE PILAR OU VIGA DE ESTRUTURA CONVENCIONAL DE CONCRETO ARMADO UTILIZANDO AÇO CA-60 DE 5,0 MM - MONTAGEM. AF_06/2022</v>
      </c>
      <c r="C349" s="47"/>
      <c r="D349" s="47"/>
      <c r="E349" s="48"/>
      <c r="F349" s="48"/>
      <c r="G349" s="48"/>
      <c r="H349" s="48"/>
      <c r="I349" s="48"/>
      <c r="J349" s="48"/>
      <c r="K349" s="48"/>
      <c r="L349" s="48"/>
      <c r="M349" s="108"/>
      <c r="N349" s="3">
        <f>C351</f>
        <v>213.74</v>
      </c>
    </row>
    <row r="350" spans="1:14" x14ac:dyDescent="0.25">
      <c r="A350" s="86"/>
      <c r="M350" s="87"/>
    </row>
    <row r="351" spans="1:14" ht="15.75" x14ac:dyDescent="0.25">
      <c r="A351" s="86"/>
      <c r="B351" s="46" t="s">
        <v>109</v>
      </c>
      <c r="C351" s="46">
        <f>G335+G337+G340</f>
        <v>213.74</v>
      </c>
      <c r="D351" s="46" t="s">
        <v>121</v>
      </c>
      <c r="E351" s="3"/>
      <c r="M351" s="87"/>
    </row>
    <row r="352" spans="1:14" x14ac:dyDescent="0.25">
      <c r="A352" s="86"/>
      <c r="M352" s="87"/>
    </row>
    <row r="353" spans="1:14" x14ac:dyDescent="0.25">
      <c r="A353" s="107" t="s">
        <v>588</v>
      </c>
      <c r="B353" s="47" t="str">
        <f>VLOOKUP('IV-MEMORIAL'!A353,'II-PO'!$A$19:$M$295,5,0)</f>
        <v>ARMAÇÃO DE PILAR OU VIGA DE ESTRUTURA CONVENCIONAL DE CONCRETO ARMADO UTILIZANDO AÇO CA-50 DE 10,0 MM - MONTAGEM. AF_06/2022</v>
      </c>
      <c r="C353" s="47"/>
      <c r="D353" s="47"/>
      <c r="E353" s="48"/>
      <c r="F353" s="48"/>
      <c r="G353" s="48"/>
      <c r="H353" s="48"/>
      <c r="I353" s="48"/>
      <c r="J353" s="48"/>
      <c r="K353" s="48"/>
      <c r="L353" s="48"/>
      <c r="M353" s="108"/>
      <c r="N353" s="3">
        <f>C355</f>
        <v>615.72</v>
      </c>
    </row>
    <row r="354" spans="1:14" x14ac:dyDescent="0.25">
      <c r="A354" s="86"/>
      <c r="M354" s="87"/>
    </row>
    <row r="355" spans="1:14" ht="15.75" x14ac:dyDescent="0.25">
      <c r="A355" s="86"/>
      <c r="B355" s="46" t="s">
        <v>109</v>
      </c>
      <c r="C355" s="46">
        <f>G336+G338+G341</f>
        <v>615.72</v>
      </c>
      <c r="D355" s="46" t="s">
        <v>121</v>
      </c>
      <c r="M355" s="87"/>
    </row>
    <row r="356" spans="1:14" x14ac:dyDescent="0.25">
      <c r="A356" s="86"/>
      <c r="M356" s="87"/>
    </row>
    <row r="357" spans="1:14" x14ac:dyDescent="0.25">
      <c r="A357" s="107" t="s">
        <v>589</v>
      </c>
      <c r="B357" s="47" t="str">
        <f>VLOOKUP('IV-MEMORIAL'!A357,'II-PO'!$A$19:$M$295,5,0)</f>
        <v>ARMAÇÃO DE PILAR OU VIGA DE ESTRUTURA CONVENCIONAL DE CONCRETO ARMADO UTILIZANDO AÇO CA-50 DE 12,5 MM - MONTAGEM. AF_06/2022</v>
      </c>
      <c r="C357" s="47"/>
      <c r="D357" s="47"/>
      <c r="E357" s="48"/>
      <c r="F357" s="48"/>
      <c r="G357" s="48"/>
      <c r="H357" s="48"/>
      <c r="I357" s="48"/>
      <c r="J357" s="48"/>
      <c r="K357" s="48"/>
      <c r="L357" s="48"/>
      <c r="M357" s="108"/>
      <c r="N357" s="3">
        <f>C359</f>
        <v>30.34</v>
      </c>
    </row>
    <row r="358" spans="1:14" x14ac:dyDescent="0.25">
      <c r="A358" s="86"/>
      <c r="M358" s="87"/>
    </row>
    <row r="359" spans="1:14" ht="15.75" x14ac:dyDescent="0.25">
      <c r="A359" s="86"/>
      <c r="B359" s="46" t="s">
        <v>109</v>
      </c>
      <c r="C359" s="46">
        <f>G339+G342</f>
        <v>30.34</v>
      </c>
      <c r="D359" s="46" t="s">
        <v>121</v>
      </c>
      <c r="M359" s="87"/>
    </row>
    <row r="360" spans="1:14" x14ac:dyDescent="0.25">
      <c r="A360" s="86"/>
      <c r="M360" s="87"/>
    </row>
    <row r="361" spans="1:14" x14ac:dyDescent="0.25">
      <c r="A361" s="107" t="s">
        <v>590</v>
      </c>
      <c r="B361" s="47" t="str">
        <f>VLOOKUP('IV-MEMORIAL'!A361,'II-PO'!$A$19:$M$295,5,0)</f>
        <v>CONCRETO FCK = 25MPA, TRAÇO 1:2,3:2,7 (EM MASSA SECA DE CIMENTO/ AREIA MÉDIA/ BRITA 1) - PREPARO MECÂNICO COM BETONEIRA 600 L. AF_05/2021</v>
      </c>
      <c r="C361" s="47"/>
      <c r="D361" s="47"/>
      <c r="E361" s="48"/>
      <c r="F361" s="48"/>
      <c r="G361" s="48"/>
      <c r="H361" s="48"/>
      <c r="I361" s="48"/>
      <c r="J361" s="48"/>
      <c r="K361" s="48"/>
      <c r="L361" s="48"/>
      <c r="M361" s="108"/>
      <c r="N361" s="3">
        <f>C363</f>
        <v>7.16</v>
      </c>
    </row>
    <row r="362" spans="1:14" x14ac:dyDescent="0.25">
      <c r="A362" s="86"/>
      <c r="M362" s="87"/>
    </row>
    <row r="363" spans="1:14" ht="15.75" x14ac:dyDescent="0.25">
      <c r="A363" s="86"/>
      <c r="B363" s="46" t="s">
        <v>109</v>
      </c>
      <c r="C363" s="46">
        <f>SUM(C345:C347)</f>
        <v>7.16</v>
      </c>
      <c r="D363" s="46" t="s">
        <v>177</v>
      </c>
      <c r="M363" s="87"/>
    </row>
    <row r="364" spans="1:14" x14ac:dyDescent="0.25">
      <c r="A364" s="86"/>
      <c r="M364" s="87"/>
    </row>
    <row r="365" spans="1:14" x14ac:dyDescent="0.25">
      <c r="A365" s="107" t="s">
        <v>591</v>
      </c>
      <c r="B365" s="47" t="str">
        <f>VLOOKUP('IV-MEMORIAL'!A365,'II-PO'!$A$19:$M$295,5,0)</f>
        <v>LANÇAMENTO COM USO DE BALDES, ADENSAMENTO E ACABAMENTO DE CONCRETO EM ESTRUTURAS. AF_02/2022</v>
      </c>
      <c r="C365" s="47"/>
      <c r="D365" s="47"/>
      <c r="E365" s="48"/>
      <c r="F365" s="48"/>
      <c r="G365" s="48"/>
      <c r="H365" s="48"/>
      <c r="I365" s="48"/>
      <c r="J365" s="48"/>
      <c r="K365" s="48"/>
      <c r="L365" s="48"/>
      <c r="M365" s="108"/>
      <c r="N365" s="3">
        <f>C367</f>
        <v>7.16</v>
      </c>
    </row>
    <row r="366" spans="1:14" x14ac:dyDescent="0.25">
      <c r="A366" s="86"/>
      <c r="M366" s="87"/>
    </row>
    <row r="367" spans="1:14" ht="15.75" x14ac:dyDescent="0.25">
      <c r="A367" s="86"/>
      <c r="B367" s="46" t="s">
        <v>109</v>
      </c>
      <c r="C367" s="46">
        <f>C363</f>
        <v>7.16</v>
      </c>
      <c r="D367" s="46" t="s">
        <v>177</v>
      </c>
      <c r="M367" s="87"/>
    </row>
    <row r="368" spans="1:14" x14ac:dyDescent="0.25">
      <c r="A368" s="86"/>
      <c r="M368" s="87"/>
    </row>
    <row r="369" spans="1:14" x14ac:dyDescent="0.25">
      <c r="A369" s="107" t="s">
        <v>592</v>
      </c>
      <c r="B369" s="47" t="str">
        <f>VLOOKUP('IV-MEMORIAL'!A369,'II-PO'!$A$19:$M$295,5,0)</f>
        <v>MONTAGEM E DESMONTAGEM DE FÔRMA DE PILARES RETANGULARES E ESTRUTURAS SIMILARES, PÉ-DIREITO SIMPLES, EM CHAPA DE MADEIRA COMPENSADA RESINADA, 8 UTILIZAÇÕES. AF_09/2020</v>
      </c>
      <c r="C369" s="47"/>
      <c r="D369" s="47"/>
      <c r="E369" s="48"/>
      <c r="F369" s="48"/>
      <c r="G369" s="48"/>
      <c r="H369" s="48"/>
      <c r="I369" s="48"/>
      <c r="J369" s="48"/>
      <c r="K369" s="48"/>
      <c r="L369" s="48"/>
      <c r="M369" s="108"/>
      <c r="N369" s="3">
        <f>C371</f>
        <v>144.94</v>
      </c>
    </row>
    <row r="370" spans="1:14" x14ac:dyDescent="0.25">
      <c r="A370" s="86"/>
      <c r="M370" s="87"/>
    </row>
    <row r="371" spans="1:14" ht="15.75" x14ac:dyDescent="0.25">
      <c r="A371" s="86"/>
      <c r="B371" s="46" t="s">
        <v>109</v>
      </c>
      <c r="C371" s="46">
        <f>SUM(E345:E347)</f>
        <v>144.94</v>
      </c>
      <c r="D371" s="46" t="s">
        <v>167</v>
      </c>
      <c r="M371" s="87"/>
    </row>
    <row r="372" spans="1:14" x14ac:dyDescent="0.25">
      <c r="A372" s="86"/>
      <c r="M372" s="87"/>
    </row>
    <row r="373" spans="1:14" ht="15.75" x14ac:dyDescent="0.25">
      <c r="A373" s="151" t="s">
        <v>106</v>
      </c>
      <c r="B373" s="152" t="s">
        <v>280</v>
      </c>
      <c r="C373" s="153"/>
      <c r="D373" s="153"/>
      <c r="E373" s="154"/>
      <c r="F373" s="154"/>
      <c r="G373" s="154"/>
      <c r="H373" s="154"/>
      <c r="I373" s="154"/>
      <c r="J373" s="154"/>
      <c r="K373" s="154"/>
      <c r="L373" s="154"/>
      <c r="M373" s="155"/>
    </row>
    <row r="374" spans="1:14" x14ac:dyDescent="0.25">
      <c r="A374" s="86"/>
      <c r="M374" s="87"/>
    </row>
    <row r="375" spans="1:14" ht="15.75" x14ac:dyDescent="0.25">
      <c r="A375" s="86"/>
      <c r="B375" s="4" t="s">
        <v>225</v>
      </c>
      <c r="C375" s="4" t="s">
        <v>224</v>
      </c>
      <c r="D375" s="4" t="s">
        <v>229</v>
      </c>
      <c r="E375" s="4" t="s">
        <v>163</v>
      </c>
      <c r="F375" s="149" t="s">
        <v>226</v>
      </c>
      <c r="G375" s="149" t="s">
        <v>227</v>
      </c>
      <c r="M375" s="87"/>
    </row>
    <row r="376" spans="1:14" x14ac:dyDescent="0.25">
      <c r="A376" s="86"/>
      <c r="B376" s="351" t="s">
        <v>241</v>
      </c>
      <c r="C376" s="2">
        <v>5</v>
      </c>
      <c r="D376" s="2" t="str">
        <f t="shared" ref="D376:D384" si="15">VLOOKUP(C376,$B$310:$C$314,2,0)</f>
        <v>CA-60</v>
      </c>
      <c r="E376" s="2">
        <v>411.2</v>
      </c>
      <c r="F376" s="150">
        <f t="shared" ref="F376:F384" si="16">VLOOKUP(C376,$B$310:$D$314,3,0)</f>
        <v>0.15413438956674924</v>
      </c>
      <c r="G376" s="2">
        <f t="shared" ref="G376:G384" si="17">TRUNC(E376*F376,2)</f>
        <v>63.38</v>
      </c>
      <c r="M376" s="87"/>
    </row>
    <row r="377" spans="1:14" x14ac:dyDescent="0.25">
      <c r="A377" s="86"/>
      <c r="B377" s="353"/>
      <c r="C377" s="2">
        <v>8</v>
      </c>
      <c r="D377" s="2" t="str">
        <f t="shared" si="15"/>
        <v>CA-50</v>
      </c>
      <c r="E377" s="2">
        <v>335.4</v>
      </c>
      <c r="F377" s="150">
        <f t="shared" si="16"/>
        <v>0.39458403729087799</v>
      </c>
      <c r="G377" s="2">
        <f t="shared" si="17"/>
        <v>132.34</v>
      </c>
      <c r="M377" s="87"/>
    </row>
    <row r="378" spans="1:14" x14ac:dyDescent="0.25">
      <c r="A378" s="86"/>
      <c r="B378" s="351" t="s">
        <v>242</v>
      </c>
      <c r="C378" s="2">
        <v>5</v>
      </c>
      <c r="D378" s="2" t="str">
        <f t="shared" si="15"/>
        <v>CA-60</v>
      </c>
      <c r="E378" s="2">
        <v>565.1</v>
      </c>
      <c r="F378" s="150">
        <f t="shared" si="16"/>
        <v>0.15413438956674924</v>
      </c>
      <c r="G378" s="2">
        <f t="shared" si="17"/>
        <v>87.1</v>
      </c>
      <c r="M378" s="87"/>
    </row>
    <row r="379" spans="1:14" x14ac:dyDescent="0.25">
      <c r="A379" s="86"/>
      <c r="B379" s="352"/>
      <c r="C379" s="2">
        <v>8</v>
      </c>
      <c r="D379" s="2" t="str">
        <f t="shared" si="15"/>
        <v>CA-50</v>
      </c>
      <c r="E379" s="2">
        <v>365.2</v>
      </c>
      <c r="F379" s="150">
        <f t="shared" si="16"/>
        <v>0.39458403729087799</v>
      </c>
      <c r="G379" s="2">
        <f t="shared" si="17"/>
        <v>144.1</v>
      </c>
      <c r="M379" s="87"/>
    </row>
    <row r="380" spans="1:14" x14ac:dyDescent="0.25">
      <c r="A380" s="86"/>
      <c r="B380" s="352"/>
      <c r="C380" s="2">
        <v>10</v>
      </c>
      <c r="D380" s="2" t="str">
        <f t="shared" si="15"/>
        <v>CA-50</v>
      </c>
      <c r="E380" s="2">
        <v>103.8</v>
      </c>
      <c r="F380" s="150">
        <f t="shared" si="16"/>
        <v>0.61653755826699697</v>
      </c>
      <c r="G380" s="2">
        <f t="shared" si="17"/>
        <v>63.99</v>
      </c>
      <c r="M380" s="87"/>
    </row>
    <row r="381" spans="1:14" x14ac:dyDescent="0.25">
      <c r="A381" s="86"/>
      <c r="B381" s="352"/>
      <c r="C381" s="2">
        <v>12.5</v>
      </c>
      <c r="D381" s="2" t="str">
        <f t="shared" si="15"/>
        <v>CA-50</v>
      </c>
      <c r="E381" s="2">
        <v>20.399999999999999</v>
      </c>
      <c r="F381" s="150">
        <f t="shared" si="16"/>
        <v>0.96333993479218283</v>
      </c>
      <c r="G381" s="2">
        <f t="shared" si="17"/>
        <v>19.649999999999999</v>
      </c>
      <c r="M381" s="87"/>
    </row>
    <row r="382" spans="1:14" x14ac:dyDescent="0.25">
      <c r="A382" s="86"/>
      <c r="B382" s="352"/>
      <c r="C382" s="2">
        <v>5</v>
      </c>
      <c r="D382" s="2" t="str">
        <f t="shared" si="15"/>
        <v>CA-60</v>
      </c>
      <c r="E382" s="2">
        <v>22.1</v>
      </c>
      <c r="F382" s="150">
        <f t="shared" si="16"/>
        <v>0.15413438956674924</v>
      </c>
      <c r="G382" s="2">
        <f t="shared" si="17"/>
        <v>3.4</v>
      </c>
      <c r="M382" s="87"/>
    </row>
    <row r="383" spans="1:14" x14ac:dyDescent="0.25">
      <c r="A383" s="86"/>
      <c r="B383" s="352"/>
      <c r="C383" s="2">
        <v>8</v>
      </c>
      <c r="D383" s="2" t="str">
        <f t="shared" si="15"/>
        <v>CA-50</v>
      </c>
      <c r="E383" s="2">
        <v>9.5</v>
      </c>
      <c r="F383" s="150">
        <f t="shared" si="16"/>
        <v>0.39458403729087799</v>
      </c>
      <c r="G383" s="2">
        <f t="shared" si="17"/>
        <v>3.74</v>
      </c>
      <c r="M383" s="87"/>
    </row>
    <row r="384" spans="1:14" x14ac:dyDescent="0.25">
      <c r="A384" s="86"/>
      <c r="B384" s="353"/>
      <c r="C384" s="2">
        <v>10</v>
      </c>
      <c r="D384" s="2" t="str">
        <f t="shared" si="15"/>
        <v>CA-50</v>
      </c>
      <c r="E384" s="2">
        <v>14.3</v>
      </c>
      <c r="F384" s="150">
        <f t="shared" si="16"/>
        <v>0.61653755826699697</v>
      </c>
      <c r="G384" s="2">
        <f t="shared" si="17"/>
        <v>8.81</v>
      </c>
      <c r="M384" s="87"/>
    </row>
    <row r="385" spans="1:14" x14ac:dyDescent="0.25">
      <c r="A385" s="86"/>
      <c r="G385" s="3"/>
      <c r="M385" s="87"/>
    </row>
    <row r="386" spans="1:14" ht="15.75" x14ac:dyDescent="0.25">
      <c r="A386" s="86"/>
      <c r="B386" s="4" t="s">
        <v>225</v>
      </c>
      <c r="C386" s="4" t="s">
        <v>233</v>
      </c>
      <c r="D386" s="4" t="s">
        <v>243</v>
      </c>
      <c r="E386" s="4" t="s">
        <v>232</v>
      </c>
      <c r="M386" s="87"/>
    </row>
    <row r="387" spans="1:14" ht="15.75" x14ac:dyDescent="0.25">
      <c r="A387" s="86"/>
      <c r="B387" s="4" t="s">
        <v>241</v>
      </c>
      <c r="C387" s="2">
        <v>3.12</v>
      </c>
      <c r="D387" s="2" t="s">
        <v>244</v>
      </c>
      <c r="E387" s="2">
        <v>54.97</v>
      </c>
      <c r="M387" s="87"/>
    </row>
    <row r="388" spans="1:14" ht="15.75" x14ac:dyDescent="0.25">
      <c r="A388" s="86"/>
      <c r="B388" s="4" t="s">
        <v>240</v>
      </c>
      <c r="C388" s="2">
        <v>11.05</v>
      </c>
      <c r="D388" s="2" t="s">
        <v>244</v>
      </c>
      <c r="E388" s="2">
        <v>145</v>
      </c>
      <c r="M388" s="87"/>
    </row>
    <row r="389" spans="1:14" ht="15.75" x14ac:dyDescent="0.25">
      <c r="A389" s="86"/>
      <c r="B389" s="4" t="s">
        <v>242</v>
      </c>
      <c r="C389" s="2">
        <f>6.12+0.18</f>
        <v>6.3</v>
      </c>
      <c r="D389" s="2" t="s">
        <v>244</v>
      </c>
      <c r="E389" s="2">
        <f>77.75+2.1</f>
        <v>79.849999999999994</v>
      </c>
      <c r="M389" s="87"/>
    </row>
    <row r="390" spans="1:14" x14ac:dyDescent="0.25">
      <c r="A390" s="86"/>
      <c r="M390" s="87"/>
    </row>
    <row r="391" spans="1:14" x14ac:dyDescent="0.25">
      <c r="A391" s="107" t="s">
        <v>593</v>
      </c>
      <c r="B391" s="47" t="str">
        <f>VLOOKUP('IV-MEMORIAL'!A391,'II-PO'!$A$19:$M$295,5,0)</f>
        <v>ARMAÇÃO DE PILAR OU VIGA DE ESTRUTURA CONVENCIONAL DE CONCRETO ARMADO UTILIZANDO AÇO CA-60 DE 5,0 MM - MONTAGEM. AF_06/2022</v>
      </c>
      <c r="C391" s="47"/>
      <c r="D391" s="47"/>
      <c r="E391" s="48"/>
      <c r="F391" s="48"/>
      <c r="G391" s="48"/>
      <c r="H391" s="48"/>
      <c r="I391" s="48"/>
      <c r="J391" s="48"/>
      <c r="K391" s="48"/>
      <c r="L391" s="48"/>
      <c r="M391" s="108"/>
      <c r="N391" s="3">
        <f>C393</f>
        <v>153.88</v>
      </c>
    </row>
    <row r="392" spans="1:14" x14ac:dyDescent="0.25">
      <c r="A392" s="86"/>
      <c r="M392" s="87"/>
    </row>
    <row r="393" spans="1:14" ht="15.75" x14ac:dyDescent="0.25">
      <c r="A393" s="86"/>
      <c r="B393" s="46" t="s">
        <v>109</v>
      </c>
      <c r="C393" s="46">
        <f>G376+G378+G382</f>
        <v>153.88</v>
      </c>
      <c r="D393" s="46" t="s">
        <v>121</v>
      </c>
      <c r="E393" s="3"/>
      <c r="M393" s="87"/>
    </row>
    <row r="394" spans="1:14" x14ac:dyDescent="0.25">
      <c r="A394" s="86"/>
      <c r="M394" s="87"/>
    </row>
    <row r="395" spans="1:14" x14ac:dyDescent="0.25">
      <c r="A395" s="107" t="s">
        <v>594</v>
      </c>
      <c r="B395" s="47" t="str">
        <f>VLOOKUP('IV-MEMORIAL'!A395,'II-PO'!$A$19:$M$295,5,0)</f>
        <v>ARMAÇÃO DE PILAR OU VIGA DE ESTRUTURA CONVENCIONAL DE CONCRETO ARMADO UTILIZANDO AÇO CA-50 DE 8,0 MM - MONTAGEM. AF_06/2022</v>
      </c>
      <c r="C395" s="47"/>
      <c r="D395" s="47"/>
      <c r="E395" s="48"/>
      <c r="F395" s="48"/>
      <c r="G395" s="48"/>
      <c r="H395" s="48"/>
      <c r="I395" s="48"/>
      <c r="J395" s="48"/>
      <c r="K395" s="48"/>
      <c r="L395" s="48"/>
      <c r="M395" s="108"/>
      <c r="N395" s="3">
        <f>C397</f>
        <v>280.18</v>
      </c>
    </row>
    <row r="396" spans="1:14" x14ac:dyDescent="0.25">
      <c r="A396" s="86"/>
      <c r="M396" s="87"/>
    </row>
    <row r="397" spans="1:14" ht="15.75" x14ac:dyDescent="0.25">
      <c r="A397" s="86"/>
      <c r="B397" s="46" t="s">
        <v>109</v>
      </c>
      <c r="C397" s="46">
        <f>G377+G379+G383</f>
        <v>280.18</v>
      </c>
      <c r="D397" s="46" t="s">
        <v>121</v>
      </c>
      <c r="M397" s="87"/>
    </row>
    <row r="398" spans="1:14" x14ac:dyDescent="0.25">
      <c r="A398" s="86"/>
      <c r="M398" s="87"/>
    </row>
    <row r="399" spans="1:14" x14ac:dyDescent="0.25">
      <c r="A399" s="107" t="s">
        <v>595</v>
      </c>
      <c r="B399" s="47" t="str">
        <f>VLOOKUP('IV-MEMORIAL'!A399,'II-PO'!$A$19:$M$295,5,0)</f>
        <v>ARMAÇÃO DE PILAR OU VIGA DE ESTRUTURA CONVENCIONAL DE CONCRETO ARMADO UTILIZANDO AÇO CA-50 DE 10,0 MM - MONTAGEM. AF_06/2022</v>
      </c>
      <c r="C399" s="47"/>
      <c r="D399" s="47"/>
      <c r="E399" s="48"/>
      <c r="F399" s="48"/>
      <c r="G399" s="48"/>
      <c r="H399" s="48"/>
      <c r="I399" s="48"/>
      <c r="J399" s="48"/>
      <c r="K399" s="48"/>
      <c r="L399" s="48"/>
      <c r="M399" s="108"/>
      <c r="N399" s="3">
        <f>C401</f>
        <v>72.8</v>
      </c>
    </row>
    <row r="400" spans="1:14" x14ac:dyDescent="0.25">
      <c r="A400" s="86"/>
      <c r="M400" s="87"/>
    </row>
    <row r="401" spans="1:14" ht="15.75" x14ac:dyDescent="0.25">
      <c r="A401" s="86"/>
      <c r="B401" s="46" t="s">
        <v>109</v>
      </c>
      <c r="C401" s="46">
        <f>G380+G384</f>
        <v>72.8</v>
      </c>
      <c r="D401" s="46" t="s">
        <v>121</v>
      </c>
      <c r="M401" s="87"/>
    </row>
    <row r="402" spans="1:14" x14ac:dyDescent="0.25">
      <c r="A402" s="86"/>
      <c r="M402" s="87"/>
    </row>
    <row r="403" spans="1:14" x14ac:dyDescent="0.25">
      <c r="A403" s="107" t="s">
        <v>596</v>
      </c>
      <c r="B403" s="47" t="str">
        <f>VLOOKUP('IV-MEMORIAL'!A403,'II-PO'!$A$19:$M$295,5,0)</f>
        <v>ARMAÇÃO DE PILAR OU VIGA DE ESTRUTURA CONVENCIONAL DE CONCRETO ARMADO UTILIZANDO AÇO CA-50 DE 12,5 MM - MONTAGEM. AF_06/2022</v>
      </c>
      <c r="C403" s="47"/>
      <c r="D403" s="47"/>
      <c r="E403" s="48"/>
      <c r="F403" s="48"/>
      <c r="G403" s="48"/>
      <c r="H403" s="48"/>
      <c r="I403" s="48"/>
      <c r="J403" s="48"/>
      <c r="K403" s="48"/>
      <c r="L403" s="48"/>
      <c r="M403" s="108"/>
      <c r="N403" s="3">
        <f>C405</f>
        <v>19.649999999999999</v>
      </c>
    </row>
    <row r="404" spans="1:14" x14ac:dyDescent="0.25">
      <c r="A404" s="86"/>
      <c r="M404" s="87"/>
    </row>
    <row r="405" spans="1:14" ht="15.75" x14ac:dyDescent="0.25">
      <c r="A405" s="86"/>
      <c r="B405" s="46" t="s">
        <v>109</v>
      </c>
      <c r="C405" s="46">
        <f>G381</f>
        <v>19.649999999999999</v>
      </c>
      <c r="D405" s="46" t="s">
        <v>121</v>
      </c>
      <c r="M405" s="87"/>
    </row>
    <row r="406" spans="1:14" x14ac:dyDescent="0.25">
      <c r="A406" s="86"/>
      <c r="M406" s="87"/>
    </row>
    <row r="407" spans="1:14" x14ac:dyDescent="0.25">
      <c r="A407" s="107" t="s">
        <v>597</v>
      </c>
      <c r="B407" s="47" t="str">
        <f>VLOOKUP('IV-MEMORIAL'!A407,'II-PO'!$A$19:$M$295,5,0)</f>
        <v>CONCRETO FCK = 25MPA, TRAÇO 1:2,3:2,7 (EM MASSA SECA DE CIMENTO/ AREIA MÉDIA/ BRITA 1) - PREPARO MECÂNICO COM BETONEIRA 600 L. AF_05/2021</v>
      </c>
      <c r="C407" s="47"/>
      <c r="D407" s="47"/>
      <c r="E407" s="48"/>
      <c r="F407" s="48"/>
      <c r="G407" s="48"/>
      <c r="H407" s="48"/>
      <c r="I407" s="48"/>
      <c r="J407" s="48"/>
      <c r="K407" s="48"/>
      <c r="L407" s="48"/>
      <c r="M407" s="108"/>
      <c r="N407" s="3">
        <f>C409</f>
        <v>20.470000000000002</v>
      </c>
    </row>
    <row r="408" spans="1:14" x14ac:dyDescent="0.25">
      <c r="A408" s="86"/>
      <c r="M408" s="87"/>
    </row>
    <row r="409" spans="1:14" ht="15.75" x14ac:dyDescent="0.25">
      <c r="A409" s="86"/>
      <c r="B409" s="46" t="s">
        <v>109</v>
      </c>
      <c r="C409" s="46">
        <f>SUM(C387:C389)</f>
        <v>20.470000000000002</v>
      </c>
      <c r="D409" s="46" t="s">
        <v>177</v>
      </c>
      <c r="M409" s="87"/>
    </row>
    <row r="410" spans="1:14" x14ac:dyDescent="0.25">
      <c r="A410" s="86"/>
      <c r="M410" s="87"/>
    </row>
    <row r="411" spans="1:14" x14ac:dyDescent="0.25">
      <c r="A411" s="107" t="s">
        <v>598</v>
      </c>
      <c r="B411" s="47" t="str">
        <f>VLOOKUP('IV-MEMORIAL'!A411,'II-PO'!$A$19:$M$295,5,0)</f>
        <v>LANÇAMENTO COM USO DE BALDES, ADENSAMENTO E ACABAMENTO DE CONCRETO EM ESTRUTURAS. AF_02/2022</v>
      </c>
      <c r="C411" s="47"/>
      <c r="D411" s="47"/>
      <c r="E411" s="48"/>
      <c r="F411" s="48"/>
      <c r="G411" s="48"/>
      <c r="H411" s="48"/>
      <c r="I411" s="48"/>
      <c r="J411" s="48"/>
      <c r="K411" s="48"/>
      <c r="L411" s="48"/>
      <c r="M411" s="108"/>
      <c r="N411" s="3">
        <f>C413</f>
        <v>20.470000000000002</v>
      </c>
    </row>
    <row r="412" spans="1:14" x14ac:dyDescent="0.25">
      <c r="A412" s="86"/>
      <c r="M412" s="87"/>
    </row>
    <row r="413" spans="1:14" ht="15.75" x14ac:dyDescent="0.25">
      <c r="A413" s="86"/>
      <c r="B413" s="46" t="s">
        <v>109</v>
      </c>
      <c r="C413" s="46">
        <f>C409</f>
        <v>20.470000000000002</v>
      </c>
      <c r="D413" s="46" t="s">
        <v>177</v>
      </c>
      <c r="M413" s="87"/>
    </row>
    <row r="414" spans="1:14" x14ac:dyDescent="0.25">
      <c r="A414" s="86"/>
      <c r="M414" s="87"/>
    </row>
    <row r="415" spans="1:14" x14ac:dyDescent="0.25">
      <c r="A415" s="107" t="s">
        <v>599</v>
      </c>
      <c r="B415" s="47" t="str">
        <f>VLOOKUP('IV-MEMORIAL'!A415,'II-PO'!$A$19:$M$295,5,0)</f>
        <v>MONTAGEM E DESMONTAGEM DE FÔRMA DE VIGA, ESCORAMENTO COM GARFO DE MADEIRA, PÉ-DIREITO SIMPLES, EM CHAPA DE MADEIRA PLASTIFICADA, 18 UTILIZAÇÕES. AF_09/2020</v>
      </c>
      <c r="C415" s="47"/>
      <c r="D415" s="47"/>
      <c r="E415" s="48"/>
      <c r="F415" s="48"/>
      <c r="G415" s="48"/>
      <c r="H415" s="48"/>
      <c r="I415" s="48"/>
      <c r="J415" s="48"/>
      <c r="K415" s="48"/>
      <c r="L415" s="48"/>
      <c r="M415" s="108"/>
      <c r="N415" s="3">
        <f>C417</f>
        <v>279.82</v>
      </c>
    </row>
    <row r="416" spans="1:14" x14ac:dyDescent="0.25">
      <c r="A416" s="86"/>
      <c r="M416" s="87"/>
    </row>
    <row r="417" spans="1:14" ht="15.75" x14ac:dyDescent="0.25">
      <c r="A417" s="86"/>
      <c r="B417" s="46" t="s">
        <v>109</v>
      </c>
      <c r="C417" s="46">
        <f>SUM(E387:E389)</f>
        <v>279.82</v>
      </c>
      <c r="D417" s="46" t="s">
        <v>167</v>
      </c>
      <c r="M417" s="87"/>
    </row>
    <row r="418" spans="1:14" x14ac:dyDescent="0.25">
      <c r="A418" s="86"/>
      <c r="M418" s="87"/>
    </row>
    <row r="419" spans="1:14" ht="15.75" x14ac:dyDescent="0.25">
      <c r="A419" s="151" t="s">
        <v>600</v>
      </c>
      <c r="B419" s="152" t="s">
        <v>318</v>
      </c>
      <c r="C419" s="153"/>
      <c r="D419" s="153"/>
      <c r="E419" s="154"/>
      <c r="F419" s="154"/>
      <c r="G419" s="154"/>
      <c r="H419" s="154"/>
      <c r="I419" s="154"/>
      <c r="J419" s="154"/>
      <c r="K419" s="154"/>
      <c r="L419" s="154"/>
      <c r="M419" s="155"/>
    </row>
    <row r="420" spans="1:14" x14ac:dyDescent="0.25">
      <c r="A420" s="86"/>
      <c r="M420" s="87"/>
    </row>
    <row r="421" spans="1:14" ht="15.75" x14ac:dyDescent="0.25">
      <c r="A421" s="86"/>
      <c r="B421" s="4" t="s">
        <v>225</v>
      </c>
      <c r="C421" s="4" t="s">
        <v>224</v>
      </c>
      <c r="D421" s="4" t="s">
        <v>229</v>
      </c>
      <c r="E421" s="4" t="s">
        <v>163</v>
      </c>
      <c r="F421" s="149" t="s">
        <v>226</v>
      </c>
      <c r="G421" s="149" t="s">
        <v>227</v>
      </c>
      <c r="M421" s="87"/>
    </row>
    <row r="422" spans="1:14" x14ac:dyDescent="0.25">
      <c r="A422" s="86"/>
      <c r="B422" s="351" t="s">
        <v>234</v>
      </c>
      <c r="C422" s="2">
        <v>5</v>
      </c>
      <c r="D422" s="2" t="str">
        <f>VLOOKUP(C422,$B$310:$C$314,2,0)</f>
        <v>CA-60</v>
      </c>
      <c r="E422" s="2">
        <v>23.1</v>
      </c>
      <c r="F422" s="150">
        <f>VLOOKUP(C422,$B$310:$D$314,3,0)</f>
        <v>0.15413438956674924</v>
      </c>
      <c r="G422" s="2">
        <f t="shared" ref="G422:G424" si="18">TRUNC(E422*F422,2)</f>
        <v>3.56</v>
      </c>
      <c r="M422" s="87"/>
    </row>
    <row r="423" spans="1:14" x14ac:dyDescent="0.25">
      <c r="A423" s="86"/>
      <c r="B423" s="352"/>
      <c r="C423" s="2">
        <v>6.3</v>
      </c>
      <c r="D423" s="2" t="str">
        <f>VLOOKUP(C423,$B$310:$C$314,2,0)</f>
        <v>CA-50</v>
      </c>
      <c r="E423" s="2">
        <v>1275.4000000000001</v>
      </c>
      <c r="F423" s="150">
        <f>VLOOKUP(C423,$B$310:$D$314,3,0)</f>
        <v>0.24470375687617107</v>
      </c>
      <c r="G423" s="2">
        <f t="shared" si="18"/>
        <v>312.08999999999997</v>
      </c>
      <c r="M423" s="87"/>
    </row>
    <row r="424" spans="1:14" x14ac:dyDescent="0.25">
      <c r="A424" s="86"/>
      <c r="B424" s="353"/>
      <c r="C424" s="2">
        <v>8</v>
      </c>
      <c r="D424" s="2" t="str">
        <f>VLOOKUP(C424,$B$310:$C$314,2,0)</f>
        <v>CA-50</v>
      </c>
      <c r="E424" s="2">
        <v>28</v>
      </c>
      <c r="F424" s="150">
        <f>VLOOKUP(C424,$B$310:$D$314,3,0)</f>
        <v>0.39458403729087799</v>
      </c>
      <c r="G424" s="2">
        <f t="shared" si="18"/>
        <v>11.04</v>
      </c>
      <c r="M424" s="87"/>
    </row>
    <row r="425" spans="1:14" x14ac:dyDescent="0.25">
      <c r="A425" s="86"/>
      <c r="M425" s="87"/>
    </row>
    <row r="426" spans="1:14" ht="15.75" x14ac:dyDescent="0.25">
      <c r="A426" s="86"/>
      <c r="B426" s="4" t="s">
        <v>225</v>
      </c>
      <c r="C426" s="4" t="s">
        <v>233</v>
      </c>
      <c r="D426" s="4" t="s">
        <v>243</v>
      </c>
      <c r="E426" s="4" t="s">
        <v>232</v>
      </c>
      <c r="M426" s="87"/>
    </row>
    <row r="427" spans="1:14" ht="15.75" x14ac:dyDescent="0.25">
      <c r="A427" s="86"/>
      <c r="B427" s="4" t="s">
        <v>234</v>
      </c>
      <c r="C427" s="2">
        <v>17.8</v>
      </c>
      <c r="D427" s="2" t="s">
        <v>244</v>
      </c>
      <c r="E427" s="2">
        <v>0</v>
      </c>
      <c r="M427" s="87"/>
    </row>
    <row r="428" spans="1:14" x14ac:dyDescent="0.25">
      <c r="A428" s="86"/>
      <c r="M428" s="87"/>
    </row>
    <row r="429" spans="1:14" ht="15.75" x14ac:dyDescent="0.25">
      <c r="A429" s="86"/>
      <c r="B429" s="149" t="s">
        <v>235</v>
      </c>
      <c r="C429" s="2">
        <v>317</v>
      </c>
      <c r="D429" s="2" t="s">
        <v>217</v>
      </c>
      <c r="M429" s="87"/>
    </row>
    <row r="430" spans="1:14" x14ac:dyDescent="0.25">
      <c r="A430" s="86"/>
      <c r="M430" s="87"/>
    </row>
    <row r="431" spans="1:14" x14ac:dyDescent="0.25">
      <c r="A431" s="107" t="s">
        <v>601</v>
      </c>
      <c r="B431" s="47" t="str">
        <f>VLOOKUP('IV-MEMORIAL'!A431,'II-PO'!$A$19:$M$295,5,0)</f>
        <v>LAJE PRÉ-MOLDADA UNIDIRECIONAL, BIAPOIADA, PARA FORRO, ENCHIMENTO EM EPS, VIGOTA TRELIÇADA, ALTURA TOTAL DA LAJE "LT" = 12 CM (ENCHIMENTO+CAPA) = (8+4). AF_08/2025</v>
      </c>
      <c r="C431" s="47"/>
      <c r="D431" s="47"/>
      <c r="E431" s="48"/>
      <c r="F431" s="48"/>
      <c r="G431" s="48"/>
      <c r="H431" s="48"/>
      <c r="I431" s="48"/>
      <c r="J431" s="48"/>
      <c r="K431" s="48"/>
      <c r="L431" s="48"/>
      <c r="M431" s="108"/>
      <c r="N431" s="3">
        <f>C433</f>
        <v>317</v>
      </c>
    </row>
    <row r="432" spans="1:14" x14ac:dyDescent="0.25">
      <c r="A432" s="86"/>
      <c r="M432" s="87"/>
    </row>
    <row r="433" spans="1:14" ht="15.75" x14ac:dyDescent="0.25">
      <c r="A433" s="86"/>
      <c r="B433" s="46" t="s">
        <v>109</v>
      </c>
      <c r="C433" s="46">
        <f>C429</f>
        <v>317</v>
      </c>
      <c r="D433" s="46" t="s">
        <v>167</v>
      </c>
      <c r="M433" s="87"/>
    </row>
    <row r="434" spans="1:14" x14ac:dyDescent="0.25">
      <c r="A434" s="86"/>
      <c r="M434" s="87"/>
    </row>
    <row r="435" spans="1:14" x14ac:dyDescent="0.25">
      <c r="A435" s="107" t="s">
        <v>602</v>
      </c>
      <c r="B435" s="47" t="str">
        <f>VLOOKUP('IV-MEMORIAL'!A435,'II-PO'!$A$19:$M$295,5,0)</f>
        <v>ARMAÇÃO DE LAJE DE ESTRUTURA CONVENCIONAL DE CONCRETO ARMADO UTILIZANDO AÇO CA-60 DE 5,0 MM - MONTAGEM. AF_06/2022</v>
      </c>
      <c r="C435" s="47"/>
      <c r="D435" s="47"/>
      <c r="E435" s="48"/>
      <c r="F435" s="48"/>
      <c r="G435" s="48"/>
      <c r="H435" s="48"/>
      <c r="I435" s="48"/>
      <c r="J435" s="48"/>
      <c r="K435" s="48"/>
      <c r="L435" s="48"/>
      <c r="M435" s="108"/>
      <c r="N435" s="3">
        <f>C437</f>
        <v>3.56</v>
      </c>
    </row>
    <row r="436" spans="1:14" x14ac:dyDescent="0.25">
      <c r="A436" s="86"/>
      <c r="M436" s="87"/>
    </row>
    <row r="437" spans="1:14" ht="15.75" x14ac:dyDescent="0.25">
      <c r="A437" s="86"/>
      <c r="B437" s="46" t="s">
        <v>109</v>
      </c>
      <c r="C437" s="46">
        <f>G422</f>
        <v>3.56</v>
      </c>
      <c r="D437" s="46" t="s">
        <v>121</v>
      </c>
      <c r="E437" s="3"/>
      <c r="M437" s="87"/>
    </row>
    <row r="438" spans="1:14" x14ac:dyDescent="0.25">
      <c r="A438" s="86"/>
      <c r="M438" s="87"/>
    </row>
    <row r="439" spans="1:14" x14ac:dyDescent="0.25">
      <c r="A439" s="107" t="s">
        <v>603</v>
      </c>
      <c r="B439" s="47" t="str">
        <f>VLOOKUP('IV-MEMORIAL'!A439,'II-PO'!$A$19:$M$295,5,0)</f>
        <v>ARMAÇÃO DE LAJE DE ESTRUTURA CONVENCIONAL DE CONCRETO ARMADO UTILIZANDO AÇO CA-50 DE 8,0 MM - MONTAGEM. AF_06/2022</v>
      </c>
      <c r="C439" s="47"/>
      <c r="D439" s="47"/>
      <c r="E439" s="48"/>
      <c r="F439" s="48"/>
      <c r="G439" s="48"/>
      <c r="H439" s="48"/>
      <c r="I439" s="48"/>
      <c r="J439" s="48"/>
      <c r="K439" s="48"/>
      <c r="L439" s="48"/>
      <c r="M439" s="108"/>
      <c r="N439" s="3">
        <f>C441</f>
        <v>312.08999999999997</v>
      </c>
    </row>
    <row r="440" spans="1:14" x14ac:dyDescent="0.25">
      <c r="A440" s="86"/>
      <c r="M440" s="87"/>
    </row>
    <row r="441" spans="1:14" ht="15.75" x14ac:dyDescent="0.25">
      <c r="A441" s="86"/>
      <c r="B441" s="46" t="s">
        <v>109</v>
      </c>
      <c r="C441" s="46">
        <f>G423</f>
        <v>312.08999999999997</v>
      </c>
      <c r="D441" s="46" t="s">
        <v>121</v>
      </c>
      <c r="M441" s="87"/>
    </row>
    <row r="442" spans="1:14" x14ac:dyDescent="0.25">
      <c r="A442" s="86"/>
      <c r="M442" s="87"/>
    </row>
    <row r="443" spans="1:14" x14ac:dyDescent="0.25">
      <c r="A443" s="107" t="s">
        <v>604</v>
      </c>
      <c r="B443" s="47" t="str">
        <f>VLOOKUP('IV-MEMORIAL'!A443,'II-PO'!$A$19:$M$295,5,0)</f>
        <v>ARMAÇÃO DE LAJE DE ESTRUTURA CONVENCIONAL DE CONCRETO ARMADO UTILIZANDO AÇO CA-50 DE 10,0 MM - MONTAGEM. AF_06/2022</v>
      </c>
      <c r="C443" s="47"/>
      <c r="D443" s="47"/>
      <c r="E443" s="48"/>
      <c r="F443" s="48"/>
      <c r="G443" s="48"/>
      <c r="H443" s="48"/>
      <c r="I443" s="48"/>
      <c r="J443" s="48"/>
      <c r="K443" s="48"/>
      <c r="L443" s="48"/>
      <c r="M443" s="108"/>
      <c r="N443" s="3">
        <f>C445</f>
        <v>11.04</v>
      </c>
    </row>
    <row r="444" spans="1:14" x14ac:dyDescent="0.25">
      <c r="A444" s="86"/>
      <c r="M444" s="87"/>
    </row>
    <row r="445" spans="1:14" ht="15.75" x14ac:dyDescent="0.25">
      <c r="A445" s="86"/>
      <c r="B445" s="46" t="s">
        <v>109</v>
      </c>
      <c r="C445" s="46">
        <f>G424</f>
        <v>11.04</v>
      </c>
      <c r="D445" s="46" t="s">
        <v>121</v>
      </c>
      <c r="M445" s="87"/>
    </row>
    <row r="446" spans="1:14" x14ac:dyDescent="0.25">
      <c r="A446" s="86"/>
      <c r="M446" s="87"/>
    </row>
    <row r="447" spans="1:14" ht="15.75" x14ac:dyDescent="0.25">
      <c r="A447" s="105">
        <v>6</v>
      </c>
      <c r="B447" s="43" t="s">
        <v>219</v>
      </c>
      <c r="C447" s="44"/>
      <c r="D447" s="44"/>
      <c r="E447" s="45"/>
      <c r="F447" s="45"/>
      <c r="G447" s="45"/>
      <c r="H447" s="45"/>
      <c r="I447" s="45"/>
      <c r="J447" s="45"/>
      <c r="K447" s="45"/>
      <c r="L447" s="45"/>
      <c r="M447" s="106"/>
    </row>
    <row r="448" spans="1:14" x14ac:dyDescent="0.25">
      <c r="A448" s="86"/>
      <c r="M448" s="87"/>
    </row>
    <row r="449" spans="1:14" x14ac:dyDescent="0.25">
      <c r="A449" s="107" t="s">
        <v>107</v>
      </c>
      <c r="B449" s="47" t="str">
        <f>VLOOKUP('IV-MEMORIAL'!A449,'II-PO'!$A$19:$M$295,5,0)</f>
        <v>ALVENARIA DE VEDAÇÃO DE BLOCOS CERÂMICOS FURADOS NA HORIZONTAL DE 9X19X29 CM (ESPESSURA 9 CM) E ARGAMASSA DE ASSENTAMENTO COM PREPARO EM BETONEIRA. AF_12/2021</v>
      </c>
      <c r="C449" s="47"/>
      <c r="D449" s="47"/>
      <c r="E449" s="48"/>
      <c r="F449" s="48"/>
      <c r="G449" s="48"/>
      <c r="H449" s="48"/>
      <c r="I449" s="48"/>
      <c r="J449" s="48"/>
      <c r="K449" s="48"/>
      <c r="L449" s="48"/>
      <c r="M449" s="108"/>
      <c r="N449" s="3">
        <f>C528</f>
        <v>549.39</v>
      </c>
    </row>
    <row r="450" spans="1:14" x14ac:dyDescent="0.25">
      <c r="A450" s="86"/>
      <c r="M450" s="87"/>
    </row>
    <row r="451" spans="1:14" ht="15.75" x14ac:dyDescent="0.25">
      <c r="A451" s="86"/>
      <c r="B451" s="4" t="s">
        <v>320</v>
      </c>
      <c r="C451" s="4" t="s">
        <v>163</v>
      </c>
      <c r="D451" s="4" t="s">
        <v>355</v>
      </c>
      <c r="E451" s="149" t="s">
        <v>356</v>
      </c>
      <c r="F451" s="149" t="s">
        <v>357</v>
      </c>
      <c r="G451" s="149" t="s">
        <v>358</v>
      </c>
      <c r="M451" s="87"/>
    </row>
    <row r="452" spans="1:14" x14ac:dyDescent="0.25">
      <c r="A452" s="86"/>
      <c r="B452" s="342" t="s">
        <v>340</v>
      </c>
      <c r="C452" s="2">
        <v>1.45</v>
      </c>
      <c r="D452" s="2">
        <v>2.7</v>
      </c>
      <c r="E452" s="2">
        <f>0.8*2.1</f>
        <v>1.6800000000000002</v>
      </c>
      <c r="F452" s="2" t="s">
        <v>359</v>
      </c>
      <c r="G452" s="2">
        <f>C452*D452-E452</f>
        <v>2.2349999999999999</v>
      </c>
      <c r="M452" s="87"/>
    </row>
    <row r="453" spans="1:14" x14ac:dyDescent="0.25">
      <c r="A453" s="86"/>
      <c r="B453" s="343"/>
      <c r="C453" s="2">
        <v>1.45</v>
      </c>
      <c r="D453" s="2">
        <v>2.7</v>
      </c>
      <c r="E453" s="2"/>
      <c r="F453" s="2"/>
      <c r="G453" s="2">
        <f t="shared" ref="G453:G457" si="19">C453*D453-E453</f>
        <v>3.915</v>
      </c>
      <c r="M453" s="87"/>
    </row>
    <row r="454" spans="1:14" x14ac:dyDescent="0.25">
      <c r="A454" s="86"/>
      <c r="B454" s="342" t="s">
        <v>322</v>
      </c>
      <c r="C454" s="2">
        <v>3</v>
      </c>
      <c r="D454" s="2">
        <v>2.7</v>
      </c>
      <c r="E454" s="2"/>
      <c r="F454" s="2"/>
      <c r="G454" s="2">
        <f t="shared" si="19"/>
        <v>8.1000000000000014</v>
      </c>
      <c r="M454" s="87"/>
    </row>
    <row r="455" spans="1:14" x14ac:dyDescent="0.25">
      <c r="A455" s="86"/>
      <c r="B455" s="344"/>
      <c r="C455" s="2">
        <v>1.5</v>
      </c>
      <c r="D455" s="2">
        <v>2.7</v>
      </c>
      <c r="E455" s="2">
        <f>0.6*0.4</f>
        <v>0.24</v>
      </c>
      <c r="F455" s="2" t="s">
        <v>370</v>
      </c>
      <c r="G455" s="2">
        <f t="shared" si="19"/>
        <v>3.8100000000000005</v>
      </c>
      <c r="M455" s="87"/>
    </row>
    <row r="456" spans="1:14" x14ac:dyDescent="0.25">
      <c r="A456" s="86"/>
      <c r="B456" s="344"/>
      <c r="C456" s="2">
        <v>3</v>
      </c>
      <c r="D456" s="2">
        <v>2.7</v>
      </c>
      <c r="E456" s="2"/>
      <c r="F456" s="2"/>
      <c r="G456" s="2">
        <f t="shared" si="19"/>
        <v>8.1000000000000014</v>
      </c>
      <c r="M456" s="87"/>
    </row>
    <row r="457" spans="1:14" x14ac:dyDescent="0.25">
      <c r="A457" s="86"/>
      <c r="B457" s="343"/>
      <c r="C457" s="2">
        <v>1.5</v>
      </c>
      <c r="D457" s="2">
        <v>2.7</v>
      </c>
      <c r="E457" s="2">
        <f>0.9*2.1</f>
        <v>1.8900000000000001</v>
      </c>
      <c r="F457" s="2" t="s">
        <v>360</v>
      </c>
      <c r="G457" s="2">
        <f t="shared" si="19"/>
        <v>2.1600000000000006</v>
      </c>
      <c r="M457" s="87"/>
    </row>
    <row r="458" spans="1:14" x14ac:dyDescent="0.25">
      <c r="A458" s="86"/>
      <c r="B458" s="342" t="s">
        <v>323</v>
      </c>
      <c r="C458" s="2">
        <v>1.5</v>
      </c>
      <c r="D458" s="2">
        <v>2.7</v>
      </c>
      <c r="E458" s="2">
        <f>0.6*0.4</f>
        <v>0.24</v>
      </c>
      <c r="F458" s="2" t="s">
        <v>370</v>
      </c>
      <c r="G458" s="2">
        <f t="shared" ref="G458:G480" si="20">C458*D458-E458</f>
        <v>3.8100000000000005</v>
      </c>
      <c r="M458" s="87"/>
    </row>
    <row r="459" spans="1:14" x14ac:dyDescent="0.25">
      <c r="A459" s="86"/>
      <c r="B459" s="344"/>
      <c r="C459" s="2">
        <v>3</v>
      </c>
      <c r="D459" s="2">
        <v>2.7</v>
      </c>
      <c r="E459" s="2"/>
      <c r="F459" s="2"/>
      <c r="G459" s="2">
        <f t="shared" si="20"/>
        <v>8.1000000000000014</v>
      </c>
      <c r="M459" s="87"/>
    </row>
    <row r="460" spans="1:14" x14ac:dyDescent="0.25">
      <c r="A460" s="86"/>
      <c r="B460" s="343"/>
      <c r="C460" s="2">
        <v>1.5</v>
      </c>
      <c r="D460" s="2">
        <v>2.7</v>
      </c>
      <c r="E460" s="2">
        <f t="shared" ref="E460:E461" si="21">0.9*2.1</f>
        <v>1.8900000000000001</v>
      </c>
      <c r="F460" s="2" t="s">
        <v>360</v>
      </c>
      <c r="G460" s="2">
        <f t="shared" si="20"/>
        <v>2.1600000000000006</v>
      </c>
      <c r="M460" s="87"/>
    </row>
    <row r="461" spans="1:14" x14ac:dyDescent="0.25">
      <c r="A461" s="86"/>
      <c r="B461" s="342" t="s">
        <v>361</v>
      </c>
      <c r="C461" s="2">
        <v>2.9</v>
      </c>
      <c r="D461" s="2">
        <v>2.7</v>
      </c>
      <c r="E461" s="2">
        <f t="shared" si="21"/>
        <v>1.8900000000000001</v>
      </c>
      <c r="F461" s="2" t="s">
        <v>360</v>
      </c>
      <c r="G461" s="2">
        <f t="shared" si="20"/>
        <v>5.9399999999999995</v>
      </c>
      <c r="M461" s="87"/>
    </row>
    <row r="462" spans="1:14" x14ac:dyDescent="0.25">
      <c r="A462" s="86"/>
      <c r="B462" s="344"/>
      <c r="C462" s="2">
        <v>4.3499999999999996</v>
      </c>
      <c r="D462" s="2">
        <v>2.7</v>
      </c>
      <c r="E462" s="2"/>
      <c r="F462" s="2"/>
      <c r="G462" s="2">
        <f t="shared" si="20"/>
        <v>11.744999999999999</v>
      </c>
      <c r="M462" s="87"/>
    </row>
    <row r="463" spans="1:14" x14ac:dyDescent="0.25">
      <c r="A463" s="86"/>
      <c r="B463" s="344"/>
      <c r="C463" s="2">
        <v>2.9</v>
      </c>
      <c r="D463" s="2">
        <v>2.7</v>
      </c>
      <c r="E463" s="2">
        <f>1.2*1</f>
        <v>1.2</v>
      </c>
      <c r="F463" s="2" t="s">
        <v>362</v>
      </c>
      <c r="G463" s="2">
        <f t="shared" si="20"/>
        <v>6.63</v>
      </c>
      <c r="M463" s="87"/>
    </row>
    <row r="464" spans="1:14" x14ac:dyDescent="0.25">
      <c r="A464" s="86"/>
      <c r="B464" s="343"/>
      <c r="C464" s="2">
        <v>1.35</v>
      </c>
      <c r="D464" s="2">
        <v>2.7</v>
      </c>
      <c r="E464" s="2"/>
      <c r="F464" s="2"/>
      <c r="G464" s="2">
        <f t="shared" si="20"/>
        <v>3.6450000000000005</v>
      </c>
      <c r="M464" s="87"/>
    </row>
    <row r="465" spans="1:13" x14ac:dyDescent="0.25">
      <c r="A465" s="86"/>
      <c r="B465" s="342" t="s">
        <v>363</v>
      </c>
      <c r="C465" s="2">
        <v>2.9</v>
      </c>
      <c r="D465" s="2">
        <v>2.7</v>
      </c>
      <c r="E465" s="2">
        <f>0.9*2.1</f>
        <v>1.8900000000000001</v>
      </c>
      <c r="F465" s="2" t="s">
        <v>360</v>
      </c>
      <c r="G465" s="2">
        <f t="shared" si="20"/>
        <v>5.9399999999999995</v>
      </c>
      <c r="M465" s="87"/>
    </row>
    <row r="466" spans="1:13" x14ac:dyDescent="0.25">
      <c r="A466" s="86"/>
      <c r="B466" s="344"/>
      <c r="C466" s="2">
        <v>4.3499999999999996</v>
      </c>
      <c r="D466" s="2">
        <v>2.7</v>
      </c>
      <c r="E466" s="2"/>
      <c r="F466" s="2"/>
      <c r="G466" s="2">
        <f t="shared" si="20"/>
        <v>11.744999999999999</v>
      </c>
      <c r="M466" s="87"/>
    </row>
    <row r="467" spans="1:13" x14ac:dyDescent="0.25">
      <c r="A467" s="86"/>
      <c r="B467" s="343"/>
      <c r="C467" s="2">
        <v>2.9</v>
      </c>
      <c r="D467" s="2">
        <v>2.7</v>
      </c>
      <c r="E467" s="2">
        <f>1.2*1</f>
        <v>1.2</v>
      </c>
      <c r="F467" s="2" t="s">
        <v>362</v>
      </c>
      <c r="G467" s="2">
        <f t="shared" si="20"/>
        <v>6.63</v>
      </c>
      <c r="M467" s="87"/>
    </row>
    <row r="468" spans="1:13" x14ac:dyDescent="0.25">
      <c r="A468" s="86"/>
      <c r="B468" s="342" t="s">
        <v>364</v>
      </c>
      <c r="C468" s="2">
        <v>2.9</v>
      </c>
      <c r="D468" s="2">
        <v>2.7</v>
      </c>
      <c r="E468" s="2">
        <f>0.9*2.1</f>
        <v>1.8900000000000001</v>
      </c>
      <c r="F468" s="2" t="s">
        <v>360</v>
      </c>
      <c r="G468" s="2">
        <f t="shared" ref="G468:G479" si="22">C468*D468-E468</f>
        <v>5.9399999999999995</v>
      </c>
      <c r="M468" s="87"/>
    </row>
    <row r="469" spans="1:13" x14ac:dyDescent="0.25">
      <c r="A469" s="86"/>
      <c r="B469" s="344"/>
      <c r="C469" s="2">
        <v>4.3499999999999996</v>
      </c>
      <c r="D469" s="2">
        <v>2.7</v>
      </c>
      <c r="E469" s="2"/>
      <c r="F469" s="2"/>
      <c r="G469" s="2">
        <f t="shared" si="22"/>
        <v>11.744999999999999</v>
      </c>
      <c r="M469" s="87"/>
    </row>
    <row r="470" spans="1:13" x14ac:dyDescent="0.25">
      <c r="A470" s="86"/>
      <c r="B470" s="343"/>
      <c r="C470" s="2">
        <v>2.9</v>
      </c>
      <c r="D470" s="2">
        <v>2.7</v>
      </c>
      <c r="E470" s="2">
        <f>1.2*1</f>
        <v>1.2</v>
      </c>
      <c r="F470" s="2" t="s">
        <v>362</v>
      </c>
      <c r="G470" s="2">
        <f t="shared" si="22"/>
        <v>6.63</v>
      </c>
      <c r="M470" s="87"/>
    </row>
    <row r="471" spans="1:13" x14ac:dyDescent="0.25">
      <c r="A471" s="86"/>
      <c r="B471" s="342" t="s">
        <v>365</v>
      </c>
      <c r="C471" s="2">
        <v>2.9</v>
      </c>
      <c r="D471" s="2">
        <v>2.7</v>
      </c>
      <c r="E471" s="2">
        <f>0.9*2.1</f>
        <v>1.8900000000000001</v>
      </c>
      <c r="F471" s="2" t="s">
        <v>360</v>
      </c>
      <c r="G471" s="2">
        <f t="shared" si="22"/>
        <v>5.9399999999999995</v>
      </c>
      <c r="M471" s="87"/>
    </row>
    <row r="472" spans="1:13" x14ac:dyDescent="0.25">
      <c r="A472" s="86"/>
      <c r="B472" s="344"/>
      <c r="C472" s="2">
        <v>4.3499999999999996</v>
      </c>
      <c r="D472" s="2">
        <v>2.7</v>
      </c>
      <c r="E472" s="2"/>
      <c r="F472" s="2"/>
      <c r="G472" s="2">
        <f t="shared" si="22"/>
        <v>11.744999999999999</v>
      </c>
      <c r="M472" s="87"/>
    </row>
    <row r="473" spans="1:13" x14ac:dyDescent="0.25">
      <c r="A473" s="86"/>
      <c r="B473" s="343"/>
      <c r="C473" s="2">
        <v>2.9</v>
      </c>
      <c r="D473" s="2">
        <v>2.7</v>
      </c>
      <c r="E473" s="2">
        <f>1.2*1</f>
        <v>1.2</v>
      </c>
      <c r="F473" s="2" t="s">
        <v>362</v>
      </c>
      <c r="G473" s="2">
        <f t="shared" si="22"/>
        <v>6.63</v>
      </c>
      <c r="M473" s="87"/>
    </row>
    <row r="474" spans="1:13" x14ac:dyDescent="0.25">
      <c r="A474" s="86"/>
      <c r="B474" s="342" t="s">
        <v>366</v>
      </c>
      <c r="C474" s="2">
        <v>2.9</v>
      </c>
      <c r="D474" s="2">
        <v>2.7</v>
      </c>
      <c r="E474" s="2">
        <f>0.9*2.1</f>
        <v>1.8900000000000001</v>
      </c>
      <c r="F474" s="2" t="s">
        <v>360</v>
      </c>
      <c r="G474" s="2">
        <f t="shared" ref="G474:G476" si="23">C474*D474-E474</f>
        <v>5.9399999999999995</v>
      </c>
      <c r="M474" s="87"/>
    </row>
    <row r="475" spans="1:13" x14ac:dyDescent="0.25">
      <c r="A475" s="86"/>
      <c r="B475" s="344"/>
      <c r="C475" s="2">
        <v>4.3499999999999996</v>
      </c>
      <c r="D475" s="2">
        <v>2.7</v>
      </c>
      <c r="E475" s="2"/>
      <c r="F475" s="2"/>
      <c r="G475" s="2">
        <f t="shared" si="23"/>
        <v>11.744999999999999</v>
      </c>
      <c r="M475" s="87"/>
    </row>
    <row r="476" spans="1:13" x14ac:dyDescent="0.25">
      <c r="A476" s="86"/>
      <c r="B476" s="343"/>
      <c r="C476" s="2">
        <v>2.9</v>
      </c>
      <c r="D476" s="2">
        <v>2.7</v>
      </c>
      <c r="E476" s="2">
        <f>1.2*1</f>
        <v>1.2</v>
      </c>
      <c r="F476" s="2" t="s">
        <v>362</v>
      </c>
      <c r="G476" s="2">
        <f t="shared" si="23"/>
        <v>6.63</v>
      </c>
      <c r="M476" s="87"/>
    </row>
    <row r="477" spans="1:13" x14ac:dyDescent="0.25">
      <c r="A477" s="86"/>
      <c r="B477" s="342" t="s">
        <v>329</v>
      </c>
      <c r="C477" s="2">
        <v>6.15</v>
      </c>
      <c r="D477" s="2">
        <v>2.7</v>
      </c>
      <c r="E477" s="2">
        <f>3*1.95</f>
        <v>5.85</v>
      </c>
      <c r="F477" s="2" t="s">
        <v>367</v>
      </c>
      <c r="G477" s="2">
        <f t="shared" si="22"/>
        <v>10.755000000000001</v>
      </c>
      <c r="M477" s="87"/>
    </row>
    <row r="478" spans="1:13" x14ac:dyDescent="0.25">
      <c r="A478" s="86"/>
      <c r="B478" s="344"/>
      <c r="C478" s="2">
        <v>11</v>
      </c>
      <c r="D478" s="2">
        <v>2.7</v>
      </c>
      <c r="E478" s="2"/>
      <c r="F478" s="2"/>
      <c r="G478" s="2">
        <f t="shared" si="22"/>
        <v>29.700000000000003</v>
      </c>
      <c r="M478" s="87"/>
    </row>
    <row r="479" spans="1:13" x14ac:dyDescent="0.25">
      <c r="A479" s="86"/>
      <c r="B479" s="344"/>
      <c r="C479" s="2">
        <v>1.5</v>
      </c>
      <c r="D479" s="2">
        <v>2.7</v>
      </c>
      <c r="E479" s="2">
        <f>0.8*2.1</f>
        <v>1.6800000000000002</v>
      </c>
      <c r="F479" s="2" t="s">
        <v>368</v>
      </c>
      <c r="G479" s="2">
        <f t="shared" si="22"/>
        <v>2.3700000000000006</v>
      </c>
      <c r="M479" s="87"/>
    </row>
    <row r="480" spans="1:13" x14ac:dyDescent="0.25">
      <c r="A480" s="86"/>
      <c r="B480" s="344"/>
      <c r="C480" s="2">
        <v>2</v>
      </c>
      <c r="D480" s="2">
        <v>2.7</v>
      </c>
      <c r="E480" s="2"/>
      <c r="F480" s="2"/>
      <c r="G480" s="2">
        <f t="shared" si="20"/>
        <v>5.4</v>
      </c>
      <c r="M480" s="87"/>
    </row>
    <row r="481" spans="1:13" x14ac:dyDescent="0.25">
      <c r="A481" s="86"/>
      <c r="B481" s="344"/>
      <c r="C481" s="2">
        <v>1.32</v>
      </c>
      <c r="D481" s="2">
        <v>2.7</v>
      </c>
      <c r="E481" s="2"/>
      <c r="F481" s="2"/>
      <c r="G481" s="2">
        <f t="shared" ref="G481:G518" si="24">C481*D481-E481</f>
        <v>3.5640000000000005</v>
      </c>
      <c r="M481" s="87"/>
    </row>
    <row r="482" spans="1:13" x14ac:dyDescent="0.25">
      <c r="A482" s="86"/>
      <c r="B482" s="344"/>
      <c r="C482" s="2">
        <v>0.67</v>
      </c>
      <c r="D482" s="2">
        <v>2.7</v>
      </c>
      <c r="E482" s="2"/>
      <c r="F482" s="2"/>
      <c r="G482" s="2">
        <f t="shared" si="24"/>
        <v>1.8090000000000002</v>
      </c>
      <c r="M482" s="87"/>
    </row>
    <row r="483" spans="1:13" x14ac:dyDescent="0.25">
      <c r="A483" s="86"/>
      <c r="B483" s="344"/>
      <c r="C483" s="2">
        <v>0.92</v>
      </c>
      <c r="D483" s="2">
        <v>2.7</v>
      </c>
      <c r="E483" s="2"/>
      <c r="F483" s="2"/>
      <c r="G483" s="2">
        <f t="shared" si="24"/>
        <v>2.4840000000000004</v>
      </c>
      <c r="M483" s="87"/>
    </row>
    <row r="484" spans="1:13" x14ac:dyDescent="0.25">
      <c r="A484" s="86"/>
      <c r="B484" s="344"/>
      <c r="C484" s="2">
        <v>2.4500000000000002</v>
      </c>
      <c r="D484" s="2">
        <v>2.7</v>
      </c>
      <c r="E484" s="2">
        <f>2.45*2.1</f>
        <v>5.1450000000000005</v>
      </c>
      <c r="F484" s="2" t="s">
        <v>369</v>
      </c>
      <c r="G484" s="2">
        <f t="shared" si="24"/>
        <v>1.4700000000000006</v>
      </c>
      <c r="M484" s="87"/>
    </row>
    <row r="485" spans="1:13" x14ac:dyDescent="0.25">
      <c r="A485" s="86"/>
      <c r="B485" s="343"/>
      <c r="C485" s="2">
        <v>1.74</v>
      </c>
      <c r="D485" s="2">
        <v>2.7</v>
      </c>
      <c r="E485" s="2"/>
      <c r="F485" s="2"/>
      <c r="G485" s="2">
        <f t="shared" si="24"/>
        <v>4.6980000000000004</v>
      </c>
      <c r="M485" s="87"/>
    </row>
    <row r="486" spans="1:13" x14ac:dyDescent="0.25">
      <c r="A486" s="86"/>
      <c r="B486" s="342" t="s">
        <v>334</v>
      </c>
      <c r="C486" s="2">
        <v>2.35</v>
      </c>
      <c r="D486" s="2">
        <v>2.7</v>
      </c>
      <c r="E486" s="2"/>
      <c r="F486" s="2"/>
      <c r="G486" s="2">
        <f t="shared" si="24"/>
        <v>6.3450000000000006</v>
      </c>
      <c r="M486" s="87"/>
    </row>
    <row r="487" spans="1:13" x14ac:dyDescent="0.25">
      <c r="A487" s="86"/>
      <c r="B487" s="344"/>
      <c r="C487" s="2">
        <v>1.5</v>
      </c>
      <c r="D487" s="2">
        <v>2.7</v>
      </c>
      <c r="E487" s="2">
        <f>0.6*0.4</f>
        <v>0.24</v>
      </c>
      <c r="F487" s="2" t="s">
        <v>370</v>
      </c>
      <c r="G487" s="2">
        <f t="shared" si="24"/>
        <v>3.8100000000000005</v>
      </c>
      <c r="M487" s="87"/>
    </row>
    <row r="488" spans="1:13" x14ac:dyDescent="0.25">
      <c r="A488" s="86"/>
      <c r="B488" s="343"/>
      <c r="C488" s="2">
        <v>2.35</v>
      </c>
      <c r="D488" s="2">
        <v>2.7</v>
      </c>
      <c r="E488" s="2"/>
      <c r="F488" s="2"/>
      <c r="G488" s="2">
        <f t="shared" si="24"/>
        <v>6.3450000000000006</v>
      </c>
      <c r="M488" s="87"/>
    </row>
    <row r="489" spans="1:13" x14ac:dyDescent="0.25">
      <c r="A489" s="86"/>
      <c r="B489" s="342" t="s">
        <v>371</v>
      </c>
      <c r="C489" s="2">
        <v>1.53</v>
      </c>
      <c r="D489" s="2">
        <v>2.7</v>
      </c>
      <c r="E489" s="2">
        <f>0.9*2.1</f>
        <v>1.8900000000000001</v>
      </c>
      <c r="F489" s="2" t="s">
        <v>360</v>
      </c>
      <c r="G489" s="2">
        <f t="shared" si="24"/>
        <v>2.2410000000000001</v>
      </c>
      <c r="M489" s="87"/>
    </row>
    <row r="490" spans="1:13" x14ac:dyDescent="0.25">
      <c r="A490" s="86"/>
      <c r="B490" s="344"/>
      <c r="C490" s="2">
        <v>4.3499999999999996</v>
      </c>
      <c r="D490" s="2">
        <v>2.7</v>
      </c>
      <c r="E490" s="2"/>
      <c r="F490" s="2"/>
      <c r="G490" s="2">
        <f t="shared" si="24"/>
        <v>11.744999999999999</v>
      </c>
      <c r="M490" s="87"/>
    </row>
    <row r="491" spans="1:13" x14ac:dyDescent="0.25">
      <c r="A491" s="86"/>
      <c r="B491" s="343"/>
      <c r="C491" s="2">
        <v>2.9</v>
      </c>
      <c r="D491" s="2">
        <v>2.7</v>
      </c>
      <c r="E491" s="2">
        <f>1.2*1</f>
        <v>1.2</v>
      </c>
      <c r="F491" s="2" t="s">
        <v>362</v>
      </c>
      <c r="G491" s="2">
        <f t="shared" si="24"/>
        <v>6.63</v>
      </c>
      <c r="M491" s="87"/>
    </row>
    <row r="492" spans="1:13" x14ac:dyDescent="0.25">
      <c r="A492" s="86"/>
      <c r="B492" s="342" t="s">
        <v>372</v>
      </c>
      <c r="C492" s="2">
        <v>2.9</v>
      </c>
      <c r="D492" s="2">
        <v>2.7</v>
      </c>
      <c r="E492" s="2">
        <f>2.1*0.8</f>
        <v>1.6800000000000002</v>
      </c>
      <c r="F492" s="2" t="s">
        <v>360</v>
      </c>
      <c r="G492" s="2">
        <f t="shared" si="24"/>
        <v>6.15</v>
      </c>
      <c r="M492" s="87"/>
    </row>
    <row r="493" spans="1:13" x14ac:dyDescent="0.25">
      <c r="A493" s="86"/>
      <c r="B493" s="344"/>
      <c r="C493" s="2">
        <v>4.3499999999999996</v>
      </c>
      <c r="D493" s="2">
        <v>2.7</v>
      </c>
      <c r="E493" s="2"/>
      <c r="F493" s="2"/>
      <c r="G493" s="2">
        <f t="shared" si="24"/>
        <v>11.744999999999999</v>
      </c>
      <c r="M493" s="87"/>
    </row>
    <row r="494" spans="1:13" x14ac:dyDescent="0.25">
      <c r="A494" s="86"/>
      <c r="B494" s="343"/>
      <c r="C494" s="2">
        <v>2.9</v>
      </c>
      <c r="D494" s="2">
        <v>2.7</v>
      </c>
      <c r="E494" s="2">
        <f>1.2*1</f>
        <v>1.2</v>
      </c>
      <c r="F494" s="2" t="s">
        <v>362</v>
      </c>
      <c r="G494" s="2">
        <f t="shared" si="24"/>
        <v>6.63</v>
      </c>
      <c r="M494" s="87"/>
    </row>
    <row r="495" spans="1:13" x14ac:dyDescent="0.25">
      <c r="A495" s="86"/>
      <c r="B495" s="342" t="s">
        <v>373</v>
      </c>
      <c r="C495" s="2">
        <v>2.9</v>
      </c>
      <c r="D495" s="2">
        <v>2.7</v>
      </c>
      <c r="E495" s="2">
        <f>0.9*2.1</f>
        <v>1.8900000000000001</v>
      </c>
      <c r="F495" s="2" t="s">
        <v>360</v>
      </c>
      <c r="G495" s="2">
        <f t="shared" si="24"/>
        <v>5.9399999999999995</v>
      </c>
      <c r="M495" s="87"/>
    </row>
    <row r="496" spans="1:13" x14ac:dyDescent="0.25">
      <c r="A496" s="86"/>
      <c r="B496" s="344"/>
      <c r="C496" s="2">
        <v>4.3499999999999996</v>
      </c>
      <c r="D496" s="2">
        <v>2.7</v>
      </c>
      <c r="E496" s="2"/>
      <c r="F496" s="2"/>
      <c r="G496" s="2">
        <f t="shared" si="24"/>
        <v>11.744999999999999</v>
      </c>
      <c r="M496" s="87"/>
    </row>
    <row r="497" spans="1:13" x14ac:dyDescent="0.25">
      <c r="A497" s="86"/>
      <c r="B497" s="343"/>
      <c r="C497" s="2">
        <v>2.9</v>
      </c>
      <c r="D497" s="2">
        <v>2.7</v>
      </c>
      <c r="E497" s="2">
        <f>1.2*1</f>
        <v>1.2</v>
      </c>
      <c r="F497" s="2" t="s">
        <v>362</v>
      </c>
      <c r="G497" s="2">
        <f t="shared" si="24"/>
        <v>6.63</v>
      </c>
      <c r="M497" s="87"/>
    </row>
    <row r="498" spans="1:13" x14ac:dyDescent="0.25">
      <c r="A498" s="86"/>
      <c r="B498" s="342" t="s">
        <v>374</v>
      </c>
      <c r="C498" s="2">
        <v>4.3499999999999996</v>
      </c>
      <c r="D498" s="2">
        <v>2.7</v>
      </c>
      <c r="E498" s="2"/>
      <c r="F498" s="2"/>
      <c r="G498" s="2">
        <f t="shared" si="24"/>
        <v>11.744999999999999</v>
      </c>
      <c r="M498" s="87"/>
    </row>
    <row r="499" spans="1:13" x14ac:dyDescent="0.25">
      <c r="A499" s="86"/>
      <c r="B499" s="344"/>
      <c r="C499" s="2">
        <v>2.9</v>
      </c>
      <c r="D499" s="2">
        <v>2.7</v>
      </c>
      <c r="E499" s="2">
        <f>0.9*2.1</f>
        <v>1.8900000000000001</v>
      </c>
      <c r="F499" s="2" t="s">
        <v>360</v>
      </c>
      <c r="G499" s="2">
        <f t="shared" si="24"/>
        <v>5.9399999999999995</v>
      </c>
      <c r="M499" s="87"/>
    </row>
    <row r="500" spans="1:13" x14ac:dyDescent="0.25">
      <c r="A500" s="86"/>
      <c r="B500" s="344"/>
      <c r="C500" s="2">
        <v>4.3499999999999996</v>
      </c>
      <c r="D500" s="2">
        <v>2.7</v>
      </c>
      <c r="E500" s="2"/>
      <c r="F500" s="2"/>
      <c r="G500" s="2">
        <f t="shared" ref="G500:G511" si="25">C500*D500-E500</f>
        <v>11.744999999999999</v>
      </c>
      <c r="M500" s="87"/>
    </row>
    <row r="501" spans="1:13" x14ac:dyDescent="0.25">
      <c r="A501" s="86"/>
      <c r="B501" s="343"/>
      <c r="C501" s="2">
        <v>2.9</v>
      </c>
      <c r="D501" s="2">
        <v>2.7</v>
      </c>
      <c r="E501" s="2">
        <f>1.2*1</f>
        <v>1.2</v>
      </c>
      <c r="F501" s="2" t="s">
        <v>362</v>
      </c>
      <c r="G501" s="2">
        <f t="shared" si="25"/>
        <v>6.63</v>
      </c>
      <c r="M501" s="87"/>
    </row>
    <row r="502" spans="1:13" x14ac:dyDescent="0.25">
      <c r="A502" s="86"/>
      <c r="B502" s="344" t="s">
        <v>339</v>
      </c>
      <c r="C502" s="2">
        <v>2.9</v>
      </c>
      <c r="D502" s="2">
        <v>2.7</v>
      </c>
      <c r="E502" s="2">
        <f>0.9*2.1</f>
        <v>1.8900000000000001</v>
      </c>
      <c r="F502" s="2" t="s">
        <v>360</v>
      </c>
      <c r="G502" s="2">
        <f t="shared" si="25"/>
        <v>5.9399999999999995</v>
      </c>
      <c r="M502" s="87"/>
    </row>
    <row r="503" spans="1:13" x14ac:dyDescent="0.25">
      <c r="A503" s="86"/>
      <c r="B503" s="344"/>
      <c r="C503" s="2">
        <v>4.3499999999999996</v>
      </c>
      <c r="D503" s="2">
        <v>2.7</v>
      </c>
      <c r="E503" s="2"/>
      <c r="F503" s="2"/>
      <c r="G503" s="2">
        <f t="shared" si="25"/>
        <v>11.744999999999999</v>
      </c>
      <c r="M503" s="87"/>
    </row>
    <row r="504" spans="1:13" x14ac:dyDescent="0.25">
      <c r="A504" s="86"/>
      <c r="B504" s="343"/>
      <c r="C504" s="2">
        <v>2.9</v>
      </c>
      <c r="D504" s="2">
        <v>2.7</v>
      </c>
      <c r="E504" s="2">
        <f t="shared" ref="E504:E505" si="26">1.2*1</f>
        <v>1.2</v>
      </c>
      <c r="F504" s="2" t="s">
        <v>362</v>
      </c>
      <c r="G504" s="2">
        <f t="shared" si="25"/>
        <v>6.63</v>
      </c>
      <c r="M504" s="87"/>
    </row>
    <row r="505" spans="1:13" x14ac:dyDescent="0.25">
      <c r="A505" s="86"/>
      <c r="B505" s="342" t="s">
        <v>333</v>
      </c>
      <c r="C505" s="2">
        <v>2.85</v>
      </c>
      <c r="D505" s="2">
        <v>2.7</v>
      </c>
      <c r="E505" s="2">
        <f t="shared" si="26"/>
        <v>1.2</v>
      </c>
      <c r="F505" s="2" t="s">
        <v>362</v>
      </c>
      <c r="G505" s="2">
        <f t="shared" si="25"/>
        <v>6.495000000000001</v>
      </c>
      <c r="M505" s="87"/>
    </row>
    <row r="506" spans="1:13" x14ac:dyDescent="0.25">
      <c r="A506" s="86"/>
      <c r="B506" s="344"/>
      <c r="C506" s="2">
        <v>2.81</v>
      </c>
      <c r="D506" s="2">
        <v>2.7</v>
      </c>
      <c r="E506" s="2"/>
      <c r="F506" s="2"/>
      <c r="G506" s="2">
        <f t="shared" si="25"/>
        <v>7.5870000000000006</v>
      </c>
      <c r="M506" s="87"/>
    </row>
    <row r="507" spans="1:13" x14ac:dyDescent="0.25">
      <c r="A507" s="86"/>
      <c r="B507" s="343"/>
      <c r="C507" s="2">
        <v>2.85</v>
      </c>
      <c r="D507" s="2">
        <v>2.7</v>
      </c>
      <c r="E507" s="2">
        <f>0.8*2.1</f>
        <v>1.6800000000000002</v>
      </c>
      <c r="F507" s="2" t="s">
        <v>368</v>
      </c>
      <c r="G507" s="2">
        <f t="shared" si="25"/>
        <v>6.0150000000000006</v>
      </c>
      <c r="M507" s="87"/>
    </row>
    <row r="508" spans="1:13" x14ac:dyDescent="0.25">
      <c r="A508" s="86"/>
      <c r="B508" s="342" t="s">
        <v>332</v>
      </c>
      <c r="C508" s="2">
        <v>1.69</v>
      </c>
      <c r="D508" s="2">
        <v>2.7</v>
      </c>
      <c r="E508" s="2"/>
      <c r="F508" s="2"/>
      <c r="G508" s="2">
        <f t="shared" si="25"/>
        <v>4.5629999999999997</v>
      </c>
      <c r="M508" s="87"/>
    </row>
    <row r="509" spans="1:13" x14ac:dyDescent="0.25">
      <c r="A509" s="86"/>
      <c r="B509" s="344"/>
      <c r="C509" s="2">
        <v>1</v>
      </c>
      <c r="D509" s="2">
        <v>2.7</v>
      </c>
      <c r="E509" s="2">
        <f>1.1*2.1</f>
        <v>2.3100000000000005</v>
      </c>
      <c r="F509" s="2" t="s">
        <v>375</v>
      </c>
      <c r="G509" s="2">
        <f t="shared" si="25"/>
        <v>0.38999999999999968</v>
      </c>
      <c r="M509" s="87"/>
    </row>
    <row r="510" spans="1:13" x14ac:dyDescent="0.25">
      <c r="A510" s="86"/>
      <c r="B510" s="344"/>
      <c r="C510" s="2">
        <v>1.41</v>
      </c>
      <c r="D510" s="2">
        <v>2.7</v>
      </c>
      <c r="E510" s="2">
        <f>0.8*2.1</f>
        <v>1.6800000000000002</v>
      </c>
      <c r="F510" s="2" t="s">
        <v>368</v>
      </c>
      <c r="G510" s="2">
        <f t="shared" si="25"/>
        <v>2.1269999999999998</v>
      </c>
      <c r="M510" s="87"/>
    </row>
    <row r="511" spans="1:13" x14ac:dyDescent="0.25">
      <c r="A511" s="86"/>
      <c r="B511" s="343"/>
      <c r="C511" s="2">
        <v>1.85</v>
      </c>
      <c r="D511" s="2">
        <v>2.7</v>
      </c>
      <c r="E511" s="2"/>
      <c r="F511" s="2"/>
      <c r="G511" s="2">
        <f t="shared" si="25"/>
        <v>4.995000000000001</v>
      </c>
      <c r="M511" s="87"/>
    </row>
    <row r="512" spans="1:13" x14ac:dyDescent="0.25">
      <c r="A512" s="86"/>
      <c r="B512" s="342" t="s">
        <v>331</v>
      </c>
      <c r="C512" s="2">
        <v>3.15</v>
      </c>
      <c r="D512" s="2">
        <v>2.7</v>
      </c>
      <c r="E512" s="2">
        <f>1.2*1</f>
        <v>1.2</v>
      </c>
      <c r="F512" s="2" t="s">
        <v>362</v>
      </c>
      <c r="G512" s="2">
        <f t="shared" si="24"/>
        <v>7.3050000000000006</v>
      </c>
      <c r="M512" s="87"/>
    </row>
    <row r="513" spans="1:13" x14ac:dyDescent="0.25">
      <c r="A513" s="86"/>
      <c r="B513" s="344"/>
      <c r="C513" s="2">
        <v>10.35</v>
      </c>
      <c r="D513" s="2">
        <v>2.7</v>
      </c>
      <c r="E513" s="2">
        <f>4*2.1</f>
        <v>8.4</v>
      </c>
      <c r="F513" s="2" t="s">
        <v>376</v>
      </c>
      <c r="G513" s="2">
        <f t="shared" si="24"/>
        <v>19.545000000000002</v>
      </c>
      <c r="M513" s="87"/>
    </row>
    <row r="514" spans="1:13" x14ac:dyDescent="0.25">
      <c r="A514" s="86"/>
      <c r="B514" s="344"/>
      <c r="C514" s="2">
        <v>3.15</v>
      </c>
      <c r="D514" s="2">
        <v>2.7</v>
      </c>
      <c r="E514" s="2">
        <f>1*2.1*2+1.15*2.1</f>
        <v>6.6150000000000002</v>
      </c>
      <c r="F514" s="2" t="s">
        <v>385</v>
      </c>
      <c r="G514" s="2">
        <f t="shared" si="24"/>
        <v>1.8900000000000006</v>
      </c>
      <c r="M514" s="87"/>
    </row>
    <row r="515" spans="1:13" x14ac:dyDescent="0.25">
      <c r="A515" s="86"/>
      <c r="B515" s="343"/>
      <c r="C515" s="2">
        <v>1.5</v>
      </c>
      <c r="D515" s="2">
        <v>2.7</v>
      </c>
      <c r="E515" s="2">
        <f>1.5*2.1</f>
        <v>3.1500000000000004</v>
      </c>
      <c r="F515" s="2" t="s">
        <v>377</v>
      </c>
      <c r="G515" s="2">
        <f t="shared" si="24"/>
        <v>0.90000000000000036</v>
      </c>
      <c r="M515" s="87"/>
    </row>
    <row r="516" spans="1:13" x14ac:dyDescent="0.25">
      <c r="A516" s="86"/>
      <c r="B516" s="342" t="s">
        <v>341</v>
      </c>
      <c r="C516" s="2">
        <v>1.45</v>
      </c>
      <c r="D516" s="2">
        <v>2.7</v>
      </c>
      <c r="E516" s="2">
        <f>0.8*2.1</f>
        <v>1.6800000000000002</v>
      </c>
      <c r="F516" s="2" t="s">
        <v>359</v>
      </c>
      <c r="G516" s="2">
        <f t="shared" si="24"/>
        <v>2.2349999999999999</v>
      </c>
      <c r="M516" s="87"/>
    </row>
    <row r="517" spans="1:13" x14ac:dyDescent="0.25">
      <c r="A517" s="86"/>
      <c r="B517" s="343"/>
      <c r="C517" s="2">
        <v>1.45</v>
      </c>
      <c r="D517" s="2">
        <v>2.7</v>
      </c>
      <c r="E517" s="2">
        <f>0.8*2.1</f>
        <v>1.6800000000000002</v>
      </c>
      <c r="F517" s="2" t="s">
        <v>359</v>
      </c>
      <c r="G517" s="2">
        <f t="shared" si="24"/>
        <v>2.2349999999999999</v>
      </c>
      <c r="M517" s="87"/>
    </row>
    <row r="518" spans="1:13" x14ac:dyDescent="0.25">
      <c r="A518" s="86"/>
      <c r="B518" s="342" t="s">
        <v>381</v>
      </c>
      <c r="C518" s="2">
        <v>10.5</v>
      </c>
      <c r="D518" s="2">
        <v>1.06</v>
      </c>
      <c r="E518" s="2"/>
      <c r="F518" s="2"/>
      <c r="G518" s="2">
        <f t="shared" si="24"/>
        <v>11.13</v>
      </c>
      <c r="M518" s="87"/>
    </row>
    <row r="519" spans="1:13" x14ac:dyDescent="0.25">
      <c r="A519" s="86"/>
      <c r="B519" s="344"/>
      <c r="C519" s="2">
        <v>25</v>
      </c>
      <c r="D519" s="2">
        <v>1.06</v>
      </c>
      <c r="E519" s="2"/>
      <c r="F519" s="2"/>
      <c r="G519" s="2">
        <f t="shared" ref="G519:G525" si="27">C519*D519-E519</f>
        <v>26.5</v>
      </c>
      <c r="M519" s="87"/>
    </row>
    <row r="520" spans="1:13" x14ac:dyDescent="0.25">
      <c r="A520" s="86"/>
      <c r="B520" s="344"/>
      <c r="C520" s="2">
        <v>13.8</v>
      </c>
      <c r="D520" s="2">
        <v>1.06</v>
      </c>
      <c r="E520" s="2"/>
      <c r="F520" s="2"/>
      <c r="G520" s="2">
        <f t="shared" si="27"/>
        <v>14.628000000000002</v>
      </c>
      <c r="M520" s="87"/>
    </row>
    <row r="521" spans="1:13" x14ac:dyDescent="0.25">
      <c r="A521" s="86"/>
      <c r="B521" s="343"/>
      <c r="C521" s="2">
        <v>21.85</v>
      </c>
      <c r="D521" s="2">
        <v>1.06</v>
      </c>
      <c r="E521" s="2"/>
      <c r="F521" s="2"/>
      <c r="G521" s="2">
        <f t="shared" si="27"/>
        <v>23.161000000000001</v>
      </c>
      <c r="M521" s="87"/>
    </row>
    <row r="522" spans="1:13" x14ac:dyDescent="0.25">
      <c r="A522" s="86"/>
      <c r="B522" s="342" t="s">
        <v>382</v>
      </c>
      <c r="C522" s="2">
        <v>3.15</v>
      </c>
      <c r="D522" s="2">
        <v>2.5</v>
      </c>
      <c r="E522" s="2"/>
      <c r="F522" s="2"/>
      <c r="G522" s="2">
        <f t="shared" si="27"/>
        <v>7.875</v>
      </c>
      <c r="M522" s="87"/>
    </row>
    <row r="523" spans="1:13" x14ac:dyDescent="0.25">
      <c r="A523" s="86"/>
      <c r="B523" s="344"/>
      <c r="C523" s="2">
        <v>3.15</v>
      </c>
      <c r="D523" s="2">
        <v>2.5</v>
      </c>
      <c r="E523" s="2"/>
      <c r="F523" s="2"/>
      <c r="G523" s="2">
        <f t="shared" si="27"/>
        <v>7.875</v>
      </c>
      <c r="M523" s="87"/>
    </row>
    <row r="524" spans="1:13" x14ac:dyDescent="0.25">
      <c r="A524" s="86"/>
      <c r="B524" s="344"/>
      <c r="C524" s="2">
        <v>3.15</v>
      </c>
      <c r="D524" s="2">
        <v>2.5</v>
      </c>
      <c r="E524" s="2"/>
      <c r="F524" s="2"/>
      <c r="G524" s="2">
        <f t="shared" si="27"/>
        <v>7.875</v>
      </c>
      <c r="M524" s="87"/>
    </row>
    <row r="525" spans="1:13" x14ac:dyDescent="0.25">
      <c r="A525" s="86"/>
      <c r="B525" s="343"/>
      <c r="C525" s="2">
        <v>3.15</v>
      </c>
      <c r="D525" s="2">
        <v>2.5</v>
      </c>
      <c r="E525" s="2"/>
      <c r="F525" s="2"/>
      <c r="G525" s="2">
        <f t="shared" si="27"/>
        <v>7.875</v>
      </c>
      <c r="M525" s="87"/>
    </row>
    <row r="526" spans="1:13" ht="15.75" x14ac:dyDescent="0.25">
      <c r="A526" s="86"/>
      <c r="B526" s="349" t="s">
        <v>0</v>
      </c>
      <c r="C526" s="349"/>
      <c r="D526" s="349"/>
      <c r="E526" s="349"/>
      <c r="F526" s="349"/>
      <c r="G526" s="4">
        <f>TRUNC(SUM(G452:G525),2)</f>
        <v>549.39</v>
      </c>
      <c r="M526" s="87"/>
    </row>
    <row r="527" spans="1:13" x14ac:dyDescent="0.25">
      <c r="A527" s="86"/>
      <c r="M527" s="87"/>
    </row>
    <row r="528" spans="1:13" ht="15.75" x14ac:dyDescent="0.25">
      <c r="A528" s="86"/>
      <c r="B528" s="46" t="s">
        <v>109</v>
      </c>
      <c r="C528" s="46">
        <f>G526</f>
        <v>549.39</v>
      </c>
      <c r="D528" s="46" t="s">
        <v>167</v>
      </c>
      <c r="M528" s="87"/>
    </row>
    <row r="529" spans="1:14" x14ac:dyDescent="0.25">
      <c r="A529" s="86"/>
      <c r="M529" s="87"/>
    </row>
    <row r="530" spans="1:14" x14ac:dyDescent="0.25">
      <c r="A530" s="107" t="s">
        <v>319</v>
      </c>
      <c r="B530" s="47" t="str">
        <f>VLOOKUP('IV-MEMORIAL'!A530,'II-PO'!$A$19:$M$295,5,0)</f>
        <v>ALVENARIA DE VEDAÇÃO COM ELEMENTO VAZADO DE CERÂMICA (COBOGÓ) DE 7X20X20CM E ARGAMASSA DE ASSENTAMENTO COM PREPARO EM BETONEIRA. AF_05/2020</v>
      </c>
      <c r="C530" s="47"/>
      <c r="D530" s="47"/>
      <c r="E530" s="48"/>
      <c r="F530" s="48"/>
      <c r="G530" s="48"/>
      <c r="H530" s="48"/>
      <c r="I530" s="48"/>
      <c r="J530" s="48"/>
      <c r="K530" s="48"/>
      <c r="L530" s="48"/>
      <c r="M530" s="108"/>
      <c r="N530" s="3">
        <f>C535</f>
        <v>2.41</v>
      </c>
    </row>
    <row r="531" spans="1:14" x14ac:dyDescent="0.25">
      <c r="A531" s="86"/>
      <c r="M531" s="87"/>
    </row>
    <row r="532" spans="1:14" ht="15.75" x14ac:dyDescent="0.25">
      <c r="A532" s="86"/>
      <c r="B532" s="4" t="s">
        <v>320</v>
      </c>
      <c r="C532" s="4" t="s">
        <v>163</v>
      </c>
      <c r="D532" s="4" t="s">
        <v>355</v>
      </c>
      <c r="E532" s="149" t="s">
        <v>356</v>
      </c>
      <c r="F532" s="149" t="s">
        <v>357</v>
      </c>
      <c r="G532" s="149" t="s">
        <v>358</v>
      </c>
      <c r="M532" s="87"/>
    </row>
    <row r="533" spans="1:14" x14ac:dyDescent="0.25">
      <c r="A533" s="86"/>
      <c r="B533" s="2" t="s">
        <v>331</v>
      </c>
      <c r="C533" s="2">
        <v>1.1499999999999999</v>
      </c>
      <c r="D533" s="2">
        <v>2.1</v>
      </c>
      <c r="E533" s="2">
        <v>0</v>
      </c>
      <c r="F533" s="2"/>
      <c r="G533" s="2">
        <f>TRUNC(C533*D533-E533,2)</f>
        <v>2.41</v>
      </c>
      <c r="M533" s="87"/>
    </row>
    <row r="534" spans="1:14" x14ac:dyDescent="0.25">
      <c r="A534" s="86"/>
      <c r="M534" s="87"/>
    </row>
    <row r="535" spans="1:14" ht="15.75" x14ac:dyDescent="0.25">
      <c r="A535" s="86"/>
      <c r="B535" s="46" t="s">
        <v>109</v>
      </c>
      <c r="C535" s="46">
        <f>G533</f>
        <v>2.41</v>
      </c>
      <c r="D535" s="46" t="s">
        <v>167</v>
      </c>
      <c r="M535" s="87"/>
    </row>
    <row r="536" spans="1:14" x14ac:dyDescent="0.25">
      <c r="A536" s="86"/>
      <c r="M536" s="87"/>
    </row>
    <row r="537" spans="1:14" x14ac:dyDescent="0.25">
      <c r="A537" s="107" t="s">
        <v>383</v>
      </c>
      <c r="B537" s="47" t="str">
        <f>VLOOKUP('IV-MEMORIAL'!A537,'II-PO'!$A$19:$M$295,5,0)</f>
        <v>DIVISORIA SANITÁRIA, TIPO CABINE, EM PAINEL DE GRANILITE, ESP = 3CM, ASSENTADO COM ARGAMASSA COLANTE AC III-E, EXCLUSIVE FERRAGENS. AF_01/2021</v>
      </c>
      <c r="C537" s="47"/>
      <c r="D537" s="47"/>
      <c r="E537" s="48"/>
      <c r="F537" s="48"/>
      <c r="G537" s="48"/>
      <c r="H537" s="48"/>
      <c r="I537" s="48"/>
      <c r="J537" s="48"/>
      <c r="K537" s="48"/>
      <c r="L537" s="48"/>
      <c r="M537" s="108"/>
      <c r="N537" s="3">
        <f>C542</f>
        <v>6.36</v>
      </c>
    </row>
    <row r="538" spans="1:14" x14ac:dyDescent="0.25">
      <c r="A538" s="86"/>
      <c r="M538" s="87"/>
    </row>
    <row r="539" spans="1:14" ht="15.75" x14ac:dyDescent="0.25">
      <c r="A539" s="86"/>
      <c r="B539" s="4" t="s">
        <v>320</v>
      </c>
      <c r="C539" s="4" t="s">
        <v>163</v>
      </c>
      <c r="D539" s="4" t="s">
        <v>355</v>
      </c>
      <c r="E539" s="149" t="s">
        <v>356</v>
      </c>
      <c r="F539" s="149" t="s">
        <v>357</v>
      </c>
      <c r="G539" s="149" t="s">
        <v>358</v>
      </c>
      <c r="M539" s="87"/>
    </row>
    <row r="540" spans="1:14" x14ac:dyDescent="0.25">
      <c r="A540" s="86"/>
      <c r="B540" s="2" t="s">
        <v>331</v>
      </c>
      <c r="C540" s="2">
        <v>2.83</v>
      </c>
      <c r="D540" s="2">
        <v>2.25</v>
      </c>
      <c r="E540" s="2">
        <v>0</v>
      </c>
      <c r="F540" s="2"/>
      <c r="G540" s="2">
        <f>TRUNC(C540*D540-E540,2)</f>
        <v>6.36</v>
      </c>
      <c r="M540" s="87"/>
    </row>
    <row r="541" spans="1:14" x14ac:dyDescent="0.25">
      <c r="A541" s="86"/>
      <c r="M541" s="87"/>
    </row>
    <row r="542" spans="1:14" ht="15.75" x14ac:dyDescent="0.25">
      <c r="A542" s="86"/>
      <c r="B542" s="46" t="s">
        <v>109</v>
      </c>
      <c r="C542" s="46">
        <f>G540</f>
        <v>6.36</v>
      </c>
      <c r="D542" s="46" t="s">
        <v>167</v>
      </c>
      <c r="M542" s="87"/>
    </row>
    <row r="543" spans="1:14" x14ac:dyDescent="0.25">
      <c r="A543" s="86"/>
      <c r="M543" s="87"/>
    </row>
    <row r="544" spans="1:14" x14ac:dyDescent="0.25">
      <c r="A544" s="107" t="s">
        <v>384</v>
      </c>
      <c r="B544" s="47" t="str">
        <f>VLOOKUP('IV-MEMORIAL'!A544,'II-PO'!$A$19:$M$295,5,0)</f>
        <v>CHAPISCO APLICADO EM ALVENARIAS E ESTRUTURAS DE CONCRETO INTERNAS, COM COLHER DE PEDREIRO. ARGAMASSA TRAÇO 1:3 COM PREPARO EM BETONEIRA 400L. AF_10/2022</v>
      </c>
      <c r="C544" s="47"/>
      <c r="D544" s="47"/>
      <c r="E544" s="48"/>
      <c r="F544" s="48"/>
      <c r="G544" s="48"/>
      <c r="H544" s="48"/>
      <c r="I544" s="48"/>
      <c r="J544" s="48"/>
      <c r="K544" s="48"/>
      <c r="L544" s="48"/>
      <c r="M544" s="108"/>
      <c r="N544" s="3">
        <f>C648</f>
        <v>1060.03</v>
      </c>
    </row>
    <row r="545" spans="1:13" x14ac:dyDescent="0.25">
      <c r="A545" s="86"/>
      <c r="M545" s="87"/>
    </row>
    <row r="546" spans="1:13" ht="15.75" x14ac:dyDescent="0.25">
      <c r="A546" s="86"/>
      <c r="B546" s="4" t="s">
        <v>320</v>
      </c>
      <c r="C546" s="4" t="s">
        <v>163</v>
      </c>
      <c r="D546" s="4" t="s">
        <v>355</v>
      </c>
      <c r="E546" s="149" t="s">
        <v>356</v>
      </c>
      <c r="F546" s="149" t="s">
        <v>357</v>
      </c>
      <c r="G546" s="149" t="s">
        <v>358</v>
      </c>
      <c r="H546" s="149" t="s">
        <v>379</v>
      </c>
      <c r="I546" s="149" t="s">
        <v>380</v>
      </c>
      <c r="J546" s="149" t="s">
        <v>348</v>
      </c>
      <c r="K546" s="149" t="s">
        <v>349</v>
      </c>
      <c r="L546" s="149" t="s">
        <v>350</v>
      </c>
      <c r="M546" s="87"/>
    </row>
    <row r="547" spans="1:13" x14ac:dyDescent="0.25">
      <c r="A547" s="86"/>
      <c r="B547" s="342" t="s">
        <v>340</v>
      </c>
      <c r="C547" s="2">
        <v>1.45</v>
      </c>
      <c r="D547" s="2">
        <v>3.01</v>
      </c>
      <c r="E547" s="2">
        <f>0.8*2.1</f>
        <v>1.6800000000000002</v>
      </c>
      <c r="F547" s="2" t="s">
        <v>359</v>
      </c>
      <c r="G547" s="2">
        <f>C547*D547-E547</f>
        <v>2.6844999999999994</v>
      </c>
      <c r="H547" s="2">
        <f>IF(E547&gt;0,G547,0)</f>
        <v>2.6844999999999994</v>
      </c>
      <c r="I547" s="2">
        <f>IF(E547=0,G547,0)</f>
        <v>0</v>
      </c>
      <c r="J547" s="2">
        <f>IF(G547&lt;5,G547,0)</f>
        <v>2.6844999999999994</v>
      </c>
      <c r="K547" s="2">
        <f>IF(AND(G547&gt;=5,G547&lt;10),G547,0)</f>
        <v>0</v>
      </c>
      <c r="L547" s="2">
        <f>IF(G547&gt;=10,G547,0)</f>
        <v>0</v>
      </c>
      <c r="M547" s="87"/>
    </row>
    <row r="548" spans="1:13" x14ac:dyDescent="0.25">
      <c r="A548" s="86"/>
      <c r="B548" s="344"/>
      <c r="C548" s="2">
        <v>24.7</v>
      </c>
      <c r="D548" s="2">
        <v>3.01</v>
      </c>
      <c r="E548" s="2"/>
      <c r="F548" s="2"/>
      <c r="G548" s="2">
        <f t="shared" ref="G548:G592" si="28">C548*D548-E548</f>
        <v>74.346999999999994</v>
      </c>
      <c r="H548" s="2">
        <f t="shared" ref="H548:H592" si="29">IF(E548&gt;0,G548,0)</f>
        <v>0</v>
      </c>
      <c r="I548" s="2">
        <f t="shared" ref="I548:I592" si="30">IF(E548=0,G548,0)</f>
        <v>74.346999999999994</v>
      </c>
      <c r="J548" s="2">
        <f t="shared" ref="J548:J611" si="31">IF(G548&lt;5,G548,0)</f>
        <v>0</v>
      </c>
      <c r="K548" s="2">
        <f t="shared" ref="K548:K611" si="32">IF(AND(G548&gt;=5,G548&lt;10),G548,0)</f>
        <v>0</v>
      </c>
      <c r="L548" s="2">
        <f t="shared" ref="L548:L611" si="33">IF(G548&gt;=10,G548,0)</f>
        <v>74.346999999999994</v>
      </c>
      <c r="M548" s="87"/>
    </row>
    <row r="549" spans="1:13" x14ac:dyDescent="0.25">
      <c r="A549" s="86"/>
      <c r="B549" s="344"/>
      <c r="C549" s="2">
        <v>1.45</v>
      </c>
      <c r="D549" s="2">
        <v>3.01</v>
      </c>
      <c r="E549" s="2"/>
      <c r="F549" s="2"/>
      <c r="G549" s="2">
        <f t="shared" ref="G549" si="34">C549*D549-E549</f>
        <v>4.3644999999999996</v>
      </c>
      <c r="H549" s="2">
        <f t="shared" si="29"/>
        <v>0</v>
      </c>
      <c r="I549" s="2">
        <f t="shared" si="30"/>
        <v>4.3644999999999996</v>
      </c>
      <c r="J549" s="2">
        <f t="shared" si="31"/>
        <v>4.3644999999999996</v>
      </c>
      <c r="K549" s="2">
        <f t="shared" si="32"/>
        <v>0</v>
      </c>
      <c r="L549" s="2">
        <f t="shared" si="33"/>
        <v>0</v>
      </c>
      <c r="M549" s="87"/>
    </row>
    <row r="550" spans="1:13" x14ac:dyDescent="0.25">
      <c r="A550" s="86"/>
      <c r="B550" s="343"/>
      <c r="C550" s="2">
        <v>24.7</v>
      </c>
      <c r="D550" s="2">
        <v>3.01</v>
      </c>
      <c r="E550" s="2">
        <f>0.6*0.4*2+5*1.2*1+3*1.95</f>
        <v>12.33</v>
      </c>
      <c r="F550" s="2" t="s">
        <v>390</v>
      </c>
      <c r="G550" s="2">
        <f t="shared" si="28"/>
        <v>62.016999999999996</v>
      </c>
      <c r="H550" s="2">
        <f t="shared" si="29"/>
        <v>62.016999999999996</v>
      </c>
      <c r="I550" s="2">
        <f t="shared" si="30"/>
        <v>0</v>
      </c>
      <c r="J550" s="2">
        <f t="shared" si="31"/>
        <v>0</v>
      </c>
      <c r="K550" s="2">
        <f t="shared" si="32"/>
        <v>0</v>
      </c>
      <c r="L550" s="2">
        <f t="shared" si="33"/>
        <v>62.016999999999996</v>
      </c>
      <c r="M550" s="87"/>
    </row>
    <row r="551" spans="1:13" x14ac:dyDescent="0.25">
      <c r="A551" s="86"/>
      <c r="B551" s="342" t="s">
        <v>322</v>
      </c>
      <c r="C551" s="2">
        <v>3</v>
      </c>
      <c r="D551" s="2">
        <v>3.01</v>
      </c>
      <c r="E551" s="2"/>
      <c r="F551" s="2"/>
      <c r="G551" s="2">
        <f t="shared" si="28"/>
        <v>9.0299999999999994</v>
      </c>
      <c r="H551" s="2">
        <f t="shared" si="29"/>
        <v>0</v>
      </c>
      <c r="I551" s="2">
        <f t="shared" si="30"/>
        <v>9.0299999999999994</v>
      </c>
      <c r="J551" s="2">
        <f t="shared" si="31"/>
        <v>0</v>
      </c>
      <c r="K551" s="2">
        <f t="shared" si="32"/>
        <v>9.0299999999999994</v>
      </c>
      <c r="L551" s="2">
        <f t="shared" si="33"/>
        <v>0</v>
      </c>
      <c r="M551" s="87"/>
    </row>
    <row r="552" spans="1:13" x14ac:dyDescent="0.25">
      <c r="A552" s="86"/>
      <c r="B552" s="344"/>
      <c r="C552" s="2">
        <v>1.5</v>
      </c>
      <c r="D552" s="2">
        <v>3.01</v>
      </c>
      <c r="E552" s="2">
        <f>0.6*0.4</f>
        <v>0.24</v>
      </c>
      <c r="F552" s="2" t="s">
        <v>370</v>
      </c>
      <c r="G552" s="2">
        <f t="shared" si="28"/>
        <v>4.2749999999999995</v>
      </c>
      <c r="H552" s="2">
        <f t="shared" si="29"/>
        <v>4.2749999999999995</v>
      </c>
      <c r="I552" s="2">
        <f t="shared" si="30"/>
        <v>0</v>
      </c>
      <c r="J552" s="2">
        <f t="shared" si="31"/>
        <v>4.2749999999999995</v>
      </c>
      <c r="K552" s="2">
        <f t="shared" si="32"/>
        <v>0</v>
      </c>
      <c r="L552" s="2">
        <f t="shared" si="33"/>
        <v>0</v>
      </c>
      <c r="M552" s="87"/>
    </row>
    <row r="553" spans="1:13" x14ac:dyDescent="0.25">
      <c r="A553" s="86"/>
      <c r="B553" s="344"/>
      <c r="C553" s="2">
        <v>3</v>
      </c>
      <c r="D553" s="2">
        <v>3.01</v>
      </c>
      <c r="E553" s="2"/>
      <c r="F553" s="2"/>
      <c r="G553" s="2">
        <f t="shared" si="28"/>
        <v>9.0299999999999994</v>
      </c>
      <c r="H553" s="2">
        <f t="shared" si="29"/>
        <v>0</v>
      </c>
      <c r="I553" s="2">
        <f t="shared" si="30"/>
        <v>9.0299999999999994</v>
      </c>
      <c r="J553" s="2">
        <f t="shared" si="31"/>
        <v>0</v>
      </c>
      <c r="K553" s="2">
        <f t="shared" si="32"/>
        <v>9.0299999999999994</v>
      </c>
      <c r="L553" s="2">
        <f t="shared" si="33"/>
        <v>0</v>
      </c>
      <c r="M553" s="87"/>
    </row>
    <row r="554" spans="1:13" x14ac:dyDescent="0.25">
      <c r="A554" s="86"/>
      <c r="B554" s="343"/>
      <c r="C554" s="2">
        <v>1.5</v>
      </c>
      <c r="D554" s="2">
        <v>3.01</v>
      </c>
      <c r="E554" s="2">
        <f>0.9*2.1</f>
        <v>1.8900000000000001</v>
      </c>
      <c r="F554" s="2" t="s">
        <v>360</v>
      </c>
      <c r="G554" s="2">
        <f t="shared" si="28"/>
        <v>2.6249999999999996</v>
      </c>
      <c r="H554" s="2">
        <f t="shared" si="29"/>
        <v>2.6249999999999996</v>
      </c>
      <c r="I554" s="2">
        <f t="shared" si="30"/>
        <v>0</v>
      </c>
      <c r="J554" s="2">
        <f t="shared" si="31"/>
        <v>2.6249999999999996</v>
      </c>
      <c r="K554" s="2">
        <f t="shared" si="32"/>
        <v>0</v>
      </c>
      <c r="L554" s="2">
        <f t="shared" si="33"/>
        <v>0</v>
      </c>
      <c r="M554" s="87"/>
    </row>
    <row r="555" spans="1:13" x14ac:dyDescent="0.25">
      <c r="A555" s="86"/>
      <c r="B555" s="342" t="s">
        <v>323</v>
      </c>
      <c r="C555" s="2">
        <v>1.5</v>
      </c>
      <c r="D555" s="2">
        <v>3.01</v>
      </c>
      <c r="E555" s="2">
        <f>0.6*0.4</f>
        <v>0.24</v>
      </c>
      <c r="F555" s="2" t="s">
        <v>370</v>
      </c>
      <c r="G555" s="2">
        <f t="shared" si="28"/>
        <v>4.2749999999999995</v>
      </c>
      <c r="H555" s="2">
        <f t="shared" si="29"/>
        <v>4.2749999999999995</v>
      </c>
      <c r="I555" s="2">
        <f t="shared" si="30"/>
        <v>0</v>
      </c>
      <c r="J555" s="2">
        <f t="shared" si="31"/>
        <v>4.2749999999999995</v>
      </c>
      <c r="K555" s="2">
        <f t="shared" si="32"/>
        <v>0</v>
      </c>
      <c r="L555" s="2">
        <f t="shared" si="33"/>
        <v>0</v>
      </c>
      <c r="M555" s="87"/>
    </row>
    <row r="556" spans="1:13" x14ac:dyDescent="0.25">
      <c r="A556" s="86"/>
      <c r="B556" s="344"/>
      <c r="C556" s="2">
        <v>3</v>
      </c>
      <c r="D556" s="2">
        <v>3.01</v>
      </c>
      <c r="E556" s="2"/>
      <c r="F556" s="2"/>
      <c r="G556" s="2">
        <f t="shared" si="28"/>
        <v>9.0299999999999994</v>
      </c>
      <c r="H556" s="2">
        <f t="shared" si="29"/>
        <v>0</v>
      </c>
      <c r="I556" s="2">
        <f t="shared" si="30"/>
        <v>9.0299999999999994</v>
      </c>
      <c r="J556" s="2">
        <f t="shared" si="31"/>
        <v>0</v>
      </c>
      <c r="K556" s="2">
        <f t="shared" si="32"/>
        <v>9.0299999999999994</v>
      </c>
      <c r="L556" s="2">
        <f t="shared" si="33"/>
        <v>0</v>
      </c>
      <c r="M556" s="87"/>
    </row>
    <row r="557" spans="1:13" x14ac:dyDescent="0.25">
      <c r="A557" s="86"/>
      <c r="B557" s="344"/>
      <c r="C557" s="2">
        <v>3</v>
      </c>
      <c r="D557" s="2">
        <v>3.01</v>
      </c>
      <c r="E557" s="2"/>
      <c r="F557" s="2"/>
      <c r="G557" s="2">
        <f t="shared" ref="G557" si="35">C557*D557-E557</f>
        <v>9.0299999999999994</v>
      </c>
      <c r="H557" s="2">
        <f t="shared" ref="H557" si="36">IF(E557&gt;0,G557,0)</f>
        <v>0</v>
      </c>
      <c r="I557" s="2">
        <f t="shared" ref="I557" si="37">IF(E557=0,G557,0)</f>
        <v>9.0299999999999994</v>
      </c>
      <c r="J557" s="2">
        <f t="shared" si="31"/>
        <v>0</v>
      </c>
      <c r="K557" s="2">
        <f t="shared" si="32"/>
        <v>9.0299999999999994</v>
      </c>
      <c r="L557" s="2">
        <f t="shared" si="33"/>
        <v>0</v>
      </c>
      <c r="M557" s="87"/>
    </row>
    <row r="558" spans="1:13" x14ac:dyDescent="0.25">
      <c r="A558" s="86"/>
      <c r="B558" s="343"/>
      <c r="C558" s="2">
        <v>1.5</v>
      </c>
      <c r="D558" s="2">
        <v>3.01</v>
      </c>
      <c r="E558" s="2">
        <f t="shared" ref="E558:E559" si="38">0.9*2.1</f>
        <v>1.8900000000000001</v>
      </c>
      <c r="F558" s="2" t="s">
        <v>360</v>
      </c>
      <c r="G558" s="2">
        <f t="shared" si="28"/>
        <v>2.6249999999999996</v>
      </c>
      <c r="H558" s="2">
        <f t="shared" si="29"/>
        <v>2.6249999999999996</v>
      </c>
      <c r="I558" s="2">
        <f t="shared" si="30"/>
        <v>0</v>
      </c>
      <c r="J558" s="2">
        <f t="shared" si="31"/>
        <v>2.6249999999999996</v>
      </c>
      <c r="K558" s="2">
        <f t="shared" si="32"/>
        <v>0</v>
      </c>
      <c r="L558" s="2">
        <f t="shared" si="33"/>
        <v>0</v>
      </c>
      <c r="M558" s="87"/>
    </row>
    <row r="559" spans="1:13" x14ac:dyDescent="0.25">
      <c r="A559" s="86"/>
      <c r="B559" s="342" t="s">
        <v>361</v>
      </c>
      <c r="C559" s="2">
        <v>2.9</v>
      </c>
      <c r="D559" s="2">
        <v>3.01</v>
      </c>
      <c r="E559" s="2">
        <f t="shared" si="38"/>
        <v>1.8900000000000001</v>
      </c>
      <c r="F559" s="2" t="s">
        <v>360</v>
      </c>
      <c r="G559" s="2">
        <f t="shared" si="28"/>
        <v>6.8389999999999986</v>
      </c>
      <c r="H559" s="2">
        <f t="shared" si="29"/>
        <v>6.8389999999999986</v>
      </c>
      <c r="I559" s="2">
        <f t="shared" si="30"/>
        <v>0</v>
      </c>
      <c r="J559" s="2">
        <f t="shared" si="31"/>
        <v>0</v>
      </c>
      <c r="K559" s="2">
        <f t="shared" si="32"/>
        <v>6.8389999999999986</v>
      </c>
      <c r="L559" s="2">
        <f t="shared" si="33"/>
        <v>0</v>
      </c>
      <c r="M559" s="87"/>
    </row>
    <row r="560" spans="1:13" x14ac:dyDescent="0.25">
      <c r="A560" s="86"/>
      <c r="B560" s="344"/>
      <c r="C560" s="2">
        <v>4.3499999999999996</v>
      </c>
      <c r="D560" s="2">
        <v>3.01</v>
      </c>
      <c r="E560" s="2"/>
      <c r="F560" s="2"/>
      <c r="G560" s="2">
        <f t="shared" si="28"/>
        <v>13.093499999999999</v>
      </c>
      <c r="H560" s="2">
        <f t="shared" si="29"/>
        <v>0</v>
      </c>
      <c r="I560" s="2">
        <f t="shared" si="30"/>
        <v>13.093499999999999</v>
      </c>
      <c r="J560" s="2">
        <f t="shared" si="31"/>
        <v>0</v>
      </c>
      <c r="K560" s="2">
        <f t="shared" si="32"/>
        <v>0</v>
      </c>
      <c r="L560" s="2">
        <f t="shared" si="33"/>
        <v>13.093499999999999</v>
      </c>
      <c r="M560" s="87"/>
    </row>
    <row r="561" spans="1:13" x14ac:dyDescent="0.25">
      <c r="A561" s="86"/>
      <c r="B561" s="344"/>
      <c r="C561" s="2">
        <v>2.9</v>
      </c>
      <c r="D561" s="2">
        <v>3.01</v>
      </c>
      <c r="E561" s="2">
        <f>1.2*1</f>
        <v>1.2</v>
      </c>
      <c r="F561" s="2" t="s">
        <v>362</v>
      </c>
      <c r="G561" s="2">
        <f t="shared" si="28"/>
        <v>7.528999999999999</v>
      </c>
      <c r="H561" s="2">
        <f t="shared" si="29"/>
        <v>7.528999999999999</v>
      </c>
      <c r="I561" s="2">
        <f t="shared" si="30"/>
        <v>0</v>
      </c>
      <c r="J561" s="2">
        <f t="shared" si="31"/>
        <v>0</v>
      </c>
      <c r="K561" s="2">
        <f t="shared" si="32"/>
        <v>7.528999999999999</v>
      </c>
      <c r="L561" s="2">
        <f t="shared" si="33"/>
        <v>0</v>
      </c>
      <c r="M561" s="87"/>
    </row>
    <row r="562" spans="1:13" x14ac:dyDescent="0.25">
      <c r="A562" s="86"/>
      <c r="B562" s="343"/>
      <c r="C562" s="2">
        <v>4.3499999999999996</v>
      </c>
      <c r="D562" s="2">
        <v>3.01</v>
      </c>
      <c r="E562" s="2"/>
      <c r="F562" s="2"/>
      <c r="G562" s="2">
        <f t="shared" si="28"/>
        <v>13.093499999999999</v>
      </c>
      <c r="H562" s="2">
        <f t="shared" si="29"/>
        <v>0</v>
      </c>
      <c r="I562" s="2">
        <f t="shared" si="30"/>
        <v>13.093499999999999</v>
      </c>
      <c r="J562" s="2">
        <f t="shared" si="31"/>
        <v>0</v>
      </c>
      <c r="K562" s="2">
        <f t="shared" si="32"/>
        <v>0</v>
      </c>
      <c r="L562" s="2">
        <f t="shared" si="33"/>
        <v>13.093499999999999</v>
      </c>
      <c r="M562" s="87"/>
    </row>
    <row r="563" spans="1:13" x14ac:dyDescent="0.25">
      <c r="A563" s="86"/>
      <c r="B563" s="342" t="s">
        <v>363</v>
      </c>
      <c r="C563" s="2">
        <v>2.9</v>
      </c>
      <c r="D563" s="2">
        <v>3.01</v>
      </c>
      <c r="E563" s="2">
        <f t="shared" ref="E563" si="39">0.9*2.1</f>
        <v>1.8900000000000001</v>
      </c>
      <c r="F563" s="2" t="s">
        <v>360</v>
      </c>
      <c r="G563" s="2">
        <f t="shared" ref="G563:G578" si="40">C563*D563-E563</f>
        <v>6.8389999999999986</v>
      </c>
      <c r="H563" s="2">
        <f t="shared" ref="H563:H578" si="41">IF(E563&gt;0,G563,0)</f>
        <v>6.8389999999999986</v>
      </c>
      <c r="I563" s="2">
        <f t="shared" ref="I563:I578" si="42">IF(E563=0,G563,0)</f>
        <v>0</v>
      </c>
      <c r="J563" s="2">
        <f t="shared" si="31"/>
        <v>0</v>
      </c>
      <c r="K563" s="2">
        <f t="shared" si="32"/>
        <v>6.8389999999999986</v>
      </c>
      <c r="L563" s="2">
        <f t="shared" si="33"/>
        <v>0</v>
      </c>
      <c r="M563" s="87"/>
    </row>
    <row r="564" spans="1:13" x14ac:dyDescent="0.25">
      <c r="A564" s="86"/>
      <c r="B564" s="344"/>
      <c r="C564" s="2">
        <v>4.3499999999999996</v>
      </c>
      <c r="D564" s="2">
        <v>3.01</v>
      </c>
      <c r="E564" s="2"/>
      <c r="F564" s="2"/>
      <c r="G564" s="2">
        <f t="shared" si="40"/>
        <v>13.093499999999999</v>
      </c>
      <c r="H564" s="2">
        <f t="shared" si="41"/>
        <v>0</v>
      </c>
      <c r="I564" s="2">
        <f t="shared" si="42"/>
        <v>13.093499999999999</v>
      </c>
      <c r="J564" s="2">
        <f t="shared" si="31"/>
        <v>0</v>
      </c>
      <c r="K564" s="2">
        <f t="shared" si="32"/>
        <v>0</v>
      </c>
      <c r="L564" s="2">
        <f t="shared" si="33"/>
        <v>13.093499999999999</v>
      </c>
      <c r="M564" s="87"/>
    </row>
    <row r="565" spans="1:13" x14ac:dyDescent="0.25">
      <c r="A565" s="86"/>
      <c r="B565" s="344"/>
      <c r="C565" s="2">
        <v>2.9</v>
      </c>
      <c r="D565" s="2">
        <v>3.01</v>
      </c>
      <c r="E565" s="2">
        <f>1.2*1</f>
        <v>1.2</v>
      </c>
      <c r="F565" s="2" t="s">
        <v>362</v>
      </c>
      <c r="G565" s="2">
        <f t="shared" si="40"/>
        <v>7.528999999999999</v>
      </c>
      <c r="H565" s="2">
        <f t="shared" si="41"/>
        <v>7.528999999999999</v>
      </c>
      <c r="I565" s="2">
        <f t="shared" si="42"/>
        <v>0</v>
      </c>
      <c r="J565" s="2">
        <f t="shared" si="31"/>
        <v>0</v>
      </c>
      <c r="K565" s="2">
        <f t="shared" si="32"/>
        <v>7.528999999999999</v>
      </c>
      <c r="L565" s="2">
        <f t="shared" si="33"/>
        <v>0</v>
      </c>
      <c r="M565" s="87"/>
    </row>
    <row r="566" spans="1:13" x14ac:dyDescent="0.25">
      <c r="A566" s="86"/>
      <c r="B566" s="343"/>
      <c r="C566" s="2">
        <v>4.3499999999999996</v>
      </c>
      <c r="D566" s="2">
        <v>3.01</v>
      </c>
      <c r="E566" s="2"/>
      <c r="F566" s="2"/>
      <c r="G566" s="2">
        <f t="shared" si="40"/>
        <v>13.093499999999999</v>
      </c>
      <c r="H566" s="2">
        <f t="shared" si="41"/>
        <v>0</v>
      </c>
      <c r="I566" s="2">
        <f t="shared" si="42"/>
        <v>13.093499999999999</v>
      </c>
      <c r="J566" s="2">
        <f t="shared" si="31"/>
        <v>0</v>
      </c>
      <c r="K566" s="2">
        <f t="shared" si="32"/>
        <v>0</v>
      </c>
      <c r="L566" s="2">
        <f t="shared" si="33"/>
        <v>13.093499999999999</v>
      </c>
      <c r="M566" s="87"/>
    </row>
    <row r="567" spans="1:13" x14ac:dyDescent="0.25">
      <c r="A567" s="86"/>
      <c r="B567" s="342" t="s">
        <v>364</v>
      </c>
      <c r="C567" s="2">
        <v>2.9</v>
      </c>
      <c r="D567" s="2">
        <v>3.01</v>
      </c>
      <c r="E567" s="2">
        <f t="shared" ref="E567" si="43">0.9*2.1</f>
        <v>1.8900000000000001</v>
      </c>
      <c r="F567" s="2" t="s">
        <v>360</v>
      </c>
      <c r="G567" s="2">
        <f t="shared" si="40"/>
        <v>6.8389999999999986</v>
      </c>
      <c r="H567" s="2">
        <f t="shared" si="41"/>
        <v>6.8389999999999986</v>
      </c>
      <c r="I567" s="2">
        <f t="shared" si="42"/>
        <v>0</v>
      </c>
      <c r="J567" s="2">
        <f t="shared" si="31"/>
        <v>0</v>
      </c>
      <c r="K567" s="2">
        <f t="shared" si="32"/>
        <v>6.8389999999999986</v>
      </c>
      <c r="L567" s="2">
        <f t="shared" si="33"/>
        <v>0</v>
      </c>
      <c r="M567" s="87"/>
    </row>
    <row r="568" spans="1:13" x14ac:dyDescent="0.25">
      <c r="A568" s="86"/>
      <c r="B568" s="344"/>
      <c r="C568" s="2">
        <v>4.3499999999999996</v>
      </c>
      <c r="D568" s="2">
        <v>3.01</v>
      </c>
      <c r="E568" s="2"/>
      <c r="F568" s="2"/>
      <c r="G568" s="2">
        <f t="shared" si="40"/>
        <v>13.093499999999999</v>
      </c>
      <c r="H568" s="2">
        <f t="shared" si="41"/>
        <v>0</v>
      </c>
      <c r="I568" s="2">
        <f t="shared" si="42"/>
        <v>13.093499999999999</v>
      </c>
      <c r="J568" s="2">
        <f t="shared" si="31"/>
        <v>0</v>
      </c>
      <c r="K568" s="2">
        <f t="shared" si="32"/>
        <v>0</v>
      </c>
      <c r="L568" s="2">
        <f t="shared" si="33"/>
        <v>13.093499999999999</v>
      </c>
      <c r="M568" s="87"/>
    </row>
    <row r="569" spans="1:13" x14ac:dyDescent="0.25">
      <c r="A569" s="86"/>
      <c r="B569" s="344"/>
      <c r="C569" s="2">
        <v>2.9</v>
      </c>
      <c r="D569" s="2">
        <v>3.01</v>
      </c>
      <c r="E569" s="2">
        <f>1.2*1</f>
        <v>1.2</v>
      </c>
      <c r="F569" s="2" t="s">
        <v>362</v>
      </c>
      <c r="G569" s="2">
        <f t="shared" si="40"/>
        <v>7.528999999999999</v>
      </c>
      <c r="H569" s="2">
        <f t="shared" si="41"/>
        <v>7.528999999999999</v>
      </c>
      <c r="I569" s="2">
        <f t="shared" si="42"/>
        <v>0</v>
      </c>
      <c r="J569" s="2">
        <f t="shared" si="31"/>
        <v>0</v>
      </c>
      <c r="K569" s="2">
        <f t="shared" si="32"/>
        <v>7.528999999999999</v>
      </c>
      <c r="L569" s="2">
        <f t="shared" si="33"/>
        <v>0</v>
      </c>
      <c r="M569" s="87"/>
    </row>
    <row r="570" spans="1:13" x14ac:dyDescent="0.25">
      <c r="A570" s="86"/>
      <c r="B570" s="343"/>
      <c r="C570" s="2">
        <v>4.3499999999999996</v>
      </c>
      <c r="D570" s="2">
        <v>3.01</v>
      </c>
      <c r="E570" s="2"/>
      <c r="F570" s="2"/>
      <c r="G570" s="2">
        <f t="shared" si="40"/>
        <v>13.093499999999999</v>
      </c>
      <c r="H570" s="2">
        <f t="shared" si="41"/>
        <v>0</v>
      </c>
      <c r="I570" s="2">
        <f t="shared" si="42"/>
        <v>13.093499999999999</v>
      </c>
      <c r="J570" s="2">
        <f t="shared" si="31"/>
        <v>0</v>
      </c>
      <c r="K570" s="2">
        <f t="shared" si="32"/>
        <v>0</v>
      </c>
      <c r="L570" s="2">
        <f t="shared" si="33"/>
        <v>13.093499999999999</v>
      </c>
      <c r="M570" s="87"/>
    </row>
    <row r="571" spans="1:13" x14ac:dyDescent="0.25">
      <c r="A571" s="86"/>
      <c r="B571" s="342" t="s">
        <v>365</v>
      </c>
      <c r="C571" s="2">
        <v>2.9</v>
      </c>
      <c r="D571" s="2">
        <v>3.01</v>
      </c>
      <c r="E571" s="2">
        <f t="shared" ref="E571" si="44">0.9*2.1</f>
        <v>1.8900000000000001</v>
      </c>
      <c r="F571" s="2" t="s">
        <v>360</v>
      </c>
      <c r="G571" s="2">
        <f t="shared" si="40"/>
        <v>6.8389999999999986</v>
      </c>
      <c r="H571" s="2">
        <f t="shared" si="41"/>
        <v>6.8389999999999986</v>
      </c>
      <c r="I571" s="2">
        <f t="shared" si="42"/>
        <v>0</v>
      </c>
      <c r="J571" s="2">
        <f t="shared" si="31"/>
        <v>0</v>
      </c>
      <c r="K571" s="2">
        <f t="shared" si="32"/>
        <v>6.8389999999999986</v>
      </c>
      <c r="L571" s="2">
        <f t="shared" si="33"/>
        <v>0</v>
      </c>
      <c r="M571" s="87"/>
    </row>
    <row r="572" spans="1:13" x14ac:dyDescent="0.25">
      <c r="A572" s="86"/>
      <c r="B572" s="344"/>
      <c r="C572" s="2">
        <v>4.3499999999999996</v>
      </c>
      <c r="D572" s="2">
        <v>3.01</v>
      </c>
      <c r="E572" s="2"/>
      <c r="F572" s="2"/>
      <c r="G572" s="2">
        <f t="shared" si="40"/>
        <v>13.093499999999999</v>
      </c>
      <c r="H572" s="2">
        <f t="shared" si="41"/>
        <v>0</v>
      </c>
      <c r="I572" s="2">
        <f t="shared" si="42"/>
        <v>13.093499999999999</v>
      </c>
      <c r="J572" s="2">
        <f t="shared" si="31"/>
        <v>0</v>
      </c>
      <c r="K572" s="2">
        <f t="shared" si="32"/>
        <v>0</v>
      </c>
      <c r="L572" s="2">
        <f t="shared" si="33"/>
        <v>13.093499999999999</v>
      </c>
      <c r="M572" s="87"/>
    </row>
    <row r="573" spans="1:13" x14ac:dyDescent="0.25">
      <c r="A573" s="86"/>
      <c r="B573" s="344"/>
      <c r="C573" s="2">
        <v>2.9</v>
      </c>
      <c r="D573" s="2">
        <v>3.01</v>
      </c>
      <c r="E573" s="2">
        <f>1.2*1</f>
        <v>1.2</v>
      </c>
      <c r="F573" s="2" t="s">
        <v>362</v>
      </c>
      <c r="G573" s="2">
        <f t="shared" si="40"/>
        <v>7.528999999999999</v>
      </c>
      <c r="H573" s="2">
        <f t="shared" si="41"/>
        <v>7.528999999999999</v>
      </c>
      <c r="I573" s="2">
        <f t="shared" si="42"/>
        <v>0</v>
      </c>
      <c r="J573" s="2">
        <f t="shared" si="31"/>
        <v>0</v>
      </c>
      <c r="K573" s="2">
        <f t="shared" si="32"/>
        <v>7.528999999999999</v>
      </c>
      <c r="L573" s="2">
        <f t="shared" si="33"/>
        <v>0</v>
      </c>
      <c r="M573" s="87"/>
    </row>
    <row r="574" spans="1:13" x14ac:dyDescent="0.25">
      <c r="A574" s="86"/>
      <c r="B574" s="343"/>
      <c r="C574" s="2">
        <v>4.3499999999999996</v>
      </c>
      <c r="D574" s="2">
        <v>3.01</v>
      </c>
      <c r="E574" s="2"/>
      <c r="F574" s="2"/>
      <c r="G574" s="2">
        <f t="shared" si="40"/>
        <v>13.093499999999999</v>
      </c>
      <c r="H574" s="2">
        <f t="shared" si="41"/>
        <v>0</v>
      </c>
      <c r="I574" s="2">
        <f t="shared" si="42"/>
        <v>13.093499999999999</v>
      </c>
      <c r="J574" s="2">
        <f t="shared" si="31"/>
        <v>0</v>
      </c>
      <c r="K574" s="2">
        <f t="shared" si="32"/>
        <v>0</v>
      </c>
      <c r="L574" s="2">
        <f t="shared" si="33"/>
        <v>13.093499999999999</v>
      </c>
      <c r="M574" s="87"/>
    </row>
    <row r="575" spans="1:13" x14ac:dyDescent="0.25">
      <c r="A575" s="86"/>
      <c r="B575" s="342" t="s">
        <v>366</v>
      </c>
      <c r="C575" s="2">
        <v>2.9</v>
      </c>
      <c r="D575" s="2">
        <v>3.01</v>
      </c>
      <c r="E575" s="2">
        <f t="shared" ref="E575" si="45">0.9*2.1</f>
        <v>1.8900000000000001</v>
      </c>
      <c r="F575" s="2" t="s">
        <v>360</v>
      </c>
      <c r="G575" s="2">
        <f t="shared" si="40"/>
        <v>6.8389999999999986</v>
      </c>
      <c r="H575" s="2">
        <f t="shared" si="41"/>
        <v>6.8389999999999986</v>
      </c>
      <c r="I575" s="2">
        <f t="shared" si="42"/>
        <v>0</v>
      </c>
      <c r="J575" s="2">
        <f t="shared" si="31"/>
        <v>0</v>
      </c>
      <c r="K575" s="2">
        <f t="shared" si="32"/>
        <v>6.8389999999999986</v>
      </c>
      <c r="L575" s="2">
        <f t="shared" si="33"/>
        <v>0</v>
      </c>
      <c r="M575" s="87"/>
    </row>
    <row r="576" spans="1:13" x14ac:dyDescent="0.25">
      <c r="A576" s="86"/>
      <c r="B576" s="344"/>
      <c r="C576" s="2">
        <v>4.3499999999999996</v>
      </c>
      <c r="D576" s="2">
        <v>3.01</v>
      </c>
      <c r="E576" s="2"/>
      <c r="F576" s="2"/>
      <c r="G576" s="2">
        <f t="shared" si="40"/>
        <v>13.093499999999999</v>
      </c>
      <c r="H576" s="2">
        <f t="shared" si="41"/>
        <v>0</v>
      </c>
      <c r="I576" s="2">
        <f t="shared" si="42"/>
        <v>13.093499999999999</v>
      </c>
      <c r="J576" s="2">
        <f t="shared" si="31"/>
        <v>0</v>
      </c>
      <c r="K576" s="2">
        <f t="shared" si="32"/>
        <v>0</v>
      </c>
      <c r="L576" s="2">
        <f t="shared" si="33"/>
        <v>13.093499999999999</v>
      </c>
      <c r="M576" s="87"/>
    </row>
    <row r="577" spans="1:13" x14ac:dyDescent="0.25">
      <c r="A577" s="86"/>
      <c r="B577" s="344"/>
      <c r="C577" s="2">
        <v>2.9</v>
      </c>
      <c r="D577" s="2">
        <v>3.01</v>
      </c>
      <c r="E577" s="2">
        <f>1.2*1</f>
        <v>1.2</v>
      </c>
      <c r="F577" s="2" t="s">
        <v>362</v>
      </c>
      <c r="G577" s="2">
        <f t="shared" si="40"/>
        <v>7.528999999999999</v>
      </c>
      <c r="H577" s="2">
        <f t="shared" si="41"/>
        <v>7.528999999999999</v>
      </c>
      <c r="I577" s="2">
        <f t="shared" si="42"/>
        <v>0</v>
      </c>
      <c r="J577" s="2">
        <f t="shared" si="31"/>
        <v>0</v>
      </c>
      <c r="K577" s="2">
        <f t="shared" si="32"/>
        <v>7.528999999999999</v>
      </c>
      <c r="L577" s="2">
        <f t="shared" si="33"/>
        <v>0</v>
      </c>
      <c r="M577" s="87"/>
    </row>
    <row r="578" spans="1:13" x14ac:dyDescent="0.25">
      <c r="A578" s="86"/>
      <c r="B578" s="343"/>
      <c r="C578" s="2">
        <v>4.3499999999999996</v>
      </c>
      <c r="D578" s="2">
        <v>3.01</v>
      </c>
      <c r="E578" s="2"/>
      <c r="F578" s="2"/>
      <c r="G578" s="2">
        <f t="shared" si="40"/>
        <v>13.093499999999999</v>
      </c>
      <c r="H578" s="2">
        <f t="shared" si="41"/>
        <v>0</v>
      </c>
      <c r="I578" s="2">
        <f t="shared" si="42"/>
        <v>13.093499999999999</v>
      </c>
      <c r="J578" s="2">
        <f t="shared" si="31"/>
        <v>0</v>
      </c>
      <c r="K578" s="2">
        <f t="shared" si="32"/>
        <v>0</v>
      </c>
      <c r="L578" s="2">
        <f t="shared" si="33"/>
        <v>13.093499999999999</v>
      </c>
      <c r="M578" s="87"/>
    </row>
    <row r="579" spans="1:13" x14ac:dyDescent="0.25">
      <c r="A579" s="86"/>
      <c r="B579" s="342" t="s">
        <v>329</v>
      </c>
      <c r="C579" s="2">
        <v>4.37</v>
      </c>
      <c r="D579" s="2">
        <v>3.01</v>
      </c>
      <c r="E579" s="2"/>
      <c r="F579" s="2"/>
      <c r="G579" s="2">
        <f t="shared" si="28"/>
        <v>13.153699999999999</v>
      </c>
      <c r="H579" s="2">
        <f t="shared" si="29"/>
        <v>0</v>
      </c>
      <c r="I579" s="2">
        <f t="shared" si="30"/>
        <v>13.153699999999999</v>
      </c>
      <c r="J579" s="2">
        <f t="shared" si="31"/>
        <v>0</v>
      </c>
      <c r="K579" s="2">
        <f t="shared" si="32"/>
        <v>0</v>
      </c>
      <c r="L579" s="2">
        <f t="shared" si="33"/>
        <v>13.153699999999999</v>
      </c>
      <c r="M579" s="87"/>
    </row>
    <row r="580" spans="1:13" x14ac:dyDescent="0.25">
      <c r="A580" s="86"/>
      <c r="B580" s="344"/>
      <c r="C580" s="2">
        <v>6.15</v>
      </c>
      <c r="D580" s="2">
        <v>3.01</v>
      </c>
      <c r="E580" s="2">
        <f>3*1.95</f>
        <v>5.85</v>
      </c>
      <c r="F580" s="2" t="s">
        <v>367</v>
      </c>
      <c r="G580" s="2">
        <f t="shared" si="28"/>
        <v>12.661499999999998</v>
      </c>
      <c r="H580" s="2">
        <f t="shared" si="29"/>
        <v>12.661499999999998</v>
      </c>
      <c r="I580" s="2">
        <f t="shared" si="30"/>
        <v>0</v>
      </c>
      <c r="J580" s="2">
        <f t="shared" si="31"/>
        <v>0</v>
      </c>
      <c r="K580" s="2">
        <f t="shared" si="32"/>
        <v>0</v>
      </c>
      <c r="L580" s="2">
        <f t="shared" si="33"/>
        <v>12.661499999999998</v>
      </c>
      <c r="M580" s="87"/>
    </row>
    <row r="581" spans="1:13" x14ac:dyDescent="0.25">
      <c r="A581" s="86"/>
      <c r="B581" s="344"/>
      <c r="C581" s="2">
        <v>11</v>
      </c>
      <c r="D581" s="2">
        <v>3.01</v>
      </c>
      <c r="E581" s="2"/>
      <c r="F581" s="2"/>
      <c r="G581" s="2">
        <f t="shared" si="28"/>
        <v>33.11</v>
      </c>
      <c r="H581" s="2">
        <f t="shared" si="29"/>
        <v>0</v>
      </c>
      <c r="I581" s="2">
        <f t="shared" si="30"/>
        <v>33.11</v>
      </c>
      <c r="J581" s="2">
        <f t="shared" si="31"/>
        <v>0</v>
      </c>
      <c r="K581" s="2">
        <f t="shared" si="32"/>
        <v>0</v>
      </c>
      <c r="L581" s="2">
        <f t="shared" si="33"/>
        <v>33.11</v>
      </c>
      <c r="M581" s="87"/>
    </row>
    <row r="582" spans="1:13" x14ac:dyDescent="0.25">
      <c r="A582" s="86"/>
      <c r="B582" s="344"/>
      <c r="C582" s="2">
        <v>1.5</v>
      </c>
      <c r="D582" s="2">
        <v>3.01</v>
      </c>
      <c r="E582" s="2">
        <f>0.8*2.1</f>
        <v>1.6800000000000002</v>
      </c>
      <c r="F582" s="2" t="s">
        <v>368</v>
      </c>
      <c r="G582" s="2">
        <f t="shared" si="28"/>
        <v>2.8349999999999995</v>
      </c>
      <c r="H582" s="2">
        <f t="shared" si="29"/>
        <v>2.8349999999999995</v>
      </c>
      <c r="I582" s="2">
        <f t="shared" si="30"/>
        <v>0</v>
      </c>
      <c r="J582" s="2">
        <f t="shared" si="31"/>
        <v>2.8349999999999995</v>
      </c>
      <c r="K582" s="2">
        <f t="shared" si="32"/>
        <v>0</v>
      </c>
      <c r="L582" s="2">
        <f t="shared" si="33"/>
        <v>0</v>
      </c>
      <c r="M582" s="87"/>
    </row>
    <row r="583" spans="1:13" x14ac:dyDescent="0.25">
      <c r="A583" s="86"/>
      <c r="B583" s="344"/>
      <c r="C583" s="2">
        <v>2</v>
      </c>
      <c r="D583" s="2">
        <v>3.01</v>
      </c>
      <c r="E583" s="2"/>
      <c r="F583" s="2"/>
      <c r="G583" s="2">
        <f t="shared" si="28"/>
        <v>6.02</v>
      </c>
      <c r="H583" s="2">
        <f t="shared" si="29"/>
        <v>0</v>
      </c>
      <c r="I583" s="2">
        <f t="shared" si="30"/>
        <v>6.02</v>
      </c>
      <c r="J583" s="2">
        <f t="shared" si="31"/>
        <v>0</v>
      </c>
      <c r="K583" s="2">
        <f t="shared" si="32"/>
        <v>6.02</v>
      </c>
      <c r="L583" s="2">
        <f t="shared" si="33"/>
        <v>0</v>
      </c>
      <c r="M583" s="87"/>
    </row>
    <row r="584" spans="1:13" x14ac:dyDescent="0.25">
      <c r="A584" s="86"/>
      <c r="B584" s="344"/>
      <c r="C584" s="2">
        <v>1.32</v>
      </c>
      <c r="D584" s="2">
        <v>3.01</v>
      </c>
      <c r="E584" s="2"/>
      <c r="F584" s="2"/>
      <c r="G584" s="2">
        <f t="shared" si="28"/>
        <v>3.9731999999999998</v>
      </c>
      <c r="H584" s="2">
        <f t="shared" si="29"/>
        <v>0</v>
      </c>
      <c r="I584" s="2">
        <f t="shared" si="30"/>
        <v>3.9731999999999998</v>
      </c>
      <c r="J584" s="2">
        <f t="shared" si="31"/>
        <v>3.9731999999999998</v>
      </c>
      <c r="K584" s="2">
        <f t="shared" si="32"/>
        <v>0</v>
      </c>
      <c r="L584" s="2">
        <f t="shared" si="33"/>
        <v>0</v>
      </c>
      <c r="M584" s="87"/>
    </row>
    <row r="585" spans="1:13" x14ac:dyDescent="0.25">
      <c r="A585" s="86"/>
      <c r="B585" s="344"/>
      <c r="C585" s="2">
        <v>0.67</v>
      </c>
      <c r="D585" s="2">
        <v>3.01</v>
      </c>
      <c r="E585" s="2"/>
      <c r="F585" s="2"/>
      <c r="G585" s="2">
        <f t="shared" ref="G585:G588" si="46">C585*D585-E585</f>
        <v>2.0167000000000002</v>
      </c>
      <c r="H585" s="2">
        <f t="shared" ref="H585:H588" si="47">IF(E585&gt;0,G585,0)</f>
        <v>0</v>
      </c>
      <c r="I585" s="2">
        <f t="shared" ref="I585:I588" si="48">IF(E585=0,G585,0)</f>
        <v>2.0167000000000002</v>
      </c>
      <c r="J585" s="2">
        <f t="shared" si="31"/>
        <v>2.0167000000000002</v>
      </c>
      <c r="K585" s="2">
        <f t="shared" si="32"/>
        <v>0</v>
      </c>
      <c r="L585" s="2">
        <f t="shared" si="33"/>
        <v>0</v>
      </c>
      <c r="M585" s="87"/>
    </row>
    <row r="586" spans="1:13" x14ac:dyDescent="0.25">
      <c r="A586" s="86"/>
      <c r="B586" s="344"/>
      <c r="C586" s="2">
        <v>0.92</v>
      </c>
      <c r="D586" s="2">
        <v>3.01</v>
      </c>
      <c r="E586" s="2"/>
      <c r="F586" s="2"/>
      <c r="G586" s="2">
        <f t="shared" si="46"/>
        <v>2.7692000000000001</v>
      </c>
      <c r="H586" s="2">
        <f t="shared" si="47"/>
        <v>0</v>
      </c>
      <c r="I586" s="2">
        <f t="shared" si="48"/>
        <v>2.7692000000000001</v>
      </c>
      <c r="J586" s="2">
        <f t="shared" si="31"/>
        <v>2.7692000000000001</v>
      </c>
      <c r="K586" s="2">
        <f t="shared" si="32"/>
        <v>0</v>
      </c>
      <c r="L586" s="2">
        <f t="shared" si="33"/>
        <v>0</v>
      </c>
      <c r="M586" s="87"/>
    </row>
    <row r="587" spans="1:13" x14ac:dyDescent="0.25">
      <c r="A587" s="86"/>
      <c r="B587" s="344"/>
      <c r="C587" s="2">
        <v>2.4500000000000002</v>
      </c>
      <c r="D587" s="2">
        <v>3.01</v>
      </c>
      <c r="E587" s="2">
        <f>2.45*2.1</f>
        <v>5.1450000000000005</v>
      </c>
      <c r="F587" s="2" t="s">
        <v>369</v>
      </c>
      <c r="G587" s="2">
        <f t="shared" si="46"/>
        <v>2.2294999999999998</v>
      </c>
      <c r="H587" s="2">
        <f t="shared" si="47"/>
        <v>2.2294999999999998</v>
      </c>
      <c r="I587" s="2">
        <f t="shared" si="48"/>
        <v>0</v>
      </c>
      <c r="J587" s="2">
        <f t="shared" si="31"/>
        <v>2.2294999999999998</v>
      </c>
      <c r="K587" s="2">
        <f t="shared" si="32"/>
        <v>0</v>
      </c>
      <c r="L587" s="2">
        <f t="shared" si="33"/>
        <v>0</v>
      </c>
      <c r="M587" s="87"/>
    </row>
    <row r="588" spans="1:13" x14ac:dyDescent="0.25">
      <c r="A588" s="86"/>
      <c r="B588" s="344"/>
      <c r="C588" s="2">
        <v>1.74</v>
      </c>
      <c r="D588" s="2">
        <v>3.01</v>
      </c>
      <c r="E588" s="2"/>
      <c r="F588" s="2"/>
      <c r="G588" s="2">
        <f t="shared" si="46"/>
        <v>5.2373999999999992</v>
      </c>
      <c r="H588" s="2">
        <f t="shared" si="47"/>
        <v>0</v>
      </c>
      <c r="I588" s="2">
        <f t="shared" si="48"/>
        <v>5.2373999999999992</v>
      </c>
      <c r="J588" s="2">
        <f t="shared" si="31"/>
        <v>0</v>
      </c>
      <c r="K588" s="2">
        <f t="shared" si="32"/>
        <v>5.2373999999999992</v>
      </c>
      <c r="L588" s="2">
        <f t="shared" si="33"/>
        <v>0</v>
      </c>
      <c r="M588" s="87"/>
    </row>
    <row r="589" spans="1:13" x14ac:dyDescent="0.25">
      <c r="A589" s="86"/>
      <c r="B589" s="342" t="s">
        <v>334</v>
      </c>
      <c r="C589" s="2">
        <v>2.35</v>
      </c>
      <c r="D589" s="2">
        <v>3.01</v>
      </c>
      <c r="E589" s="2"/>
      <c r="F589" s="2"/>
      <c r="G589" s="2">
        <f t="shared" si="28"/>
        <v>7.0735000000000001</v>
      </c>
      <c r="H589" s="2">
        <f t="shared" si="29"/>
        <v>0</v>
      </c>
      <c r="I589" s="2">
        <f t="shared" si="30"/>
        <v>7.0735000000000001</v>
      </c>
      <c r="J589" s="2">
        <f t="shared" si="31"/>
        <v>0</v>
      </c>
      <c r="K589" s="2">
        <f t="shared" si="32"/>
        <v>7.0735000000000001</v>
      </c>
      <c r="L589" s="2">
        <f t="shared" si="33"/>
        <v>0</v>
      </c>
      <c r="M589" s="87"/>
    </row>
    <row r="590" spans="1:13" x14ac:dyDescent="0.25">
      <c r="A590" s="86"/>
      <c r="B590" s="344"/>
      <c r="C590" s="2">
        <v>1.5</v>
      </c>
      <c r="D590" s="2">
        <v>3.01</v>
      </c>
      <c r="E590" s="2">
        <f>0.6*0.4</f>
        <v>0.24</v>
      </c>
      <c r="F590" s="2" t="s">
        <v>370</v>
      </c>
      <c r="G590" s="2">
        <f t="shared" si="28"/>
        <v>4.2749999999999995</v>
      </c>
      <c r="H590" s="2">
        <f t="shared" si="29"/>
        <v>4.2749999999999995</v>
      </c>
      <c r="I590" s="2">
        <f t="shared" si="30"/>
        <v>0</v>
      </c>
      <c r="J590" s="2">
        <f t="shared" si="31"/>
        <v>4.2749999999999995</v>
      </c>
      <c r="K590" s="2">
        <f t="shared" si="32"/>
        <v>0</v>
      </c>
      <c r="L590" s="2">
        <f t="shared" si="33"/>
        <v>0</v>
      </c>
      <c r="M590" s="87"/>
    </row>
    <row r="591" spans="1:13" x14ac:dyDescent="0.25">
      <c r="A591" s="86"/>
      <c r="B591" s="344"/>
      <c r="C591" s="2">
        <v>1.5</v>
      </c>
      <c r="D591" s="2">
        <v>3.01</v>
      </c>
      <c r="E591" s="2">
        <f>0.8*2.1</f>
        <v>1.6800000000000002</v>
      </c>
      <c r="F591" s="2" t="s">
        <v>368</v>
      </c>
      <c r="G591" s="2">
        <f t="shared" ref="G591" si="49">C591*D591-E591</f>
        <v>2.8349999999999995</v>
      </c>
      <c r="H591" s="2">
        <f t="shared" ref="H591" si="50">IF(E591&gt;0,G591,0)</f>
        <v>2.8349999999999995</v>
      </c>
      <c r="I591" s="2">
        <f t="shared" ref="I591" si="51">IF(E591=0,G591,0)</f>
        <v>0</v>
      </c>
      <c r="J591" s="2">
        <f t="shared" si="31"/>
        <v>2.8349999999999995</v>
      </c>
      <c r="K591" s="2">
        <f t="shared" si="32"/>
        <v>0</v>
      </c>
      <c r="L591" s="2">
        <f t="shared" si="33"/>
        <v>0</v>
      </c>
      <c r="M591" s="87"/>
    </row>
    <row r="592" spans="1:13" x14ac:dyDescent="0.25">
      <c r="A592" s="86"/>
      <c r="B592" s="343"/>
      <c r="C592" s="2">
        <v>2.35</v>
      </c>
      <c r="D592" s="2">
        <v>3.01</v>
      </c>
      <c r="E592" s="2"/>
      <c r="F592" s="2"/>
      <c r="G592" s="2">
        <f t="shared" si="28"/>
        <v>7.0735000000000001</v>
      </c>
      <c r="H592" s="2">
        <f t="shared" si="29"/>
        <v>0</v>
      </c>
      <c r="I592" s="2">
        <f t="shared" si="30"/>
        <v>7.0735000000000001</v>
      </c>
      <c r="J592" s="2">
        <f t="shared" si="31"/>
        <v>0</v>
      </c>
      <c r="K592" s="2">
        <f t="shared" si="32"/>
        <v>7.0735000000000001</v>
      </c>
      <c r="L592" s="2">
        <f t="shared" si="33"/>
        <v>0</v>
      </c>
      <c r="M592" s="87"/>
    </row>
    <row r="593" spans="1:13" x14ac:dyDescent="0.25">
      <c r="A593" s="86"/>
      <c r="B593" s="342" t="s">
        <v>371</v>
      </c>
      <c r="C593" s="2">
        <v>2.9</v>
      </c>
      <c r="D593" s="2">
        <v>3.01</v>
      </c>
      <c r="E593" s="2">
        <f>1.2*1</f>
        <v>1.2</v>
      </c>
      <c r="F593" s="2" t="s">
        <v>362</v>
      </c>
      <c r="G593" s="2">
        <f t="shared" ref="G593:G645" si="52">C593*D593-E593</f>
        <v>7.528999999999999</v>
      </c>
      <c r="H593" s="2">
        <f t="shared" ref="H593:H645" si="53">IF(E593&gt;0,G593,0)</f>
        <v>7.528999999999999</v>
      </c>
      <c r="I593" s="2">
        <f t="shared" ref="I593:I645" si="54">IF(E593=0,G593,0)</f>
        <v>0</v>
      </c>
      <c r="J593" s="2">
        <f t="shared" si="31"/>
        <v>0</v>
      </c>
      <c r="K593" s="2">
        <f t="shared" si="32"/>
        <v>7.528999999999999</v>
      </c>
      <c r="L593" s="2">
        <f t="shared" si="33"/>
        <v>0</v>
      </c>
      <c r="M593" s="87"/>
    </row>
    <row r="594" spans="1:13" x14ac:dyDescent="0.25">
      <c r="A594" s="86"/>
      <c r="B594" s="344"/>
      <c r="C594" s="2">
        <v>4.3499999999999996</v>
      </c>
      <c r="D594" s="2">
        <v>3.01</v>
      </c>
      <c r="E594" s="2"/>
      <c r="F594" s="2"/>
      <c r="G594" s="2">
        <f t="shared" si="52"/>
        <v>13.093499999999999</v>
      </c>
      <c r="H594" s="2">
        <f t="shared" si="53"/>
        <v>0</v>
      </c>
      <c r="I594" s="2">
        <f t="shared" si="54"/>
        <v>13.093499999999999</v>
      </c>
      <c r="J594" s="2">
        <f t="shared" si="31"/>
        <v>0</v>
      </c>
      <c r="K594" s="2">
        <f t="shared" si="32"/>
        <v>0</v>
      </c>
      <c r="L594" s="2">
        <f t="shared" si="33"/>
        <v>13.093499999999999</v>
      </c>
      <c r="M594" s="87"/>
    </row>
    <row r="595" spans="1:13" x14ac:dyDescent="0.25">
      <c r="A595" s="86"/>
      <c r="B595" s="344"/>
      <c r="C595" s="2">
        <v>2.9</v>
      </c>
      <c r="D595" s="2">
        <v>3.01</v>
      </c>
      <c r="E595" s="2">
        <f>0.9*2.1</f>
        <v>1.8900000000000001</v>
      </c>
      <c r="F595" s="2" t="s">
        <v>360</v>
      </c>
      <c r="G595" s="2">
        <f t="shared" si="52"/>
        <v>6.8389999999999986</v>
      </c>
      <c r="H595" s="2">
        <f t="shared" si="53"/>
        <v>6.8389999999999986</v>
      </c>
      <c r="I595" s="2">
        <f t="shared" si="54"/>
        <v>0</v>
      </c>
      <c r="J595" s="2">
        <f t="shared" si="31"/>
        <v>0</v>
      </c>
      <c r="K595" s="2">
        <f t="shared" si="32"/>
        <v>6.8389999999999986</v>
      </c>
      <c r="L595" s="2">
        <f t="shared" si="33"/>
        <v>0</v>
      </c>
      <c r="M595" s="87"/>
    </row>
    <row r="596" spans="1:13" x14ac:dyDescent="0.25">
      <c r="A596" s="86"/>
      <c r="B596" s="343"/>
      <c r="C596" s="2">
        <v>4.3499999999999996</v>
      </c>
      <c r="D596" s="2">
        <v>3.01</v>
      </c>
      <c r="E596" s="2"/>
      <c r="F596" s="2"/>
      <c r="G596" s="2">
        <f t="shared" si="52"/>
        <v>13.093499999999999</v>
      </c>
      <c r="H596" s="2">
        <f t="shared" si="53"/>
        <v>0</v>
      </c>
      <c r="I596" s="2">
        <f t="shared" si="54"/>
        <v>13.093499999999999</v>
      </c>
      <c r="J596" s="2">
        <f t="shared" si="31"/>
        <v>0</v>
      </c>
      <c r="K596" s="2">
        <f t="shared" si="32"/>
        <v>0</v>
      </c>
      <c r="L596" s="2">
        <f t="shared" si="33"/>
        <v>13.093499999999999</v>
      </c>
      <c r="M596" s="87"/>
    </row>
    <row r="597" spans="1:13" x14ac:dyDescent="0.25">
      <c r="A597" s="86"/>
      <c r="B597" s="342" t="s">
        <v>372</v>
      </c>
      <c r="C597" s="2">
        <v>2.9</v>
      </c>
      <c r="D597" s="2">
        <v>3.01</v>
      </c>
      <c r="E597" s="2">
        <f>1.2*1</f>
        <v>1.2</v>
      </c>
      <c r="F597" s="2" t="s">
        <v>362</v>
      </c>
      <c r="G597" s="2">
        <f t="shared" si="52"/>
        <v>7.528999999999999</v>
      </c>
      <c r="H597" s="2">
        <f t="shared" si="53"/>
        <v>7.528999999999999</v>
      </c>
      <c r="I597" s="2">
        <f t="shared" si="54"/>
        <v>0</v>
      </c>
      <c r="J597" s="2">
        <f t="shared" si="31"/>
        <v>0</v>
      </c>
      <c r="K597" s="2">
        <f t="shared" si="32"/>
        <v>7.528999999999999</v>
      </c>
      <c r="L597" s="2">
        <f t="shared" si="33"/>
        <v>0</v>
      </c>
      <c r="M597" s="87"/>
    </row>
    <row r="598" spans="1:13" x14ac:dyDescent="0.25">
      <c r="A598" s="86"/>
      <c r="B598" s="344"/>
      <c r="C598" s="2">
        <v>4.3499999999999996</v>
      </c>
      <c r="D598" s="2">
        <v>3.01</v>
      </c>
      <c r="E598" s="2"/>
      <c r="F598" s="2"/>
      <c r="G598" s="2">
        <f t="shared" si="52"/>
        <v>13.093499999999999</v>
      </c>
      <c r="H598" s="2">
        <f t="shared" si="53"/>
        <v>0</v>
      </c>
      <c r="I598" s="2">
        <f t="shared" si="54"/>
        <v>13.093499999999999</v>
      </c>
      <c r="J598" s="2">
        <f t="shared" si="31"/>
        <v>0</v>
      </c>
      <c r="K598" s="2">
        <f t="shared" si="32"/>
        <v>0</v>
      </c>
      <c r="L598" s="2">
        <f t="shared" si="33"/>
        <v>13.093499999999999</v>
      </c>
      <c r="M598" s="87"/>
    </row>
    <row r="599" spans="1:13" x14ac:dyDescent="0.25">
      <c r="A599" s="86"/>
      <c r="B599" s="344"/>
      <c r="C599" s="2">
        <v>2.9</v>
      </c>
      <c r="D599" s="2">
        <v>3.01</v>
      </c>
      <c r="E599" s="2">
        <f>0.9*2.1</f>
        <v>1.8900000000000001</v>
      </c>
      <c r="F599" s="2" t="s">
        <v>360</v>
      </c>
      <c r="G599" s="2">
        <f t="shared" si="52"/>
        <v>6.8389999999999986</v>
      </c>
      <c r="H599" s="2">
        <f t="shared" si="53"/>
        <v>6.8389999999999986</v>
      </c>
      <c r="I599" s="2">
        <f t="shared" si="54"/>
        <v>0</v>
      </c>
      <c r="J599" s="2">
        <f t="shared" si="31"/>
        <v>0</v>
      </c>
      <c r="K599" s="2">
        <f t="shared" si="32"/>
        <v>6.8389999999999986</v>
      </c>
      <c r="L599" s="2">
        <f t="shared" si="33"/>
        <v>0</v>
      </c>
      <c r="M599" s="87"/>
    </row>
    <row r="600" spans="1:13" x14ac:dyDescent="0.25">
      <c r="A600" s="86"/>
      <c r="B600" s="343"/>
      <c r="C600" s="2">
        <v>4.3499999999999996</v>
      </c>
      <c r="D600" s="2">
        <v>3.01</v>
      </c>
      <c r="E600" s="2"/>
      <c r="F600" s="2"/>
      <c r="G600" s="2">
        <f t="shared" si="52"/>
        <v>13.093499999999999</v>
      </c>
      <c r="H600" s="2">
        <f t="shared" si="53"/>
        <v>0</v>
      </c>
      <c r="I600" s="2">
        <f t="shared" si="54"/>
        <v>13.093499999999999</v>
      </c>
      <c r="J600" s="2">
        <f t="shared" si="31"/>
        <v>0</v>
      </c>
      <c r="K600" s="2">
        <f t="shared" si="32"/>
        <v>0</v>
      </c>
      <c r="L600" s="2">
        <f t="shared" si="33"/>
        <v>13.093499999999999</v>
      </c>
      <c r="M600" s="87"/>
    </row>
    <row r="601" spans="1:13" x14ac:dyDescent="0.25">
      <c r="A601" s="86"/>
      <c r="B601" s="342" t="s">
        <v>373</v>
      </c>
      <c r="C601" s="2">
        <v>2.9</v>
      </c>
      <c r="D601" s="2">
        <v>3.01</v>
      </c>
      <c r="E601" s="2">
        <f>1.2*1</f>
        <v>1.2</v>
      </c>
      <c r="F601" s="2" t="s">
        <v>362</v>
      </c>
      <c r="G601" s="2">
        <f t="shared" si="52"/>
        <v>7.528999999999999</v>
      </c>
      <c r="H601" s="2">
        <f t="shared" si="53"/>
        <v>7.528999999999999</v>
      </c>
      <c r="I601" s="2">
        <f t="shared" si="54"/>
        <v>0</v>
      </c>
      <c r="J601" s="2">
        <f t="shared" si="31"/>
        <v>0</v>
      </c>
      <c r="K601" s="2">
        <f t="shared" si="32"/>
        <v>7.528999999999999</v>
      </c>
      <c r="L601" s="2">
        <f t="shared" si="33"/>
        <v>0</v>
      </c>
      <c r="M601" s="87"/>
    </row>
    <row r="602" spans="1:13" x14ac:dyDescent="0.25">
      <c r="A602" s="86"/>
      <c r="B602" s="344"/>
      <c r="C602" s="2">
        <v>4.3499999999999996</v>
      </c>
      <c r="D602" s="2">
        <v>3.01</v>
      </c>
      <c r="E602" s="2"/>
      <c r="F602" s="2"/>
      <c r="G602" s="2">
        <f t="shared" si="52"/>
        <v>13.093499999999999</v>
      </c>
      <c r="H602" s="2">
        <f t="shared" si="53"/>
        <v>0</v>
      </c>
      <c r="I602" s="2">
        <f t="shared" si="54"/>
        <v>13.093499999999999</v>
      </c>
      <c r="J602" s="2">
        <f t="shared" si="31"/>
        <v>0</v>
      </c>
      <c r="K602" s="2">
        <f t="shared" si="32"/>
        <v>0</v>
      </c>
      <c r="L602" s="2">
        <f t="shared" si="33"/>
        <v>13.093499999999999</v>
      </c>
      <c r="M602" s="87"/>
    </row>
    <row r="603" spans="1:13" x14ac:dyDescent="0.25">
      <c r="A603" s="86"/>
      <c r="B603" s="344"/>
      <c r="C603" s="2">
        <v>2.9</v>
      </c>
      <c r="D603" s="2">
        <v>3.01</v>
      </c>
      <c r="E603" s="2">
        <f>0.9*2.1</f>
        <v>1.8900000000000001</v>
      </c>
      <c r="F603" s="2" t="s">
        <v>360</v>
      </c>
      <c r="G603" s="2">
        <f t="shared" si="52"/>
        <v>6.8389999999999986</v>
      </c>
      <c r="H603" s="2">
        <f t="shared" si="53"/>
        <v>6.8389999999999986</v>
      </c>
      <c r="I603" s="2">
        <f t="shared" si="54"/>
        <v>0</v>
      </c>
      <c r="J603" s="2">
        <f t="shared" si="31"/>
        <v>0</v>
      </c>
      <c r="K603" s="2">
        <f t="shared" si="32"/>
        <v>6.8389999999999986</v>
      </c>
      <c r="L603" s="2">
        <f t="shared" si="33"/>
        <v>0</v>
      </c>
      <c r="M603" s="87"/>
    </row>
    <row r="604" spans="1:13" x14ac:dyDescent="0.25">
      <c r="A604" s="86"/>
      <c r="B604" s="343"/>
      <c r="C604" s="2">
        <v>4.3499999999999996</v>
      </c>
      <c r="D604" s="2">
        <v>3.01</v>
      </c>
      <c r="E604" s="2"/>
      <c r="F604" s="2"/>
      <c r="G604" s="2">
        <f t="shared" si="52"/>
        <v>13.093499999999999</v>
      </c>
      <c r="H604" s="2">
        <f t="shared" si="53"/>
        <v>0</v>
      </c>
      <c r="I604" s="2">
        <f t="shared" si="54"/>
        <v>13.093499999999999</v>
      </c>
      <c r="J604" s="2">
        <f t="shared" si="31"/>
        <v>0</v>
      </c>
      <c r="K604" s="2">
        <f t="shared" si="32"/>
        <v>0</v>
      </c>
      <c r="L604" s="2">
        <f t="shared" si="33"/>
        <v>13.093499999999999</v>
      </c>
      <c r="M604" s="87"/>
    </row>
    <row r="605" spans="1:13" x14ac:dyDescent="0.25">
      <c r="A605" s="86"/>
      <c r="B605" s="348" t="s">
        <v>374</v>
      </c>
      <c r="C605" s="2">
        <v>2.9</v>
      </c>
      <c r="D605" s="2">
        <v>3.01</v>
      </c>
      <c r="E605" s="2">
        <f>1.2*1</f>
        <v>1.2</v>
      </c>
      <c r="F605" s="2" t="s">
        <v>362</v>
      </c>
      <c r="G605" s="2">
        <f t="shared" si="52"/>
        <v>7.528999999999999</v>
      </c>
      <c r="H605" s="2">
        <f t="shared" si="53"/>
        <v>7.528999999999999</v>
      </c>
      <c r="I605" s="2">
        <f t="shared" si="54"/>
        <v>0</v>
      </c>
      <c r="J605" s="2">
        <f t="shared" si="31"/>
        <v>0</v>
      </c>
      <c r="K605" s="2">
        <f t="shared" si="32"/>
        <v>7.528999999999999</v>
      </c>
      <c r="L605" s="2">
        <f t="shared" si="33"/>
        <v>0</v>
      </c>
      <c r="M605" s="87"/>
    </row>
    <row r="606" spans="1:13" x14ac:dyDescent="0.25">
      <c r="A606" s="86"/>
      <c r="B606" s="348"/>
      <c r="C606" s="2">
        <v>4.3499999999999996</v>
      </c>
      <c r="D606" s="2">
        <v>3.01</v>
      </c>
      <c r="E606" s="2"/>
      <c r="F606" s="2"/>
      <c r="G606" s="2">
        <f t="shared" si="52"/>
        <v>13.093499999999999</v>
      </c>
      <c r="H606" s="2">
        <f t="shared" si="53"/>
        <v>0</v>
      </c>
      <c r="I606" s="2">
        <f t="shared" si="54"/>
        <v>13.093499999999999</v>
      </c>
      <c r="J606" s="2">
        <f t="shared" si="31"/>
        <v>0</v>
      </c>
      <c r="K606" s="2">
        <f t="shared" si="32"/>
        <v>0</v>
      </c>
      <c r="L606" s="2">
        <f t="shared" si="33"/>
        <v>13.093499999999999</v>
      </c>
      <c r="M606" s="87"/>
    </row>
    <row r="607" spans="1:13" x14ac:dyDescent="0.25">
      <c r="A607" s="86"/>
      <c r="B607" s="348"/>
      <c r="C607" s="2">
        <v>2.9</v>
      </c>
      <c r="D607" s="2">
        <v>3.01</v>
      </c>
      <c r="E607" s="2">
        <f>0.9*2.1</f>
        <v>1.8900000000000001</v>
      </c>
      <c r="F607" s="2" t="s">
        <v>360</v>
      </c>
      <c r="G607" s="2">
        <f t="shared" si="52"/>
        <v>6.8389999999999986</v>
      </c>
      <c r="H607" s="2">
        <f t="shared" si="53"/>
        <v>6.8389999999999986</v>
      </c>
      <c r="I607" s="2">
        <f t="shared" si="54"/>
        <v>0</v>
      </c>
      <c r="J607" s="2">
        <f t="shared" si="31"/>
        <v>0</v>
      </c>
      <c r="K607" s="2">
        <f t="shared" si="32"/>
        <v>6.8389999999999986</v>
      </c>
      <c r="L607" s="2">
        <f t="shared" si="33"/>
        <v>0</v>
      </c>
      <c r="M607" s="87"/>
    </row>
    <row r="608" spans="1:13" x14ac:dyDescent="0.25">
      <c r="A608" s="86"/>
      <c r="B608" s="348"/>
      <c r="C608" s="2">
        <v>4.3499999999999996</v>
      </c>
      <c r="D608" s="2">
        <v>3.01</v>
      </c>
      <c r="E608" s="2"/>
      <c r="F608" s="2"/>
      <c r="G608" s="2">
        <f t="shared" si="52"/>
        <v>13.093499999999999</v>
      </c>
      <c r="H608" s="2">
        <f t="shared" si="53"/>
        <v>0</v>
      </c>
      <c r="I608" s="2">
        <f t="shared" si="54"/>
        <v>13.093499999999999</v>
      </c>
      <c r="J608" s="2">
        <f t="shared" si="31"/>
        <v>0</v>
      </c>
      <c r="K608" s="2">
        <f t="shared" si="32"/>
        <v>0</v>
      </c>
      <c r="L608" s="2">
        <f t="shared" si="33"/>
        <v>13.093499999999999</v>
      </c>
      <c r="M608" s="87"/>
    </row>
    <row r="609" spans="1:13" x14ac:dyDescent="0.25">
      <c r="A609" s="86"/>
      <c r="B609" s="348" t="s">
        <v>339</v>
      </c>
      <c r="C609" s="2">
        <v>2.9</v>
      </c>
      <c r="D609" s="2">
        <v>3.01</v>
      </c>
      <c r="E609" s="2">
        <f>1.2*1</f>
        <v>1.2</v>
      </c>
      <c r="F609" s="2" t="s">
        <v>362</v>
      </c>
      <c r="G609" s="2">
        <f t="shared" si="52"/>
        <v>7.528999999999999</v>
      </c>
      <c r="H609" s="2">
        <f t="shared" si="53"/>
        <v>7.528999999999999</v>
      </c>
      <c r="I609" s="2">
        <f t="shared" si="54"/>
        <v>0</v>
      </c>
      <c r="J609" s="2">
        <f t="shared" si="31"/>
        <v>0</v>
      </c>
      <c r="K609" s="2">
        <f t="shared" si="32"/>
        <v>7.528999999999999</v>
      </c>
      <c r="L609" s="2">
        <f t="shared" si="33"/>
        <v>0</v>
      </c>
      <c r="M609" s="87"/>
    </row>
    <row r="610" spans="1:13" x14ac:dyDescent="0.25">
      <c r="A610" s="86"/>
      <c r="B610" s="348"/>
      <c r="C610" s="2">
        <v>4.3499999999999996</v>
      </c>
      <c r="D610" s="2">
        <v>3.01</v>
      </c>
      <c r="E610" s="2"/>
      <c r="F610" s="2"/>
      <c r="G610" s="2">
        <f t="shared" si="52"/>
        <v>13.093499999999999</v>
      </c>
      <c r="H610" s="2">
        <f t="shared" si="53"/>
        <v>0</v>
      </c>
      <c r="I610" s="2">
        <f t="shared" si="54"/>
        <v>13.093499999999999</v>
      </c>
      <c r="J610" s="2">
        <f t="shared" si="31"/>
        <v>0</v>
      </c>
      <c r="K610" s="2">
        <f t="shared" si="32"/>
        <v>0</v>
      </c>
      <c r="L610" s="2">
        <f t="shared" si="33"/>
        <v>13.093499999999999</v>
      </c>
      <c r="M610" s="87"/>
    </row>
    <row r="611" spans="1:13" x14ac:dyDescent="0.25">
      <c r="A611" s="86"/>
      <c r="B611" s="348"/>
      <c r="C611" s="2">
        <v>2.9</v>
      </c>
      <c r="D611" s="2">
        <v>3.01</v>
      </c>
      <c r="E611" s="2">
        <f>0.9*2.1</f>
        <v>1.8900000000000001</v>
      </c>
      <c r="F611" s="2" t="s">
        <v>360</v>
      </c>
      <c r="G611" s="2">
        <f t="shared" si="52"/>
        <v>6.8389999999999986</v>
      </c>
      <c r="H611" s="2">
        <f t="shared" si="53"/>
        <v>6.8389999999999986</v>
      </c>
      <c r="I611" s="2">
        <f t="shared" si="54"/>
        <v>0</v>
      </c>
      <c r="J611" s="2">
        <f t="shared" si="31"/>
        <v>0</v>
      </c>
      <c r="K611" s="2">
        <f t="shared" si="32"/>
        <v>6.8389999999999986</v>
      </c>
      <c r="L611" s="2">
        <f t="shared" si="33"/>
        <v>0</v>
      </c>
      <c r="M611" s="87"/>
    </row>
    <row r="612" spans="1:13" x14ac:dyDescent="0.25">
      <c r="A612" s="86"/>
      <c r="B612" s="348"/>
      <c r="C612" s="2">
        <v>4.3499999999999996</v>
      </c>
      <c r="D612" s="2">
        <v>3.01</v>
      </c>
      <c r="E612" s="2"/>
      <c r="F612" s="2"/>
      <c r="G612" s="2">
        <f t="shared" si="52"/>
        <v>13.093499999999999</v>
      </c>
      <c r="H612" s="2">
        <f t="shared" si="53"/>
        <v>0</v>
      </c>
      <c r="I612" s="2">
        <f t="shared" si="54"/>
        <v>13.093499999999999</v>
      </c>
      <c r="J612" s="2">
        <f t="shared" ref="J612:J645" si="55">IF(G612&lt;5,G612,0)</f>
        <v>0</v>
      </c>
      <c r="K612" s="2">
        <f t="shared" ref="K612:K645" si="56">IF(AND(G612&gt;=5,G612&lt;10),G612,0)</f>
        <v>0</v>
      </c>
      <c r="L612" s="2">
        <f t="shared" ref="L612:L645" si="57">IF(G612&gt;=10,G612,0)</f>
        <v>13.093499999999999</v>
      </c>
      <c r="M612" s="87"/>
    </row>
    <row r="613" spans="1:13" x14ac:dyDescent="0.25">
      <c r="A613" s="86"/>
      <c r="B613" s="348" t="s">
        <v>333</v>
      </c>
      <c r="C613" s="2">
        <v>2.85</v>
      </c>
      <c r="D613" s="2">
        <v>3.01</v>
      </c>
      <c r="E613" s="2">
        <f>1.2*1</f>
        <v>1.2</v>
      </c>
      <c r="F613" s="2" t="s">
        <v>362</v>
      </c>
      <c r="G613" s="2">
        <f t="shared" si="52"/>
        <v>7.3784999999999998</v>
      </c>
      <c r="H613" s="2">
        <f t="shared" si="53"/>
        <v>7.3784999999999998</v>
      </c>
      <c r="I613" s="2">
        <f t="shared" si="54"/>
        <v>0</v>
      </c>
      <c r="J613" s="2">
        <f t="shared" si="55"/>
        <v>0</v>
      </c>
      <c r="K613" s="2">
        <f t="shared" si="56"/>
        <v>7.3784999999999998</v>
      </c>
      <c r="L613" s="2">
        <f t="shared" si="57"/>
        <v>0</v>
      </c>
      <c r="M613" s="87"/>
    </row>
    <row r="614" spans="1:13" x14ac:dyDescent="0.25">
      <c r="A614" s="86"/>
      <c r="B614" s="348"/>
      <c r="C614" s="2">
        <v>2.81</v>
      </c>
      <c r="D614" s="2">
        <v>3.01</v>
      </c>
      <c r="E614" s="2"/>
      <c r="F614" s="2"/>
      <c r="G614" s="2">
        <f t="shared" si="52"/>
        <v>8.4581</v>
      </c>
      <c r="H614" s="2">
        <f t="shared" si="53"/>
        <v>0</v>
      </c>
      <c r="I614" s="2">
        <f t="shared" si="54"/>
        <v>8.4581</v>
      </c>
      <c r="J614" s="2">
        <f t="shared" si="55"/>
        <v>0</v>
      </c>
      <c r="K614" s="2">
        <f t="shared" si="56"/>
        <v>8.4581</v>
      </c>
      <c r="L614" s="2">
        <f t="shared" si="57"/>
        <v>0</v>
      </c>
      <c r="M614" s="87"/>
    </row>
    <row r="615" spans="1:13" x14ac:dyDescent="0.25">
      <c r="A615" s="86"/>
      <c r="B615" s="348"/>
      <c r="C615" s="2">
        <v>2.85</v>
      </c>
      <c r="D615" s="2">
        <v>3.01</v>
      </c>
      <c r="E615" s="2">
        <f>0.8*2.1</f>
        <v>1.6800000000000002</v>
      </c>
      <c r="F615" s="2" t="s">
        <v>368</v>
      </c>
      <c r="G615" s="2">
        <f t="shared" si="52"/>
        <v>6.8985000000000003</v>
      </c>
      <c r="H615" s="2">
        <f t="shared" si="53"/>
        <v>6.8985000000000003</v>
      </c>
      <c r="I615" s="2">
        <f t="shared" si="54"/>
        <v>0</v>
      </c>
      <c r="J615" s="2">
        <f t="shared" si="55"/>
        <v>0</v>
      </c>
      <c r="K615" s="2">
        <f t="shared" si="56"/>
        <v>6.8985000000000003</v>
      </c>
      <c r="L615" s="2">
        <f t="shared" si="57"/>
        <v>0</v>
      </c>
      <c r="M615" s="87"/>
    </row>
    <row r="616" spans="1:13" x14ac:dyDescent="0.25">
      <c r="A616" s="86"/>
      <c r="B616" s="348"/>
      <c r="C616" s="2">
        <v>2.81</v>
      </c>
      <c r="D616" s="2">
        <v>3.01</v>
      </c>
      <c r="E616" s="2"/>
      <c r="F616" s="2"/>
      <c r="G616" s="2">
        <f t="shared" si="52"/>
        <v>8.4581</v>
      </c>
      <c r="H616" s="2">
        <f t="shared" si="53"/>
        <v>0</v>
      </c>
      <c r="I616" s="2">
        <f t="shared" si="54"/>
        <v>8.4581</v>
      </c>
      <c r="J616" s="2">
        <f t="shared" si="55"/>
        <v>0</v>
      </c>
      <c r="K616" s="2">
        <f t="shared" si="56"/>
        <v>8.4581</v>
      </c>
      <c r="L616" s="2">
        <f t="shared" si="57"/>
        <v>0</v>
      </c>
      <c r="M616" s="87"/>
    </row>
    <row r="617" spans="1:13" x14ac:dyDescent="0.25">
      <c r="A617" s="86"/>
      <c r="B617" s="342" t="s">
        <v>332</v>
      </c>
      <c r="C617" s="2">
        <v>1.41</v>
      </c>
      <c r="D617" s="2">
        <v>3.01</v>
      </c>
      <c r="E617" s="2"/>
      <c r="F617" s="2"/>
      <c r="G617" s="2">
        <f t="shared" si="52"/>
        <v>4.2440999999999995</v>
      </c>
      <c r="H617" s="2">
        <f t="shared" si="53"/>
        <v>0</v>
      </c>
      <c r="I617" s="2">
        <f t="shared" si="54"/>
        <v>4.2440999999999995</v>
      </c>
      <c r="J617" s="2">
        <f t="shared" si="55"/>
        <v>4.2440999999999995</v>
      </c>
      <c r="K617" s="2">
        <f t="shared" si="56"/>
        <v>0</v>
      </c>
      <c r="L617" s="2">
        <f t="shared" si="57"/>
        <v>0</v>
      </c>
      <c r="M617" s="87"/>
    </row>
    <row r="618" spans="1:13" x14ac:dyDescent="0.25">
      <c r="A618" s="86"/>
      <c r="B618" s="344"/>
      <c r="C618" s="2">
        <v>1.7</v>
      </c>
      <c r="D618" s="2">
        <v>3.01</v>
      </c>
      <c r="E618" s="2"/>
      <c r="F618" s="2"/>
      <c r="G618" s="2">
        <f t="shared" si="52"/>
        <v>5.1169999999999991</v>
      </c>
      <c r="H618" s="2">
        <f t="shared" si="53"/>
        <v>0</v>
      </c>
      <c r="I618" s="2">
        <f t="shared" si="54"/>
        <v>5.1169999999999991</v>
      </c>
      <c r="J618" s="2">
        <f t="shared" si="55"/>
        <v>0</v>
      </c>
      <c r="K618" s="2">
        <f t="shared" si="56"/>
        <v>5.1169999999999991</v>
      </c>
      <c r="L618" s="2">
        <f t="shared" si="57"/>
        <v>0</v>
      </c>
      <c r="M618" s="87"/>
    </row>
    <row r="619" spans="1:13" x14ac:dyDescent="0.25">
      <c r="A619" s="86"/>
      <c r="B619" s="344"/>
      <c r="C619" s="2">
        <v>1.41</v>
      </c>
      <c r="D619" s="2">
        <v>3.01</v>
      </c>
      <c r="E619" s="2">
        <f>0.8*2.1</f>
        <v>1.6800000000000002</v>
      </c>
      <c r="F619" s="2" t="s">
        <v>368</v>
      </c>
      <c r="G619" s="2">
        <f t="shared" si="52"/>
        <v>2.5640999999999994</v>
      </c>
      <c r="H619" s="2">
        <f t="shared" si="53"/>
        <v>2.5640999999999994</v>
      </c>
      <c r="I619" s="2">
        <f t="shared" si="54"/>
        <v>0</v>
      </c>
      <c r="J619" s="2">
        <f t="shared" si="55"/>
        <v>2.5640999999999994</v>
      </c>
      <c r="K619" s="2">
        <f t="shared" si="56"/>
        <v>0</v>
      </c>
      <c r="L619" s="2">
        <f t="shared" si="57"/>
        <v>0</v>
      </c>
      <c r="M619" s="87"/>
    </row>
    <row r="620" spans="1:13" x14ac:dyDescent="0.25">
      <c r="A620" s="86"/>
      <c r="B620" s="344"/>
      <c r="C620" s="2">
        <v>1.7</v>
      </c>
      <c r="D620" s="2">
        <v>3.01</v>
      </c>
      <c r="E620" s="2"/>
      <c r="F620" s="2"/>
      <c r="G620" s="2">
        <f t="shared" si="52"/>
        <v>5.1169999999999991</v>
      </c>
      <c r="H620" s="2">
        <f t="shared" si="53"/>
        <v>0</v>
      </c>
      <c r="I620" s="2">
        <f t="shared" si="54"/>
        <v>5.1169999999999991</v>
      </c>
      <c r="J620" s="2">
        <f t="shared" si="55"/>
        <v>0</v>
      </c>
      <c r="K620" s="2">
        <f t="shared" si="56"/>
        <v>5.1169999999999991</v>
      </c>
      <c r="L620" s="2">
        <f t="shared" si="57"/>
        <v>0</v>
      </c>
      <c r="M620" s="87"/>
    </row>
    <row r="621" spans="1:13" x14ac:dyDescent="0.25">
      <c r="A621" s="86"/>
      <c r="B621" s="344"/>
      <c r="C621" s="2">
        <v>1.51</v>
      </c>
      <c r="D621" s="2">
        <v>3.01</v>
      </c>
      <c r="E621" s="2">
        <f t="shared" ref="E621:E622" si="58">0.8*2.1</f>
        <v>1.6800000000000002</v>
      </c>
      <c r="F621" s="2" t="s">
        <v>368</v>
      </c>
      <c r="G621" s="2">
        <f t="shared" si="52"/>
        <v>2.8650999999999995</v>
      </c>
      <c r="H621" s="2">
        <f t="shared" si="53"/>
        <v>2.8650999999999995</v>
      </c>
      <c r="I621" s="2">
        <f t="shared" si="54"/>
        <v>0</v>
      </c>
      <c r="J621" s="2">
        <f t="shared" si="55"/>
        <v>2.8650999999999995</v>
      </c>
      <c r="K621" s="2">
        <f t="shared" si="56"/>
        <v>0</v>
      </c>
      <c r="L621" s="2">
        <f t="shared" si="57"/>
        <v>0</v>
      </c>
      <c r="M621" s="87"/>
    </row>
    <row r="622" spans="1:13" x14ac:dyDescent="0.25">
      <c r="A622" s="86"/>
      <c r="B622" s="344"/>
      <c r="C622" s="2">
        <v>1</v>
      </c>
      <c r="D622" s="2">
        <v>3.01</v>
      </c>
      <c r="E622" s="2">
        <f t="shared" si="58"/>
        <v>1.6800000000000002</v>
      </c>
      <c r="F622" s="2" t="s">
        <v>368</v>
      </c>
      <c r="G622" s="2">
        <f t="shared" si="52"/>
        <v>1.3299999999999996</v>
      </c>
      <c r="H622" s="2">
        <f t="shared" si="53"/>
        <v>1.3299999999999996</v>
      </c>
      <c r="I622" s="2">
        <f t="shared" si="54"/>
        <v>0</v>
      </c>
      <c r="J622" s="2">
        <f t="shared" si="55"/>
        <v>1.3299999999999996</v>
      </c>
      <c r="K622" s="2">
        <f t="shared" si="56"/>
        <v>0</v>
      </c>
      <c r="L622" s="2">
        <f t="shared" si="57"/>
        <v>0</v>
      </c>
      <c r="M622" s="87"/>
    </row>
    <row r="623" spans="1:13" x14ac:dyDescent="0.25">
      <c r="A623" s="86"/>
      <c r="B623" s="344"/>
      <c r="C623" s="2">
        <v>1.51</v>
      </c>
      <c r="D623" s="2">
        <v>3.01</v>
      </c>
      <c r="E623" s="2"/>
      <c r="F623" s="2"/>
      <c r="G623" s="2">
        <f t="shared" si="52"/>
        <v>4.5450999999999997</v>
      </c>
      <c r="H623" s="2">
        <f t="shared" si="53"/>
        <v>0</v>
      </c>
      <c r="I623" s="2">
        <f t="shared" si="54"/>
        <v>4.5450999999999997</v>
      </c>
      <c r="J623" s="2">
        <f t="shared" si="55"/>
        <v>4.5450999999999997</v>
      </c>
      <c r="K623" s="2">
        <f t="shared" si="56"/>
        <v>0</v>
      </c>
      <c r="L623" s="2">
        <f t="shared" si="57"/>
        <v>0</v>
      </c>
      <c r="M623" s="87"/>
    </row>
    <row r="624" spans="1:13" x14ac:dyDescent="0.25">
      <c r="A624" s="86"/>
      <c r="B624" s="344"/>
      <c r="C624" s="2">
        <v>1</v>
      </c>
      <c r="D624" s="2">
        <v>3.01</v>
      </c>
      <c r="E624" s="2">
        <f>1.1*2.1</f>
        <v>2.3100000000000005</v>
      </c>
      <c r="F624" s="2" t="s">
        <v>375</v>
      </c>
      <c r="G624" s="2">
        <f t="shared" si="52"/>
        <v>0.69999999999999929</v>
      </c>
      <c r="H624" s="2">
        <f t="shared" si="53"/>
        <v>0.69999999999999929</v>
      </c>
      <c r="I624" s="2">
        <f t="shared" si="54"/>
        <v>0</v>
      </c>
      <c r="J624" s="2">
        <f t="shared" si="55"/>
        <v>0.69999999999999929</v>
      </c>
      <c r="K624" s="2">
        <f t="shared" si="56"/>
        <v>0</v>
      </c>
      <c r="L624" s="2">
        <f t="shared" si="57"/>
        <v>0</v>
      </c>
      <c r="M624" s="87"/>
    </row>
    <row r="625" spans="1:13" x14ac:dyDescent="0.25">
      <c r="A625" s="86"/>
      <c r="B625" s="342" t="s">
        <v>331</v>
      </c>
      <c r="C625" s="2">
        <v>10.35</v>
      </c>
      <c r="D625" s="2">
        <v>3.01</v>
      </c>
      <c r="E625" s="2">
        <f>4*2.1</f>
        <v>8.4</v>
      </c>
      <c r="F625" s="2" t="s">
        <v>376</v>
      </c>
      <c r="G625" s="2">
        <f t="shared" si="52"/>
        <v>22.753499999999995</v>
      </c>
      <c r="H625" s="2">
        <f t="shared" si="53"/>
        <v>22.753499999999995</v>
      </c>
      <c r="I625" s="2">
        <f t="shared" si="54"/>
        <v>0</v>
      </c>
      <c r="J625" s="2">
        <f t="shared" si="55"/>
        <v>0</v>
      </c>
      <c r="K625" s="2">
        <f t="shared" si="56"/>
        <v>0</v>
      </c>
      <c r="L625" s="2">
        <f t="shared" si="57"/>
        <v>22.753499999999995</v>
      </c>
      <c r="M625" s="87"/>
    </row>
    <row r="626" spans="1:13" x14ac:dyDescent="0.25">
      <c r="A626" s="86"/>
      <c r="B626" s="344"/>
      <c r="C626" s="2">
        <v>3.15</v>
      </c>
      <c r="D626" s="2">
        <v>3.01</v>
      </c>
      <c r="E626" s="2">
        <f>1*2.1*2+1.15*2.1</f>
        <v>6.6150000000000002</v>
      </c>
      <c r="F626" s="2" t="s">
        <v>385</v>
      </c>
      <c r="G626" s="2">
        <f t="shared" si="52"/>
        <v>2.8664999999999985</v>
      </c>
      <c r="H626" s="2">
        <f t="shared" si="53"/>
        <v>2.8664999999999985</v>
      </c>
      <c r="I626" s="2">
        <f t="shared" si="54"/>
        <v>0</v>
      </c>
      <c r="J626" s="2">
        <f t="shared" si="55"/>
        <v>2.8664999999999985</v>
      </c>
      <c r="K626" s="2">
        <f t="shared" si="56"/>
        <v>0</v>
      </c>
      <c r="L626" s="2">
        <f t="shared" si="57"/>
        <v>0</v>
      </c>
      <c r="M626" s="87"/>
    </row>
    <row r="627" spans="1:13" x14ac:dyDescent="0.25">
      <c r="A627" s="86"/>
      <c r="B627" s="344"/>
      <c r="C627" s="2">
        <v>3.15</v>
      </c>
      <c r="D627" s="2">
        <v>3.01</v>
      </c>
      <c r="E627" s="2">
        <f>1*2.1*2+1.15*2.1</f>
        <v>6.6150000000000002</v>
      </c>
      <c r="F627" s="2" t="s">
        <v>385</v>
      </c>
      <c r="G627" s="2">
        <f t="shared" si="52"/>
        <v>2.8664999999999985</v>
      </c>
      <c r="H627" s="2">
        <f t="shared" si="53"/>
        <v>2.8664999999999985</v>
      </c>
      <c r="I627" s="2">
        <f t="shared" si="54"/>
        <v>0</v>
      </c>
      <c r="J627" s="2">
        <f t="shared" si="55"/>
        <v>2.8664999999999985</v>
      </c>
      <c r="K627" s="2">
        <f t="shared" si="56"/>
        <v>0</v>
      </c>
      <c r="L627" s="2">
        <f t="shared" si="57"/>
        <v>0</v>
      </c>
      <c r="M627" s="87"/>
    </row>
    <row r="628" spans="1:13" x14ac:dyDescent="0.25">
      <c r="A628" s="86"/>
      <c r="B628" s="344"/>
      <c r="C628" s="2">
        <v>3.15</v>
      </c>
      <c r="D628" s="2">
        <v>3.01</v>
      </c>
      <c r="E628" s="2">
        <f>2*0.9*2.1</f>
        <v>3.7800000000000002</v>
      </c>
      <c r="F628" s="2" t="s">
        <v>386</v>
      </c>
      <c r="G628" s="2">
        <f t="shared" si="52"/>
        <v>5.7014999999999985</v>
      </c>
      <c r="H628" s="2">
        <f t="shared" si="53"/>
        <v>5.7014999999999985</v>
      </c>
      <c r="I628" s="2">
        <f t="shared" si="54"/>
        <v>0</v>
      </c>
      <c r="J628" s="2">
        <f t="shared" si="55"/>
        <v>0</v>
      </c>
      <c r="K628" s="2">
        <f t="shared" si="56"/>
        <v>5.7014999999999985</v>
      </c>
      <c r="L628" s="2">
        <f t="shared" si="57"/>
        <v>0</v>
      </c>
      <c r="M628" s="87"/>
    </row>
    <row r="629" spans="1:13" x14ac:dyDescent="0.25">
      <c r="A629" s="86"/>
      <c r="B629" s="344"/>
      <c r="C629" s="2">
        <v>1.35</v>
      </c>
      <c r="D629" s="2">
        <v>3.01</v>
      </c>
      <c r="E629" s="2"/>
      <c r="F629" s="2"/>
      <c r="G629" s="2">
        <f t="shared" si="52"/>
        <v>4.0635000000000003</v>
      </c>
      <c r="H629" s="2">
        <f t="shared" si="53"/>
        <v>0</v>
      </c>
      <c r="I629" s="2">
        <f t="shared" si="54"/>
        <v>4.0635000000000003</v>
      </c>
      <c r="J629" s="2">
        <f t="shared" si="55"/>
        <v>4.0635000000000003</v>
      </c>
      <c r="K629" s="2">
        <f t="shared" si="56"/>
        <v>0</v>
      </c>
      <c r="L629" s="2">
        <f t="shared" si="57"/>
        <v>0</v>
      </c>
      <c r="M629" s="87"/>
    </row>
    <row r="630" spans="1:13" x14ac:dyDescent="0.25">
      <c r="A630" s="86"/>
      <c r="B630" s="344"/>
      <c r="C630" s="2">
        <v>15.35</v>
      </c>
      <c r="D630" s="2">
        <v>3.01</v>
      </c>
      <c r="E630" s="2">
        <f>5*0.9*2.1</f>
        <v>9.4500000000000011</v>
      </c>
      <c r="F630" s="2" t="s">
        <v>387</v>
      </c>
      <c r="G630" s="2">
        <f t="shared" si="52"/>
        <v>36.753499999999995</v>
      </c>
      <c r="H630" s="2">
        <f t="shared" si="53"/>
        <v>36.753499999999995</v>
      </c>
      <c r="I630" s="2">
        <f t="shared" si="54"/>
        <v>0</v>
      </c>
      <c r="J630" s="2">
        <f t="shared" si="55"/>
        <v>0</v>
      </c>
      <c r="K630" s="2">
        <f t="shared" si="56"/>
        <v>0</v>
      </c>
      <c r="L630" s="2">
        <f t="shared" si="57"/>
        <v>36.753499999999995</v>
      </c>
      <c r="M630" s="87"/>
    </row>
    <row r="631" spans="1:13" x14ac:dyDescent="0.25">
      <c r="A631" s="86"/>
      <c r="B631" s="344"/>
      <c r="C631" s="2">
        <v>1.65</v>
      </c>
      <c r="D631" s="2">
        <v>3.01</v>
      </c>
      <c r="E631" s="2"/>
      <c r="F631" s="2"/>
      <c r="G631" s="2">
        <f t="shared" si="52"/>
        <v>4.966499999999999</v>
      </c>
      <c r="H631" s="2">
        <f t="shared" si="53"/>
        <v>0</v>
      </c>
      <c r="I631" s="2">
        <f t="shared" si="54"/>
        <v>4.966499999999999</v>
      </c>
      <c r="J631" s="2">
        <f t="shared" si="55"/>
        <v>4.966499999999999</v>
      </c>
      <c r="K631" s="2">
        <f t="shared" si="56"/>
        <v>0</v>
      </c>
      <c r="L631" s="2">
        <f t="shared" si="57"/>
        <v>0</v>
      </c>
      <c r="M631" s="87"/>
    </row>
    <row r="632" spans="1:13" x14ac:dyDescent="0.25">
      <c r="A632" s="86"/>
      <c r="B632" s="344"/>
      <c r="C632" s="2">
        <v>2.4500000000000002</v>
      </c>
      <c r="D632" s="2">
        <v>3.01</v>
      </c>
      <c r="E632" s="2">
        <f>2.45*2.1</f>
        <v>5.1450000000000005</v>
      </c>
      <c r="F632" s="2" t="s">
        <v>369</v>
      </c>
      <c r="G632" s="2">
        <f t="shared" si="52"/>
        <v>2.2294999999999998</v>
      </c>
      <c r="H632" s="2">
        <f t="shared" si="53"/>
        <v>2.2294999999999998</v>
      </c>
      <c r="I632" s="2">
        <f t="shared" si="54"/>
        <v>0</v>
      </c>
      <c r="J632" s="2">
        <f t="shared" si="55"/>
        <v>2.2294999999999998</v>
      </c>
      <c r="K632" s="2">
        <f t="shared" si="56"/>
        <v>0</v>
      </c>
      <c r="L632" s="2">
        <f t="shared" si="57"/>
        <v>0</v>
      </c>
      <c r="M632" s="87"/>
    </row>
    <row r="633" spans="1:13" x14ac:dyDescent="0.25">
      <c r="A633" s="86"/>
      <c r="B633" s="344"/>
      <c r="C633" s="2">
        <v>0.91</v>
      </c>
      <c r="D633" s="2">
        <v>3.01</v>
      </c>
      <c r="E633" s="2"/>
      <c r="F633" s="2"/>
      <c r="G633" s="2">
        <f t="shared" si="52"/>
        <v>2.7391000000000001</v>
      </c>
      <c r="H633" s="2">
        <f t="shared" si="53"/>
        <v>0</v>
      </c>
      <c r="I633" s="2">
        <f t="shared" si="54"/>
        <v>2.7391000000000001</v>
      </c>
      <c r="J633" s="2">
        <f t="shared" si="55"/>
        <v>2.7391000000000001</v>
      </c>
      <c r="K633" s="2">
        <f t="shared" si="56"/>
        <v>0</v>
      </c>
      <c r="L633" s="2">
        <f t="shared" si="57"/>
        <v>0</v>
      </c>
      <c r="M633" s="87"/>
    </row>
    <row r="634" spans="1:13" x14ac:dyDescent="0.25">
      <c r="A634" s="86"/>
      <c r="B634" s="344"/>
      <c r="C634" s="2">
        <v>0.6</v>
      </c>
      <c r="D634" s="2">
        <v>3.01</v>
      </c>
      <c r="E634" s="2"/>
      <c r="F634" s="2"/>
      <c r="G634" s="2">
        <f t="shared" si="52"/>
        <v>1.8059999999999998</v>
      </c>
      <c r="H634" s="2">
        <f t="shared" si="53"/>
        <v>0</v>
      </c>
      <c r="I634" s="2">
        <f t="shared" si="54"/>
        <v>1.8059999999999998</v>
      </c>
      <c r="J634" s="2">
        <f t="shared" si="55"/>
        <v>1.8059999999999998</v>
      </c>
      <c r="K634" s="2">
        <f t="shared" si="56"/>
        <v>0</v>
      </c>
      <c r="L634" s="2">
        <f t="shared" si="57"/>
        <v>0</v>
      </c>
      <c r="M634" s="87"/>
    </row>
    <row r="635" spans="1:13" x14ac:dyDescent="0.25">
      <c r="A635" s="86"/>
      <c r="B635" s="344"/>
      <c r="C635" s="2">
        <v>7.7</v>
      </c>
      <c r="D635" s="2">
        <v>3.01</v>
      </c>
      <c r="E635" s="2">
        <f>3*0.9*2.1</f>
        <v>5.6700000000000008</v>
      </c>
      <c r="F635" s="2" t="s">
        <v>388</v>
      </c>
      <c r="G635" s="2">
        <f t="shared" si="52"/>
        <v>17.506999999999998</v>
      </c>
      <c r="H635" s="2">
        <f t="shared" si="53"/>
        <v>17.506999999999998</v>
      </c>
      <c r="I635" s="2">
        <f t="shared" si="54"/>
        <v>0</v>
      </c>
      <c r="J635" s="2">
        <f t="shared" si="55"/>
        <v>0</v>
      </c>
      <c r="K635" s="2">
        <f t="shared" si="56"/>
        <v>0</v>
      </c>
      <c r="L635" s="2">
        <f t="shared" si="57"/>
        <v>17.506999999999998</v>
      </c>
      <c r="M635" s="87"/>
    </row>
    <row r="636" spans="1:13" x14ac:dyDescent="0.25">
      <c r="A636" s="86"/>
      <c r="B636" s="344"/>
      <c r="C636" s="2">
        <v>4.6500000000000004</v>
      </c>
      <c r="D636" s="2">
        <v>3.01</v>
      </c>
      <c r="E636" s="2"/>
      <c r="F636" s="2"/>
      <c r="G636" s="2">
        <f t="shared" si="52"/>
        <v>13.996499999999999</v>
      </c>
      <c r="H636" s="2">
        <f t="shared" si="53"/>
        <v>0</v>
      </c>
      <c r="I636" s="2">
        <f t="shared" si="54"/>
        <v>13.996499999999999</v>
      </c>
      <c r="J636" s="2">
        <f t="shared" si="55"/>
        <v>0</v>
      </c>
      <c r="K636" s="2">
        <f t="shared" si="56"/>
        <v>0</v>
      </c>
      <c r="L636" s="2">
        <f t="shared" si="57"/>
        <v>13.996499999999999</v>
      </c>
      <c r="M636" s="87"/>
    </row>
    <row r="637" spans="1:13" x14ac:dyDescent="0.25">
      <c r="A637" s="86"/>
      <c r="B637" s="344"/>
      <c r="C637" s="2">
        <v>1.5</v>
      </c>
      <c r="D637" s="2">
        <v>3.01</v>
      </c>
      <c r="E637" s="2">
        <f>1.5*2.1</f>
        <v>3.1500000000000004</v>
      </c>
      <c r="F637" s="2" t="s">
        <v>377</v>
      </c>
      <c r="G637" s="2">
        <f t="shared" si="52"/>
        <v>1.3649999999999993</v>
      </c>
      <c r="H637" s="2">
        <f t="shared" si="53"/>
        <v>1.3649999999999993</v>
      </c>
      <c r="I637" s="2">
        <f t="shared" si="54"/>
        <v>0</v>
      </c>
      <c r="J637" s="2">
        <f t="shared" si="55"/>
        <v>1.3649999999999993</v>
      </c>
      <c r="K637" s="2">
        <f t="shared" si="56"/>
        <v>0</v>
      </c>
      <c r="L637" s="2">
        <f t="shared" si="57"/>
        <v>0</v>
      </c>
      <c r="M637" s="87"/>
    </row>
    <row r="638" spans="1:13" x14ac:dyDescent="0.25">
      <c r="A638" s="86"/>
      <c r="B638" s="344"/>
      <c r="C638" s="2">
        <v>4.6500000000000004</v>
      </c>
      <c r="D638" s="2">
        <v>3.01</v>
      </c>
      <c r="E638" s="2"/>
      <c r="F638" s="2"/>
      <c r="G638" s="2">
        <f t="shared" si="52"/>
        <v>13.996499999999999</v>
      </c>
      <c r="H638" s="2">
        <f t="shared" si="53"/>
        <v>0</v>
      </c>
      <c r="I638" s="2">
        <f t="shared" si="54"/>
        <v>13.996499999999999</v>
      </c>
      <c r="J638" s="2">
        <f t="shared" si="55"/>
        <v>0</v>
      </c>
      <c r="K638" s="2">
        <f t="shared" si="56"/>
        <v>0</v>
      </c>
      <c r="L638" s="2">
        <f t="shared" si="57"/>
        <v>13.996499999999999</v>
      </c>
      <c r="M638" s="87"/>
    </row>
    <row r="639" spans="1:13" x14ac:dyDescent="0.25">
      <c r="A639" s="86"/>
      <c r="B639" s="344"/>
      <c r="C639" s="2">
        <v>9.25</v>
      </c>
      <c r="D639" s="2">
        <v>3.01</v>
      </c>
      <c r="E639" s="2">
        <f>2*0.9*2.1+1.1*2.1</f>
        <v>6.0900000000000007</v>
      </c>
      <c r="F639" s="2" t="s">
        <v>389</v>
      </c>
      <c r="G639" s="2">
        <f t="shared" si="52"/>
        <v>21.752499999999998</v>
      </c>
      <c r="H639" s="2">
        <f t="shared" si="53"/>
        <v>21.752499999999998</v>
      </c>
      <c r="I639" s="2">
        <f t="shared" si="54"/>
        <v>0</v>
      </c>
      <c r="J639" s="2">
        <f t="shared" si="55"/>
        <v>0</v>
      </c>
      <c r="K639" s="2">
        <f t="shared" si="56"/>
        <v>0</v>
      </c>
      <c r="L639" s="2">
        <f t="shared" si="57"/>
        <v>21.752499999999998</v>
      </c>
      <c r="M639" s="87"/>
    </row>
    <row r="640" spans="1:13" x14ac:dyDescent="0.25">
      <c r="A640" s="86"/>
      <c r="B640" s="344"/>
      <c r="C640" s="2">
        <v>4.5</v>
      </c>
      <c r="D640" s="2">
        <v>3.01</v>
      </c>
      <c r="E640" s="2"/>
      <c r="F640" s="2"/>
      <c r="G640" s="2">
        <f t="shared" si="52"/>
        <v>13.544999999999998</v>
      </c>
      <c r="H640" s="2">
        <f t="shared" si="53"/>
        <v>0</v>
      </c>
      <c r="I640" s="2">
        <f t="shared" si="54"/>
        <v>13.544999999999998</v>
      </c>
      <c r="J640" s="2">
        <f t="shared" si="55"/>
        <v>0</v>
      </c>
      <c r="K640" s="2">
        <f t="shared" si="56"/>
        <v>0</v>
      </c>
      <c r="L640" s="2">
        <f t="shared" si="57"/>
        <v>13.544999999999998</v>
      </c>
      <c r="M640" s="87"/>
    </row>
    <row r="641" spans="1:14" x14ac:dyDescent="0.25">
      <c r="A641" s="86"/>
      <c r="B641" s="344"/>
      <c r="C641" s="2">
        <v>3.15</v>
      </c>
      <c r="D641" s="2">
        <v>3.01</v>
      </c>
      <c r="E641" s="2">
        <f>1.2*1</f>
        <v>1.2</v>
      </c>
      <c r="F641" s="2" t="s">
        <v>362</v>
      </c>
      <c r="G641" s="2">
        <f t="shared" si="52"/>
        <v>8.2814999999999994</v>
      </c>
      <c r="H641" s="2">
        <f t="shared" si="53"/>
        <v>8.2814999999999994</v>
      </c>
      <c r="I641" s="2">
        <f t="shared" si="54"/>
        <v>0</v>
      </c>
      <c r="J641" s="2">
        <f t="shared" si="55"/>
        <v>0</v>
      </c>
      <c r="K641" s="2">
        <f t="shared" si="56"/>
        <v>8.2814999999999994</v>
      </c>
      <c r="L641" s="2">
        <f t="shared" si="57"/>
        <v>0</v>
      </c>
      <c r="M641" s="87"/>
    </row>
    <row r="642" spans="1:14" x14ac:dyDescent="0.25">
      <c r="A642" s="86"/>
      <c r="B642" s="342" t="s">
        <v>341</v>
      </c>
      <c r="C642" s="2">
        <v>1.45</v>
      </c>
      <c r="D642" s="2">
        <v>3.01</v>
      </c>
      <c r="E642" s="2">
        <f>0.8*2.1</f>
        <v>1.6800000000000002</v>
      </c>
      <c r="F642" s="2" t="s">
        <v>359</v>
      </c>
      <c r="G642" s="2">
        <f t="shared" si="52"/>
        <v>2.6844999999999994</v>
      </c>
      <c r="H642" s="2">
        <f t="shared" si="53"/>
        <v>2.6844999999999994</v>
      </c>
      <c r="I642" s="2">
        <f t="shared" si="54"/>
        <v>0</v>
      </c>
      <c r="J642" s="2">
        <f t="shared" si="55"/>
        <v>2.6844999999999994</v>
      </c>
      <c r="K642" s="2">
        <f t="shared" si="56"/>
        <v>0</v>
      </c>
      <c r="L642" s="2">
        <f t="shared" si="57"/>
        <v>0</v>
      </c>
      <c r="M642" s="87"/>
    </row>
    <row r="643" spans="1:14" x14ac:dyDescent="0.25">
      <c r="A643" s="86"/>
      <c r="B643" s="344"/>
      <c r="C643" s="2">
        <v>21.4</v>
      </c>
      <c r="D643" s="2">
        <v>3.01</v>
      </c>
      <c r="E643" s="2">
        <f>2.1*1.23</f>
        <v>2.5830000000000002</v>
      </c>
      <c r="F643" s="2" t="s">
        <v>378</v>
      </c>
      <c r="G643" s="2">
        <f t="shared" si="52"/>
        <v>61.830999999999989</v>
      </c>
      <c r="H643" s="2">
        <f t="shared" si="53"/>
        <v>61.830999999999989</v>
      </c>
      <c r="I643" s="2">
        <f t="shared" si="54"/>
        <v>0</v>
      </c>
      <c r="J643" s="2">
        <f t="shared" si="55"/>
        <v>0</v>
      </c>
      <c r="K643" s="2">
        <f t="shared" si="56"/>
        <v>0</v>
      </c>
      <c r="L643" s="2">
        <f t="shared" si="57"/>
        <v>61.830999999999989</v>
      </c>
      <c r="M643" s="87"/>
    </row>
    <row r="644" spans="1:14" x14ac:dyDescent="0.25">
      <c r="A644" s="86"/>
      <c r="B644" s="344"/>
      <c r="C644" s="2">
        <v>1.45</v>
      </c>
      <c r="D644" s="2">
        <v>3.01</v>
      </c>
      <c r="E644" s="2">
        <f>0.8*2.1</f>
        <v>1.6800000000000002</v>
      </c>
      <c r="F644" s="2" t="s">
        <v>359</v>
      </c>
      <c r="G644" s="2">
        <f t="shared" si="52"/>
        <v>2.6844999999999994</v>
      </c>
      <c r="H644" s="2">
        <f t="shared" si="53"/>
        <v>2.6844999999999994</v>
      </c>
      <c r="I644" s="2">
        <f t="shared" si="54"/>
        <v>0</v>
      </c>
      <c r="J644" s="2">
        <f t="shared" si="55"/>
        <v>2.6844999999999994</v>
      </c>
      <c r="K644" s="2">
        <f t="shared" si="56"/>
        <v>0</v>
      </c>
      <c r="L644" s="2">
        <f t="shared" si="57"/>
        <v>0</v>
      </c>
      <c r="M644" s="87"/>
    </row>
    <row r="645" spans="1:14" x14ac:dyDescent="0.25">
      <c r="A645" s="86"/>
      <c r="B645" s="344"/>
      <c r="C645" s="2">
        <v>21.4</v>
      </c>
      <c r="D645" s="2">
        <v>3.01</v>
      </c>
      <c r="E645" s="2">
        <f>6*1.2*1+0.6*0.4+1.5*2.1</f>
        <v>10.59</v>
      </c>
      <c r="F645" s="2" t="s">
        <v>391</v>
      </c>
      <c r="G645" s="2">
        <f t="shared" si="52"/>
        <v>53.823999999999984</v>
      </c>
      <c r="H645" s="2">
        <f t="shared" si="53"/>
        <v>53.823999999999984</v>
      </c>
      <c r="I645" s="2">
        <f t="shared" si="54"/>
        <v>0</v>
      </c>
      <c r="J645" s="2">
        <f t="shared" si="55"/>
        <v>0</v>
      </c>
      <c r="K645" s="2">
        <f t="shared" si="56"/>
        <v>0</v>
      </c>
      <c r="L645" s="2">
        <f t="shared" si="57"/>
        <v>53.823999999999984</v>
      </c>
      <c r="M645" s="87"/>
    </row>
    <row r="646" spans="1:14" ht="15.75" x14ac:dyDescent="0.25">
      <c r="A646" s="86"/>
      <c r="B646" s="345" t="s">
        <v>0</v>
      </c>
      <c r="C646" s="346"/>
      <c r="D646" s="346"/>
      <c r="E646" s="346"/>
      <c r="F646" s="347"/>
      <c r="G646" s="4">
        <f>TRUNC(SUM(G547:G645),2)</f>
        <v>1060.03</v>
      </c>
      <c r="H646" s="4">
        <f t="shared" ref="H646:L646" si="59">TRUNC(SUM(H547:H645),2)</f>
        <v>511.85</v>
      </c>
      <c r="I646" s="4">
        <f t="shared" si="59"/>
        <v>548.17999999999995</v>
      </c>
      <c r="J646" s="4">
        <f t="shared" si="59"/>
        <v>86.3</v>
      </c>
      <c r="K646" s="4">
        <f t="shared" si="59"/>
        <v>260.61</v>
      </c>
      <c r="L646" s="4">
        <f t="shared" si="59"/>
        <v>713.11</v>
      </c>
      <c r="M646" s="87"/>
    </row>
    <row r="647" spans="1:14" x14ac:dyDescent="0.25">
      <c r="A647" s="86"/>
      <c r="M647" s="87"/>
    </row>
    <row r="648" spans="1:14" ht="15.75" x14ac:dyDescent="0.25">
      <c r="A648" s="86"/>
      <c r="B648" s="46" t="s">
        <v>109</v>
      </c>
      <c r="C648" s="46">
        <f>G646</f>
        <v>1060.03</v>
      </c>
      <c r="D648" s="46" t="s">
        <v>167</v>
      </c>
      <c r="M648" s="87"/>
    </row>
    <row r="649" spans="1:14" x14ac:dyDescent="0.25">
      <c r="A649" s="86"/>
      <c r="M649" s="87"/>
    </row>
    <row r="650" spans="1:14" x14ac:dyDescent="0.25">
      <c r="A650" s="107" t="s">
        <v>392</v>
      </c>
      <c r="B650" s="47" t="str">
        <f>VLOOKUP('IV-MEMORIAL'!A650,'II-PO'!$A$19:$M$295,5,0)</f>
        <v>CHAPISCO APLICADO EM ALVENARIA (COM PRESENÇA DE VÃOS) E ESTRUTURAS DE CONCRETO DE FACHADA, COM COLHER DE PEDREIRO. ARGAMASSA TRAÇO 1:3 COM PREPARO EM BETONEIRA 400L. AF_10/2022</v>
      </c>
      <c r="C650" s="47"/>
      <c r="D650" s="47"/>
      <c r="E650" s="48"/>
      <c r="F650" s="48"/>
      <c r="G650" s="48"/>
      <c r="H650" s="48"/>
      <c r="I650" s="48"/>
      <c r="J650" s="48"/>
      <c r="K650" s="48"/>
      <c r="L650" s="48"/>
      <c r="M650" s="108"/>
      <c r="N650" s="3">
        <f>C676</f>
        <v>73.39</v>
      </c>
    </row>
    <row r="651" spans="1:14" x14ac:dyDescent="0.25">
      <c r="A651" s="86"/>
      <c r="M651" s="87"/>
    </row>
    <row r="652" spans="1:14" ht="15.75" x14ac:dyDescent="0.25">
      <c r="A652" s="86"/>
      <c r="B652" s="4" t="s">
        <v>320</v>
      </c>
      <c r="C652" s="4" t="s">
        <v>163</v>
      </c>
      <c r="D652" s="4" t="s">
        <v>355</v>
      </c>
      <c r="E652" s="149" t="s">
        <v>356</v>
      </c>
      <c r="F652" s="149" t="s">
        <v>357</v>
      </c>
      <c r="G652" s="149" t="s">
        <v>358</v>
      </c>
      <c r="H652" s="149" t="s">
        <v>379</v>
      </c>
      <c r="I652" s="149" t="s">
        <v>380</v>
      </c>
      <c r="M652" s="87"/>
    </row>
    <row r="653" spans="1:14" x14ac:dyDescent="0.25">
      <c r="A653" s="86"/>
      <c r="B653" s="342" t="s">
        <v>393</v>
      </c>
      <c r="C653" s="2">
        <v>1.6</v>
      </c>
      <c r="D653" s="2">
        <v>4.47</v>
      </c>
      <c r="E653" s="2">
        <f>0.8*2.1</f>
        <v>1.6800000000000002</v>
      </c>
      <c r="F653" s="2" t="s">
        <v>359</v>
      </c>
      <c r="G653" s="2">
        <f>D653*C653-E653</f>
        <v>5.4719999999999995</v>
      </c>
      <c r="H653" s="2">
        <f t="shared" ref="H653:H673" si="60">IF(E653&gt;0,G653,0)</f>
        <v>5.4719999999999995</v>
      </c>
      <c r="I653" s="2">
        <f t="shared" ref="I653:I673" si="61">IF(E653=0,G653,0)</f>
        <v>0</v>
      </c>
      <c r="M653" s="87"/>
    </row>
    <row r="654" spans="1:14" x14ac:dyDescent="0.25">
      <c r="A654" s="86"/>
      <c r="B654" s="344"/>
      <c r="C654" s="2">
        <v>3.3</v>
      </c>
      <c r="D654" s="2">
        <v>5.6</v>
      </c>
      <c r="E654" s="2"/>
      <c r="F654" s="2"/>
      <c r="G654" s="2">
        <f t="shared" ref="G654:G673" si="62">D654*C654-E654</f>
        <v>18.479999999999997</v>
      </c>
      <c r="H654" s="2">
        <f t="shared" si="60"/>
        <v>0</v>
      </c>
      <c r="I654" s="2">
        <f t="shared" si="61"/>
        <v>18.479999999999997</v>
      </c>
      <c r="M654" s="87"/>
    </row>
    <row r="655" spans="1:14" x14ac:dyDescent="0.25">
      <c r="A655" s="86"/>
      <c r="B655" s="344"/>
      <c r="C655" s="2">
        <v>10.5</v>
      </c>
      <c r="D655" s="2">
        <v>4.47</v>
      </c>
      <c r="E655" s="2">
        <f>4*2.1</f>
        <v>8.4</v>
      </c>
      <c r="F655" s="2" t="s">
        <v>376</v>
      </c>
      <c r="G655" s="2">
        <f t="shared" si="62"/>
        <v>38.534999999999997</v>
      </c>
      <c r="H655" s="2">
        <f t="shared" si="60"/>
        <v>38.534999999999997</v>
      </c>
      <c r="I655" s="2">
        <f t="shared" si="61"/>
        <v>0</v>
      </c>
      <c r="M655" s="87"/>
    </row>
    <row r="656" spans="1:14" x14ac:dyDescent="0.25">
      <c r="A656" s="86"/>
      <c r="B656" s="344"/>
      <c r="C656" s="2">
        <v>3.3</v>
      </c>
      <c r="D656" s="2">
        <v>4.47</v>
      </c>
      <c r="E656" s="2">
        <f>1.2*1</f>
        <v>1.2</v>
      </c>
      <c r="F656" s="2" t="s">
        <v>362</v>
      </c>
      <c r="G656" s="2">
        <f t="shared" si="62"/>
        <v>13.550999999999998</v>
      </c>
      <c r="H656" s="2">
        <f t="shared" si="60"/>
        <v>13.550999999999998</v>
      </c>
      <c r="I656" s="2">
        <f t="shared" si="61"/>
        <v>0</v>
      </c>
      <c r="M656" s="87"/>
    </row>
    <row r="657" spans="1:13" x14ac:dyDescent="0.25">
      <c r="A657" s="86"/>
      <c r="B657" s="344"/>
      <c r="C657" s="2">
        <v>1.46</v>
      </c>
      <c r="D657" s="2">
        <v>4.47</v>
      </c>
      <c r="E657" s="2">
        <f>0.8*2.1</f>
        <v>1.6800000000000002</v>
      </c>
      <c r="F657" s="2" t="s">
        <v>359</v>
      </c>
      <c r="G657" s="2">
        <f t="shared" si="62"/>
        <v>4.8461999999999996</v>
      </c>
      <c r="H657" s="2">
        <f t="shared" si="60"/>
        <v>4.8461999999999996</v>
      </c>
      <c r="I657" s="2">
        <f t="shared" si="61"/>
        <v>0</v>
      </c>
      <c r="M657" s="87"/>
    </row>
    <row r="658" spans="1:13" x14ac:dyDescent="0.25">
      <c r="A658" s="86"/>
      <c r="B658" s="344"/>
      <c r="C658" s="2">
        <v>21.7</v>
      </c>
      <c r="D658" s="2">
        <v>1.47</v>
      </c>
      <c r="E658" s="2"/>
      <c r="F658" s="2"/>
      <c r="G658" s="2">
        <f t="shared" si="62"/>
        <v>31.898999999999997</v>
      </c>
      <c r="H658" s="2">
        <f t="shared" si="60"/>
        <v>0</v>
      </c>
      <c r="I658" s="2">
        <f t="shared" si="61"/>
        <v>31.898999999999997</v>
      </c>
      <c r="M658" s="87"/>
    </row>
    <row r="659" spans="1:13" x14ac:dyDescent="0.25">
      <c r="A659" s="86"/>
      <c r="B659" s="344"/>
      <c r="C659" s="2">
        <v>1.61</v>
      </c>
      <c r="D659" s="2">
        <v>4.47</v>
      </c>
      <c r="E659" s="2">
        <f>0.8*2.1</f>
        <v>1.6800000000000002</v>
      </c>
      <c r="F659" s="2" t="s">
        <v>359</v>
      </c>
      <c r="G659" s="2">
        <f t="shared" si="62"/>
        <v>5.5167000000000002</v>
      </c>
      <c r="H659" s="2">
        <f t="shared" si="60"/>
        <v>5.5167000000000002</v>
      </c>
      <c r="I659" s="2">
        <f t="shared" si="61"/>
        <v>0</v>
      </c>
      <c r="M659" s="87"/>
    </row>
    <row r="660" spans="1:13" x14ac:dyDescent="0.25">
      <c r="A660" s="86"/>
      <c r="B660" s="344"/>
      <c r="C660" s="2">
        <v>13.8</v>
      </c>
      <c r="D660" s="2">
        <v>4.47</v>
      </c>
      <c r="E660" s="2"/>
      <c r="F660" s="2"/>
      <c r="G660" s="2">
        <f t="shared" si="62"/>
        <v>61.686</v>
      </c>
      <c r="H660" s="2">
        <f t="shared" si="60"/>
        <v>0</v>
      </c>
      <c r="I660" s="2">
        <f t="shared" si="61"/>
        <v>61.686</v>
      </c>
      <c r="M660" s="87"/>
    </row>
    <row r="661" spans="1:13" x14ac:dyDescent="0.25">
      <c r="A661" s="86"/>
      <c r="B661" s="344"/>
      <c r="C661" s="2">
        <v>1.6</v>
      </c>
      <c r="D661" s="2">
        <v>4.47</v>
      </c>
      <c r="E661" s="2">
        <f>0.8*2.1</f>
        <v>1.6800000000000002</v>
      </c>
      <c r="F661" s="2" t="s">
        <v>359</v>
      </c>
      <c r="G661" s="2">
        <f t="shared" si="62"/>
        <v>5.4719999999999995</v>
      </c>
      <c r="H661" s="2">
        <f t="shared" si="60"/>
        <v>5.4719999999999995</v>
      </c>
      <c r="I661" s="2">
        <f t="shared" si="61"/>
        <v>0</v>
      </c>
      <c r="M661" s="87"/>
    </row>
    <row r="662" spans="1:13" x14ac:dyDescent="0.25">
      <c r="A662" s="86"/>
      <c r="B662" s="344"/>
      <c r="C662" s="2">
        <v>21.55</v>
      </c>
      <c r="D662" s="2">
        <v>1.47</v>
      </c>
      <c r="E662" s="2"/>
      <c r="F662" s="2"/>
      <c r="G662" s="2">
        <f t="shared" si="62"/>
        <v>31.6785</v>
      </c>
      <c r="H662" s="2">
        <f t="shared" si="60"/>
        <v>0</v>
      </c>
      <c r="I662" s="2">
        <f t="shared" si="61"/>
        <v>31.6785</v>
      </c>
      <c r="M662" s="87"/>
    </row>
    <row r="663" spans="1:13" x14ac:dyDescent="0.25">
      <c r="A663" s="86"/>
      <c r="B663" s="344"/>
      <c r="C663" s="2">
        <v>3.45</v>
      </c>
      <c r="D663" s="2">
        <v>2.4900000000000002</v>
      </c>
      <c r="E663" s="2"/>
      <c r="F663" s="2"/>
      <c r="G663" s="2">
        <f t="shared" si="62"/>
        <v>8.5905000000000005</v>
      </c>
      <c r="H663" s="2">
        <f t="shared" si="60"/>
        <v>0</v>
      </c>
      <c r="I663" s="2">
        <f t="shared" si="61"/>
        <v>8.5905000000000005</v>
      </c>
      <c r="M663" s="87"/>
    </row>
    <row r="664" spans="1:13" x14ac:dyDescent="0.25">
      <c r="A664" s="86"/>
      <c r="B664" s="344"/>
      <c r="C664" s="2">
        <v>3.15</v>
      </c>
      <c r="D664" s="2">
        <v>2.4900000000000002</v>
      </c>
      <c r="E664" s="2"/>
      <c r="F664" s="2"/>
      <c r="G664" s="2">
        <f t="shared" si="62"/>
        <v>7.8435000000000006</v>
      </c>
      <c r="H664" s="2">
        <f t="shared" si="60"/>
        <v>0</v>
      </c>
      <c r="I664" s="2">
        <f t="shared" si="61"/>
        <v>7.8435000000000006</v>
      </c>
      <c r="M664" s="87"/>
    </row>
    <row r="665" spans="1:13" x14ac:dyDescent="0.25">
      <c r="A665" s="86"/>
      <c r="B665" s="344"/>
      <c r="C665" s="2">
        <v>3.3</v>
      </c>
      <c r="D665" s="2">
        <v>2.4900000000000002</v>
      </c>
      <c r="E665" s="2"/>
      <c r="F665" s="2"/>
      <c r="G665" s="2">
        <f t="shared" si="62"/>
        <v>8.2170000000000005</v>
      </c>
      <c r="H665" s="2">
        <f t="shared" si="60"/>
        <v>0</v>
      </c>
      <c r="I665" s="2">
        <f t="shared" si="61"/>
        <v>8.2170000000000005</v>
      </c>
      <c r="M665" s="87"/>
    </row>
    <row r="666" spans="1:13" x14ac:dyDescent="0.25">
      <c r="A666" s="86"/>
      <c r="B666" s="344"/>
      <c r="C666" s="2">
        <v>3</v>
      </c>
      <c r="D666" s="2">
        <v>2.4900000000000002</v>
      </c>
      <c r="E666" s="2"/>
      <c r="F666" s="2"/>
      <c r="G666" s="2">
        <f t="shared" si="62"/>
        <v>7.4700000000000006</v>
      </c>
      <c r="H666" s="2">
        <f t="shared" si="60"/>
        <v>0</v>
      </c>
      <c r="I666" s="2">
        <f t="shared" si="61"/>
        <v>7.4700000000000006</v>
      </c>
      <c r="M666" s="87"/>
    </row>
    <row r="667" spans="1:13" x14ac:dyDescent="0.25">
      <c r="A667" s="86"/>
      <c r="B667" s="344"/>
      <c r="C667" s="2">
        <v>3.15</v>
      </c>
      <c r="D667" s="2">
        <v>2.4900000000000002</v>
      </c>
      <c r="E667" s="2"/>
      <c r="F667" s="2"/>
      <c r="G667" s="2">
        <f t="shared" si="62"/>
        <v>7.8435000000000006</v>
      </c>
      <c r="H667" s="2">
        <f t="shared" si="60"/>
        <v>0</v>
      </c>
      <c r="I667" s="2">
        <f t="shared" si="61"/>
        <v>7.8435000000000006</v>
      </c>
      <c r="M667" s="87"/>
    </row>
    <row r="668" spans="1:13" x14ac:dyDescent="0.25">
      <c r="A668" s="86"/>
      <c r="B668" s="344"/>
      <c r="C668" s="2">
        <v>3</v>
      </c>
      <c r="D668" s="2">
        <v>2.4900000000000002</v>
      </c>
      <c r="E668" s="2"/>
      <c r="F668" s="2"/>
      <c r="G668" s="2">
        <f t="shared" si="62"/>
        <v>7.4700000000000006</v>
      </c>
      <c r="H668" s="2">
        <f t="shared" si="60"/>
        <v>0</v>
      </c>
      <c r="I668" s="2">
        <f t="shared" si="61"/>
        <v>7.4700000000000006</v>
      </c>
      <c r="M668" s="87"/>
    </row>
    <row r="669" spans="1:13" x14ac:dyDescent="0.25">
      <c r="A669" s="86"/>
      <c r="B669" s="344"/>
      <c r="C669" s="2">
        <v>3.15</v>
      </c>
      <c r="D669" s="2">
        <v>2.4900000000000002</v>
      </c>
      <c r="E669" s="2"/>
      <c r="F669" s="2"/>
      <c r="G669" s="2">
        <f t="shared" si="62"/>
        <v>7.8435000000000006</v>
      </c>
      <c r="H669" s="2">
        <f t="shared" si="60"/>
        <v>0</v>
      </c>
      <c r="I669" s="2">
        <f t="shared" si="61"/>
        <v>7.8435000000000006</v>
      </c>
      <c r="M669" s="87"/>
    </row>
    <row r="670" spans="1:13" x14ac:dyDescent="0.25">
      <c r="A670" s="86"/>
      <c r="B670" s="344"/>
      <c r="C670" s="2">
        <v>10.35</v>
      </c>
      <c r="D670" s="2">
        <v>1.47</v>
      </c>
      <c r="E670" s="2"/>
      <c r="F670" s="2"/>
      <c r="G670" s="2">
        <f t="shared" si="62"/>
        <v>15.214499999999999</v>
      </c>
      <c r="H670" s="2">
        <f t="shared" si="60"/>
        <v>0</v>
      </c>
      <c r="I670" s="2">
        <f t="shared" si="61"/>
        <v>15.214499999999999</v>
      </c>
      <c r="M670" s="87"/>
    </row>
    <row r="671" spans="1:13" x14ac:dyDescent="0.25">
      <c r="A671" s="86"/>
      <c r="B671" s="344"/>
      <c r="C671" s="2">
        <v>24.7</v>
      </c>
      <c r="D671" s="2">
        <v>1.47</v>
      </c>
      <c r="E671" s="2"/>
      <c r="F671" s="2"/>
      <c r="G671" s="2">
        <f t="shared" si="62"/>
        <v>36.308999999999997</v>
      </c>
      <c r="H671" s="2">
        <f t="shared" si="60"/>
        <v>0</v>
      </c>
      <c r="I671" s="2">
        <f t="shared" si="61"/>
        <v>36.308999999999997</v>
      </c>
      <c r="M671" s="87"/>
    </row>
    <row r="672" spans="1:13" x14ac:dyDescent="0.25">
      <c r="A672" s="86"/>
      <c r="B672" s="344"/>
      <c r="C672" s="2">
        <v>13.5</v>
      </c>
      <c r="D672" s="2">
        <v>1.47</v>
      </c>
      <c r="E672" s="2"/>
      <c r="F672" s="2"/>
      <c r="G672" s="2">
        <f t="shared" si="62"/>
        <v>19.844999999999999</v>
      </c>
      <c r="H672" s="2">
        <f t="shared" si="60"/>
        <v>0</v>
      </c>
      <c r="I672" s="2">
        <f t="shared" si="61"/>
        <v>19.844999999999999</v>
      </c>
      <c r="M672" s="87"/>
    </row>
    <row r="673" spans="1:14" x14ac:dyDescent="0.25">
      <c r="A673" s="86"/>
      <c r="B673" s="344"/>
      <c r="C673" s="2">
        <v>21.4</v>
      </c>
      <c r="D673" s="2">
        <v>1.47</v>
      </c>
      <c r="E673" s="2"/>
      <c r="F673" s="2"/>
      <c r="G673" s="2">
        <f t="shared" si="62"/>
        <v>31.457999999999998</v>
      </c>
      <c r="H673" s="2">
        <f t="shared" si="60"/>
        <v>0</v>
      </c>
      <c r="I673" s="2">
        <f t="shared" si="61"/>
        <v>31.457999999999998</v>
      </c>
      <c r="M673" s="87"/>
    </row>
    <row r="674" spans="1:14" ht="15.75" x14ac:dyDescent="0.25">
      <c r="A674" s="86"/>
      <c r="B674" s="345" t="s">
        <v>0</v>
      </c>
      <c r="C674" s="346"/>
      <c r="D674" s="346"/>
      <c r="E674" s="346"/>
      <c r="F674" s="347"/>
      <c r="G674" s="4">
        <f>TRUNC(SUM(G653:G673),2)</f>
        <v>375.24</v>
      </c>
      <c r="H674" s="4">
        <f t="shared" ref="H674:I674" si="63">TRUNC(SUM(H653:H673),2)</f>
        <v>73.39</v>
      </c>
      <c r="I674" s="4">
        <f t="shared" si="63"/>
        <v>301.83999999999997</v>
      </c>
      <c r="M674" s="87"/>
    </row>
    <row r="675" spans="1:14" x14ac:dyDescent="0.25">
      <c r="A675" s="86"/>
      <c r="M675" s="87"/>
    </row>
    <row r="676" spans="1:14" ht="15.75" x14ac:dyDescent="0.25">
      <c r="A676" s="86"/>
      <c r="B676" s="46" t="s">
        <v>109</v>
      </c>
      <c r="C676" s="46">
        <f>H674</f>
        <v>73.39</v>
      </c>
      <c r="D676" s="46" t="s">
        <v>167</v>
      </c>
      <c r="M676" s="87"/>
    </row>
    <row r="677" spans="1:14" x14ac:dyDescent="0.25">
      <c r="A677" s="86"/>
      <c r="M677" s="87"/>
    </row>
    <row r="678" spans="1:14" x14ac:dyDescent="0.25">
      <c r="A678" s="107" t="s">
        <v>394</v>
      </c>
      <c r="B678" s="47" t="str">
        <f>VLOOKUP('IV-MEMORIAL'!A678,'II-PO'!$A$19:$M$295,5,0)</f>
        <v>CHAPISCO APLICADO EM ALVENARIA (SEM PRESENÇA DE VÃOS) E ESTRUTURAS DE CONCRETO DE FACHADA, COM COLHER DE PEDREIRO. ARGAMASSA TRAÇO 1:3 COM PREPARO EM BETONEIRA 400L. AF_10/2022</v>
      </c>
      <c r="C678" s="47"/>
      <c r="D678" s="47"/>
      <c r="E678" s="48"/>
      <c r="F678" s="48"/>
      <c r="G678" s="48"/>
      <c r="H678" s="48"/>
      <c r="I678" s="48"/>
      <c r="J678" s="48"/>
      <c r="K678" s="48"/>
      <c r="L678" s="48"/>
      <c r="M678" s="108"/>
      <c r="N678" s="3">
        <f>C680</f>
        <v>301.83999999999997</v>
      </c>
    </row>
    <row r="679" spans="1:14" x14ac:dyDescent="0.25">
      <c r="A679" s="86"/>
      <c r="M679" s="87"/>
    </row>
    <row r="680" spans="1:14" ht="15.75" x14ac:dyDescent="0.25">
      <c r="A680" s="86"/>
      <c r="B680" s="46" t="s">
        <v>109</v>
      </c>
      <c r="C680" s="46">
        <f>I674</f>
        <v>301.83999999999997</v>
      </c>
      <c r="D680" s="46" t="s">
        <v>167</v>
      </c>
      <c r="M680" s="87"/>
    </row>
    <row r="681" spans="1:14" x14ac:dyDescent="0.25">
      <c r="A681" s="86"/>
      <c r="M681" s="87"/>
    </row>
    <row r="682" spans="1:14" x14ac:dyDescent="0.25">
      <c r="A682" s="107" t="s">
        <v>395</v>
      </c>
      <c r="B682" s="47" t="str">
        <f>VLOOKUP('IV-MEMORIAL'!A682,'II-PO'!$A$19:$M$295,5,0)</f>
        <v>EMBOÇO, EM ARGAMASSA TRAÇO 1:2:8, PREPARO MECÂNICO, APLICADO MANUALMENTE EM PAREDES INTERNAS DE AMBIENTES COM ÁREA MENOR QUE 5M², E =17,5MM, COM TALISCAS. AF_03/2024</v>
      </c>
      <c r="C682" s="47"/>
      <c r="D682" s="47"/>
      <c r="E682" s="48"/>
      <c r="F682" s="48"/>
      <c r="G682" s="48"/>
      <c r="H682" s="48"/>
      <c r="I682" s="48"/>
      <c r="J682" s="48"/>
      <c r="K682" s="48"/>
      <c r="L682" s="48"/>
      <c r="M682" s="108"/>
      <c r="N682" s="3">
        <f>C684</f>
        <v>86.3</v>
      </c>
    </row>
    <row r="683" spans="1:14" x14ac:dyDescent="0.25">
      <c r="A683" s="86"/>
      <c r="M683" s="87"/>
    </row>
    <row r="684" spans="1:14" ht="15.75" x14ac:dyDescent="0.25">
      <c r="A684" s="86"/>
      <c r="B684" s="46" t="s">
        <v>109</v>
      </c>
      <c r="C684" s="46">
        <f>$J$646</f>
        <v>86.3</v>
      </c>
      <c r="D684" s="46" t="s">
        <v>167</v>
      </c>
      <c r="M684" s="87"/>
    </row>
    <row r="685" spans="1:14" x14ac:dyDescent="0.25">
      <c r="A685" s="86"/>
      <c r="M685" s="87"/>
    </row>
    <row r="686" spans="1:14" x14ac:dyDescent="0.25">
      <c r="A686" s="107" t="s">
        <v>396</v>
      </c>
      <c r="B686" s="47" t="str">
        <f>VLOOKUP('IV-MEMORIAL'!A686,'II-PO'!$A$19:$M$295,5,0)</f>
        <v>EMBOÇO, EM ARGAMASSA TRAÇO 1:2:8, PREPARO MECÂNICO, APLICADO MANUALMENTE EM PAREDES INTERNAS DE AMBIENTES COM ÁREA ENTRE 5M² E 10M², E = 17,5MM, COM TALISCAS. AF_03/2024</v>
      </c>
      <c r="C686" s="47"/>
      <c r="D686" s="47"/>
      <c r="E686" s="48"/>
      <c r="F686" s="48"/>
      <c r="G686" s="48"/>
      <c r="H686" s="48"/>
      <c r="I686" s="48"/>
      <c r="J686" s="48"/>
      <c r="K686" s="48"/>
      <c r="L686" s="48"/>
      <c r="M686" s="108"/>
      <c r="N686" s="3">
        <f>C688</f>
        <v>260.61</v>
      </c>
    </row>
    <row r="687" spans="1:14" x14ac:dyDescent="0.25">
      <c r="A687" s="86"/>
      <c r="M687" s="87"/>
    </row>
    <row r="688" spans="1:14" ht="15.75" x14ac:dyDescent="0.25">
      <c r="A688" s="86"/>
      <c r="B688" s="46" t="s">
        <v>109</v>
      </c>
      <c r="C688" s="46">
        <f>$K$646</f>
        <v>260.61</v>
      </c>
      <c r="D688" s="46" t="s">
        <v>167</v>
      </c>
      <c r="M688" s="87"/>
    </row>
    <row r="689" spans="1:14" x14ac:dyDescent="0.25">
      <c r="A689" s="86"/>
      <c r="M689" s="87"/>
    </row>
    <row r="690" spans="1:14" x14ac:dyDescent="0.25">
      <c r="A690" s="107" t="s">
        <v>397</v>
      </c>
      <c r="B690" s="47" t="str">
        <f>VLOOKUP('IV-MEMORIAL'!A690,'II-PO'!$A$19:$M$295,5,0)</f>
        <v>EMBOÇO, EM ARGAMASSA TRAÇO 1:2:8, PREPARO MECÂNICO, APLICADO MANUALMENTE EM PAREDES INTERNAS DE AMBIENTES COM ÁREA MAIOR QUE 10M², E = 17,5MM, COM TALISCAS. AF_03/2024</v>
      </c>
      <c r="C690" s="47"/>
      <c r="D690" s="47"/>
      <c r="E690" s="48"/>
      <c r="F690" s="48"/>
      <c r="G690" s="48"/>
      <c r="H690" s="48"/>
      <c r="I690" s="48"/>
      <c r="J690" s="48"/>
      <c r="K690" s="48"/>
      <c r="L690" s="48"/>
      <c r="M690" s="108"/>
      <c r="N690" s="3">
        <f>C692</f>
        <v>713.11</v>
      </c>
    </row>
    <row r="691" spans="1:14" x14ac:dyDescent="0.25">
      <c r="A691" s="86"/>
      <c r="M691" s="87"/>
    </row>
    <row r="692" spans="1:14" ht="15.75" x14ac:dyDescent="0.25">
      <c r="A692" s="86"/>
      <c r="B692" s="46" t="s">
        <v>109</v>
      </c>
      <c r="C692" s="46">
        <f>$L$646</f>
        <v>713.11</v>
      </c>
      <c r="D692" s="46" t="s">
        <v>167</v>
      </c>
      <c r="M692" s="87"/>
    </row>
    <row r="693" spans="1:14" x14ac:dyDescent="0.25">
      <c r="A693" s="86"/>
      <c r="M693" s="87"/>
    </row>
    <row r="694" spans="1:14" x14ac:dyDescent="0.25">
      <c r="A694" s="107" t="s">
        <v>398</v>
      </c>
      <c r="B694" s="47" t="str">
        <f>VLOOKUP('IV-MEMORIAL'!A694,'II-PO'!$A$19:$M$295,5,0)</f>
        <v>EMBOÇO OU MASSA ÚNICA EM ARGAMASSA TRAÇO 1:2:8, PREPARO MECÂNICA COM BETONEIRA 400 L, APLICADA MANUALMENTE EM PANOS DE FACHADA SEM PRESENÇA DE VÃOS, ESPESSURA DE 35 MM, ACESSO POR ANDAIME. AF_08/2022</v>
      </c>
      <c r="C694" s="47"/>
      <c r="D694" s="47"/>
      <c r="E694" s="48"/>
      <c r="F694" s="48"/>
      <c r="G694" s="48"/>
      <c r="H694" s="48"/>
      <c r="I694" s="48"/>
      <c r="J694" s="48"/>
      <c r="K694" s="48"/>
      <c r="L694" s="48"/>
      <c r="M694" s="108"/>
      <c r="N694" s="3">
        <f>C696</f>
        <v>73.39</v>
      </c>
    </row>
    <row r="695" spans="1:14" x14ac:dyDescent="0.25">
      <c r="A695" s="86"/>
      <c r="M695" s="87"/>
    </row>
    <row r="696" spans="1:14" ht="15.75" x14ac:dyDescent="0.25">
      <c r="A696" s="86"/>
      <c r="B696" s="46" t="s">
        <v>109</v>
      </c>
      <c r="C696" s="46">
        <f>H674</f>
        <v>73.39</v>
      </c>
      <c r="D696" s="46" t="s">
        <v>167</v>
      </c>
      <c r="M696" s="87"/>
    </row>
    <row r="697" spans="1:14" x14ac:dyDescent="0.25">
      <c r="A697" s="86"/>
      <c r="M697" s="87"/>
    </row>
    <row r="698" spans="1:14" x14ac:dyDescent="0.25">
      <c r="A698" s="107" t="s">
        <v>399</v>
      </c>
      <c r="B698" s="47" t="str">
        <f>VLOOKUP('IV-MEMORIAL'!A698,'II-PO'!$A$19:$M$295,5,0)</f>
        <v>EMBOÇO OU MASSA ÚNICA EM ARGAMASSA TRAÇO 1:2:8, PREPARO MECÂNICA COM BETONEIRA 400 L, APLICADA MANUALMENTE EM PANOS DE FACHADA COM PRESENÇA DE VÃOS, ESPESSURA DE 35 MM, ACESSO POR ANDAIME. AF_08/2022</v>
      </c>
      <c r="C698" s="47"/>
      <c r="D698" s="47"/>
      <c r="E698" s="48"/>
      <c r="F698" s="48"/>
      <c r="G698" s="48"/>
      <c r="H698" s="48"/>
      <c r="I698" s="48"/>
      <c r="J698" s="48"/>
      <c r="K698" s="48"/>
      <c r="L698" s="48"/>
      <c r="M698" s="108"/>
      <c r="N698" s="3">
        <f>C700</f>
        <v>301.83999999999997</v>
      </c>
    </row>
    <row r="699" spans="1:14" x14ac:dyDescent="0.25">
      <c r="A699" s="86"/>
      <c r="M699" s="87"/>
    </row>
    <row r="700" spans="1:14" ht="15.75" x14ac:dyDescent="0.25">
      <c r="A700" s="86"/>
      <c r="B700" s="46" t="s">
        <v>109</v>
      </c>
      <c r="C700" s="46">
        <f>I674</f>
        <v>301.83999999999997</v>
      </c>
      <c r="D700" s="46" t="s">
        <v>167</v>
      </c>
      <c r="M700" s="87"/>
    </row>
    <row r="701" spans="1:14" x14ac:dyDescent="0.25">
      <c r="A701" s="86"/>
      <c r="M701" s="87"/>
    </row>
    <row r="702" spans="1:14" ht="15.75" x14ac:dyDescent="0.25">
      <c r="A702" s="105">
        <v>7</v>
      </c>
      <c r="B702" s="43" t="s">
        <v>220</v>
      </c>
      <c r="C702" s="44"/>
      <c r="D702" s="44"/>
      <c r="E702" s="45"/>
      <c r="F702" s="45"/>
      <c r="G702" s="45"/>
      <c r="H702" s="45"/>
      <c r="I702" s="45"/>
      <c r="J702" s="45"/>
      <c r="K702" s="45"/>
      <c r="L702" s="45"/>
      <c r="M702" s="106"/>
    </row>
    <row r="703" spans="1:14" x14ac:dyDescent="0.25">
      <c r="A703" s="86"/>
      <c r="M703" s="87"/>
    </row>
    <row r="704" spans="1:14" ht="15.75" x14ac:dyDescent="0.25">
      <c r="A704" s="86"/>
      <c r="B704" s="4" t="s">
        <v>320</v>
      </c>
      <c r="C704" s="4" t="s">
        <v>321</v>
      </c>
      <c r="D704" s="4" t="s">
        <v>348</v>
      </c>
      <c r="E704" s="4" t="s">
        <v>349</v>
      </c>
      <c r="F704" s="4" t="s">
        <v>350</v>
      </c>
      <c r="M704" s="87"/>
    </row>
    <row r="705" spans="1:13" x14ac:dyDescent="0.25">
      <c r="A705" s="86"/>
      <c r="B705" s="2" t="s">
        <v>322</v>
      </c>
      <c r="C705" s="2">
        <v>4.5</v>
      </c>
      <c r="D705" s="2">
        <f>IF(C705&lt;5,C705,0)</f>
        <v>4.5</v>
      </c>
      <c r="E705" s="2">
        <f>IF(AND(C705&gt;=5,C705&lt;10),C705,0)</f>
        <v>0</v>
      </c>
      <c r="F705" s="2">
        <f>IF(C705&gt;=10,C705,0)</f>
        <v>0</v>
      </c>
      <c r="M705" s="87"/>
    </row>
    <row r="706" spans="1:13" x14ac:dyDescent="0.25">
      <c r="A706" s="86"/>
      <c r="B706" s="2" t="s">
        <v>323</v>
      </c>
      <c r="C706" s="2">
        <v>4.5</v>
      </c>
      <c r="D706" s="2">
        <f t="shared" ref="D706:D725" si="64">IF(C706&lt;5,C706,0)</f>
        <v>4.5</v>
      </c>
      <c r="E706" s="2">
        <f t="shared" ref="E706:E725" si="65">IF(AND(C706&gt;=5,C706&lt;10),C706,0)</f>
        <v>0</v>
      </c>
      <c r="F706" s="2">
        <f t="shared" ref="F706:F725" si="66">IF(C706&gt;=10,C706,0)</f>
        <v>0</v>
      </c>
      <c r="M706" s="87"/>
    </row>
    <row r="707" spans="1:13" x14ac:dyDescent="0.25">
      <c r="A707" s="86"/>
      <c r="B707" s="2" t="s">
        <v>324</v>
      </c>
      <c r="C707" s="2">
        <v>12.61</v>
      </c>
      <c r="D707" s="2">
        <f t="shared" si="64"/>
        <v>0</v>
      </c>
      <c r="E707" s="2">
        <f t="shared" si="65"/>
        <v>0</v>
      </c>
      <c r="F707" s="2">
        <f t="shared" si="66"/>
        <v>12.61</v>
      </c>
      <c r="M707" s="87"/>
    </row>
    <row r="708" spans="1:13" x14ac:dyDescent="0.25">
      <c r="A708" s="86"/>
      <c r="B708" s="2" t="s">
        <v>325</v>
      </c>
      <c r="C708" s="2">
        <v>12.61</v>
      </c>
      <c r="D708" s="2">
        <f t="shared" si="64"/>
        <v>0</v>
      </c>
      <c r="E708" s="2">
        <f t="shared" si="65"/>
        <v>0</v>
      </c>
      <c r="F708" s="2">
        <f t="shared" si="66"/>
        <v>12.61</v>
      </c>
      <c r="M708" s="87"/>
    </row>
    <row r="709" spans="1:13" x14ac:dyDescent="0.25">
      <c r="A709" s="86"/>
      <c r="B709" s="2" t="s">
        <v>326</v>
      </c>
      <c r="C709" s="2">
        <v>12.61</v>
      </c>
      <c r="D709" s="2">
        <f t="shared" si="64"/>
        <v>0</v>
      </c>
      <c r="E709" s="2">
        <f t="shared" si="65"/>
        <v>0</v>
      </c>
      <c r="F709" s="2">
        <f t="shared" si="66"/>
        <v>12.61</v>
      </c>
      <c r="M709" s="87"/>
    </row>
    <row r="710" spans="1:13" x14ac:dyDescent="0.25">
      <c r="A710" s="86"/>
      <c r="B710" s="2" t="s">
        <v>327</v>
      </c>
      <c r="C710" s="2">
        <v>12.61</v>
      </c>
      <c r="D710" s="2">
        <f t="shared" si="64"/>
        <v>0</v>
      </c>
      <c r="E710" s="2">
        <f t="shared" si="65"/>
        <v>0</v>
      </c>
      <c r="F710" s="2">
        <f t="shared" si="66"/>
        <v>12.61</v>
      </c>
      <c r="M710" s="87"/>
    </row>
    <row r="711" spans="1:13" x14ac:dyDescent="0.25">
      <c r="A711" s="86"/>
      <c r="B711" s="2" t="s">
        <v>328</v>
      </c>
      <c r="C711" s="2">
        <v>12.61</v>
      </c>
      <c r="D711" s="2">
        <f t="shared" si="64"/>
        <v>0</v>
      </c>
      <c r="E711" s="2">
        <f t="shared" si="65"/>
        <v>0</v>
      </c>
      <c r="F711" s="2">
        <f t="shared" si="66"/>
        <v>12.61</v>
      </c>
      <c r="M711" s="87"/>
    </row>
    <row r="712" spans="1:13" x14ac:dyDescent="0.25">
      <c r="A712" s="86"/>
      <c r="B712" s="2" t="s">
        <v>329</v>
      </c>
      <c r="C712" s="2">
        <v>52.48</v>
      </c>
      <c r="D712" s="2">
        <f t="shared" si="64"/>
        <v>0</v>
      </c>
      <c r="E712" s="2">
        <f t="shared" si="65"/>
        <v>0</v>
      </c>
      <c r="F712" s="2">
        <f t="shared" si="66"/>
        <v>52.48</v>
      </c>
      <c r="M712" s="87"/>
    </row>
    <row r="713" spans="1:13" x14ac:dyDescent="0.25">
      <c r="A713" s="86"/>
      <c r="B713" s="2" t="s">
        <v>330</v>
      </c>
      <c r="C713" s="2">
        <v>35.75</v>
      </c>
      <c r="D713" s="2">
        <f t="shared" si="64"/>
        <v>0</v>
      </c>
      <c r="E713" s="2">
        <f t="shared" si="65"/>
        <v>0</v>
      </c>
      <c r="F713" s="2">
        <f t="shared" si="66"/>
        <v>35.75</v>
      </c>
      <c r="M713" s="87"/>
    </row>
    <row r="714" spans="1:13" x14ac:dyDescent="0.25">
      <c r="A714" s="86"/>
      <c r="B714" s="2" t="s">
        <v>331</v>
      </c>
      <c r="C714" s="2">
        <v>104.27</v>
      </c>
      <c r="D714" s="2">
        <f t="shared" si="64"/>
        <v>0</v>
      </c>
      <c r="E714" s="2">
        <f t="shared" si="65"/>
        <v>0</v>
      </c>
      <c r="F714" s="2">
        <f t="shared" si="66"/>
        <v>104.27</v>
      </c>
      <c r="M714" s="87"/>
    </row>
    <row r="715" spans="1:13" x14ac:dyDescent="0.25">
      <c r="A715" s="86"/>
      <c r="B715" s="2" t="s">
        <v>332</v>
      </c>
      <c r="C715" s="2">
        <v>2.41</v>
      </c>
      <c r="D715" s="2">
        <f t="shared" si="64"/>
        <v>2.41</v>
      </c>
      <c r="E715" s="2">
        <f t="shared" si="65"/>
        <v>0</v>
      </c>
      <c r="F715" s="2">
        <f t="shared" si="66"/>
        <v>0</v>
      </c>
      <c r="M715" s="87"/>
    </row>
    <row r="716" spans="1:13" x14ac:dyDescent="0.25">
      <c r="A716" s="86"/>
      <c r="B716" s="2" t="s">
        <v>333</v>
      </c>
      <c r="C716" s="2">
        <v>8</v>
      </c>
      <c r="D716" s="2">
        <f t="shared" si="64"/>
        <v>0</v>
      </c>
      <c r="E716" s="2">
        <f t="shared" si="65"/>
        <v>8</v>
      </c>
      <c r="F716" s="2">
        <f t="shared" si="66"/>
        <v>0</v>
      </c>
      <c r="M716" s="87"/>
    </row>
    <row r="717" spans="1:13" x14ac:dyDescent="0.25">
      <c r="A717" s="86"/>
      <c r="B717" s="2" t="s">
        <v>334</v>
      </c>
      <c r="C717" s="2">
        <v>3.53</v>
      </c>
      <c r="D717" s="2">
        <f t="shared" si="64"/>
        <v>3.53</v>
      </c>
      <c r="E717" s="2">
        <f t="shared" si="65"/>
        <v>0</v>
      </c>
      <c r="F717" s="2">
        <f t="shared" si="66"/>
        <v>0</v>
      </c>
      <c r="M717" s="87"/>
    </row>
    <row r="718" spans="1:13" x14ac:dyDescent="0.25">
      <c r="A718" s="86"/>
      <c r="B718" s="2" t="s">
        <v>335</v>
      </c>
      <c r="C718" s="2">
        <v>12.62</v>
      </c>
      <c r="D718" s="2">
        <f t="shared" si="64"/>
        <v>0</v>
      </c>
      <c r="E718" s="2">
        <f t="shared" si="65"/>
        <v>0</v>
      </c>
      <c r="F718" s="2">
        <f t="shared" si="66"/>
        <v>12.62</v>
      </c>
      <c r="M718" s="87"/>
    </row>
    <row r="719" spans="1:13" x14ac:dyDescent="0.25">
      <c r="A719" s="86"/>
      <c r="B719" s="2" t="s">
        <v>336</v>
      </c>
      <c r="C719" s="2">
        <v>12.62</v>
      </c>
      <c r="D719" s="2">
        <f t="shared" si="64"/>
        <v>0</v>
      </c>
      <c r="E719" s="2">
        <f t="shared" si="65"/>
        <v>0</v>
      </c>
      <c r="F719" s="2">
        <f t="shared" si="66"/>
        <v>12.62</v>
      </c>
      <c r="M719" s="87"/>
    </row>
    <row r="720" spans="1:13" x14ac:dyDescent="0.25">
      <c r="A720" s="86"/>
      <c r="B720" s="2" t="s">
        <v>337</v>
      </c>
      <c r="C720" s="2">
        <v>12.62</v>
      </c>
      <c r="D720" s="2">
        <f t="shared" si="64"/>
        <v>0</v>
      </c>
      <c r="E720" s="2">
        <f t="shared" si="65"/>
        <v>0</v>
      </c>
      <c r="F720" s="2">
        <f t="shared" si="66"/>
        <v>12.62</v>
      </c>
      <c r="M720" s="87"/>
    </row>
    <row r="721" spans="1:14" x14ac:dyDescent="0.25">
      <c r="A721" s="86"/>
      <c r="B721" s="2" t="s">
        <v>338</v>
      </c>
      <c r="C721" s="2">
        <v>12.62</v>
      </c>
      <c r="D721" s="2">
        <f t="shared" si="64"/>
        <v>0</v>
      </c>
      <c r="E721" s="2">
        <f t="shared" si="65"/>
        <v>0</v>
      </c>
      <c r="F721" s="2">
        <f t="shared" si="66"/>
        <v>12.62</v>
      </c>
      <c r="M721" s="87"/>
    </row>
    <row r="722" spans="1:14" x14ac:dyDescent="0.25">
      <c r="A722" s="86"/>
      <c r="B722" s="2" t="s">
        <v>339</v>
      </c>
      <c r="C722" s="2">
        <v>12.62</v>
      </c>
      <c r="D722" s="2">
        <f t="shared" si="64"/>
        <v>0</v>
      </c>
      <c r="E722" s="2">
        <f t="shared" si="65"/>
        <v>0</v>
      </c>
      <c r="F722" s="2">
        <f t="shared" si="66"/>
        <v>12.62</v>
      </c>
      <c r="M722" s="87"/>
    </row>
    <row r="723" spans="1:14" x14ac:dyDescent="0.25">
      <c r="A723" s="86"/>
      <c r="B723" s="2" t="s">
        <v>340</v>
      </c>
      <c r="C723" s="2">
        <f>1.45*24.7</f>
        <v>35.814999999999998</v>
      </c>
      <c r="D723" s="2">
        <f t="shared" si="64"/>
        <v>0</v>
      </c>
      <c r="E723" s="2">
        <f t="shared" si="65"/>
        <v>0</v>
      </c>
      <c r="F723" s="2">
        <f t="shared" si="66"/>
        <v>35.814999999999998</v>
      </c>
      <c r="M723" s="87"/>
    </row>
    <row r="724" spans="1:14" x14ac:dyDescent="0.25">
      <c r="A724" s="86"/>
      <c r="B724" s="2" t="s">
        <v>341</v>
      </c>
      <c r="C724" s="2">
        <f>1.45*24.7</f>
        <v>35.814999999999998</v>
      </c>
      <c r="D724" s="2">
        <f t="shared" si="64"/>
        <v>0</v>
      </c>
      <c r="E724" s="2">
        <f t="shared" ref="E724" si="67">IF(AND(C724&gt;=5,C724&lt;10),C724,0)</f>
        <v>0</v>
      </c>
      <c r="F724" s="2">
        <f t="shared" ref="F724" si="68">IF(C724&gt;=10,C724,0)</f>
        <v>35.814999999999998</v>
      </c>
      <c r="M724" s="87"/>
    </row>
    <row r="725" spans="1:14" x14ac:dyDescent="0.25">
      <c r="A725" s="86"/>
      <c r="B725" s="2" t="s">
        <v>354</v>
      </c>
      <c r="C725" s="2">
        <v>29.6</v>
      </c>
      <c r="D725" s="2">
        <f t="shared" si="64"/>
        <v>0</v>
      </c>
      <c r="E725" s="2">
        <f t="shared" si="65"/>
        <v>0</v>
      </c>
      <c r="F725" s="2">
        <f t="shared" si="66"/>
        <v>29.6</v>
      </c>
      <c r="M725" s="87"/>
    </row>
    <row r="726" spans="1:14" ht="15.75" x14ac:dyDescent="0.25">
      <c r="A726" s="86"/>
      <c r="B726" s="4" t="s">
        <v>342</v>
      </c>
      <c r="C726" s="4">
        <f>TRUNC(SUM(C705:C725),2)</f>
        <v>442.82</v>
      </c>
      <c r="D726" s="4">
        <f t="shared" ref="D726:F726" si="69">TRUNC(SUM(D705:D725),2)</f>
        <v>14.94</v>
      </c>
      <c r="E726" s="4">
        <f t="shared" si="69"/>
        <v>8</v>
      </c>
      <c r="F726" s="4">
        <f t="shared" si="69"/>
        <v>419.88</v>
      </c>
      <c r="M726" s="87"/>
    </row>
    <row r="727" spans="1:14" x14ac:dyDescent="0.25">
      <c r="A727" s="86"/>
      <c r="M727" s="87"/>
    </row>
    <row r="728" spans="1:14" x14ac:dyDescent="0.25">
      <c r="A728" s="107" t="s">
        <v>343</v>
      </c>
      <c r="B728" s="47" t="str">
        <f>VLOOKUP('IV-MEMORIAL'!A728,'II-PO'!$A$19:$M$295,5,0)</f>
        <v>COMPACTAÇÃO MECÂNICA DE SOLO PARA EXECUÇÃO DE RADIER, PISO DE CONCRETO OU LAJE SOBRE SOLO, COM COMPACTADOR DE SOLOS TIPO PLACA VIBRATÓRIA. AF_09/2021</v>
      </c>
      <c r="C728" s="47"/>
      <c r="D728" s="47"/>
      <c r="E728" s="48"/>
      <c r="F728" s="48"/>
      <c r="G728" s="48"/>
      <c r="H728" s="48"/>
      <c r="I728" s="48"/>
      <c r="J728" s="48"/>
      <c r="K728" s="48"/>
      <c r="L728" s="48"/>
      <c r="M728" s="108"/>
      <c r="N728" s="3">
        <f>C730</f>
        <v>442.82</v>
      </c>
    </row>
    <row r="729" spans="1:14" x14ac:dyDescent="0.25">
      <c r="A729" s="86"/>
      <c r="M729" s="87"/>
    </row>
    <row r="730" spans="1:14" ht="15.75" x14ac:dyDescent="0.25">
      <c r="A730" s="86"/>
      <c r="B730" s="46" t="s">
        <v>109</v>
      </c>
      <c r="C730" s="46">
        <f>$C$726</f>
        <v>442.82</v>
      </c>
      <c r="D730" s="46" t="s">
        <v>167</v>
      </c>
      <c r="M730" s="87"/>
    </row>
    <row r="731" spans="1:14" x14ac:dyDescent="0.25">
      <c r="A731" s="86"/>
      <c r="M731" s="87"/>
    </row>
    <row r="732" spans="1:14" x14ac:dyDescent="0.25">
      <c r="A732" s="107" t="s">
        <v>344</v>
      </c>
      <c r="B732" s="47" t="str">
        <f>VLOOKUP('IV-MEMORIAL'!A732,'II-PO'!$A$19:$M$295,5,0)</f>
        <v>CAMADA SEPARADORA PARA EXECUÇÃO DE RADIER, PISO DE CONCRETO OU LAJE SOBRE SOLO, EM LONA PLÁSTICA. AF_09/2021</v>
      </c>
      <c r="C732" s="47"/>
      <c r="D732" s="47"/>
      <c r="E732" s="48"/>
      <c r="F732" s="48"/>
      <c r="G732" s="48"/>
      <c r="H732" s="48"/>
      <c r="I732" s="48"/>
      <c r="J732" s="48"/>
      <c r="K732" s="48"/>
      <c r="L732" s="48"/>
      <c r="M732" s="108"/>
      <c r="N732" s="3">
        <f>C734</f>
        <v>442.82</v>
      </c>
    </row>
    <row r="733" spans="1:14" x14ac:dyDescent="0.25">
      <c r="A733" s="86"/>
      <c r="M733" s="87"/>
    </row>
    <row r="734" spans="1:14" ht="15.75" x14ac:dyDescent="0.25">
      <c r="A734" s="86"/>
      <c r="B734" s="46" t="s">
        <v>109</v>
      </c>
      <c r="C734" s="46">
        <f>$C$726</f>
        <v>442.82</v>
      </c>
      <c r="D734" s="46" t="s">
        <v>167</v>
      </c>
      <c r="M734" s="87"/>
    </row>
    <row r="735" spans="1:14" x14ac:dyDescent="0.25">
      <c r="A735" s="86"/>
      <c r="M735" s="87"/>
    </row>
    <row r="736" spans="1:14" x14ac:dyDescent="0.25">
      <c r="A736" s="107" t="s">
        <v>345</v>
      </c>
      <c r="B736" s="47" t="str">
        <f>VLOOKUP('IV-MEMORIAL'!A736,'II-PO'!$A$19:$M$295,5,0)</f>
        <v>LASTRO DE CONCRETO MAGRO, APLICADO EM PISOS, LAJES SOBRE SOLO OU RADIERS, ESPESSURA DE 3 CM. AF_01/2024</v>
      </c>
      <c r="C736" s="47"/>
      <c r="D736" s="47"/>
      <c r="E736" s="48"/>
      <c r="F736" s="48"/>
      <c r="G736" s="48"/>
      <c r="H736" s="48"/>
      <c r="I736" s="48"/>
      <c r="J736" s="48"/>
      <c r="K736" s="48"/>
      <c r="L736" s="48"/>
      <c r="M736" s="108"/>
      <c r="N736" s="3">
        <f>C738</f>
        <v>442.82</v>
      </c>
    </row>
    <row r="737" spans="1:14" x14ac:dyDescent="0.25">
      <c r="A737" s="86"/>
      <c r="M737" s="87"/>
    </row>
    <row r="738" spans="1:14" ht="15.75" x14ac:dyDescent="0.25">
      <c r="A738" s="86"/>
      <c r="B738" s="46" t="s">
        <v>109</v>
      </c>
      <c r="C738" s="46">
        <f>$C$726</f>
        <v>442.82</v>
      </c>
      <c r="D738" s="46" t="s">
        <v>167</v>
      </c>
      <c r="M738" s="87"/>
    </row>
    <row r="739" spans="1:14" x14ac:dyDescent="0.25">
      <c r="A739" s="86"/>
      <c r="M739" s="87"/>
    </row>
    <row r="740" spans="1:14" x14ac:dyDescent="0.25">
      <c r="A740" s="107" t="s">
        <v>347</v>
      </c>
      <c r="B740" s="47" t="str">
        <f>VLOOKUP('IV-MEMORIAL'!A740,'II-PO'!$A$19:$M$295,5,0)</f>
        <v>PISO CIMENTADO, TRAÇO 1:3 (CIMENTO E AREIA), ACABAMENTO LISO, ESPESSURA 4,0 CM, PREPARO MECÂNICO DA ARGAMASSA. AF_09/2020</v>
      </c>
      <c r="C740" s="47"/>
      <c r="D740" s="47"/>
      <c r="E740" s="48"/>
      <c r="F740" s="48"/>
      <c r="G740" s="48"/>
      <c r="H740" s="48"/>
      <c r="I740" s="48"/>
      <c r="J740" s="48"/>
      <c r="K740" s="48"/>
      <c r="L740" s="48"/>
      <c r="M740" s="108"/>
      <c r="N740" s="3">
        <f>C742</f>
        <v>442.82</v>
      </c>
    </row>
    <row r="741" spans="1:14" x14ac:dyDescent="0.25">
      <c r="A741" s="86"/>
      <c r="M741" s="87"/>
    </row>
    <row r="742" spans="1:14" ht="15.75" x14ac:dyDescent="0.25">
      <c r="A742" s="86"/>
      <c r="B742" s="46" t="s">
        <v>109</v>
      </c>
      <c r="C742" s="46">
        <f>$C$726</f>
        <v>442.82</v>
      </c>
      <c r="D742" s="46" t="s">
        <v>167</v>
      </c>
      <c r="M742" s="87"/>
    </row>
    <row r="743" spans="1:14" x14ac:dyDescent="0.25">
      <c r="A743" s="86"/>
      <c r="M743" s="87"/>
    </row>
    <row r="744" spans="1:14" x14ac:dyDescent="0.25">
      <c r="A744" s="107" t="s">
        <v>351</v>
      </c>
      <c r="B744" s="47" t="str">
        <f>VLOOKUP('IV-MEMORIAL'!A744,'II-PO'!$A$19:$M$295,5,0)</f>
        <v>REVESTIMENTO CERÂMICO PARA PISO COM PLACAS TIPO PORCELANATO DE DIMENSÕES 60X60 CM APLICADA EM AMBIENTES DE ÁREA MENOR QUE 5 M². AF_02/2023_PE</v>
      </c>
      <c r="C744" s="47"/>
      <c r="D744" s="47"/>
      <c r="E744" s="48"/>
      <c r="F744" s="48"/>
      <c r="G744" s="48"/>
      <c r="H744" s="48"/>
      <c r="I744" s="48"/>
      <c r="J744" s="48"/>
      <c r="K744" s="48"/>
      <c r="L744" s="48"/>
      <c r="M744" s="108"/>
      <c r="N744" s="3">
        <f>C746</f>
        <v>14.94</v>
      </c>
    </row>
    <row r="745" spans="1:14" x14ac:dyDescent="0.25">
      <c r="A745" s="86"/>
      <c r="M745" s="87"/>
    </row>
    <row r="746" spans="1:14" ht="15.75" x14ac:dyDescent="0.25">
      <c r="A746" s="86"/>
      <c r="B746" s="46" t="s">
        <v>109</v>
      </c>
      <c r="C746" s="46">
        <f>$D$726</f>
        <v>14.94</v>
      </c>
      <c r="D746" s="46" t="s">
        <v>167</v>
      </c>
      <c r="M746" s="87"/>
    </row>
    <row r="747" spans="1:14" x14ac:dyDescent="0.25">
      <c r="A747" s="86"/>
      <c r="M747" s="87"/>
    </row>
    <row r="748" spans="1:14" x14ac:dyDescent="0.25">
      <c r="A748" s="107" t="s">
        <v>352</v>
      </c>
      <c r="B748" s="47" t="str">
        <f>VLOOKUP('IV-MEMORIAL'!A748,'II-PO'!$A$19:$M$295,5,0)</f>
        <v>REVESTIMENTO CERÂMICO PARA PISO COM PLACAS TIPO PORCELANATO DE DIMENSÕES 60X60 CM APLICADA EM AMBIENTES DE ÁREA ENTRE 5 M² E 10 M². AF_02/2023_PE</v>
      </c>
      <c r="C748" s="47"/>
      <c r="D748" s="47"/>
      <c r="E748" s="48"/>
      <c r="F748" s="48"/>
      <c r="G748" s="48"/>
      <c r="H748" s="48"/>
      <c r="I748" s="48"/>
      <c r="J748" s="48"/>
      <c r="K748" s="48"/>
      <c r="L748" s="48"/>
      <c r="M748" s="108"/>
      <c r="N748" s="3">
        <f>C750</f>
        <v>8</v>
      </c>
    </row>
    <row r="749" spans="1:14" x14ac:dyDescent="0.25">
      <c r="A749" s="86"/>
      <c r="M749" s="87"/>
    </row>
    <row r="750" spans="1:14" ht="15.75" x14ac:dyDescent="0.25">
      <c r="A750" s="86"/>
      <c r="B750" s="46" t="s">
        <v>109</v>
      </c>
      <c r="C750" s="46">
        <f>$E$726</f>
        <v>8</v>
      </c>
      <c r="D750" s="46" t="s">
        <v>167</v>
      </c>
      <c r="M750" s="87"/>
    </row>
    <row r="751" spans="1:14" x14ac:dyDescent="0.25">
      <c r="A751" s="86"/>
      <c r="M751" s="87"/>
    </row>
    <row r="752" spans="1:14" x14ac:dyDescent="0.25">
      <c r="A752" s="107" t="s">
        <v>353</v>
      </c>
      <c r="B752" s="47" t="str">
        <f>VLOOKUP('IV-MEMORIAL'!A752,'II-PO'!$A$19:$M$295,5,0)</f>
        <v>REVESTIMENTO CERÂMICO PARA PISO COM PLACAS TIPO PORCELANATO DE DIMENSÕES 60X60 CM APLICADA EM AMBIENTES DE ÁREA MAIOR QUE 10 M². AF_02/2023_PE</v>
      </c>
      <c r="C752" s="47"/>
      <c r="D752" s="47"/>
      <c r="E752" s="48"/>
      <c r="F752" s="48"/>
      <c r="G752" s="48"/>
      <c r="H752" s="48"/>
      <c r="I752" s="48"/>
      <c r="J752" s="48"/>
      <c r="K752" s="48"/>
      <c r="L752" s="48"/>
      <c r="M752" s="108"/>
      <c r="N752" s="3">
        <f>C754</f>
        <v>419.88</v>
      </c>
    </row>
    <row r="753" spans="1:14" x14ac:dyDescent="0.25">
      <c r="A753" s="86"/>
      <c r="M753" s="87"/>
    </row>
    <row r="754" spans="1:14" ht="15.75" x14ac:dyDescent="0.25">
      <c r="A754" s="86"/>
      <c r="B754" s="46" t="s">
        <v>109</v>
      </c>
      <c r="C754" s="46">
        <f>$F$726</f>
        <v>419.88</v>
      </c>
      <c r="D754" s="46" t="s">
        <v>167</v>
      </c>
      <c r="M754" s="87"/>
    </row>
    <row r="755" spans="1:14" x14ac:dyDescent="0.25">
      <c r="A755" s="86"/>
      <c r="M755" s="87"/>
    </row>
    <row r="756" spans="1:14" x14ac:dyDescent="0.25">
      <c r="A756" s="107" t="s">
        <v>400</v>
      </c>
      <c r="B756" s="47" t="str">
        <f>VLOOKUP('IV-MEMORIAL'!A756,'II-PO'!$A$19:$M$295,5,0)</f>
        <v>RODAPÉ CERÂMICO DE 7CM DE ALTURA COM PLACAS TIPO ESMALTADA DE DIMENSÕES 60X60CM. AF_02/2023</v>
      </c>
      <c r="C756" s="47"/>
      <c r="D756" s="47"/>
      <c r="E756" s="48"/>
      <c r="F756" s="48"/>
      <c r="G756" s="48"/>
      <c r="H756" s="48"/>
      <c r="I756" s="48"/>
      <c r="J756" s="48"/>
      <c r="K756" s="48"/>
      <c r="L756" s="48"/>
      <c r="M756" s="108"/>
      <c r="N756" s="3">
        <f>C860</f>
        <v>350.56</v>
      </c>
    </row>
    <row r="757" spans="1:14" x14ac:dyDescent="0.25">
      <c r="A757" s="86"/>
      <c r="M757" s="87"/>
    </row>
    <row r="758" spans="1:14" ht="15.75" x14ac:dyDescent="0.25">
      <c r="A758" s="86"/>
      <c r="B758" s="4" t="s">
        <v>320</v>
      </c>
      <c r="C758" s="4" t="s">
        <v>163</v>
      </c>
      <c r="D758" s="149" t="s">
        <v>401</v>
      </c>
      <c r="E758" s="149" t="s">
        <v>357</v>
      </c>
      <c r="F758" s="149" t="s">
        <v>358</v>
      </c>
      <c r="M758" s="87"/>
    </row>
    <row r="759" spans="1:14" x14ac:dyDescent="0.25">
      <c r="A759" s="86"/>
      <c r="B759" s="342" t="s">
        <v>340</v>
      </c>
      <c r="C759" s="2">
        <v>1.45</v>
      </c>
      <c r="D759" s="2">
        <v>0.8</v>
      </c>
      <c r="E759" s="2" t="s">
        <v>359</v>
      </c>
      <c r="F759" s="2">
        <f>C759-D759</f>
        <v>0.64999999999999991</v>
      </c>
      <c r="M759" s="87"/>
    </row>
    <row r="760" spans="1:14" x14ac:dyDescent="0.25">
      <c r="A760" s="86"/>
      <c r="B760" s="344"/>
      <c r="C760" s="2">
        <v>24.7</v>
      </c>
      <c r="D760" s="2"/>
      <c r="E760" s="2"/>
      <c r="F760" s="2">
        <f t="shared" ref="F760:F823" si="70">C760-D760</f>
        <v>24.7</v>
      </c>
      <c r="M760" s="87"/>
    </row>
    <row r="761" spans="1:14" x14ac:dyDescent="0.25">
      <c r="A761" s="86"/>
      <c r="B761" s="344"/>
      <c r="C761" s="2">
        <v>1.45</v>
      </c>
      <c r="D761" s="2"/>
      <c r="E761" s="2"/>
      <c r="F761" s="2">
        <f t="shared" si="70"/>
        <v>1.45</v>
      </c>
      <c r="M761" s="87"/>
    </row>
    <row r="762" spans="1:14" x14ac:dyDescent="0.25">
      <c r="A762" s="86"/>
      <c r="B762" s="343"/>
      <c r="C762" s="2">
        <v>24.7</v>
      </c>
      <c r="D762" s="2"/>
      <c r="E762" s="2"/>
      <c r="F762" s="2">
        <f t="shared" si="70"/>
        <v>24.7</v>
      </c>
      <c r="M762" s="87"/>
    </row>
    <row r="763" spans="1:14" x14ac:dyDescent="0.25">
      <c r="A763" s="86"/>
      <c r="B763" s="342" t="s">
        <v>322</v>
      </c>
      <c r="C763" s="2">
        <v>3</v>
      </c>
      <c r="D763" s="2"/>
      <c r="E763" s="2"/>
      <c r="F763" s="2">
        <f t="shared" si="70"/>
        <v>3</v>
      </c>
      <c r="M763" s="87"/>
    </row>
    <row r="764" spans="1:14" x14ac:dyDescent="0.25">
      <c r="A764" s="86"/>
      <c r="B764" s="344"/>
      <c r="C764" s="2">
        <v>1.5</v>
      </c>
      <c r="D764" s="2"/>
      <c r="E764" s="2"/>
      <c r="F764" s="2">
        <f t="shared" si="70"/>
        <v>1.5</v>
      </c>
      <c r="M764" s="87"/>
    </row>
    <row r="765" spans="1:14" x14ac:dyDescent="0.25">
      <c r="A765" s="86"/>
      <c r="B765" s="344"/>
      <c r="C765" s="2">
        <v>3</v>
      </c>
      <c r="D765" s="2"/>
      <c r="E765" s="2"/>
      <c r="F765" s="2">
        <f t="shared" si="70"/>
        <v>3</v>
      </c>
      <c r="M765" s="87"/>
    </row>
    <row r="766" spans="1:14" x14ac:dyDescent="0.25">
      <c r="A766" s="86"/>
      <c r="B766" s="343"/>
      <c r="C766" s="2">
        <v>1.5</v>
      </c>
      <c r="D766" s="2">
        <v>0.9</v>
      </c>
      <c r="E766" s="2" t="s">
        <v>360</v>
      </c>
      <c r="F766" s="2">
        <f t="shared" si="70"/>
        <v>0.6</v>
      </c>
      <c r="M766" s="87"/>
    </row>
    <row r="767" spans="1:14" x14ac:dyDescent="0.25">
      <c r="A767" s="86"/>
      <c r="B767" s="342" t="s">
        <v>323</v>
      </c>
      <c r="C767" s="2">
        <v>1.5</v>
      </c>
      <c r="D767" s="2"/>
      <c r="E767" s="2"/>
      <c r="F767" s="2">
        <f t="shared" si="70"/>
        <v>1.5</v>
      </c>
      <c r="M767" s="87"/>
    </row>
    <row r="768" spans="1:14" x14ac:dyDescent="0.25">
      <c r="A768" s="86"/>
      <c r="B768" s="344"/>
      <c r="C768" s="2">
        <v>3</v>
      </c>
      <c r="D768" s="2"/>
      <c r="E768" s="2"/>
      <c r="F768" s="2">
        <f t="shared" si="70"/>
        <v>3</v>
      </c>
      <c r="M768" s="87"/>
    </row>
    <row r="769" spans="1:13" x14ac:dyDescent="0.25">
      <c r="A769" s="86"/>
      <c r="B769" s="344"/>
      <c r="C769" s="2">
        <v>3</v>
      </c>
      <c r="D769" s="2"/>
      <c r="E769" s="2"/>
      <c r="F769" s="2">
        <f t="shared" si="70"/>
        <v>3</v>
      </c>
      <c r="M769" s="87"/>
    </row>
    <row r="770" spans="1:13" x14ac:dyDescent="0.25">
      <c r="A770" s="86"/>
      <c r="B770" s="343"/>
      <c r="C770" s="2">
        <v>1.5</v>
      </c>
      <c r="D770" s="2">
        <v>0.9</v>
      </c>
      <c r="E770" s="2" t="s">
        <v>360</v>
      </c>
      <c r="F770" s="2">
        <f t="shared" si="70"/>
        <v>0.6</v>
      </c>
      <c r="M770" s="87"/>
    </row>
    <row r="771" spans="1:13" x14ac:dyDescent="0.25">
      <c r="A771" s="86"/>
      <c r="B771" s="342" t="s">
        <v>361</v>
      </c>
      <c r="C771" s="2">
        <v>2.9</v>
      </c>
      <c r="D771" s="2">
        <v>0.9</v>
      </c>
      <c r="E771" s="2" t="s">
        <v>360</v>
      </c>
      <c r="F771" s="2">
        <f t="shared" si="70"/>
        <v>2</v>
      </c>
      <c r="M771" s="87"/>
    </row>
    <row r="772" spans="1:13" x14ac:dyDescent="0.25">
      <c r="A772" s="86"/>
      <c r="B772" s="344"/>
      <c r="C772" s="2">
        <v>4.3499999999999996</v>
      </c>
      <c r="D772" s="2"/>
      <c r="E772" s="2"/>
      <c r="F772" s="2">
        <f t="shared" si="70"/>
        <v>4.3499999999999996</v>
      </c>
      <c r="M772" s="87"/>
    </row>
    <row r="773" spans="1:13" x14ac:dyDescent="0.25">
      <c r="A773" s="86"/>
      <c r="B773" s="344"/>
      <c r="C773" s="2">
        <v>2.9</v>
      </c>
      <c r="D773" s="2"/>
      <c r="E773" s="2"/>
      <c r="F773" s="2">
        <f t="shared" si="70"/>
        <v>2.9</v>
      </c>
      <c r="M773" s="87"/>
    </row>
    <row r="774" spans="1:13" x14ac:dyDescent="0.25">
      <c r="A774" s="86"/>
      <c r="B774" s="343"/>
      <c r="C774" s="2">
        <v>4.3499999999999996</v>
      </c>
      <c r="D774" s="2"/>
      <c r="E774" s="2"/>
      <c r="F774" s="2">
        <f t="shared" si="70"/>
        <v>4.3499999999999996</v>
      </c>
      <c r="M774" s="87"/>
    </row>
    <row r="775" spans="1:13" x14ac:dyDescent="0.25">
      <c r="A775" s="86"/>
      <c r="B775" s="342" t="s">
        <v>363</v>
      </c>
      <c r="C775" s="2">
        <v>2.9</v>
      </c>
      <c r="D775" s="2">
        <v>0.9</v>
      </c>
      <c r="E775" s="2" t="s">
        <v>360</v>
      </c>
      <c r="F775" s="2">
        <f t="shared" si="70"/>
        <v>2</v>
      </c>
      <c r="M775" s="87"/>
    </row>
    <row r="776" spans="1:13" x14ac:dyDescent="0.25">
      <c r="A776" s="86"/>
      <c r="B776" s="344"/>
      <c r="C776" s="2">
        <v>4.3499999999999996</v>
      </c>
      <c r="D776" s="2"/>
      <c r="E776" s="2"/>
      <c r="F776" s="2">
        <f t="shared" si="70"/>
        <v>4.3499999999999996</v>
      </c>
      <c r="M776" s="87"/>
    </row>
    <row r="777" spans="1:13" x14ac:dyDescent="0.25">
      <c r="A777" s="86"/>
      <c r="B777" s="344"/>
      <c r="C777" s="2">
        <v>2.9</v>
      </c>
      <c r="D777" s="2"/>
      <c r="E777" s="2"/>
      <c r="F777" s="2">
        <f t="shared" si="70"/>
        <v>2.9</v>
      </c>
      <c r="M777" s="87"/>
    </row>
    <row r="778" spans="1:13" x14ac:dyDescent="0.25">
      <c r="A778" s="86"/>
      <c r="B778" s="343"/>
      <c r="C778" s="2">
        <v>4.3499999999999996</v>
      </c>
      <c r="D778" s="2"/>
      <c r="E778" s="2"/>
      <c r="F778" s="2">
        <f t="shared" si="70"/>
        <v>4.3499999999999996</v>
      </c>
      <c r="M778" s="87"/>
    </row>
    <row r="779" spans="1:13" x14ac:dyDescent="0.25">
      <c r="A779" s="86"/>
      <c r="B779" s="342" t="s">
        <v>364</v>
      </c>
      <c r="C779" s="2">
        <v>2.9</v>
      </c>
      <c r="D779" s="2">
        <v>0.9</v>
      </c>
      <c r="E779" s="2" t="s">
        <v>360</v>
      </c>
      <c r="F779" s="2">
        <f t="shared" si="70"/>
        <v>2</v>
      </c>
      <c r="M779" s="87"/>
    </row>
    <row r="780" spans="1:13" x14ac:dyDescent="0.25">
      <c r="A780" s="86"/>
      <c r="B780" s="344"/>
      <c r="C780" s="2">
        <v>4.3499999999999996</v>
      </c>
      <c r="D780" s="2"/>
      <c r="E780" s="2"/>
      <c r="F780" s="2">
        <f t="shared" si="70"/>
        <v>4.3499999999999996</v>
      </c>
      <c r="M780" s="87"/>
    </row>
    <row r="781" spans="1:13" x14ac:dyDescent="0.25">
      <c r="A781" s="86"/>
      <c r="B781" s="344"/>
      <c r="C781" s="2">
        <v>2.9</v>
      </c>
      <c r="D781" s="2"/>
      <c r="E781" s="2"/>
      <c r="F781" s="2">
        <f t="shared" si="70"/>
        <v>2.9</v>
      </c>
      <c r="M781" s="87"/>
    </row>
    <row r="782" spans="1:13" x14ac:dyDescent="0.25">
      <c r="A782" s="86"/>
      <c r="B782" s="343"/>
      <c r="C782" s="2">
        <v>4.3499999999999996</v>
      </c>
      <c r="D782" s="2"/>
      <c r="E782" s="2"/>
      <c r="F782" s="2">
        <f t="shared" si="70"/>
        <v>4.3499999999999996</v>
      </c>
      <c r="M782" s="87"/>
    </row>
    <row r="783" spans="1:13" x14ac:dyDescent="0.25">
      <c r="A783" s="86"/>
      <c r="B783" s="342" t="s">
        <v>365</v>
      </c>
      <c r="C783" s="2">
        <v>2.9</v>
      </c>
      <c r="D783" s="2">
        <v>0.9</v>
      </c>
      <c r="E783" s="2" t="s">
        <v>360</v>
      </c>
      <c r="F783" s="2">
        <f t="shared" si="70"/>
        <v>2</v>
      </c>
      <c r="M783" s="87"/>
    </row>
    <row r="784" spans="1:13" x14ac:dyDescent="0.25">
      <c r="A784" s="86"/>
      <c r="B784" s="344"/>
      <c r="C784" s="2">
        <v>4.3499999999999996</v>
      </c>
      <c r="D784" s="2"/>
      <c r="E784" s="2"/>
      <c r="F784" s="2">
        <f t="shared" si="70"/>
        <v>4.3499999999999996</v>
      </c>
      <c r="M784" s="87"/>
    </row>
    <row r="785" spans="1:13" x14ac:dyDescent="0.25">
      <c r="A785" s="86"/>
      <c r="B785" s="344"/>
      <c r="C785" s="2">
        <v>2.9</v>
      </c>
      <c r="D785" s="2"/>
      <c r="E785" s="2"/>
      <c r="F785" s="2">
        <f t="shared" si="70"/>
        <v>2.9</v>
      </c>
      <c r="M785" s="87"/>
    </row>
    <row r="786" spans="1:13" x14ac:dyDescent="0.25">
      <c r="A786" s="86"/>
      <c r="B786" s="343"/>
      <c r="C786" s="2">
        <v>4.3499999999999996</v>
      </c>
      <c r="D786" s="2"/>
      <c r="E786" s="2"/>
      <c r="F786" s="2">
        <f t="shared" si="70"/>
        <v>4.3499999999999996</v>
      </c>
      <c r="M786" s="87"/>
    </row>
    <row r="787" spans="1:13" x14ac:dyDescent="0.25">
      <c r="A787" s="86"/>
      <c r="B787" s="342" t="s">
        <v>366</v>
      </c>
      <c r="C787" s="2">
        <v>2.9</v>
      </c>
      <c r="D787" s="2">
        <v>0.9</v>
      </c>
      <c r="E787" s="2" t="s">
        <v>360</v>
      </c>
      <c r="F787" s="2">
        <f t="shared" si="70"/>
        <v>2</v>
      </c>
      <c r="M787" s="87"/>
    </row>
    <row r="788" spans="1:13" x14ac:dyDescent="0.25">
      <c r="A788" s="86"/>
      <c r="B788" s="344"/>
      <c r="C788" s="2">
        <v>4.3499999999999996</v>
      </c>
      <c r="D788" s="2"/>
      <c r="E788" s="2"/>
      <c r="F788" s="2">
        <f t="shared" si="70"/>
        <v>4.3499999999999996</v>
      </c>
      <c r="M788" s="87"/>
    </row>
    <row r="789" spans="1:13" x14ac:dyDescent="0.25">
      <c r="A789" s="86"/>
      <c r="B789" s="344"/>
      <c r="C789" s="2">
        <v>2.9</v>
      </c>
      <c r="D789" s="2"/>
      <c r="E789" s="2"/>
      <c r="F789" s="2">
        <f t="shared" si="70"/>
        <v>2.9</v>
      </c>
      <c r="M789" s="87"/>
    </row>
    <row r="790" spans="1:13" x14ac:dyDescent="0.25">
      <c r="A790" s="86"/>
      <c r="B790" s="343"/>
      <c r="C790" s="2">
        <v>4.3499999999999996</v>
      </c>
      <c r="D790" s="2"/>
      <c r="E790" s="2"/>
      <c r="F790" s="2">
        <f t="shared" si="70"/>
        <v>4.3499999999999996</v>
      </c>
      <c r="M790" s="87"/>
    </row>
    <row r="791" spans="1:13" x14ac:dyDescent="0.25">
      <c r="A791" s="86"/>
      <c r="B791" s="342" t="s">
        <v>329</v>
      </c>
      <c r="C791" s="2">
        <v>4.37</v>
      </c>
      <c r="D791" s="2"/>
      <c r="E791" s="2"/>
      <c r="F791" s="2">
        <f t="shared" si="70"/>
        <v>4.37</v>
      </c>
      <c r="M791" s="87"/>
    </row>
    <row r="792" spans="1:13" x14ac:dyDescent="0.25">
      <c r="A792" s="86"/>
      <c r="B792" s="344"/>
      <c r="C792" s="2">
        <v>6.15</v>
      </c>
      <c r="D792" s="2"/>
      <c r="E792" s="2"/>
      <c r="F792" s="2">
        <f t="shared" si="70"/>
        <v>6.15</v>
      </c>
      <c r="M792" s="87"/>
    </row>
    <row r="793" spans="1:13" x14ac:dyDescent="0.25">
      <c r="A793" s="86"/>
      <c r="B793" s="344"/>
      <c r="C793" s="2">
        <v>11</v>
      </c>
      <c r="D793" s="2"/>
      <c r="E793" s="2"/>
      <c r="F793" s="2">
        <f t="shared" si="70"/>
        <v>11</v>
      </c>
      <c r="M793" s="87"/>
    </row>
    <row r="794" spans="1:13" x14ac:dyDescent="0.25">
      <c r="A794" s="86"/>
      <c r="B794" s="344"/>
      <c r="C794" s="2">
        <v>1.5</v>
      </c>
      <c r="D794" s="2">
        <v>0.8</v>
      </c>
      <c r="E794" s="2" t="s">
        <v>368</v>
      </c>
      <c r="F794" s="2">
        <f t="shared" si="70"/>
        <v>0.7</v>
      </c>
      <c r="M794" s="87"/>
    </row>
    <row r="795" spans="1:13" x14ac:dyDescent="0.25">
      <c r="A795" s="86"/>
      <c r="B795" s="344"/>
      <c r="C795" s="2">
        <v>2</v>
      </c>
      <c r="D795" s="2"/>
      <c r="E795" s="2"/>
      <c r="F795" s="2">
        <f t="shared" si="70"/>
        <v>2</v>
      </c>
      <c r="M795" s="87"/>
    </row>
    <row r="796" spans="1:13" x14ac:dyDescent="0.25">
      <c r="A796" s="86"/>
      <c r="B796" s="344"/>
      <c r="C796" s="2">
        <v>1.32</v>
      </c>
      <c r="D796" s="2"/>
      <c r="E796" s="2"/>
      <c r="F796" s="2">
        <f t="shared" si="70"/>
        <v>1.32</v>
      </c>
      <c r="M796" s="87"/>
    </row>
    <row r="797" spans="1:13" x14ac:dyDescent="0.25">
      <c r="A797" s="86"/>
      <c r="B797" s="344"/>
      <c r="C797" s="2">
        <v>0.67</v>
      </c>
      <c r="D797" s="2"/>
      <c r="E797" s="2"/>
      <c r="F797" s="2">
        <f t="shared" si="70"/>
        <v>0.67</v>
      </c>
      <c r="M797" s="87"/>
    </row>
    <row r="798" spans="1:13" x14ac:dyDescent="0.25">
      <c r="A798" s="86"/>
      <c r="B798" s="344"/>
      <c r="C798" s="2">
        <v>0.92</v>
      </c>
      <c r="D798" s="2"/>
      <c r="E798" s="2"/>
      <c r="F798" s="2">
        <f t="shared" si="70"/>
        <v>0.92</v>
      </c>
      <c r="M798" s="87"/>
    </row>
    <row r="799" spans="1:13" x14ac:dyDescent="0.25">
      <c r="A799" s="86"/>
      <c r="B799" s="344"/>
      <c r="C799" s="2">
        <v>2.4500000000000002</v>
      </c>
      <c r="D799" s="2">
        <v>2.4500000000000002</v>
      </c>
      <c r="E799" s="2" t="s">
        <v>369</v>
      </c>
      <c r="F799" s="2">
        <f t="shared" si="70"/>
        <v>0</v>
      </c>
      <c r="M799" s="87"/>
    </row>
    <row r="800" spans="1:13" x14ac:dyDescent="0.25">
      <c r="A800" s="86"/>
      <c r="B800" s="344"/>
      <c r="C800" s="2">
        <v>1.74</v>
      </c>
      <c r="D800" s="2"/>
      <c r="E800" s="2"/>
      <c r="F800" s="2">
        <f t="shared" si="70"/>
        <v>1.74</v>
      </c>
      <c r="M800" s="87"/>
    </row>
    <row r="801" spans="1:13" x14ac:dyDescent="0.25">
      <c r="A801" s="86"/>
      <c r="B801" s="342" t="s">
        <v>334</v>
      </c>
      <c r="C801" s="2">
        <v>2.35</v>
      </c>
      <c r="D801" s="2"/>
      <c r="E801" s="2"/>
      <c r="F801" s="2">
        <f t="shared" si="70"/>
        <v>2.35</v>
      </c>
      <c r="M801" s="87"/>
    </row>
    <row r="802" spans="1:13" x14ac:dyDescent="0.25">
      <c r="A802" s="86"/>
      <c r="B802" s="344"/>
      <c r="C802" s="2">
        <v>1.5</v>
      </c>
      <c r="D802" s="2"/>
      <c r="E802" s="2"/>
      <c r="F802" s="2">
        <f t="shared" si="70"/>
        <v>1.5</v>
      </c>
      <c r="M802" s="87"/>
    </row>
    <row r="803" spans="1:13" x14ac:dyDescent="0.25">
      <c r="A803" s="86"/>
      <c r="B803" s="344"/>
      <c r="C803" s="2">
        <v>1.5</v>
      </c>
      <c r="D803" s="2">
        <v>0.8</v>
      </c>
      <c r="E803" s="2" t="s">
        <v>368</v>
      </c>
      <c r="F803" s="2">
        <f t="shared" si="70"/>
        <v>0.7</v>
      </c>
      <c r="M803" s="87"/>
    </row>
    <row r="804" spans="1:13" x14ac:dyDescent="0.25">
      <c r="A804" s="86"/>
      <c r="B804" s="343"/>
      <c r="C804" s="2">
        <v>2.35</v>
      </c>
      <c r="D804" s="2"/>
      <c r="E804" s="2"/>
      <c r="F804" s="2">
        <f t="shared" si="70"/>
        <v>2.35</v>
      </c>
      <c r="M804" s="87"/>
    </row>
    <row r="805" spans="1:13" x14ac:dyDescent="0.25">
      <c r="A805" s="86"/>
      <c r="B805" s="342" t="s">
        <v>371</v>
      </c>
      <c r="C805" s="2">
        <v>2.9</v>
      </c>
      <c r="D805" s="2"/>
      <c r="E805" s="2"/>
      <c r="F805" s="2">
        <f t="shared" si="70"/>
        <v>2.9</v>
      </c>
      <c r="M805" s="87"/>
    </row>
    <row r="806" spans="1:13" x14ac:dyDescent="0.25">
      <c r="A806" s="86"/>
      <c r="B806" s="344"/>
      <c r="C806" s="2">
        <v>4.3499999999999996</v>
      </c>
      <c r="D806" s="2"/>
      <c r="E806" s="2"/>
      <c r="F806" s="2">
        <f t="shared" si="70"/>
        <v>4.3499999999999996</v>
      </c>
      <c r="M806" s="87"/>
    </row>
    <row r="807" spans="1:13" x14ac:dyDescent="0.25">
      <c r="A807" s="86"/>
      <c r="B807" s="344"/>
      <c r="C807" s="2">
        <v>2.9</v>
      </c>
      <c r="D807" s="2">
        <v>0.9</v>
      </c>
      <c r="E807" s="2" t="s">
        <v>360</v>
      </c>
      <c r="F807" s="2">
        <f t="shared" si="70"/>
        <v>2</v>
      </c>
      <c r="M807" s="87"/>
    </row>
    <row r="808" spans="1:13" x14ac:dyDescent="0.25">
      <c r="A808" s="86"/>
      <c r="B808" s="343"/>
      <c r="C808" s="2">
        <v>4.3499999999999996</v>
      </c>
      <c r="D808" s="2"/>
      <c r="E808" s="2"/>
      <c r="F808" s="2">
        <f t="shared" si="70"/>
        <v>4.3499999999999996</v>
      </c>
      <c r="M808" s="87"/>
    </row>
    <row r="809" spans="1:13" x14ac:dyDescent="0.25">
      <c r="A809" s="86"/>
      <c r="B809" s="342" t="s">
        <v>372</v>
      </c>
      <c r="C809" s="2">
        <v>2.9</v>
      </c>
      <c r="D809" s="2"/>
      <c r="E809" s="2"/>
      <c r="F809" s="2">
        <f t="shared" si="70"/>
        <v>2.9</v>
      </c>
      <c r="M809" s="87"/>
    </row>
    <row r="810" spans="1:13" x14ac:dyDescent="0.25">
      <c r="A810" s="86"/>
      <c r="B810" s="344"/>
      <c r="C810" s="2">
        <v>4.3499999999999996</v>
      </c>
      <c r="D810" s="2"/>
      <c r="E810" s="2"/>
      <c r="F810" s="2">
        <f t="shared" si="70"/>
        <v>4.3499999999999996</v>
      </c>
      <c r="M810" s="87"/>
    </row>
    <row r="811" spans="1:13" x14ac:dyDescent="0.25">
      <c r="A811" s="86"/>
      <c r="B811" s="344"/>
      <c r="C811" s="2">
        <v>2.9</v>
      </c>
      <c r="D811" s="2">
        <v>0.9</v>
      </c>
      <c r="E811" s="2" t="s">
        <v>360</v>
      </c>
      <c r="F811" s="2">
        <f t="shared" si="70"/>
        <v>2</v>
      </c>
      <c r="M811" s="87"/>
    </row>
    <row r="812" spans="1:13" x14ac:dyDescent="0.25">
      <c r="A812" s="86"/>
      <c r="B812" s="343"/>
      <c r="C812" s="2">
        <v>4.3499999999999996</v>
      </c>
      <c r="D812" s="2"/>
      <c r="E812" s="2"/>
      <c r="F812" s="2">
        <f t="shared" si="70"/>
        <v>4.3499999999999996</v>
      </c>
      <c r="M812" s="87"/>
    </row>
    <row r="813" spans="1:13" x14ac:dyDescent="0.25">
      <c r="A813" s="86"/>
      <c r="B813" s="342" t="s">
        <v>373</v>
      </c>
      <c r="C813" s="2">
        <v>2.9</v>
      </c>
      <c r="D813" s="2"/>
      <c r="E813" s="2"/>
      <c r="F813" s="2">
        <f t="shared" si="70"/>
        <v>2.9</v>
      </c>
      <c r="M813" s="87"/>
    </row>
    <row r="814" spans="1:13" x14ac:dyDescent="0.25">
      <c r="A814" s="86"/>
      <c r="B814" s="344"/>
      <c r="C814" s="2">
        <v>4.3499999999999996</v>
      </c>
      <c r="D814" s="2"/>
      <c r="E814" s="2"/>
      <c r="F814" s="2">
        <f t="shared" si="70"/>
        <v>4.3499999999999996</v>
      </c>
      <c r="M814" s="87"/>
    </row>
    <row r="815" spans="1:13" x14ac:dyDescent="0.25">
      <c r="A815" s="86"/>
      <c r="B815" s="344"/>
      <c r="C815" s="2">
        <v>2.9</v>
      </c>
      <c r="D815" s="2">
        <v>0.9</v>
      </c>
      <c r="E815" s="2" t="s">
        <v>360</v>
      </c>
      <c r="F815" s="2">
        <f t="shared" si="70"/>
        <v>2</v>
      </c>
      <c r="M815" s="87"/>
    </row>
    <row r="816" spans="1:13" x14ac:dyDescent="0.25">
      <c r="A816" s="86"/>
      <c r="B816" s="343"/>
      <c r="C816" s="2">
        <v>4.3499999999999996</v>
      </c>
      <c r="D816" s="2"/>
      <c r="E816" s="2"/>
      <c r="F816" s="2">
        <f t="shared" si="70"/>
        <v>4.3499999999999996</v>
      </c>
      <c r="M816" s="87"/>
    </row>
    <row r="817" spans="1:13" x14ac:dyDescent="0.25">
      <c r="A817" s="86"/>
      <c r="B817" s="348" t="s">
        <v>374</v>
      </c>
      <c r="C817" s="2">
        <v>2.9</v>
      </c>
      <c r="D817" s="2"/>
      <c r="E817" s="2"/>
      <c r="F817" s="2">
        <f t="shared" si="70"/>
        <v>2.9</v>
      </c>
      <c r="M817" s="87"/>
    </row>
    <row r="818" spans="1:13" x14ac:dyDescent="0.25">
      <c r="A818" s="86"/>
      <c r="B818" s="348"/>
      <c r="C818" s="2">
        <v>4.3499999999999996</v>
      </c>
      <c r="D818" s="2"/>
      <c r="E818" s="2"/>
      <c r="F818" s="2">
        <f t="shared" si="70"/>
        <v>4.3499999999999996</v>
      </c>
      <c r="M818" s="87"/>
    </row>
    <row r="819" spans="1:13" x14ac:dyDescent="0.25">
      <c r="A819" s="86"/>
      <c r="B819" s="348"/>
      <c r="C819" s="2">
        <v>2.9</v>
      </c>
      <c r="D819" s="2">
        <v>0.9</v>
      </c>
      <c r="E819" s="2" t="s">
        <v>360</v>
      </c>
      <c r="F819" s="2">
        <f t="shared" si="70"/>
        <v>2</v>
      </c>
      <c r="M819" s="87"/>
    </row>
    <row r="820" spans="1:13" x14ac:dyDescent="0.25">
      <c r="A820" s="86"/>
      <c r="B820" s="348"/>
      <c r="C820" s="2">
        <v>4.3499999999999996</v>
      </c>
      <c r="D820" s="2"/>
      <c r="E820" s="2"/>
      <c r="F820" s="2">
        <f t="shared" si="70"/>
        <v>4.3499999999999996</v>
      </c>
      <c r="M820" s="87"/>
    </row>
    <row r="821" spans="1:13" x14ac:dyDescent="0.25">
      <c r="A821" s="86"/>
      <c r="B821" s="348" t="s">
        <v>339</v>
      </c>
      <c r="C821" s="2">
        <v>2.9</v>
      </c>
      <c r="D821" s="2"/>
      <c r="E821" s="2"/>
      <c r="F821" s="2">
        <f t="shared" si="70"/>
        <v>2.9</v>
      </c>
      <c r="M821" s="87"/>
    </row>
    <row r="822" spans="1:13" x14ac:dyDescent="0.25">
      <c r="A822" s="86"/>
      <c r="B822" s="348"/>
      <c r="C822" s="2">
        <v>4.3499999999999996</v>
      </c>
      <c r="D822" s="2"/>
      <c r="E822" s="2"/>
      <c r="F822" s="2">
        <f t="shared" si="70"/>
        <v>4.3499999999999996</v>
      </c>
      <c r="M822" s="87"/>
    </row>
    <row r="823" spans="1:13" x14ac:dyDescent="0.25">
      <c r="A823" s="86"/>
      <c r="B823" s="348"/>
      <c r="C823" s="2">
        <v>2.9</v>
      </c>
      <c r="D823" s="2">
        <v>0.9</v>
      </c>
      <c r="E823" s="2" t="s">
        <v>360</v>
      </c>
      <c r="F823" s="2">
        <f t="shared" si="70"/>
        <v>2</v>
      </c>
      <c r="M823" s="87"/>
    </row>
    <row r="824" spans="1:13" x14ac:dyDescent="0.25">
      <c r="A824" s="86"/>
      <c r="B824" s="348"/>
      <c r="C824" s="2">
        <v>4.3499999999999996</v>
      </c>
      <c r="D824" s="2"/>
      <c r="E824" s="2"/>
      <c r="F824" s="2">
        <f t="shared" ref="F824:F857" si="71">C824-D824</f>
        <v>4.3499999999999996</v>
      </c>
      <c r="M824" s="87"/>
    </row>
    <row r="825" spans="1:13" x14ac:dyDescent="0.25">
      <c r="A825" s="86"/>
      <c r="B825" s="348" t="s">
        <v>333</v>
      </c>
      <c r="C825" s="2">
        <v>2.85</v>
      </c>
      <c r="D825" s="2"/>
      <c r="E825" s="2"/>
      <c r="F825" s="2">
        <f t="shared" si="71"/>
        <v>2.85</v>
      </c>
      <c r="M825" s="87"/>
    </row>
    <row r="826" spans="1:13" x14ac:dyDescent="0.25">
      <c r="A826" s="86"/>
      <c r="B826" s="348"/>
      <c r="C826" s="2">
        <v>2.81</v>
      </c>
      <c r="D826" s="2"/>
      <c r="E826" s="2"/>
      <c r="F826" s="2">
        <f t="shared" si="71"/>
        <v>2.81</v>
      </c>
      <c r="M826" s="87"/>
    </row>
    <row r="827" spans="1:13" x14ac:dyDescent="0.25">
      <c r="A827" s="86"/>
      <c r="B827" s="348"/>
      <c r="C827" s="2">
        <v>2.85</v>
      </c>
      <c r="D827" s="2">
        <v>0.8</v>
      </c>
      <c r="E827" s="2" t="s">
        <v>368</v>
      </c>
      <c r="F827" s="2">
        <f t="shared" si="71"/>
        <v>2.0499999999999998</v>
      </c>
      <c r="M827" s="87"/>
    </row>
    <row r="828" spans="1:13" x14ac:dyDescent="0.25">
      <c r="A828" s="86"/>
      <c r="B828" s="348"/>
      <c r="C828" s="2">
        <v>2.81</v>
      </c>
      <c r="D828" s="2"/>
      <c r="E828" s="2"/>
      <c r="F828" s="2">
        <f t="shared" si="71"/>
        <v>2.81</v>
      </c>
      <c r="M828" s="87"/>
    </row>
    <row r="829" spans="1:13" x14ac:dyDescent="0.25">
      <c r="A829" s="86"/>
      <c r="B829" s="342" t="s">
        <v>332</v>
      </c>
      <c r="C829" s="2">
        <v>1.41</v>
      </c>
      <c r="D829" s="2"/>
      <c r="E829" s="2"/>
      <c r="F829" s="2">
        <f t="shared" si="71"/>
        <v>1.41</v>
      </c>
      <c r="M829" s="87"/>
    </row>
    <row r="830" spans="1:13" x14ac:dyDescent="0.25">
      <c r="A830" s="86"/>
      <c r="B830" s="344"/>
      <c r="C830" s="2">
        <v>1.7</v>
      </c>
      <c r="D830" s="2"/>
      <c r="E830" s="2"/>
      <c r="F830" s="2">
        <f t="shared" si="71"/>
        <v>1.7</v>
      </c>
      <c r="M830" s="87"/>
    </row>
    <row r="831" spans="1:13" x14ac:dyDescent="0.25">
      <c r="A831" s="86"/>
      <c r="B831" s="344"/>
      <c r="C831" s="2">
        <v>1.41</v>
      </c>
      <c r="D831" s="2">
        <v>0.8</v>
      </c>
      <c r="E831" s="2" t="s">
        <v>368</v>
      </c>
      <c r="F831" s="2">
        <f t="shared" si="71"/>
        <v>0.60999999999999988</v>
      </c>
      <c r="M831" s="87"/>
    </row>
    <row r="832" spans="1:13" x14ac:dyDescent="0.25">
      <c r="A832" s="86"/>
      <c r="B832" s="344"/>
      <c r="C832" s="2">
        <v>1.7</v>
      </c>
      <c r="D832" s="2"/>
      <c r="E832" s="2"/>
      <c r="F832" s="2">
        <f t="shared" si="71"/>
        <v>1.7</v>
      </c>
      <c r="M832" s="87"/>
    </row>
    <row r="833" spans="1:13" x14ac:dyDescent="0.25">
      <c r="A833" s="86"/>
      <c r="B833" s="344"/>
      <c r="C833" s="2">
        <v>1.51</v>
      </c>
      <c r="D833" s="2">
        <v>0.8</v>
      </c>
      <c r="E833" s="2" t="s">
        <v>368</v>
      </c>
      <c r="F833" s="2">
        <f t="shared" si="71"/>
        <v>0.71</v>
      </c>
      <c r="M833" s="87"/>
    </row>
    <row r="834" spans="1:13" x14ac:dyDescent="0.25">
      <c r="A834" s="86"/>
      <c r="B834" s="344"/>
      <c r="C834" s="2">
        <v>1</v>
      </c>
      <c r="D834" s="2">
        <v>0.8</v>
      </c>
      <c r="E834" s="2" t="s">
        <v>368</v>
      </c>
      <c r="F834" s="2">
        <f t="shared" si="71"/>
        <v>0.19999999999999996</v>
      </c>
      <c r="M834" s="87"/>
    </row>
    <row r="835" spans="1:13" x14ac:dyDescent="0.25">
      <c r="A835" s="86"/>
      <c r="B835" s="344"/>
      <c r="C835" s="2">
        <v>1.51</v>
      </c>
      <c r="D835" s="2"/>
      <c r="E835" s="2"/>
      <c r="F835" s="2">
        <f t="shared" si="71"/>
        <v>1.51</v>
      </c>
      <c r="M835" s="87"/>
    </row>
    <row r="836" spans="1:13" x14ac:dyDescent="0.25">
      <c r="A836" s="86"/>
      <c r="B836" s="344"/>
      <c r="C836" s="2">
        <v>1</v>
      </c>
      <c r="D836" s="2">
        <v>1</v>
      </c>
      <c r="E836" s="2" t="s">
        <v>375</v>
      </c>
      <c r="F836" s="2">
        <f t="shared" si="71"/>
        <v>0</v>
      </c>
      <c r="M836" s="87"/>
    </row>
    <row r="837" spans="1:13" x14ac:dyDescent="0.25">
      <c r="A837" s="86"/>
      <c r="B837" s="342" t="s">
        <v>331</v>
      </c>
      <c r="C837" s="2">
        <v>10.35</v>
      </c>
      <c r="D837" s="2">
        <v>4</v>
      </c>
      <c r="E837" s="2" t="s">
        <v>376</v>
      </c>
      <c r="F837" s="2">
        <f t="shared" si="71"/>
        <v>6.35</v>
      </c>
      <c r="M837" s="87"/>
    </row>
    <row r="838" spans="1:13" x14ac:dyDescent="0.25">
      <c r="A838" s="86"/>
      <c r="B838" s="344"/>
      <c r="C838" s="2">
        <v>3.15</v>
      </c>
      <c r="D838" s="2">
        <f>1*2+1.15</f>
        <v>3.15</v>
      </c>
      <c r="E838" s="2" t="s">
        <v>385</v>
      </c>
      <c r="F838" s="2">
        <f t="shared" si="71"/>
        <v>0</v>
      </c>
      <c r="M838" s="87"/>
    </row>
    <row r="839" spans="1:13" x14ac:dyDescent="0.25">
      <c r="A839" s="86"/>
      <c r="B839" s="344"/>
      <c r="C839" s="2">
        <v>3.15</v>
      </c>
      <c r="D839" s="2">
        <f>1*2+1.15</f>
        <v>3.15</v>
      </c>
      <c r="E839" s="2" t="s">
        <v>385</v>
      </c>
      <c r="F839" s="2">
        <f t="shared" si="71"/>
        <v>0</v>
      </c>
      <c r="M839" s="87"/>
    </row>
    <row r="840" spans="1:13" x14ac:dyDescent="0.25">
      <c r="A840" s="86"/>
      <c r="B840" s="344"/>
      <c r="C840" s="2">
        <v>3.15</v>
      </c>
      <c r="D840" s="2">
        <f>2*0.9</f>
        <v>1.8</v>
      </c>
      <c r="E840" s="2" t="s">
        <v>386</v>
      </c>
      <c r="F840" s="2">
        <f t="shared" si="71"/>
        <v>1.3499999999999999</v>
      </c>
      <c r="M840" s="87"/>
    </row>
    <row r="841" spans="1:13" x14ac:dyDescent="0.25">
      <c r="A841" s="86"/>
      <c r="B841" s="344"/>
      <c r="C841" s="2">
        <v>1.35</v>
      </c>
      <c r="D841" s="2"/>
      <c r="E841" s="2"/>
      <c r="F841" s="2">
        <f t="shared" si="71"/>
        <v>1.35</v>
      </c>
      <c r="M841" s="87"/>
    </row>
    <row r="842" spans="1:13" x14ac:dyDescent="0.25">
      <c r="A842" s="86"/>
      <c r="B842" s="344"/>
      <c r="C842" s="2">
        <v>15.35</v>
      </c>
      <c r="D842" s="2">
        <f>5*0.9</f>
        <v>4.5</v>
      </c>
      <c r="E842" s="2" t="s">
        <v>387</v>
      </c>
      <c r="F842" s="2">
        <f t="shared" si="71"/>
        <v>10.85</v>
      </c>
      <c r="M842" s="87"/>
    </row>
    <row r="843" spans="1:13" x14ac:dyDescent="0.25">
      <c r="A843" s="86"/>
      <c r="B843" s="344"/>
      <c r="C843" s="2">
        <v>1.65</v>
      </c>
      <c r="D843" s="2"/>
      <c r="E843" s="2"/>
      <c r="F843" s="2">
        <f t="shared" si="71"/>
        <v>1.65</v>
      </c>
      <c r="M843" s="87"/>
    </row>
    <row r="844" spans="1:13" x14ac:dyDescent="0.25">
      <c r="A844" s="86"/>
      <c r="B844" s="344"/>
      <c r="C844" s="2">
        <v>2.4500000000000002</v>
      </c>
      <c r="D844" s="2">
        <v>2.4500000000000002</v>
      </c>
      <c r="E844" s="2" t="s">
        <v>369</v>
      </c>
      <c r="F844" s="2">
        <f t="shared" si="71"/>
        <v>0</v>
      </c>
      <c r="M844" s="87"/>
    </row>
    <row r="845" spans="1:13" x14ac:dyDescent="0.25">
      <c r="A845" s="86"/>
      <c r="B845" s="344"/>
      <c r="C845" s="2">
        <v>0.91</v>
      </c>
      <c r="D845" s="2"/>
      <c r="E845" s="2"/>
      <c r="F845" s="2">
        <f t="shared" si="71"/>
        <v>0.91</v>
      </c>
      <c r="M845" s="87"/>
    </row>
    <row r="846" spans="1:13" x14ac:dyDescent="0.25">
      <c r="A846" s="86"/>
      <c r="B846" s="344"/>
      <c r="C846" s="2">
        <v>0.6</v>
      </c>
      <c r="D846" s="2"/>
      <c r="E846" s="2"/>
      <c r="F846" s="2">
        <f t="shared" si="71"/>
        <v>0.6</v>
      </c>
      <c r="M846" s="87"/>
    </row>
    <row r="847" spans="1:13" x14ac:dyDescent="0.25">
      <c r="A847" s="86"/>
      <c r="B847" s="344"/>
      <c r="C847" s="2">
        <v>7.7</v>
      </c>
      <c r="D847" s="2">
        <f>3*0.9</f>
        <v>2.7</v>
      </c>
      <c r="E847" s="2" t="s">
        <v>388</v>
      </c>
      <c r="F847" s="2">
        <f t="shared" si="71"/>
        <v>5</v>
      </c>
      <c r="M847" s="87"/>
    </row>
    <row r="848" spans="1:13" x14ac:dyDescent="0.25">
      <c r="A848" s="86"/>
      <c r="B848" s="344"/>
      <c r="C848" s="2">
        <v>4.6500000000000004</v>
      </c>
      <c r="D848" s="2"/>
      <c r="E848" s="2"/>
      <c r="F848" s="2">
        <f t="shared" si="71"/>
        <v>4.6500000000000004</v>
      </c>
      <c r="M848" s="87"/>
    </row>
    <row r="849" spans="1:13" x14ac:dyDescent="0.25">
      <c r="A849" s="86"/>
      <c r="B849" s="344"/>
      <c r="C849" s="2">
        <v>1.5</v>
      </c>
      <c r="D849" s="2">
        <v>1.5</v>
      </c>
      <c r="E849" s="2" t="s">
        <v>377</v>
      </c>
      <c r="F849" s="2">
        <f t="shared" si="71"/>
        <v>0</v>
      </c>
      <c r="M849" s="87"/>
    </row>
    <row r="850" spans="1:13" x14ac:dyDescent="0.25">
      <c r="A850" s="86"/>
      <c r="B850" s="344"/>
      <c r="C850" s="2">
        <v>4.6500000000000004</v>
      </c>
      <c r="D850" s="2"/>
      <c r="E850" s="2"/>
      <c r="F850" s="2">
        <f t="shared" si="71"/>
        <v>4.6500000000000004</v>
      </c>
      <c r="M850" s="87"/>
    </row>
    <row r="851" spans="1:13" x14ac:dyDescent="0.25">
      <c r="A851" s="86"/>
      <c r="B851" s="344"/>
      <c r="C851" s="2">
        <v>9.25</v>
      </c>
      <c r="D851" s="2">
        <f>2*0.9+1.1</f>
        <v>2.9000000000000004</v>
      </c>
      <c r="E851" s="2" t="s">
        <v>389</v>
      </c>
      <c r="F851" s="2">
        <f t="shared" si="71"/>
        <v>6.35</v>
      </c>
      <c r="M851" s="87"/>
    </row>
    <row r="852" spans="1:13" x14ac:dyDescent="0.25">
      <c r="A852" s="86"/>
      <c r="B852" s="344"/>
      <c r="C852" s="2">
        <v>4.5</v>
      </c>
      <c r="D852" s="2"/>
      <c r="E852" s="2"/>
      <c r="F852" s="2">
        <f t="shared" si="71"/>
        <v>4.5</v>
      </c>
      <c r="M852" s="87"/>
    </row>
    <row r="853" spans="1:13" x14ac:dyDescent="0.25">
      <c r="A853" s="86"/>
      <c r="B853" s="344"/>
      <c r="C853" s="2">
        <v>3.15</v>
      </c>
      <c r="D853" s="2"/>
      <c r="E853" s="2"/>
      <c r="F853" s="2">
        <f t="shared" si="71"/>
        <v>3.15</v>
      </c>
      <c r="M853" s="87"/>
    </row>
    <row r="854" spans="1:13" x14ac:dyDescent="0.25">
      <c r="A854" s="86"/>
      <c r="B854" s="342" t="s">
        <v>341</v>
      </c>
      <c r="C854" s="2">
        <v>1.45</v>
      </c>
      <c r="D854" s="2">
        <v>0.8</v>
      </c>
      <c r="E854" s="2" t="s">
        <v>359</v>
      </c>
      <c r="F854" s="2">
        <f t="shared" si="71"/>
        <v>0.64999999999999991</v>
      </c>
      <c r="M854" s="87"/>
    </row>
    <row r="855" spans="1:13" x14ac:dyDescent="0.25">
      <c r="A855" s="86"/>
      <c r="B855" s="344"/>
      <c r="C855" s="2">
        <v>21.4</v>
      </c>
      <c r="D855" s="2">
        <v>1.23</v>
      </c>
      <c r="E855" s="2" t="s">
        <v>378</v>
      </c>
      <c r="F855" s="2">
        <f t="shared" si="71"/>
        <v>20.169999999999998</v>
      </c>
      <c r="M855" s="87"/>
    </row>
    <row r="856" spans="1:13" x14ac:dyDescent="0.25">
      <c r="A856" s="86"/>
      <c r="B856" s="344"/>
      <c r="C856" s="2">
        <v>1.45</v>
      </c>
      <c r="D856" s="2">
        <v>0.8</v>
      </c>
      <c r="E856" s="2" t="s">
        <v>359</v>
      </c>
      <c r="F856" s="2">
        <f t="shared" si="71"/>
        <v>0.64999999999999991</v>
      </c>
      <c r="M856" s="87"/>
    </row>
    <row r="857" spans="1:13" x14ac:dyDescent="0.25">
      <c r="A857" s="86"/>
      <c r="B857" s="344"/>
      <c r="C857" s="2">
        <v>21.4</v>
      </c>
      <c r="D857" s="2">
        <v>1.5</v>
      </c>
      <c r="E857" s="2" t="s">
        <v>377</v>
      </c>
      <c r="F857" s="2">
        <f t="shared" si="71"/>
        <v>19.899999999999999</v>
      </c>
      <c r="M857" s="87"/>
    </row>
    <row r="858" spans="1:13" ht="15.75" x14ac:dyDescent="0.25">
      <c r="A858" s="86"/>
      <c r="B858" s="349" t="s">
        <v>0</v>
      </c>
      <c r="C858" s="349"/>
      <c r="D858" s="349"/>
      <c r="E858" s="349"/>
      <c r="F858" s="4">
        <f>TRUNC(SUM(F759:F857),2)</f>
        <v>350.56</v>
      </c>
      <c r="M858" s="87"/>
    </row>
    <row r="859" spans="1:13" x14ac:dyDescent="0.25">
      <c r="A859" s="86"/>
      <c r="M859" s="87"/>
    </row>
    <row r="860" spans="1:13" ht="15.75" x14ac:dyDescent="0.25">
      <c r="A860" s="86"/>
      <c r="B860" s="46" t="s">
        <v>109</v>
      </c>
      <c r="C860" s="46">
        <f>F858</f>
        <v>350.56</v>
      </c>
      <c r="D860" s="46" t="s">
        <v>167</v>
      </c>
      <c r="M860" s="87"/>
    </row>
    <row r="861" spans="1:13" x14ac:dyDescent="0.25">
      <c r="A861" s="86"/>
      <c r="M861" s="87"/>
    </row>
    <row r="862" spans="1:13" ht="15.75" x14ac:dyDescent="0.25">
      <c r="A862" s="105">
        <v>8</v>
      </c>
      <c r="B862" s="43" t="s">
        <v>275</v>
      </c>
      <c r="C862" s="44"/>
      <c r="D862" s="44"/>
      <c r="E862" s="45"/>
      <c r="F862" s="45"/>
      <c r="G862" s="45"/>
      <c r="H862" s="45"/>
      <c r="I862" s="45"/>
      <c r="J862" s="45"/>
      <c r="K862" s="45"/>
      <c r="L862" s="45"/>
      <c r="M862" s="106"/>
    </row>
    <row r="863" spans="1:13" x14ac:dyDescent="0.25">
      <c r="A863" s="86"/>
      <c r="M863" s="87"/>
    </row>
    <row r="864" spans="1:13" ht="15.75" x14ac:dyDescent="0.25">
      <c r="A864" s="86"/>
      <c r="B864" s="350" t="s">
        <v>220</v>
      </c>
      <c r="C864" s="350"/>
      <c r="M864" s="87"/>
    </row>
    <row r="865" spans="1:13" ht="15.75" x14ac:dyDescent="0.25">
      <c r="A865" s="86"/>
      <c r="B865" s="4" t="s">
        <v>320</v>
      </c>
      <c r="C865" s="4" t="s">
        <v>321</v>
      </c>
      <c r="M865" s="87"/>
    </row>
    <row r="866" spans="1:13" x14ac:dyDescent="0.25">
      <c r="A866" s="86"/>
      <c r="B866" s="2" t="s">
        <v>322</v>
      </c>
      <c r="C866" s="2">
        <v>4.5</v>
      </c>
      <c r="M866" s="87"/>
    </row>
    <row r="867" spans="1:13" x14ac:dyDescent="0.25">
      <c r="A867" s="86"/>
      <c r="B867" s="2" t="s">
        <v>323</v>
      </c>
      <c r="C867" s="2">
        <v>4.5</v>
      </c>
      <c r="M867" s="87"/>
    </row>
    <row r="868" spans="1:13" x14ac:dyDescent="0.25">
      <c r="A868" s="86"/>
      <c r="B868" s="2" t="s">
        <v>332</v>
      </c>
      <c r="C868" s="2">
        <v>2.41</v>
      </c>
      <c r="M868" s="87"/>
    </row>
    <row r="869" spans="1:13" x14ac:dyDescent="0.25">
      <c r="A869" s="86"/>
      <c r="B869" s="2" t="s">
        <v>333</v>
      </c>
      <c r="C869" s="2">
        <v>8</v>
      </c>
      <c r="M869" s="87"/>
    </row>
    <row r="870" spans="1:13" x14ac:dyDescent="0.25">
      <c r="A870" s="86"/>
      <c r="B870" s="2" t="s">
        <v>334</v>
      </c>
      <c r="C870" s="2">
        <v>3.53</v>
      </c>
      <c r="M870" s="87"/>
    </row>
    <row r="871" spans="1:13" ht="15.75" x14ac:dyDescent="0.25">
      <c r="A871" s="86"/>
      <c r="B871" s="4" t="s">
        <v>342</v>
      </c>
      <c r="C871" s="4">
        <f>TRUNC(SUM(C866:C870),2)</f>
        <v>22.94</v>
      </c>
      <c r="M871" s="87"/>
    </row>
    <row r="872" spans="1:13" x14ac:dyDescent="0.25">
      <c r="A872" s="86"/>
      <c r="M872" s="87"/>
    </row>
    <row r="873" spans="1:13" ht="15.75" x14ac:dyDescent="0.25">
      <c r="A873" s="86"/>
      <c r="B873" s="350" t="s">
        <v>402</v>
      </c>
      <c r="C873" s="350"/>
      <c r="D873" s="350"/>
      <c r="E873" s="350"/>
      <c r="F873" s="350"/>
      <c r="G873" s="350"/>
      <c r="M873" s="87"/>
    </row>
    <row r="874" spans="1:13" ht="15.75" x14ac:dyDescent="0.25">
      <c r="A874" s="86"/>
      <c r="B874" s="4" t="s">
        <v>320</v>
      </c>
      <c r="C874" s="4" t="s">
        <v>163</v>
      </c>
      <c r="D874" s="4" t="s">
        <v>150</v>
      </c>
      <c r="E874" s="149" t="s">
        <v>356</v>
      </c>
      <c r="F874" s="149" t="s">
        <v>357</v>
      </c>
      <c r="G874" s="149" t="s">
        <v>358</v>
      </c>
      <c r="M874" s="87"/>
    </row>
    <row r="875" spans="1:13" x14ac:dyDescent="0.25">
      <c r="A875" s="86"/>
      <c r="B875" s="342" t="s">
        <v>340</v>
      </c>
      <c r="C875" s="2">
        <v>1.45</v>
      </c>
      <c r="D875" s="2">
        <f>0.5</f>
        <v>0.5</v>
      </c>
      <c r="E875" s="2">
        <v>0.4</v>
      </c>
      <c r="F875" s="2" t="s">
        <v>359</v>
      </c>
      <c r="G875" s="2">
        <f>C875*D875-E875</f>
        <v>0.32499999999999996</v>
      </c>
      <c r="M875" s="87"/>
    </row>
    <row r="876" spans="1:13" x14ac:dyDescent="0.25">
      <c r="A876" s="86"/>
      <c r="B876" s="344"/>
      <c r="C876" s="2">
        <v>24.7</v>
      </c>
      <c r="D876" s="2">
        <f t="shared" ref="D876:D939" si="72">0.5</f>
        <v>0.5</v>
      </c>
      <c r="E876" s="2">
        <v>0</v>
      </c>
      <c r="F876" s="2"/>
      <c r="G876" s="2">
        <f t="shared" ref="G876:G939" si="73">C876*D876-E876</f>
        <v>12.35</v>
      </c>
      <c r="M876" s="87"/>
    </row>
    <row r="877" spans="1:13" x14ac:dyDescent="0.25">
      <c r="A877" s="86"/>
      <c r="B877" s="344"/>
      <c r="C877" s="2">
        <v>1.45</v>
      </c>
      <c r="D877" s="2">
        <f t="shared" si="72"/>
        <v>0.5</v>
      </c>
      <c r="E877" s="2">
        <v>0</v>
      </c>
      <c r="F877" s="2"/>
      <c r="G877" s="2">
        <f t="shared" si="73"/>
        <v>0.72499999999999998</v>
      </c>
      <c r="M877" s="87"/>
    </row>
    <row r="878" spans="1:13" x14ac:dyDescent="0.25">
      <c r="A878" s="86"/>
      <c r="B878" s="343"/>
      <c r="C878" s="2">
        <v>24.7</v>
      </c>
      <c r="D878" s="2">
        <f t="shared" si="72"/>
        <v>0.5</v>
      </c>
      <c r="E878" s="2">
        <v>0</v>
      </c>
      <c r="F878" s="2"/>
      <c r="G878" s="2">
        <f t="shared" si="73"/>
        <v>12.35</v>
      </c>
      <c r="M878" s="87"/>
    </row>
    <row r="879" spans="1:13" x14ac:dyDescent="0.25">
      <c r="A879" s="86"/>
      <c r="B879" s="342" t="s">
        <v>322</v>
      </c>
      <c r="C879" s="2">
        <v>3</v>
      </c>
      <c r="D879" s="2">
        <f t="shared" si="72"/>
        <v>0.5</v>
      </c>
      <c r="E879" s="2">
        <v>0</v>
      </c>
      <c r="F879" s="2"/>
      <c r="G879" s="2">
        <f t="shared" si="73"/>
        <v>1.5</v>
      </c>
      <c r="M879" s="87"/>
    </row>
    <row r="880" spans="1:13" x14ac:dyDescent="0.25">
      <c r="A880" s="86"/>
      <c r="B880" s="344"/>
      <c r="C880" s="2">
        <v>1.5</v>
      </c>
      <c r="D880" s="2">
        <f t="shared" si="72"/>
        <v>0.5</v>
      </c>
      <c r="E880" s="2">
        <v>0</v>
      </c>
      <c r="F880" s="2"/>
      <c r="G880" s="2">
        <f t="shared" si="73"/>
        <v>0.75</v>
      </c>
      <c r="M880" s="87"/>
    </row>
    <row r="881" spans="1:13" x14ac:dyDescent="0.25">
      <c r="A881" s="86"/>
      <c r="B881" s="344"/>
      <c r="C881" s="2">
        <v>3</v>
      </c>
      <c r="D881" s="2">
        <f t="shared" si="72"/>
        <v>0.5</v>
      </c>
      <c r="E881" s="2">
        <v>0</v>
      </c>
      <c r="F881" s="2"/>
      <c r="G881" s="2">
        <f t="shared" si="73"/>
        <v>1.5</v>
      </c>
      <c r="M881" s="87"/>
    </row>
    <row r="882" spans="1:13" x14ac:dyDescent="0.25">
      <c r="A882" s="86"/>
      <c r="B882" s="343"/>
      <c r="C882" s="2">
        <v>1.5</v>
      </c>
      <c r="D882" s="2">
        <f t="shared" si="72"/>
        <v>0.5</v>
      </c>
      <c r="E882" s="2">
        <v>0.45</v>
      </c>
      <c r="F882" s="2" t="s">
        <v>360</v>
      </c>
      <c r="G882" s="2">
        <f t="shared" si="73"/>
        <v>0.3</v>
      </c>
      <c r="M882" s="87"/>
    </row>
    <row r="883" spans="1:13" x14ac:dyDescent="0.25">
      <c r="A883" s="86"/>
      <c r="B883" s="342" t="s">
        <v>323</v>
      </c>
      <c r="C883" s="2">
        <v>1.5</v>
      </c>
      <c r="D883" s="2">
        <f t="shared" si="72"/>
        <v>0.5</v>
      </c>
      <c r="E883" s="2">
        <v>0</v>
      </c>
      <c r="F883" s="2"/>
      <c r="G883" s="2">
        <f t="shared" si="73"/>
        <v>0.75</v>
      </c>
      <c r="M883" s="87"/>
    </row>
    <row r="884" spans="1:13" x14ac:dyDescent="0.25">
      <c r="A884" s="86"/>
      <c r="B884" s="344"/>
      <c r="C884" s="2">
        <v>3</v>
      </c>
      <c r="D884" s="2">
        <f t="shared" si="72"/>
        <v>0.5</v>
      </c>
      <c r="E884" s="2">
        <v>0</v>
      </c>
      <c r="F884" s="2"/>
      <c r="G884" s="2">
        <f t="shared" si="73"/>
        <v>1.5</v>
      </c>
      <c r="M884" s="87"/>
    </row>
    <row r="885" spans="1:13" x14ac:dyDescent="0.25">
      <c r="A885" s="86"/>
      <c r="B885" s="344"/>
      <c r="C885" s="2">
        <v>3</v>
      </c>
      <c r="D885" s="2">
        <f t="shared" si="72"/>
        <v>0.5</v>
      </c>
      <c r="E885" s="2">
        <v>0</v>
      </c>
      <c r="F885" s="2"/>
      <c r="G885" s="2">
        <f t="shared" si="73"/>
        <v>1.5</v>
      </c>
      <c r="M885" s="87"/>
    </row>
    <row r="886" spans="1:13" x14ac:dyDescent="0.25">
      <c r="A886" s="86"/>
      <c r="B886" s="343"/>
      <c r="C886" s="2">
        <v>1.5</v>
      </c>
      <c r="D886" s="2">
        <f t="shared" si="72"/>
        <v>0.5</v>
      </c>
      <c r="E886" s="2">
        <v>0.45</v>
      </c>
      <c r="F886" s="2" t="s">
        <v>360</v>
      </c>
      <c r="G886" s="2">
        <f t="shared" si="73"/>
        <v>0.3</v>
      </c>
      <c r="M886" s="87"/>
    </row>
    <row r="887" spans="1:13" x14ac:dyDescent="0.25">
      <c r="A887" s="86"/>
      <c r="B887" s="342" t="s">
        <v>361</v>
      </c>
      <c r="C887" s="2">
        <v>2.9</v>
      </c>
      <c r="D887" s="2">
        <f t="shared" si="72"/>
        <v>0.5</v>
      </c>
      <c r="E887" s="2">
        <v>0.45</v>
      </c>
      <c r="F887" s="2" t="s">
        <v>360</v>
      </c>
      <c r="G887" s="2">
        <f t="shared" si="73"/>
        <v>1</v>
      </c>
      <c r="M887" s="87"/>
    </row>
    <row r="888" spans="1:13" x14ac:dyDescent="0.25">
      <c r="A888" s="86"/>
      <c r="B888" s="344"/>
      <c r="C888" s="2">
        <v>4.3499999999999996</v>
      </c>
      <c r="D888" s="2">
        <f t="shared" si="72"/>
        <v>0.5</v>
      </c>
      <c r="E888" s="2">
        <v>0</v>
      </c>
      <c r="F888" s="2"/>
      <c r="G888" s="2">
        <f t="shared" si="73"/>
        <v>2.1749999999999998</v>
      </c>
      <c r="M888" s="87"/>
    </row>
    <row r="889" spans="1:13" x14ac:dyDescent="0.25">
      <c r="A889" s="86"/>
      <c r="B889" s="344"/>
      <c r="C889" s="2">
        <v>2.9</v>
      </c>
      <c r="D889" s="2">
        <f t="shared" si="72"/>
        <v>0.5</v>
      </c>
      <c r="E889" s="2">
        <v>0</v>
      </c>
      <c r="F889" s="2"/>
      <c r="G889" s="2">
        <f t="shared" si="73"/>
        <v>1.45</v>
      </c>
      <c r="M889" s="87"/>
    </row>
    <row r="890" spans="1:13" x14ac:dyDescent="0.25">
      <c r="A890" s="86"/>
      <c r="B890" s="343"/>
      <c r="C890" s="2">
        <v>4.3499999999999996</v>
      </c>
      <c r="D890" s="2">
        <f t="shared" si="72"/>
        <v>0.5</v>
      </c>
      <c r="E890" s="2">
        <v>0</v>
      </c>
      <c r="F890" s="2"/>
      <c r="G890" s="2">
        <f t="shared" si="73"/>
        <v>2.1749999999999998</v>
      </c>
      <c r="M890" s="87"/>
    </row>
    <row r="891" spans="1:13" x14ac:dyDescent="0.25">
      <c r="A891" s="86"/>
      <c r="B891" s="342" t="s">
        <v>363</v>
      </c>
      <c r="C891" s="2">
        <v>2.9</v>
      </c>
      <c r="D891" s="2">
        <f t="shared" si="72"/>
        <v>0.5</v>
      </c>
      <c r="E891" s="2">
        <v>0.45</v>
      </c>
      <c r="F891" s="2" t="s">
        <v>360</v>
      </c>
      <c r="G891" s="2">
        <f t="shared" si="73"/>
        <v>1</v>
      </c>
      <c r="M891" s="87"/>
    </row>
    <row r="892" spans="1:13" x14ac:dyDescent="0.25">
      <c r="A892" s="86"/>
      <c r="B892" s="344"/>
      <c r="C892" s="2">
        <v>4.3499999999999996</v>
      </c>
      <c r="D892" s="2">
        <f t="shared" si="72"/>
        <v>0.5</v>
      </c>
      <c r="E892" s="2">
        <v>0</v>
      </c>
      <c r="F892" s="2"/>
      <c r="G892" s="2">
        <f t="shared" si="73"/>
        <v>2.1749999999999998</v>
      </c>
      <c r="M892" s="87"/>
    </row>
    <row r="893" spans="1:13" x14ac:dyDescent="0.25">
      <c r="A893" s="86"/>
      <c r="B893" s="344"/>
      <c r="C893" s="2">
        <v>2.9</v>
      </c>
      <c r="D893" s="2">
        <f t="shared" si="72"/>
        <v>0.5</v>
      </c>
      <c r="E893" s="2">
        <v>0</v>
      </c>
      <c r="F893" s="2"/>
      <c r="G893" s="2">
        <f t="shared" si="73"/>
        <v>1.45</v>
      </c>
      <c r="M893" s="87"/>
    </row>
    <row r="894" spans="1:13" x14ac:dyDescent="0.25">
      <c r="A894" s="86"/>
      <c r="B894" s="343"/>
      <c r="C894" s="2">
        <v>4.3499999999999996</v>
      </c>
      <c r="D894" s="2">
        <f t="shared" si="72"/>
        <v>0.5</v>
      </c>
      <c r="E894" s="2">
        <v>0</v>
      </c>
      <c r="F894" s="2"/>
      <c r="G894" s="2">
        <f t="shared" si="73"/>
        <v>2.1749999999999998</v>
      </c>
      <c r="M894" s="87"/>
    </row>
    <row r="895" spans="1:13" x14ac:dyDescent="0.25">
      <c r="A895" s="86"/>
      <c r="B895" s="342" t="s">
        <v>364</v>
      </c>
      <c r="C895" s="2">
        <v>2.9</v>
      </c>
      <c r="D895" s="2">
        <f t="shared" si="72"/>
        <v>0.5</v>
      </c>
      <c r="E895" s="2">
        <v>0.45</v>
      </c>
      <c r="F895" s="2" t="s">
        <v>360</v>
      </c>
      <c r="G895" s="2">
        <f t="shared" si="73"/>
        <v>1</v>
      </c>
      <c r="M895" s="87"/>
    </row>
    <row r="896" spans="1:13" x14ac:dyDescent="0.25">
      <c r="A896" s="86"/>
      <c r="B896" s="344"/>
      <c r="C896" s="2">
        <v>4.3499999999999996</v>
      </c>
      <c r="D896" s="2">
        <f t="shared" si="72"/>
        <v>0.5</v>
      </c>
      <c r="E896" s="2">
        <v>0</v>
      </c>
      <c r="F896" s="2"/>
      <c r="G896" s="2">
        <f t="shared" si="73"/>
        <v>2.1749999999999998</v>
      </c>
      <c r="M896" s="87"/>
    </row>
    <row r="897" spans="1:13" x14ac:dyDescent="0.25">
      <c r="A897" s="86"/>
      <c r="B897" s="344"/>
      <c r="C897" s="2">
        <v>2.9</v>
      </c>
      <c r="D897" s="2">
        <f t="shared" si="72"/>
        <v>0.5</v>
      </c>
      <c r="E897" s="2">
        <v>0</v>
      </c>
      <c r="F897" s="2"/>
      <c r="G897" s="2">
        <f t="shared" si="73"/>
        <v>1.45</v>
      </c>
      <c r="M897" s="87"/>
    </row>
    <row r="898" spans="1:13" x14ac:dyDescent="0.25">
      <c r="A898" s="86"/>
      <c r="B898" s="343"/>
      <c r="C898" s="2">
        <v>4.3499999999999996</v>
      </c>
      <c r="D898" s="2">
        <f t="shared" si="72"/>
        <v>0.5</v>
      </c>
      <c r="E898" s="2">
        <v>0</v>
      </c>
      <c r="F898" s="2"/>
      <c r="G898" s="2">
        <f t="shared" si="73"/>
        <v>2.1749999999999998</v>
      </c>
      <c r="M898" s="87"/>
    </row>
    <row r="899" spans="1:13" x14ac:dyDescent="0.25">
      <c r="A899" s="86"/>
      <c r="B899" s="342" t="s">
        <v>365</v>
      </c>
      <c r="C899" s="2">
        <v>2.9</v>
      </c>
      <c r="D899" s="2">
        <f t="shared" si="72"/>
        <v>0.5</v>
      </c>
      <c r="E899" s="2">
        <v>0.45</v>
      </c>
      <c r="F899" s="2" t="s">
        <v>360</v>
      </c>
      <c r="G899" s="2">
        <f t="shared" si="73"/>
        <v>1</v>
      </c>
      <c r="M899" s="87"/>
    </row>
    <row r="900" spans="1:13" x14ac:dyDescent="0.25">
      <c r="A900" s="86"/>
      <c r="B900" s="344"/>
      <c r="C900" s="2">
        <v>4.3499999999999996</v>
      </c>
      <c r="D900" s="2">
        <f t="shared" si="72"/>
        <v>0.5</v>
      </c>
      <c r="E900" s="2">
        <v>0</v>
      </c>
      <c r="F900" s="2"/>
      <c r="G900" s="2">
        <f t="shared" si="73"/>
        <v>2.1749999999999998</v>
      </c>
      <c r="M900" s="87"/>
    </row>
    <row r="901" spans="1:13" x14ac:dyDescent="0.25">
      <c r="A901" s="86"/>
      <c r="B901" s="344"/>
      <c r="C901" s="2">
        <v>2.9</v>
      </c>
      <c r="D901" s="2">
        <f t="shared" si="72"/>
        <v>0.5</v>
      </c>
      <c r="E901" s="2">
        <v>0</v>
      </c>
      <c r="F901" s="2"/>
      <c r="G901" s="2">
        <f t="shared" si="73"/>
        <v>1.45</v>
      </c>
      <c r="M901" s="87"/>
    </row>
    <row r="902" spans="1:13" x14ac:dyDescent="0.25">
      <c r="A902" s="86"/>
      <c r="B902" s="343"/>
      <c r="C902" s="2">
        <v>4.3499999999999996</v>
      </c>
      <c r="D902" s="2">
        <f t="shared" si="72"/>
        <v>0.5</v>
      </c>
      <c r="E902" s="2">
        <v>0</v>
      </c>
      <c r="F902" s="2"/>
      <c r="G902" s="2">
        <f t="shared" si="73"/>
        <v>2.1749999999999998</v>
      </c>
      <c r="M902" s="87"/>
    </row>
    <row r="903" spans="1:13" x14ac:dyDescent="0.25">
      <c r="A903" s="86"/>
      <c r="B903" s="342" t="s">
        <v>366</v>
      </c>
      <c r="C903" s="2">
        <v>2.9</v>
      </c>
      <c r="D903" s="2">
        <f t="shared" si="72"/>
        <v>0.5</v>
      </c>
      <c r="E903" s="2">
        <v>0.45</v>
      </c>
      <c r="F903" s="2" t="s">
        <v>360</v>
      </c>
      <c r="G903" s="2">
        <f t="shared" si="73"/>
        <v>1</v>
      </c>
      <c r="M903" s="87"/>
    </row>
    <row r="904" spans="1:13" x14ac:dyDescent="0.25">
      <c r="A904" s="86"/>
      <c r="B904" s="344"/>
      <c r="C904" s="2">
        <v>4.3499999999999996</v>
      </c>
      <c r="D904" s="2">
        <f t="shared" si="72"/>
        <v>0.5</v>
      </c>
      <c r="E904" s="2">
        <v>0</v>
      </c>
      <c r="F904" s="2"/>
      <c r="G904" s="2">
        <f t="shared" si="73"/>
        <v>2.1749999999999998</v>
      </c>
      <c r="M904" s="87"/>
    </row>
    <row r="905" spans="1:13" x14ac:dyDescent="0.25">
      <c r="A905" s="86"/>
      <c r="B905" s="344"/>
      <c r="C905" s="2">
        <v>2.9</v>
      </c>
      <c r="D905" s="2">
        <f t="shared" si="72"/>
        <v>0.5</v>
      </c>
      <c r="E905" s="2">
        <v>0</v>
      </c>
      <c r="F905" s="2"/>
      <c r="G905" s="2">
        <f t="shared" si="73"/>
        <v>1.45</v>
      </c>
      <c r="M905" s="87"/>
    </row>
    <row r="906" spans="1:13" x14ac:dyDescent="0.25">
      <c r="A906" s="86"/>
      <c r="B906" s="343"/>
      <c r="C906" s="2">
        <v>4.3499999999999996</v>
      </c>
      <c r="D906" s="2">
        <f t="shared" si="72"/>
        <v>0.5</v>
      </c>
      <c r="E906" s="2">
        <v>0</v>
      </c>
      <c r="F906" s="2"/>
      <c r="G906" s="2">
        <f t="shared" si="73"/>
        <v>2.1749999999999998</v>
      </c>
      <c r="M906" s="87"/>
    </row>
    <row r="907" spans="1:13" x14ac:dyDescent="0.25">
      <c r="A907" s="86"/>
      <c r="B907" s="342" t="s">
        <v>329</v>
      </c>
      <c r="C907" s="2">
        <v>4.37</v>
      </c>
      <c r="D907" s="2">
        <f t="shared" si="72"/>
        <v>0.5</v>
      </c>
      <c r="E907" s="2">
        <v>0</v>
      </c>
      <c r="F907" s="2"/>
      <c r="G907" s="2">
        <f t="shared" si="73"/>
        <v>2.1850000000000001</v>
      </c>
      <c r="M907" s="87"/>
    </row>
    <row r="908" spans="1:13" x14ac:dyDescent="0.25">
      <c r="A908" s="86"/>
      <c r="B908" s="344"/>
      <c r="C908" s="2">
        <v>6.15</v>
      </c>
      <c r="D908" s="2">
        <f t="shared" si="72"/>
        <v>0.5</v>
      </c>
      <c r="E908" s="2">
        <v>0</v>
      </c>
      <c r="F908" s="2"/>
      <c r="G908" s="2">
        <f t="shared" si="73"/>
        <v>3.0750000000000002</v>
      </c>
      <c r="M908" s="87"/>
    </row>
    <row r="909" spans="1:13" x14ac:dyDescent="0.25">
      <c r="A909" s="86"/>
      <c r="B909" s="344"/>
      <c r="C909" s="2">
        <v>11</v>
      </c>
      <c r="D909" s="2">
        <f t="shared" si="72"/>
        <v>0.5</v>
      </c>
      <c r="E909" s="2">
        <v>0</v>
      </c>
      <c r="F909" s="2"/>
      <c r="G909" s="2">
        <f t="shared" si="73"/>
        <v>5.5</v>
      </c>
      <c r="M909" s="87"/>
    </row>
    <row r="910" spans="1:13" x14ac:dyDescent="0.25">
      <c r="A910" s="86"/>
      <c r="B910" s="344"/>
      <c r="C910" s="2">
        <v>1.5</v>
      </c>
      <c r="D910" s="2">
        <f t="shared" si="72"/>
        <v>0.5</v>
      </c>
      <c r="E910" s="2">
        <v>0.4</v>
      </c>
      <c r="F910" s="2" t="s">
        <v>368</v>
      </c>
      <c r="G910" s="2">
        <f t="shared" si="73"/>
        <v>0.35</v>
      </c>
      <c r="M910" s="87"/>
    </row>
    <row r="911" spans="1:13" x14ac:dyDescent="0.25">
      <c r="A911" s="86"/>
      <c r="B911" s="344"/>
      <c r="C911" s="2">
        <v>2</v>
      </c>
      <c r="D911" s="2">
        <f t="shared" si="72"/>
        <v>0.5</v>
      </c>
      <c r="E911" s="2">
        <v>0</v>
      </c>
      <c r="F911" s="2"/>
      <c r="G911" s="2">
        <f t="shared" si="73"/>
        <v>1</v>
      </c>
      <c r="M911" s="87"/>
    </row>
    <row r="912" spans="1:13" x14ac:dyDescent="0.25">
      <c r="A912" s="86"/>
      <c r="B912" s="344"/>
      <c r="C912" s="2">
        <v>1.32</v>
      </c>
      <c r="D912" s="2">
        <f t="shared" si="72"/>
        <v>0.5</v>
      </c>
      <c r="E912" s="2">
        <v>0</v>
      </c>
      <c r="F912" s="2"/>
      <c r="G912" s="2">
        <f t="shared" si="73"/>
        <v>0.66</v>
      </c>
      <c r="M912" s="87"/>
    </row>
    <row r="913" spans="1:13" x14ac:dyDescent="0.25">
      <c r="A913" s="86"/>
      <c r="B913" s="344"/>
      <c r="C913" s="2">
        <v>0.67</v>
      </c>
      <c r="D913" s="2">
        <f t="shared" si="72"/>
        <v>0.5</v>
      </c>
      <c r="E913" s="2">
        <v>0</v>
      </c>
      <c r="F913" s="2"/>
      <c r="G913" s="2">
        <f t="shared" si="73"/>
        <v>0.33500000000000002</v>
      </c>
      <c r="M913" s="87"/>
    </row>
    <row r="914" spans="1:13" x14ac:dyDescent="0.25">
      <c r="A914" s="86"/>
      <c r="B914" s="344"/>
      <c r="C914" s="2">
        <v>0.92</v>
      </c>
      <c r="D914" s="2">
        <f t="shared" si="72"/>
        <v>0.5</v>
      </c>
      <c r="E914" s="2">
        <v>0</v>
      </c>
      <c r="F914" s="2"/>
      <c r="G914" s="2">
        <f t="shared" si="73"/>
        <v>0.46</v>
      </c>
      <c r="M914" s="87"/>
    </row>
    <row r="915" spans="1:13" x14ac:dyDescent="0.25">
      <c r="A915" s="86"/>
      <c r="B915" s="344"/>
      <c r="C915" s="2">
        <v>2.4500000000000002</v>
      </c>
      <c r="D915" s="2">
        <f t="shared" si="72"/>
        <v>0.5</v>
      </c>
      <c r="E915" s="2">
        <v>1.2250000000000001</v>
      </c>
      <c r="F915" s="2" t="s">
        <v>369</v>
      </c>
      <c r="G915" s="2">
        <f t="shared" si="73"/>
        <v>0</v>
      </c>
      <c r="M915" s="87"/>
    </row>
    <row r="916" spans="1:13" x14ac:dyDescent="0.25">
      <c r="A916" s="86"/>
      <c r="B916" s="344"/>
      <c r="C916" s="2">
        <v>1.74</v>
      </c>
      <c r="D916" s="2">
        <f t="shared" si="72"/>
        <v>0.5</v>
      </c>
      <c r="E916" s="2">
        <v>0</v>
      </c>
      <c r="F916" s="2"/>
      <c r="G916" s="2">
        <f t="shared" si="73"/>
        <v>0.87</v>
      </c>
      <c r="M916" s="87"/>
    </row>
    <row r="917" spans="1:13" x14ac:dyDescent="0.25">
      <c r="A917" s="86"/>
      <c r="B917" s="342" t="s">
        <v>334</v>
      </c>
      <c r="C917" s="2">
        <v>2.35</v>
      </c>
      <c r="D917" s="2">
        <f t="shared" si="72"/>
        <v>0.5</v>
      </c>
      <c r="E917" s="2">
        <v>0</v>
      </c>
      <c r="F917" s="2"/>
      <c r="G917" s="2">
        <f t="shared" si="73"/>
        <v>1.175</v>
      </c>
      <c r="M917" s="87"/>
    </row>
    <row r="918" spans="1:13" x14ac:dyDescent="0.25">
      <c r="A918" s="86"/>
      <c r="B918" s="344"/>
      <c r="C918" s="2">
        <v>1.5</v>
      </c>
      <c r="D918" s="2">
        <f t="shared" si="72"/>
        <v>0.5</v>
      </c>
      <c r="E918" s="2">
        <v>0</v>
      </c>
      <c r="F918" s="2"/>
      <c r="G918" s="2">
        <f t="shared" si="73"/>
        <v>0.75</v>
      </c>
      <c r="M918" s="87"/>
    </row>
    <row r="919" spans="1:13" x14ac:dyDescent="0.25">
      <c r="A919" s="86"/>
      <c r="B919" s="344"/>
      <c r="C919" s="2">
        <v>1.5</v>
      </c>
      <c r="D919" s="2">
        <f t="shared" si="72"/>
        <v>0.5</v>
      </c>
      <c r="E919" s="2">
        <v>0.4</v>
      </c>
      <c r="F919" s="2" t="s">
        <v>368</v>
      </c>
      <c r="G919" s="2">
        <f t="shared" si="73"/>
        <v>0.35</v>
      </c>
      <c r="M919" s="87"/>
    </row>
    <row r="920" spans="1:13" x14ac:dyDescent="0.25">
      <c r="A920" s="86"/>
      <c r="B920" s="343"/>
      <c r="C920" s="2">
        <v>2.35</v>
      </c>
      <c r="D920" s="2">
        <f t="shared" si="72"/>
        <v>0.5</v>
      </c>
      <c r="E920" s="2">
        <v>0</v>
      </c>
      <c r="F920" s="2"/>
      <c r="G920" s="2">
        <f t="shared" si="73"/>
        <v>1.175</v>
      </c>
      <c r="M920" s="87"/>
    </row>
    <row r="921" spans="1:13" x14ac:dyDescent="0.25">
      <c r="A921" s="86"/>
      <c r="B921" s="342" t="s">
        <v>371</v>
      </c>
      <c r="C921" s="2">
        <v>2.9</v>
      </c>
      <c r="D921" s="2">
        <f t="shared" si="72"/>
        <v>0.5</v>
      </c>
      <c r="E921" s="2">
        <v>0</v>
      </c>
      <c r="F921" s="2"/>
      <c r="G921" s="2">
        <f t="shared" si="73"/>
        <v>1.45</v>
      </c>
      <c r="M921" s="87"/>
    </row>
    <row r="922" spans="1:13" x14ac:dyDescent="0.25">
      <c r="A922" s="86"/>
      <c r="B922" s="344"/>
      <c r="C922" s="2">
        <v>4.3499999999999996</v>
      </c>
      <c r="D922" s="2">
        <f t="shared" si="72"/>
        <v>0.5</v>
      </c>
      <c r="E922" s="2">
        <v>0</v>
      </c>
      <c r="F922" s="2"/>
      <c r="G922" s="2">
        <f t="shared" si="73"/>
        <v>2.1749999999999998</v>
      </c>
      <c r="M922" s="87"/>
    </row>
    <row r="923" spans="1:13" x14ac:dyDescent="0.25">
      <c r="A923" s="86"/>
      <c r="B923" s="344"/>
      <c r="C923" s="2">
        <v>2.9</v>
      </c>
      <c r="D923" s="2">
        <f t="shared" si="72"/>
        <v>0.5</v>
      </c>
      <c r="E923" s="2">
        <v>0.45</v>
      </c>
      <c r="F923" s="2" t="s">
        <v>360</v>
      </c>
      <c r="G923" s="2">
        <f t="shared" si="73"/>
        <v>1</v>
      </c>
      <c r="M923" s="87"/>
    </row>
    <row r="924" spans="1:13" x14ac:dyDescent="0.25">
      <c r="A924" s="86"/>
      <c r="B924" s="343"/>
      <c r="C924" s="2">
        <v>4.3499999999999996</v>
      </c>
      <c r="D924" s="2">
        <f t="shared" si="72"/>
        <v>0.5</v>
      </c>
      <c r="E924" s="2">
        <v>0</v>
      </c>
      <c r="F924" s="2"/>
      <c r="G924" s="2">
        <f t="shared" si="73"/>
        <v>2.1749999999999998</v>
      </c>
      <c r="M924" s="87"/>
    </row>
    <row r="925" spans="1:13" x14ac:dyDescent="0.25">
      <c r="A925" s="86"/>
      <c r="B925" s="342" t="s">
        <v>372</v>
      </c>
      <c r="C925" s="2">
        <v>2.9</v>
      </c>
      <c r="D925" s="2">
        <f t="shared" si="72"/>
        <v>0.5</v>
      </c>
      <c r="E925" s="2">
        <v>0</v>
      </c>
      <c r="F925" s="2"/>
      <c r="G925" s="2">
        <f t="shared" si="73"/>
        <v>1.45</v>
      </c>
      <c r="M925" s="87"/>
    </row>
    <row r="926" spans="1:13" x14ac:dyDescent="0.25">
      <c r="A926" s="86"/>
      <c r="B926" s="344"/>
      <c r="C926" s="2">
        <v>4.3499999999999996</v>
      </c>
      <c r="D926" s="2">
        <f t="shared" si="72"/>
        <v>0.5</v>
      </c>
      <c r="E926" s="2">
        <v>0</v>
      </c>
      <c r="F926" s="2"/>
      <c r="G926" s="2">
        <f t="shared" si="73"/>
        <v>2.1749999999999998</v>
      </c>
      <c r="M926" s="87"/>
    </row>
    <row r="927" spans="1:13" x14ac:dyDescent="0.25">
      <c r="A927" s="86"/>
      <c r="B927" s="344"/>
      <c r="C927" s="2">
        <v>2.9</v>
      </c>
      <c r="D927" s="2">
        <f t="shared" si="72"/>
        <v>0.5</v>
      </c>
      <c r="E927" s="2">
        <v>0.45</v>
      </c>
      <c r="F927" s="2" t="s">
        <v>360</v>
      </c>
      <c r="G927" s="2">
        <f t="shared" si="73"/>
        <v>1</v>
      </c>
      <c r="M927" s="87"/>
    </row>
    <row r="928" spans="1:13" x14ac:dyDescent="0.25">
      <c r="A928" s="86"/>
      <c r="B928" s="343"/>
      <c r="C928" s="2">
        <v>4.3499999999999996</v>
      </c>
      <c r="D928" s="2">
        <f t="shared" si="72"/>
        <v>0.5</v>
      </c>
      <c r="E928" s="2">
        <v>0</v>
      </c>
      <c r="F928" s="2"/>
      <c r="G928" s="2">
        <f t="shared" si="73"/>
        <v>2.1749999999999998</v>
      </c>
      <c r="M928" s="87"/>
    </row>
    <row r="929" spans="1:13" x14ac:dyDescent="0.25">
      <c r="A929" s="86"/>
      <c r="B929" s="342" t="s">
        <v>373</v>
      </c>
      <c r="C929" s="2">
        <v>2.9</v>
      </c>
      <c r="D929" s="2">
        <f t="shared" si="72"/>
        <v>0.5</v>
      </c>
      <c r="E929" s="2">
        <v>0</v>
      </c>
      <c r="F929" s="2"/>
      <c r="G929" s="2">
        <f t="shared" si="73"/>
        <v>1.45</v>
      </c>
      <c r="M929" s="87"/>
    </row>
    <row r="930" spans="1:13" x14ac:dyDescent="0.25">
      <c r="A930" s="86"/>
      <c r="B930" s="344"/>
      <c r="C930" s="2">
        <v>4.3499999999999996</v>
      </c>
      <c r="D930" s="2">
        <f t="shared" si="72"/>
        <v>0.5</v>
      </c>
      <c r="E930" s="2">
        <v>0</v>
      </c>
      <c r="F930" s="2"/>
      <c r="G930" s="2">
        <f t="shared" si="73"/>
        <v>2.1749999999999998</v>
      </c>
      <c r="M930" s="87"/>
    </row>
    <row r="931" spans="1:13" x14ac:dyDescent="0.25">
      <c r="A931" s="86"/>
      <c r="B931" s="344"/>
      <c r="C931" s="2">
        <v>2.9</v>
      </c>
      <c r="D931" s="2">
        <f t="shared" si="72"/>
        <v>0.5</v>
      </c>
      <c r="E931" s="2">
        <v>0.45</v>
      </c>
      <c r="F931" s="2" t="s">
        <v>360</v>
      </c>
      <c r="G931" s="2">
        <f t="shared" si="73"/>
        <v>1</v>
      </c>
      <c r="M931" s="87"/>
    </row>
    <row r="932" spans="1:13" x14ac:dyDescent="0.25">
      <c r="A932" s="86"/>
      <c r="B932" s="343"/>
      <c r="C932" s="2">
        <v>4.3499999999999996</v>
      </c>
      <c r="D932" s="2">
        <f t="shared" si="72"/>
        <v>0.5</v>
      </c>
      <c r="E932" s="2">
        <v>0</v>
      </c>
      <c r="F932" s="2"/>
      <c r="G932" s="2">
        <f t="shared" si="73"/>
        <v>2.1749999999999998</v>
      </c>
      <c r="M932" s="87"/>
    </row>
    <row r="933" spans="1:13" x14ac:dyDescent="0.25">
      <c r="A933" s="86"/>
      <c r="B933" s="348" t="s">
        <v>374</v>
      </c>
      <c r="C933" s="2">
        <v>2.9</v>
      </c>
      <c r="D933" s="2">
        <f t="shared" si="72"/>
        <v>0.5</v>
      </c>
      <c r="E933" s="2">
        <v>0</v>
      </c>
      <c r="F933" s="2"/>
      <c r="G933" s="2">
        <f t="shared" si="73"/>
        <v>1.45</v>
      </c>
      <c r="M933" s="87"/>
    </row>
    <row r="934" spans="1:13" x14ac:dyDescent="0.25">
      <c r="A934" s="86"/>
      <c r="B934" s="348"/>
      <c r="C934" s="2">
        <v>4.3499999999999996</v>
      </c>
      <c r="D934" s="2">
        <f t="shared" si="72"/>
        <v>0.5</v>
      </c>
      <c r="E934" s="2">
        <v>0</v>
      </c>
      <c r="F934" s="2"/>
      <c r="G934" s="2">
        <f t="shared" si="73"/>
        <v>2.1749999999999998</v>
      </c>
      <c r="M934" s="87"/>
    </row>
    <row r="935" spans="1:13" x14ac:dyDescent="0.25">
      <c r="A935" s="86"/>
      <c r="B935" s="348"/>
      <c r="C935" s="2">
        <v>2.9</v>
      </c>
      <c r="D935" s="2">
        <f t="shared" si="72"/>
        <v>0.5</v>
      </c>
      <c r="E935" s="2">
        <v>0.45</v>
      </c>
      <c r="F935" s="2" t="s">
        <v>360</v>
      </c>
      <c r="G935" s="2">
        <f t="shared" si="73"/>
        <v>1</v>
      </c>
      <c r="M935" s="87"/>
    </row>
    <row r="936" spans="1:13" x14ac:dyDescent="0.25">
      <c r="A936" s="86"/>
      <c r="B936" s="348"/>
      <c r="C936" s="2">
        <v>4.3499999999999996</v>
      </c>
      <c r="D936" s="2">
        <f t="shared" si="72"/>
        <v>0.5</v>
      </c>
      <c r="E936" s="2">
        <v>0</v>
      </c>
      <c r="F936" s="2"/>
      <c r="G936" s="2">
        <f t="shared" si="73"/>
        <v>2.1749999999999998</v>
      </c>
      <c r="M936" s="87"/>
    </row>
    <row r="937" spans="1:13" x14ac:dyDescent="0.25">
      <c r="A937" s="86"/>
      <c r="B937" s="348" t="s">
        <v>339</v>
      </c>
      <c r="C937" s="2">
        <v>2.9</v>
      </c>
      <c r="D937" s="2">
        <f t="shared" si="72"/>
        <v>0.5</v>
      </c>
      <c r="E937" s="2">
        <v>0</v>
      </c>
      <c r="F937" s="2"/>
      <c r="G937" s="2">
        <f t="shared" si="73"/>
        <v>1.45</v>
      </c>
      <c r="M937" s="87"/>
    </row>
    <row r="938" spans="1:13" x14ac:dyDescent="0.25">
      <c r="A938" s="86"/>
      <c r="B938" s="348"/>
      <c r="C938" s="2">
        <v>4.3499999999999996</v>
      </c>
      <c r="D938" s="2">
        <f t="shared" si="72"/>
        <v>0.5</v>
      </c>
      <c r="E938" s="2">
        <v>0</v>
      </c>
      <c r="F938" s="2"/>
      <c r="G938" s="2">
        <f t="shared" si="73"/>
        <v>2.1749999999999998</v>
      </c>
      <c r="M938" s="87"/>
    </row>
    <row r="939" spans="1:13" x14ac:dyDescent="0.25">
      <c r="A939" s="86"/>
      <c r="B939" s="348"/>
      <c r="C939" s="2">
        <v>2.9</v>
      </c>
      <c r="D939" s="2">
        <f t="shared" si="72"/>
        <v>0.5</v>
      </c>
      <c r="E939" s="2">
        <v>0.45</v>
      </c>
      <c r="F939" s="2" t="s">
        <v>360</v>
      </c>
      <c r="G939" s="2">
        <f t="shared" si="73"/>
        <v>1</v>
      </c>
      <c r="M939" s="87"/>
    </row>
    <row r="940" spans="1:13" x14ac:dyDescent="0.25">
      <c r="A940" s="86"/>
      <c r="B940" s="348"/>
      <c r="C940" s="2">
        <v>4.3499999999999996</v>
      </c>
      <c r="D940" s="2">
        <f t="shared" ref="D940:D973" si="74">0.5</f>
        <v>0.5</v>
      </c>
      <c r="E940" s="2">
        <v>0</v>
      </c>
      <c r="F940" s="2"/>
      <c r="G940" s="2">
        <f t="shared" ref="G940:G973" si="75">C940*D940-E940</f>
        <v>2.1749999999999998</v>
      </c>
      <c r="M940" s="87"/>
    </row>
    <row r="941" spans="1:13" x14ac:dyDescent="0.25">
      <c r="A941" s="86"/>
      <c r="B941" s="348" t="s">
        <v>333</v>
      </c>
      <c r="C941" s="2">
        <v>2.85</v>
      </c>
      <c r="D941" s="2">
        <f t="shared" si="74"/>
        <v>0.5</v>
      </c>
      <c r="E941" s="2">
        <v>0</v>
      </c>
      <c r="F941" s="2"/>
      <c r="G941" s="2">
        <f t="shared" si="75"/>
        <v>1.425</v>
      </c>
      <c r="M941" s="87"/>
    </row>
    <row r="942" spans="1:13" x14ac:dyDescent="0.25">
      <c r="A942" s="86"/>
      <c r="B942" s="348"/>
      <c r="C942" s="2">
        <v>2.81</v>
      </c>
      <c r="D942" s="2">
        <f t="shared" si="74"/>
        <v>0.5</v>
      </c>
      <c r="E942" s="2">
        <v>0</v>
      </c>
      <c r="F942" s="2"/>
      <c r="G942" s="2">
        <f t="shared" si="75"/>
        <v>1.405</v>
      </c>
      <c r="M942" s="87"/>
    </row>
    <row r="943" spans="1:13" x14ac:dyDescent="0.25">
      <c r="A943" s="86"/>
      <c r="B943" s="348"/>
      <c r="C943" s="2">
        <v>2.85</v>
      </c>
      <c r="D943" s="2">
        <f t="shared" si="74"/>
        <v>0.5</v>
      </c>
      <c r="E943" s="2">
        <v>0.4</v>
      </c>
      <c r="F943" s="2" t="s">
        <v>368</v>
      </c>
      <c r="G943" s="2">
        <f t="shared" si="75"/>
        <v>1.0249999999999999</v>
      </c>
      <c r="M943" s="87"/>
    </row>
    <row r="944" spans="1:13" x14ac:dyDescent="0.25">
      <c r="A944" s="86"/>
      <c r="B944" s="348"/>
      <c r="C944" s="2">
        <v>2.81</v>
      </c>
      <c r="D944" s="2">
        <f t="shared" si="74"/>
        <v>0.5</v>
      </c>
      <c r="E944" s="2">
        <v>0</v>
      </c>
      <c r="F944" s="2"/>
      <c r="G944" s="2">
        <f t="shared" si="75"/>
        <v>1.405</v>
      </c>
      <c r="M944" s="87"/>
    </row>
    <row r="945" spans="1:13" x14ac:dyDescent="0.25">
      <c r="A945" s="86"/>
      <c r="B945" s="342" t="s">
        <v>332</v>
      </c>
      <c r="C945" s="2">
        <v>1.41</v>
      </c>
      <c r="D945" s="2">
        <f t="shared" si="74"/>
        <v>0.5</v>
      </c>
      <c r="E945" s="2">
        <v>0</v>
      </c>
      <c r="F945" s="2"/>
      <c r="G945" s="2">
        <f t="shared" si="75"/>
        <v>0.70499999999999996</v>
      </c>
      <c r="M945" s="87"/>
    </row>
    <row r="946" spans="1:13" x14ac:dyDescent="0.25">
      <c r="A946" s="86"/>
      <c r="B946" s="344"/>
      <c r="C946" s="2">
        <v>1.7</v>
      </c>
      <c r="D946" s="2">
        <f t="shared" si="74"/>
        <v>0.5</v>
      </c>
      <c r="E946" s="2">
        <v>0</v>
      </c>
      <c r="F946" s="2"/>
      <c r="G946" s="2">
        <f t="shared" si="75"/>
        <v>0.85</v>
      </c>
      <c r="M946" s="87"/>
    </row>
    <row r="947" spans="1:13" x14ac:dyDescent="0.25">
      <c r="A947" s="86"/>
      <c r="B947" s="344"/>
      <c r="C947" s="2">
        <v>1.41</v>
      </c>
      <c r="D947" s="2">
        <f t="shared" si="74"/>
        <v>0.5</v>
      </c>
      <c r="E947" s="2">
        <v>0.4</v>
      </c>
      <c r="F947" s="2" t="s">
        <v>368</v>
      </c>
      <c r="G947" s="2">
        <f t="shared" si="75"/>
        <v>0.30499999999999994</v>
      </c>
      <c r="M947" s="87"/>
    </row>
    <row r="948" spans="1:13" x14ac:dyDescent="0.25">
      <c r="A948" s="86"/>
      <c r="B948" s="344"/>
      <c r="C948" s="2">
        <v>1.7</v>
      </c>
      <c r="D948" s="2">
        <f t="shared" si="74"/>
        <v>0.5</v>
      </c>
      <c r="E948" s="2">
        <v>0</v>
      </c>
      <c r="F948" s="2"/>
      <c r="G948" s="2">
        <f t="shared" si="75"/>
        <v>0.85</v>
      </c>
      <c r="M948" s="87"/>
    </row>
    <row r="949" spans="1:13" x14ac:dyDescent="0.25">
      <c r="A949" s="86"/>
      <c r="B949" s="344"/>
      <c r="C949" s="2">
        <v>1.51</v>
      </c>
      <c r="D949" s="2">
        <f t="shared" si="74"/>
        <v>0.5</v>
      </c>
      <c r="E949" s="2">
        <v>0.4</v>
      </c>
      <c r="F949" s="2" t="s">
        <v>368</v>
      </c>
      <c r="G949" s="2">
        <f t="shared" si="75"/>
        <v>0.35499999999999998</v>
      </c>
      <c r="M949" s="87"/>
    </row>
    <row r="950" spans="1:13" x14ac:dyDescent="0.25">
      <c r="A950" s="86"/>
      <c r="B950" s="344"/>
      <c r="C950" s="2">
        <v>1</v>
      </c>
      <c r="D950" s="2">
        <f t="shared" si="74"/>
        <v>0.5</v>
      </c>
      <c r="E950" s="2">
        <v>0.4</v>
      </c>
      <c r="F950" s="2" t="s">
        <v>368</v>
      </c>
      <c r="G950" s="2">
        <f t="shared" si="75"/>
        <v>9.9999999999999978E-2</v>
      </c>
      <c r="M950" s="87"/>
    </row>
    <row r="951" spans="1:13" x14ac:dyDescent="0.25">
      <c r="A951" s="86"/>
      <c r="B951" s="344"/>
      <c r="C951" s="2">
        <v>1.51</v>
      </c>
      <c r="D951" s="2">
        <f t="shared" si="74"/>
        <v>0.5</v>
      </c>
      <c r="E951" s="2">
        <v>0</v>
      </c>
      <c r="F951" s="2"/>
      <c r="G951" s="2">
        <f t="shared" si="75"/>
        <v>0.755</v>
      </c>
      <c r="M951" s="87"/>
    </row>
    <row r="952" spans="1:13" x14ac:dyDescent="0.25">
      <c r="A952" s="86"/>
      <c r="B952" s="344"/>
      <c r="C952" s="2">
        <v>1</v>
      </c>
      <c r="D952" s="2">
        <f t="shared" si="74"/>
        <v>0.5</v>
      </c>
      <c r="E952" s="2">
        <v>0.5</v>
      </c>
      <c r="F952" s="2" t="s">
        <v>375</v>
      </c>
      <c r="G952" s="2">
        <f t="shared" si="75"/>
        <v>0</v>
      </c>
      <c r="M952" s="87"/>
    </row>
    <row r="953" spans="1:13" x14ac:dyDescent="0.25">
      <c r="A953" s="86"/>
      <c r="B953" s="342" t="s">
        <v>331</v>
      </c>
      <c r="C953" s="2">
        <v>10.35</v>
      </c>
      <c r="D953" s="2">
        <f t="shared" si="74"/>
        <v>0.5</v>
      </c>
      <c r="E953" s="2">
        <v>2</v>
      </c>
      <c r="F953" s="2" t="s">
        <v>376</v>
      </c>
      <c r="G953" s="2">
        <f t="shared" si="75"/>
        <v>3.1749999999999998</v>
      </c>
      <c r="M953" s="87"/>
    </row>
    <row r="954" spans="1:13" x14ac:dyDescent="0.25">
      <c r="A954" s="86"/>
      <c r="B954" s="344"/>
      <c r="C954" s="2">
        <v>3.15</v>
      </c>
      <c r="D954" s="2">
        <f t="shared" si="74"/>
        <v>0.5</v>
      </c>
      <c r="E954" s="2">
        <v>1.575</v>
      </c>
      <c r="F954" s="2" t="s">
        <v>385</v>
      </c>
      <c r="G954" s="2">
        <f t="shared" si="75"/>
        <v>0</v>
      </c>
      <c r="M954" s="87"/>
    </row>
    <row r="955" spans="1:13" x14ac:dyDescent="0.25">
      <c r="A955" s="86"/>
      <c r="B955" s="344"/>
      <c r="C955" s="2">
        <v>3.15</v>
      </c>
      <c r="D955" s="2">
        <f t="shared" si="74"/>
        <v>0.5</v>
      </c>
      <c r="E955" s="2">
        <v>1.575</v>
      </c>
      <c r="F955" s="2" t="s">
        <v>385</v>
      </c>
      <c r="G955" s="2">
        <f t="shared" si="75"/>
        <v>0</v>
      </c>
      <c r="M955" s="87"/>
    </row>
    <row r="956" spans="1:13" x14ac:dyDescent="0.25">
      <c r="A956" s="86"/>
      <c r="B956" s="344"/>
      <c r="C956" s="2">
        <v>3.15</v>
      </c>
      <c r="D956" s="2">
        <f t="shared" si="74"/>
        <v>0.5</v>
      </c>
      <c r="E956" s="2">
        <v>0.9</v>
      </c>
      <c r="F956" s="2" t="s">
        <v>386</v>
      </c>
      <c r="G956" s="2">
        <f t="shared" si="75"/>
        <v>0.67499999999999993</v>
      </c>
      <c r="M956" s="87"/>
    </row>
    <row r="957" spans="1:13" x14ac:dyDescent="0.25">
      <c r="A957" s="86"/>
      <c r="B957" s="344"/>
      <c r="C957" s="2">
        <v>1.35</v>
      </c>
      <c r="D957" s="2">
        <f t="shared" si="74"/>
        <v>0.5</v>
      </c>
      <c r="E957" s="2">
        <v>0</v>
      </c>
      <c r="F957" s="2"/>
      <c r="G957" s="2">
        <f t="shared" si="75"/>
        <v>0.67500000000000004</v>
      </c>
      <c r="M957" s="87"/>
    </row>
    <row r="958" spans="1:13" x14ac:dyDescent="0.25">
      <c r="A958" s="86"/>
      <c r="B958" s="344"/>
      <c r="C958" s="2">
        <v>15.35</v>
      </c>
      <c r="D958" s="2">
        <f t="shared" si="74"/>
        <v>0.5</v>
      </c>
      <c r="E958" s="2">
        <v>2.25</v>
      </c>
      <c r="F958" s="2" t="s">
        <v>387</v>
      </c>
      <c r="G958" s="2">
        <f t="shared" si="75"/>
        <v>5.4249999999999998</v>
      </c>
      <c r="M958" s="87"/>
    </row>
    <row r="959" spans="1:13" x14ac:dyDescent="0.25">
      <c r="A959" s="86"/>
      <c r="B959" s="344"/>
      <c r="C959" s="2">
        <v>1.65</v>
      </c>
      <c r="D959" s="2">
        <f t="shared" si="74"/>
        <v>0.5</v>
      </c>
      <c r="E959" s="2">
        <v>0</v>
      </c>
      <c r="F959" s="2"/>
      <c r="G959" s="2">
        <f t="shared" si="75"/>
        <v>0.82499999999999996</v>
      </c>
      <c r="M959" s="87"/>
    </row>
    <row r="960" spans="1:13" x14ac:dyDescent="0.25">
      <c r="A960" s="86"/>
      <c r="B960" s="344"/>
      <c r="C960" s="2">
        <v>2.4500000000000002</v>
      </c>
      <c r="D960" s="2">
        <f t="shared" si="74"/>
        <v>0.5</v>
      </c>
      <c r="E960" s="2">
        <v>1.2250000000000001</v>
      </c>
      <c r="F960" s="2" t="s">
        <v>369</v>
      </c>
      <c r="G960" s="2">
        <f t="shared" si="75"/>
        <v>0</v>
      </c>
      <c r="M960" s="87"/>
    </row>
    <row r="961" spans="1:13" x14ac:dyDescent="0.25">
      <c r="A961" s="86"/>
      <c r="B961" s="344"/>
      <c r="C961" s="2">
        <v>0.91</v>
      </c>
      <c r="D961" s="2">
        <f t="shared" si="74"/>
        <v>0.5</v>
      </c>
      <c r="E961" s="2">
        <v>0</v>
      </c>
      <c r="F961" s="2"/>
      <c r="G961" s="2">
        <f t="shared" si="75"/>
        <v>0.45500000000000002</v>
      </c>
      <c r="M961" s="87"/>
    </row>
    <row r="962" spans="1:13" x14ac:dyDescent="0.25">
      <c r="A962" s="86"/>
      <c r="B962" s="344"/>
      <c r="C962" s="2">
        <v>0.6</v>
      </c>
      <c r="D962" s="2">
        <f t="shared" si="74"/>
        <v>0.5</v>
      </c>
      <c r="E962" s="2">
        <v>0</v>
      </c>
      <c r="F962" s="2"/>
      <c r="G962" s="2">
        <f t="shared" si="75"/>
        <v>0.3</v>
      </c>
      <c r="M962" s="87"/>
    </row>
    <row r="963" spans="1:13" x14ac:dyDescent="0.25">
      <c r="A963" s="86"/>
      <c r="B963" s="344"/>
      <c r="C963" s="2">
        <v>7.7</v>
      </c>
      <c r="D963" s="2">
        <f t="shared" si="74"/>
        <v>0.5</v>
      </c>
      <c r="E963" s="2">
        <v>1.35</v>
      </c>
      <c r="F963" s="2" t="s">
        <v>388</v>
      </c>
      <c r="G963" s="2">
        <f t="shared" si="75"/>
        <v>2.5</v>
      </c>
      <c r="M963" s="87"/>
    </row>
    <row r="964" spans="1:13" x14ac:dyDescent="0.25">
      <c r="A964" s="86"/>
      <c r="B964" s="344"/>
      <c r="C964" s="2">
        <v>4.6500000000000004</v>
      </c>
      <c r="D964" s="2">
        <f t="shared" si="74"/>
        <v>0.5</v>
      </c>
      <c r="E964" s="2">
        <v>0</v>
      </c>
      <c r="F964" s="2"/>
      <c r="G964" s="2">
        <f t="shared" si="75"/>
        <v>2.3250000000000002</v>
      </c>
      <c r="M964" s="87"/>
    </row>
    <row r="965" spans="1:13" x14ac:dyDescent="0.25">
      <c r="A965" s="86"/>
      <c r="B965" s="344"/>
      <c r="C965" s="2">
        <v>1.5</v>
      </c>
      <c r="D965" s="2">
        <f t="shared" si="74"/>
        <v>0.5</v>
      </c>
      <c r="E965" s="2">
        <v>0.75</v>
      </c>
      <c r="F965" s="2" t="s">
        <v>377</v>
      </c>
      <c r="G965" s="2">
        <f t="shared" si="75"/>
        <v>0</v>
      </c>
      <c r="M965" s="87"/>
    </row>
    <row r="966" spans="1:13" x14ac:dyDescent="0.25">
      <c r="A966" s="86"/>
      <c r="B966" s="344"/>
      <c r="C966" s="2">
        <v>4.6500000000000004</v>
      </c>
      <c r="D966" s="2">
        <f t="shared" si="74"/>
        <v>0.5</v>
      </c>
      <c r="E966" s="2">
        <v>0</v>
      </c>
      <c r="F966" s="2"/>
      <c r="G966" s="2">
        <f t="shared" si="75"/>
        <v>2.3250000000000002</v>
      </c>
      <c r="M966" s="87"/>
    </row>
    <row r="967" spans="1:13" x14ac:dyDescent="0.25">
      <c r="A967" s="86"/>
      <c r="B967" s="344"/>
      <c r="C967" s="2">
        <v>9.25</v>
      </c>
      <c r="D967" s="2">
        <f t="shared" si="74"/>
        <v>0.5</v>
      </c>
      <c r="E967" s="2">
        <v>1.4500000000000002</v>
      </c>
      <c r="F967" s="2" t="s">
        <v>389</v>
      </c>
      <c r="G967" s="2">
        <f t="shared" si="75"/>
        <v>3.1749999999999998</v>
      </c>
      <c r="M967" s="87"/>
    </row>
    <row r="968" spans="1:13" x14ac:dyDescent="0.25">
      <c r="A968" s="86"/>
      <c r="B968" s="344"/>
      <c r="C968" s="2">
        <v>4.5</v>
      </c>
      <c r="D968" s="2">
        <f t="shared" si="74"/>
        <v>0.5</v>
      </c>
      <c r="E968" s="2">
        <v>0</v>
      </c>
      <c r="F968" s="2"/>
      <c r="G968" s="2">
        <f t="shared" si="75"/>
        <v>2.25</v>
      </c>
      <c r="M968" s="87"/>
    </row>
    <row r="969" spans="1:13" x14ac:dyDescent="0.25">
      <c r="A969" s="86"/>
      <c r="B969" s="344"/>
      <c r="C969" s="2">
        <v>3.15</v>
      </c>
      <c r="D969" s="2">
        <f t="shared" si="74"/>
        <v>0.5</v>
      </c>
      <c r="E969" s="2">
        <v>0</v>
      </c>
      <c r="F969" s="2"/>
      <c r="G969" s="2">
        <f t="shared" si="75"/>
        <v>1.575</v>
      </c>
      <c r="M969" s="87"/>
    </row>
    <row r="970" spans="1:13" x14ac:dyDescent="0.25">
      <c r="A970" s="86"/>
      <c r="B970" s="342" t="s">
        <v>341</v>
      </c>
      <c r="C970" s="2">
        <v>1.45</v>
      </c>
      <c r="D970" s="2">
        <f t="shared" si="74"/>
        <v>0.5</v>
      </c>
      <c r="E970" s="2">
        <v>0.4</v>
      </c>
      <c r="F970" s="2" t="s">
        <v>359</v>
      </c>
      <c r="G970" s="2">
        <f t="shared" si="75"/>
        <v>0.32499999999999996</v>
      </c>
      <c r="M970" s="87"/>
    </row>
    <row r="971" spans="1:13" x14ac:dyDescent="0.25">
      <c r="A971" s="86"/>
      <c r="B971" s="344"/>
      <c r="C971" s="2">
        <v>21.4</v>
      </c>
      <c r="D971" s="2">
        <f t="shared" si="74"/>
        <v>0.5</v>
      </c>
      <c r="E971" s="2">
        <v>0.61499999999999999</v>
      </c>
      <c r="F971" s="2" t="s">
        <v>378</v>
      </c>
      <c r="G971" s="2">
        <f t="shared" si="75"/>
        <v>10.084999999999999</v>
      </c>
      <c r="M971" s="87"/>
    </row>
    <row r="972" spans="1:13" x14ac:dyDescent="0.25">
      <c r="A972" s="86"/>
      <c r="B972" s="344"/>
      <c r="C972" s="2">
        <v>1.45</v>
      </c>
      <c r="D972" s="2">
        <f t="shared" si="74"/>
        <v>0.5</v>
      </c>
      <c r="E972" s="2">
        <v>0.4</v>
      </c>
      <c r="F972" s="2" t="s">
        <v>359</v>
      </c>
      <c r="G972" s="2">
        <f t="shared" si="75"/>
        <v>0.32499999999999996</v>
      </c>
      <c r="M972" s="87"/>
    </row>
    <row r="973" spans="1:13" x14ac:dyDescent="0.25">
      <c r="A973" s="86"/>
      <c r="B973" s="344"/>
      <c r="C973" s="2">
        <v>21.4</v>
      </c>
      <c r="D973" s="2">
        <f t="shared" si="74"/>
        <v>0.5</v>
      </c>
      <c r="E973" s="2">
        <v>0.75</v>
      </c>
      <c r="F973" s="2" t="s">
        <v>377</v>
      </c>
      <c r="G973" s="2">
        <f t="shared" si="75"/>
        <v>9.9499999999999993</v>
      </c>
      <c r="M973" s="87"/>
    </row>
    <row r="974" spans="1:13" ht="15.75" x14ac:dyDescent="0.25">
      <c r="A974" s="86"/>
      <c r="B974" s="345" t="s">
        <v>0</v>
      </c>
      <c r="C974" s="346"/>
      <c r="D974" s="346"/>
      <c r="E974" s="346"/>
      <c r="F974" s="347"/>
      <c r="G974" s="4">
        <f>TRUNC(SUM(G875:G973),2)</f>
        <v>175.28</v>
      </c>
      <c r="M974" s="87"/>
    </row>
    <row r="975" spans="1:13" x14ac:dyDescent="0.25">
      <c r="A975" s="86"/>
      <c r="M975" s="87"/>
    </row>
    <row r="976" spans="1:13" ht="15.75" x14ac:dyDescent="0.25">
      <c r="A976" s="86"/>
      <c r="B976" s="4" t="s">
        <v>320</v>
      </c>
      <c r="C976" s="4" t="s">
        <v>163</v>
      </c>
      <c r="D976" s="4" t="s">
        <v>150</v>
      </c>
      <c r="E976" s="149" t="s">
        <v>356</v>
      </c>
      <c r="F976" s="149" t="s">
        <v>357</v>
      </c>
      <c r="G976" s="149" t="s">
        <v>358</v>
      </c>
      <c r="M976" s="87"/>
    </row>
    <row r="977" spans="1:13" x14ac:dyDescent="0.25">
      <c r="A977" s="86"/>
      <c r="B977" s="342" t="s">
        <v>393</v>
      </c>
      <c r="C977" s="2">
        <v>1.6</v>
      </c>
      <c r="D977" s="2">
        <v>0.5</v>
      </c>
      <c r="E977" s="2">
        <f>0.8*0.5</f>
        <v>0.4</v>
      </c>
      <c r="F977" s="2" t="s">
        <v>359</v>
      </c>
      <c r="G977" s="2">
        <f>D977*C977-E977</f>
        <v>0.4</v>
      </c>
      <c r="M977" s="87"/>
    </row>
    <row r="978" spans="1:13" x14ac:dyDescent="0.25">
      <c r="A978" s="86"/>
      <c r="B978" s="344"/>
      <c r="C978" s="2">
        <v>3.3</v>
      </c>
      <c r="D978" s="2">
        <v>0.5</v>
      </c>
      <c r="E978" s="2"/>
      <c r="F978" s="2"/>
      <c r="G978" s="2">
        <f t="shared" ref="G978:G997" si="76">D978*C978-E978</f>
        <v>1.65</v>
      </c>
      <c r="M978" s="87"/>
    </row>
    <row r="979" spans="1:13" x14ac:dyDescent="0.25">
      <c r="A979" s="86"/>
      <c r="B979" s="344"/>
      <c r="C979" s="2">
        <v>10.5</v>
      </c>
      <c r="D979" s="2">
        <v>0.5</v>
      </c>
      <c r="E979" s="2">
        <f>4*0.5</f>
        <v>2</v>
      </c>
      <c r="F979" s="2" t="s">
        <v>376</v>
      </c>
      <c r="G979" s="2">
        <f t="shared" si="76"/>
        <v>3.25</v>
      </c>
      <c r="M979" s="87"/>
    </row>
    <row r="980" spans="1:13" x14ac:dyDescent="0.25">
      <c r="A980" s="86"/>
      <c r="B980" s="344"/>
      <c r="C980" s="2">
        <v>3.3</v>
      </c>
      <c r="D980" s="2">
        <v>0.5</v>
      </c>
      <c r="E980" s="2"/>
      <c r="F980" s="2"/>
      <c r="G980" s="2">
        <f t="shared" si="76"/>
        <v>1.65</v>
      </c>
      <c r="M980" s="87"/>
    </row>
    <row r="981" spans="1:13" x14ac:dyDescent="0.25">
      <c r="A981" s="86"/>
      <c r="B981" s="344"/>
      <c r="C981" s="2">
        <v>1.46</v>
      </c>
      <c r="D981" s="2">
        <v>0.5</v>
      </c>
      <c r="E981" s="2">
        <f>0.8*0.5</f>
        <v>0.4</v>
      </c>
      <c r="F981" s="2" t="s">
        <v>359</v>
      </c>
      <c r="G981" s="2">
        <f t="shared" si="76"/>
        <v>0.32999999999999996</v>
      </c>
      <c r="M981" s="87"/>
    </row>
    <row r="982" spans="1:13" x14ac:dyDescent="0.25">
      <c r="A982" s="86"/>
      <c r="B982" s="344"/>
      <c r="C982" s="2">
        <v>21.7</v>
      </c>
      <c r="D982" s="2">
        <v>0.5</v>
      </c>
      <c r="E982" s="2"/>
      <c r="F982" s="2"/>
      <c r="G982" s="2">
        <f t="shared" si="76"/>
        <v>10.85</v>
      </c>
      <c r="M982" s="87"/>
    </row>
    <row r="983" spans="1:13" x14ac:dyDescent="0.25">
      <c r="A983" s="86"/>
      <c r="B983" s="344"/>
      <c r="C983" s="2">
        <v>1.61</v>
      </c>
      <c r="D983" s="2">
        <v>0.5</v>
      </c>
      <c r="E983" s="2">
        <f>0.8*0.5</f>
        <v>0.4</v>
      </c>
      <c r="F983" s="2" t="s">
        <v>359</v>
      </c>
      <c r="G983" s="2">
        <f t="shared" si="76"/>
        <v>0.40500000000000003</v>
      </c>
      <c r="M983" s="87"/>
    </row>
    <row r="984" spans="1:13" x14ac:dyDescent="0.25">
      <c r="A984" s="86"/>
      <c r="B984" s="344"/>
      <c r="C984" s="2">
        <v>13.8</v>
      </c>
      <c r="D984" s="2">
        <v>0.5</v>
      </c>
      <c r="E984" s="2"/>
      <c r="F984" s="2"/>
      <c r="G984" s="2">
        <f t="shared" si="76"/>
        <v>6.9</v>
      </c>
      <c r="M984" s="87"/>
    </row>
    <row r="985" spans="1:13" x14ac:dyDescent="0.25">
      <c r="A985" s="86"/>
      <c r="B985" s="344"/>
      <c r="C985" s="2">
        <v>1.6</v>
      </c>
      <c r="D985" s="2">
        <v>0.5</v>
      </c>
      <c r="E985" s="2">
        <f>0.8*0.5</f>
        <v>0.4</v>
      </c>
      <c r="F985" s="2" t="s">
        <v>359</v>
      </c>
      <c r="G985" s="2">
        <f t="shared" si="76"/>
        <v>0.4</v>
      </c>
      <c r="M985" s="87"/>
    </row>
    <row r="986" spans="1:13" x14ac:dyDescent="0.25">
      <c r="A986" s="86"/>
      <c r="B986" s="344"/>
      <c r="C986" s="2">
        <v>21.55</v>
      </c>
      <c r="D986" s="2">
        <v>0.5</v>
      </c>
      <c r="E986" s="2"/>
      <c r="F986" s="2"/>
      <c r="G986" s="2">
        <f t="shared" si="76"/>
        <v>10.775</v>
      </c>
      <c r="M986" s="87"/>
    </row>
    <row r="987" spans="1:13" x14ac:dyDescent="0.25">
      <c r="A987" s="86"/>
      <c r="B987" s="344"/>
      <c r="C987" s="2">
        <v>3.45</v>
      </c>
      <c r="D987" s="2">
        <v>0.5</v>
      </c>
      <c r="E987" s="2"/>
      <c r="F987" s="2"/>
      <c r="G987" s="2">
        <f t="shared" si="76"/>
        <v>1.7250000000000001</v>
      </c>
      <c r="M987" s="87"/>
    </row>
    <row r="988" spans="1:13" x14ac:dyDescent="0.25">
      <c r="A988" s="86"/>
      <c r="B988" s="344"/>
      <c r="C988" s="2">
        <v>3.15</v>
      </c>
      <c r="D988" s="2">
        <v>0.5</v>
      </c>
      <c r="E988" s="2"/>
      <c r="F988" s="2"/>
      <c r="G988" s="2">
        <f t="shared" si="76"/>
        <v>1.575</v>
      </c>
      <c r="M988" s="87"/>
    </row>
    <row r="989" spans="1:13" x14ac:dyDescent="0.25">
      <c r="A989" s="86"/>
      <c r="B989" s="344"/>
      <c r="C989" s="2">
        <v>3.3</v>
      </c>
      <c r="D989" s="2">
        <v>0.5</v>
      </c>
      <c r="E989" s="2"/>
      <c r="F989" s="2"/>
      <c r="G989" s="2">
        <f t="shared" si="76"/>
        <v>1.65</v>
      </c>
      <c r="M989" s="87"/>
    </row>
    <row r="990" spans="1:13" x14ac:dyDescent="0.25">
      <c r="A990" s="86"/>
      <c r="B990" s="344"/>
      <c r="C990" s="2">
        <v>3</v>
      </c>
      <c r="D990" s="2">
        <v>0.5</v>
      </c>
      <c r="E990" s="2"/>
      <c r="F990" s="2"/>
      <c r="G990" s="2">
        <f t="shared" si="76"/>
        <v>1.5</v>
      </c>
      <c r="M990" s="87"/>
    </row>
    <row r="991" spans="1:13" x14ac:dyDescent="0.25">
      <c r="A991" s="86"/>
      <c r="B991" s="344"/>
      <c r="C991" s="2">
        <v>3.15</v>
      </c>
      <c r="D991" s="2">
        <v>0.5</v>
      </c>
      <c r="E991" s="2"/>
      <c r="F991" s="2"/>
      <c r="G991" s="2">
        <f t="shared" si="76"/>
        <v>1.575</v>
      </c>
      <c r="M991" s="87"/>
    </row>
    <row r="992" spans="1:13" x14ac:dyDescent="0.25">
      <c r="A992" s="86"/>
      <c r="B992" s="344"/>
      <c r="C992" s="2">
        <v>3</v>
      </c>
      <c r="D992" s="2">
        <v>0.5</v>
      </c>
      <c r="E992" s="2"/>
      <c r="F992" s="2"/>
      <c r="G992" s="2">
        <f t="shared" si="76"/>
        <v>1.5</v>
      </c>
      <c r="M992" s="87"/>
    </row>
    <row r="993" spans="1:14" x14ac:dyDescent="0.25">
      <c r="A993" s="86"/>
      <c r="B993" s="344"/>
      <c r="C993" s="2">
        <v>3.15</v>
      </c>
      <c r="D993" s="2">
        <v>0.5</v>
      </c>
      <c r="E993" s="2"/>
      <c r="F993" s="2"/>
      <c r="G993" s="2">
        <f t="shared" si="76"/>
        <v>1.575</v>
      </c>
      <c r="M993" s="87"/>
    </row>
    <row r="994" spans="1:14" x14ac:dyDescent="0.25">
      <c r="A994" s="86"/>
      <c r="B994" s="344"/>
      <c r="C994" s="2">
        <v>10.35</v>
      </c>
      <c r="D994" s="2">
        <v>0.5</v>
      </c>
      <c r="E994" s="2"/>
      <c r="F994" s="2"/>
      <c r="G994" s="2">
        <f t="shared" si="76"/>
        <v>5.1749999999999998</v>
      </c>
      <c r="M994" s="87"/>
    </row>
    <row r="995" spans="1:14" x14ac:dyDescent="0.25">
      <c r="A995" s="86"/>
      <c r="B995" s="344"/>
      <c r="C995" s="2">
        <v>24.7</v>
      </c>
      <c r="D995" s="2">
        <v>0.5</v>
      </c>
      <c r="E995" s="2"/>
      <c r="F995" s="2"/>
      <c r="G995" s="2">
        <f t="shared" si="76"/>
        <v>12.35</v>
      </c>
      <c r="M995" s="87"/>
    </row>
    <row r="996" spans="1:14" x14ac:dyDescent="0.25">
      <c r="A996" s="86"/>
      <c r="B996" s="344"/>
      <c r="C996" s="2">
        <v>13.5</v>
      </c>
      <c r="D996" s="2">
        <v>0.5</v>
      </c>
      <c r="E996" s="2"/>
      <c r="F996" s="2"/>
      <c r="G996" s="2">
        <f t="shared" si="76"/>
        <v>6.75</v>
      </c>
      <c r="M996" s="87"/>
    </row>
    <row r="997" spans="1:14" x14ac:dyDescent="0.25">
      <c r="A997" s="86"/>
      <c r="B997" s="344"/>
      <c r="C997" s="2">
        <v>21.4</v>
      </c>
      <c r="D997" s="2">
        <v>0.5</v>
      </c>
      <c r="E997" s="2"/>
      <c r="F997" s="2"/>
      <c r="G997" s="2">
        <f t="shared" si="76"/>
        <v>10.7</v>
      </c>
      <c r="M997" s="87"/>
    </row>
    <row r="998" spans="1:14" ht="15.75" x14ac:dyDescent="0.25">
      <c r="A998" s="86"/>
      <c r="B998" s="345" t="s">
        <v>0</v>
      </c>
      <c r="C998" s="346"/>
      <c r="D998" s="346"/>
      <c r="E998" s="346"/>
      <c r="F998" s="347"/>
      <c r="G998" s="4">
        <f>TRUNC(SUM(G977:G997),2)</f>
        <v>82.68</v>
      </c>
      <c r="M998" s="87"/>
    </row>
    <row r="999" spans="1:14" x14ac:dyDescent="0.25">
      <c r="A999" s="86"/>
      <c r="M999" s="87"/>
    </row>
    <row r="1000" spans="1:14" x14ac:dyDescent="0.25">
      <c r="A1000" s="107" t="s">
        <v>403</v>
      </c>
      <c r="B1000" s="47" t="str">
        <f>VLOOKUP('IV-MEMORIAL'!A1000,'II-PO'!$A$19:$M$295,5,0)</f>
        <v>IMPERMEABILIZAÇÃO DE SUPERFÍCIE COM EMULSÃO ASFÁLTICA, 2 DEMÃOS. AF_09/2023</v>
      </c>
      <c r="C1000" s="47"/>
      <c r="D1000" s="47"/>
      <c r="E1000" s="48"/>
      <c r="F1000" s="48"/>
      <c r="G1000" s="48"/>
      <c r="H1000" s="48"/>
      <c r="I1000" s="48"/>
      <c r="J1000" s="48"/>
      <c r="K1000" s="48"/>
      <c r="L1000" s="48"/>
      <c r="M1000" s="108"/>
      <c r="N1000" s="3">
        <f>C1002</f>
        <v>280.90000000000003</v>
      </c>
    </row>
    <row r="1001" spans="1:14" x14ac:dyDescent="0.25">
      <c r="A1001" s="86"/>
      <c r="M1001" s="87"/>
    </row>
    <row r="1002" spans="1:14" ht="15.75" x14ac:dyDescent="0.25">
      <c r="A1002" s="86"/>
      <c r="B1002" s="46" t="s">
        <v>109</v>
      </c>
      <c r="C1002" s="46">
        <f>G998+G974+C871</f>
        <v>280.90000000000003</v>
      </c>
      <c r="D1002" s="46" t="s">
        <v>167</v>
      </c>
      <c r="M1002" s="87"/>
    </row>
    <row r="1003" spans="1:14" x14ac:dyDescent="0.25">
      <c r="A1003" s="86"/>
      <c r="M1003" s="87"/>
    </row>
    <row r="1004" spans="1:14" ht="15.75" x14ac:dyDescent="0.25">
      <c r="A1004" s="105">
        <v>9</v>
      </c>
      <c r="B1004" s="43" t="s">
        <v>273</v>
      </c>
      <c r="C1004" s="44"/>
      <c r="D1004" s="44"/>
      <c r="E1004" s="45"/>
      <c r="F1004" s="45"/>
      <c r="G1004" s="45"/>
      <c r="H1004" s="45"/>
      <c r="I1004" s="45"/>
      <c r="J1004" s="45"/>
      <c r="K1004" s="45"/>
      <c r="L1004" s="45"/>
      <c r="M1004" s="106"/>
    </row>
    <row r="1005" spans="1:14" x14ac:dyDescent="0.25">
      <c r="A1005" s="86"/>
      <c r="M1005" s="87"/>
    </row>
    <row r="1006" spans="1:14" ht="15.75" x14ac:dyDescent="0.25">
      <c r="A1006" s="151" t="s">
        <v>404</v>
      </c>
      <c r="B1006" s="152" t="s">
        <v>405</v>
      </c>
      <c r="C1006" s="153"/>
      <c r="D1006" s="153"/>
      <c r="E1006" s="154"/>
      <c r="F1006" s="154"/>
      <c r="G1006" s="154"/>
      <c r="H1006" s="154"/>
      <c r="I1006" s="154"/>
      <c r="J1006" s="154"/>
      <c r="K1006" s="154"/>
      <c r="L1006" s="154"/>
      <c r="M1006" s="155"/>
    </row>
    <row r="1007" spans="1:14" x14ac:dyDescent="0.25">
      <c r="A1007" s="86"/>
      <c r="M1007" s="87"/>
    </row>
    <row r="1008" spans="1:14" ht="30" x14ac:dyDescent="0.25">
      <c r="A1008" s="107" t="s">
        <v>410</v>
      </c>
      <c r="B1008" s="47" t="str">
        <f>VLOOKUP('IV-MEMORIAL'!A1008,'II-PO'!$A$19:$M$295,5,0)</f>
        <v>JANELA DE AÇO DE CORRER COM 4 FOLHAS PARA VIDRO (VIDROS NÃO INCLUSOS), BATENTE/ REQUADRO INCLUSO (6 A 14 CM), FIXAÇÃO COM ARGAMASSA, COM PINTURA ANTICORROSIVA, COM FERRAGENS, FIXAÇÃO COM ARGAMASSA, EXCLUSIVE CONTRAMARCO - FORNECIMENTO E INSTALAÇÃO. AF_11/2024</v>
      </c>
      <c r="C1008" s="47"/>
      <c r="D1008" s="47"/>
      <c r="E1008" s="48"/>
      <c r="F1008" s="48"/>
      <c r="G1008" s="48"/>
      <c r="H1008" s="48"/>
      <c r="I1008" s="48"/>
      <c r="J1008" s="48"/>
      <c r="K1008" s="48"/>
      <c r="L1008" s="48"/>
      <c r="M1008" s="108"/>
      <c r="N1008" s="3">
        <f>C1015</f>
        <v>20.25</v>
      </c>
    </row>
    <row r="1009" spans="1:14" x14ac:dyDescent="0.25">
      <c r="A1009" s="86"/>
      <c r="M1009" s="87"/>
    </row>
    <row r="1010" spans="1:14" ht="15.75" x14ac:dyDescent="0.25">
      <c r="A1010" s="86"/>
      <c r="B1010" s="4" t="s">
        <v>406</v>
      </c>
      <c r="C1010" s="4" t="s">
        <v>151</v>
      </c>
      <c r="D1010" s="4" t="s">
        <v>150</v>
      </c>
      <c r="E1010" s="4" t="s">
        <v>109</v>
      </c>
      <c r="F1010" s="149" t="s">
        <v>321</v>
      </c>
      <c r="M1010" s="87"/>
    </row>
    <row r="1011" spans="1:14" x14ac:dyDescent="0.25">
      <c r="A1011" s="86"/>
      <c r="B1011" s="2" t="s">
        <v>362</v>
      </c>
      <c r="C1011" s="2">
        <v>1.2</v>
      </c>
      <c r="D1011" s="2">
        <v>1</v>
      </c>
      <c r="E1011" s="2">
        <v>12</v>
      </c>
      <c r="F1011" s="2">
        <f>TRUNC(C1011*D1011*E1011,2)</f>
        <v>14.4</v>
      </c>
      <c r="M1011" s="87"/>
    </row>
    <row r="1012" spans="1:14" x14ac:dyDescent="0.25">
      <c r="A1012" s="86"/>
      <c r="B1012" s="158" t="s">
        <v>367</v>
      </c>
      <c r="C1012" s="158">
        <v>3</v>
      </c>
      <c r="D1012" s="158">
        <v>1.95</v>
      </c>
      <c r="E1012" s="158">
        <v>1</v>
      </c>
      <c r="F1012" s="2">
        <f>TRUNC(C1012*D1012*E1012,2)</f>
        <v>5.85</v>
      </c>
      <c r="M1012" s="87"/>
    </row>
    <row r="1013" spans="1:14" x14ac:dyDescent="0.25">
      <c r="A1013" s="86"/>
      <c r="B1013" s="341" t="s">
        <v>0</v>
      </c>
      <c r="C1013" s="341"/>
      <c r="D1013" s="341"/>
      <c r="E1013" s="341"/>
      <c r="F1013" s="2">
        <f>SUM(F1011:F1012)</f>
        <v>20.25</v>
      </c>
      <c r="M1013" s="87"/>
    </row>
    <row r="1014" spans="1:14" x14ac:dyDescent="0.25">
      <c r="A1014" s="86"/>
      <c r="M1014" s="87"/>
    </row>
    <row r="1015" spans="1:14" ht="15.75" x14ac:dyDescent="0.25">
      <c r="A1015" s="86"/>
      <c r="B1015" s="46" t="s">
        <v>109</v>
      </c>
      <c r="C1015" s="46">
        <f>F1013</f>
        <v>20.25</v>
      </c>
      <c r="D1015" s="46" t="s">
        <v>167</v>
      </c>
      <c r="M1015" s="87"/>
    </row>
    <row r="1016" spans="1:14" x14ac:dyDescent="0.25">
      <c r="A1016" s="86"/>
      <c r="M1016" s="87"/>
    </row>
    <row r="1017" spans="1:14" ht="30" x14ac:dyDescent="0.25">
      <c r="A1017" s="107" t="s">
        <v>411</v>
      </c>
      <c r="B1017" s="47" t="str">
        <f>VLOOKUP('IV-MEMORIAL'!A1017,'II-PO'!$A$19:$M$295,5,0)</f>
        <v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v>
      </c>
      <c r="C1017" s="47"/>
      <c r="D1017" s="47"/>
      <c r="E1017" s="48"/>
      <c r="F1017" s="48"/>
      <c r="G1017" s="48"/>
      <c r="H1017" s="48"/>
      <c r="I1017" s="48"/>
      <c r="J1017" s="48"/>
      <c r="K1017" s="48"/>
      <c r="L1017" s="48"/>
      <c r="M1017" s="108"/>
      <c r="N1017" s="3">
        <f>C1023</f>
        <v>0.72</v>
      </c>
    </row>
    <row r="1018" spans="1:14" x14ac:dyDescent="0.25">
      <c r="A1018" s="86"/>
      <c r="M1018" s="87"/>
    </row>
    <row r="1019" spans="1:14" ht="15.75" x14ac:dyDescent="0.25">
      <c r="A1019" s="86"/>
      <c r="B1019" s="4" t="s">
        <v>406</v>
      </c>
      <c r="C1019" s="4" t="s">
        <v>151</v>
      </c>
      <c r="D1019" s="4" t="s">
        <v>150</v>
      </c>
      <c r="E1019" s="4" t="s">
        <v>109</v>
      </c>
      <c r="F1019" s="149" t="s">
        <v>321</v>
      </c>
      <c r="M1019" s="87"/>
    </row>
    <row r="1020" spans="1:14" x14ac:dyDescent="0.25">
      <c r="A1020" s="86"/>
      <c r="B1020" s="2" t="s">
        <v>370</v>
      </c>
      <c r="C1020" s="2">
        <v>0.6</v>
      </c>
      <c r="D1020" s="2">
        <v>0.4</v>
      </c>
      <c r="E1020" s="2">
        <v>3</v>
      </c>
      <c r="F1020" s="2">
        <f>TRUNC(C1020*D1020*E1020,2)</f>
        <v>0.72</v>
      </c>
      <c r="M1020" s="87"/>
    </row>
    <row r="1021" spans="1:14" x14ac:dyDescent="0.25">
      <c r="A1021" s="86"/>
      <c r="B1021" s="341" t="s">
        <v>0</v>
      </c>
      <c r="C1021" s="341"/>
      <c r="D1021" s="341"/>
      <c r="E1021" s="341"/>
      <c r="F1021" s="2">
        <f>SUM(F1020:F1020)</f>
        <v>0.72</v>
      </c>
      <c r="M1021" s="87"/>
    </row>
    <row r="1022" spans="1:14" x14ac:dyDescent="0.25">
      <c r="A1022" s="86"/>
      <c r="M1022" s="87"/>
    </row>
    <row r="1023" spans="1:14" ht="15.75" x14ac:dyDescent="0.25">
      <c r="A1023" s="86"/>
      <c r="B1023" s="46" t="s">
        <v>109</v>
      </c>
      <c r="C1023" s="46">
        <f>F1021</f>
        <v>0.72</v>
      </c>
      <c r="D1023" s="46" t="s">
        <v>167</v>
      </c>
      <c r="M1023" s="87"/>
    </row>
    <row r="1024" spans="1:14" x14ac:dyDescent="0.25">
      <c r="A1024" s="86"/>
      <c r="M1024" s="87"/>
    </row>
    <row r="1025" spans="1:14" x14ac:dyDescent="0.25">
      <c r="A1025" s="107" t="s">
        <v>412</v>
      </c>
      <c r="B1025" s="47" t="str">
        <f>VLOOKUP('IV-MEMORIAL'!A1025,'II-PO'!$A$19:$M$295,5,0)</f>
        <v>INSTALAÇÃO DE VIDRO TEMPERADO, E = 10 MM, ENCAIXADO EM PERFIL U. AF_01/2021_PS</v>
      </c>
      <c r="C1025" s="47"/>
      <c r="D1025" s="47"/>
      <c r="E1025" s="48"/>
      <c r="F1025" s="48"/>
      <c r="G1025" s="48"/>
      <c r="H1025" s="48"/>
      <c r="I1025" s="48"/>
      <c r="J1025" s="48"/>
      <c r="K1025" s="48"/>
      <c r="L1025" s="48"/>
      <c r="M1025" s="108"/>
      <c r="N1025" s="3">
        <f>C1033</f>
        <v>20.97</v>
      </c>
    </row>
    <row r="1026" spans="1:14" x14ac:dyDescent="0.25">
      <c r="A1026" s="86"/>
      <c r="M1026" s="87"/>
    </row>
    <row r="1027" spans="1:14" ht="15.75" x14ac:dyDescent="0.25">
      <c r="A1027" s="86"/>
      <c r="B1027" s="4" t="s">
        <v>406</v>
      </c>
      <c r="C1027" s="4" t="s">
        <v>151</v>
      </c>
      <c r="D1027" s="4" t="s">
        <v>150</v>
      </c>
      <c r="E1027" s="4" t="s">
        <v>109</v>
      </c>
      <c r="F1027" s="149" t="s">
        <v>321</v>
      </c>
      <c r="M1027" s="87"/>
    </row>
    <row r="1028" spans="1:14" x14ac:dyDescent="0.25">
      <c r="A1028" s="86"/>
      <c r="B1028" s="2" t="s">
        <v>362</v>
      </c>
      <c r="C1028" s="2">
        <v>1.2</v>
      </c>
      <c r="D1028" s="2">
        <v>1</v>
      </c>
      <c r="E1028" s="2">
        <v>12</v>
      </c>
      <c r="F1028" s="2">
        <f t="shared" ref="F1028:F1030" si="77">TRUNC(C1028*D1028*E1028,2)</f>
        <v>14.4</v>
      </c>
      <c r="M1028" s="87"/>
    </row>
    <row r="1029" spans="1:14" x14ac:dyDescent="0.25">
      <c r="A1029" s="86"/>
      <c r="B1029" s="2" t="s">
        <v>367</v>
      </c>
      <c r="C1029" s="2">
        <v>3</v>
      </c>
      <c r="D1029" s="2">
        <v>1.95</v>
      </c>
      <c r="E1029" s="158">
        <v>1</v>
      </c>
      <c r="F1029" s="2">
        <f t="shared" si="77"/>
        <v>5.85</v>
      </c>
      <c r="M1029" s="87"/>
    </row>
    <row r="1030" spans="1:14" x14ac:dyDescent="0.25">
      <c r="A1030" s="86"/>
      <c r="B1030" s="158" t="s">
        <v>370</v>
      </c>
      <c r="C1030" s="158">
        <v>0.6</v>
      </c>
      <c r="D1030" s="158">
        <v>0.4</v>
      </c>
      <c r="E1030" s="2">
        <v>3</v>
      </c>
      <c r="F1030" s="2">
        <f t="shared" si="77"/>
        <v>0.72</v>
      </c>
      <c r="M1030" s="87"/>
    </row>
    <row r="1031" spans="1:14" x14ac:dyDescent="0.25">
      <c r="A1031" s="86"/>
      <c r="B1031" s="341" t="s">
        <v>0</v>
      </c>
      <c r="C1031" s="341"/>
      <c r="D1031" s="341"/>
      <c r="E1031" s="341"/>
      <c r="F1031" s="2">
        <f>SUM(F1028:F1030)</f>
        <v>20.97</v>
      </c>
      <c r="M1031" s="87"/>
    </row>
    <row r="1032" spans="1:14" x14ac:dyDescent="0.25">
      <c r="A1032" s="86"/>
      <c r="M1032" s="87"/>
    </row>
    <row r="1033" spans="1:14" ht="15.75" x14ac:dyDescent="0.25">
      <c r="A1033" s="86"/>
      <c r="B1033" s="46" t="s">
        <v>109</v>
      </c>
      <c r="C1033" s="46">
        <f>F1031</f>
        <v>20.97</v>
      </c>
      <c r="D1033" s="46" t="s">
        <v>167</v>
      </c>
      <c r="M1033" s="87"/>
    </row>
    <row r="1034" spans="1:14" x14ac:dyDescent="0.25">
      <c r="A1034" s="86"/>
      <c r="M1034" s="87"/>
    </row>
    <row r="1035" spans="1:14" ht="15.75" x14ac:dyDescent="0.25">
      <c r="A1035" s="151" t="s">
        <v>407</v>
      </c>
      <c r="B1035" s="152" t="s">
        <v>408</v>
      </c>
      <c r="C1035" s="153"/>
      <c r="D1035" s="153"/>
      <c r="E1035" s="154"/>
      <c r="F1035" s="154"/>
      <c r="G1035" s="154"/>
      <c r="H1035" s="154"/>
      <c r="I1035" s="154"/>
      <c r="J1035" s="154"/>
      <c r="K1035" s="154"/>
      <c r="L1035" s="154"/>
      <c r="M1035" s="155"/>
    </row>
    <row r="1036" spans="1:14" x14ac:dyDescent="0.25">
      <c r="A1036" s="86"/>
      <c r="M1036" s="87"/>
    </row>
    <row r="1037" spans="1:14" x14ac:dyDescent="0.25">
      <c r="A1037" s="107" t="s">
        <v>413</v>
      </c>
      <c r="B1037" s="47" t="str">
        <f>VLOOKUP('IV-MEMORIAL'!A1037,'II-PO'!$A$19:$M$295,5,0)</f>
        <v>KIT DE PORTA DE MADEIRA PARA PINTURA, SEMI-OCA (LEVE OU MÉDIA), PADRÃO MÉDIO, 90X210CM, ESPESSURA DE 3,5CM, ITENS INCLUSOS: DOBRADIÇAS, MONTAGEM E INSTALAÇÃO DO BATENTE, FECHADURA COM EXECUÇÃO DO FURO - FORNECIMENTO E INSTALAÇÃO. AF_12/2019</v>
      </c>
      <c r="C1037" s="47"/>
      <c r="D1037" s="47"/>
      <c r="E1037" s="48"/>
      <c r="F1037" s="48"/>
      <c r="G1037" s="48"/>
      <c r="H1037" s="48"/>
      <c r="I1037" s="48"/>
      <c r="J1037" s="48"/>
      <c r="K1037" s="48"/>
      <c r="L1037" s="48"/>
      <c r="M1037" s="108"/>
      <c r="N1037" s="3">
        <f>C1043</f>
        <v>12</v>
      </c>
    </row>
    <row r="1038" spans="1:14" x14ac:dyDescent="0.25">
      <c r="A1038" s="86"/>
      <c r="M1038" s="87"/>
    </row>
    <row r="1039" spans="1:14" ht="15.75" x14ac:dyDescent="0.25">
      <c r="A1039" s="86"/>
      <c r="B1039" s="4" t="s">
        <v>409</v>
      </c>
      <c r="C1039" s="4" t="s">
        <v>109</v>
      </c>
      <c r="M1039" s="87"/>
    </row>
    <row r="1040" spans="1:14" x14ac:dyDescent="0.25">
      <c r="A1040" s="86"/>
      <c r="B1040" s="2" t="s">
        <v>360</v>
      </c>
      <c r="C1040" s="2">
        <v>12</v>
      </c>
      <c r="M1040" s="87"/>
    </row>
    <row r="1041" spans="1:14" x14ac:dyDescent="0.25">
      <c r="A1041" s="86"/>
      <c r="B1041" s="159" t="s">
        <v>0</v>
      </c>
      <c r="C1041" s="2">
        <f>SUM(C1040:C1040)</f>
        <v>12</v>
      </c>
      <c r="M1041" s="87"/>
    </row>
    <row r="1042" spans="1:14" x14ac:dyDescent="0.25">
      <c r="A1042" s="86"/>
      <c r="M1042" s="87"/>
    </row>
    <row r="1043" spans="1:14" ht="15.75" x14ac:dyDescent="0.25">
      <c r="A1043" s="86"/>
      <c r="B1043" s="46" t="s">
        <v>109</v>
      </c>
      <c r="C1043" s="46">
        <f>C1041</f>
        <v>12</v>
      </c>
      <c r="D1043" s="46" t="s">
        <v>110</v>
      </c>
      <c r="M1043" s="87"/>
    </row>
    <row r="1044" spans="1:14" x14ac:dyDescent="0.25">
      <c r="A1044" s="86"/>
      <c r="M1044" s="87"/>
    </row>
    <row r="1045" spans="1:14" x14ac:dyDescent="0.25">
      <c r="A1045" s="107" t="s">
        <v>414</v>
      </c>
      <c r="B1045" s="47" t="str">
        <f>VLOOKUP('IV-MEMORIAL'!A1045,'II-PO'!$A$19:$M$295,5,0)</f>
        <v>KIT DE PORTA DE MADEIRA PARA PINTURA, SEMI-OCA (LEVE OU MÉDIA), PADRÃO MÉDIO, 80X210CM, ESPESSURA DE 3,5CM, ITENS INCLUSOS: DOBRADIÇAS, MONTAGEM E INSTALAÇÃO DO BATENTE, FECHADURA COM EXECUÇÃO DO FURO - FORNECIMENTO E INSTALAÇÃO. AF_12/2019</v>
      </c>
      <c r="C1045" s="47"/>
      <c r="D1045" s="47"/>
      <c r="E1045" s="48"/>
      <c r="F1045" s="48"/>
      <c r="G1045" s="48"/>
      <c r="H1045" s="48"/>
      <c r="I1045" s="48"/>
      <c r="J1045" s="48"/>
      <c r="K1045" s="48"/>
      <c r="L1045" s="48"/>
      <c r="M1045" s="108"/>
      <c r="N1045" s="3">
        <f>C1051</f>
        <v>3</v>
      </c>
    </row>
    <row r="1046" spans="1:14" x14ac:dyDescent="0.25">
      <c r="A1046" s="86"/>
      <c r="M1046" s="87"/>
    </row>
    <row r="1047" spans="1:14" ht="15.75" x14ac:dyDescent="0.25">
      <c r="A1047" s="86"/>
      <c r="B1047" s="4" t="s">
        <v>409</v>
      </c>
      <c r="C1047" s="4" t="s">
        <v>109</v>
      </c>
      <c r="M1047" s="87"/>
    </row>
    <row r="1048" spans="1:14" x14ac:dyDescent="0.25">
      <c r="A1048" s="86"/>
      <c r="B1048" s="2" t="s">
        <v>368</v>
      </c>
      <c r="C1048" s="2">
        <v>3</v>
      </c>
      <c r="M1048" s="87"/>
    </row>
    <row r="1049" spans="1:14" x14ac:dyDescent="0.25">
      <c r="A1049" s="86"/>
      <c r="B1049" s="159" t="s">
        <v>0</v>
      </c>
      <c r="C1049" s="2">
        <f>SUM(C1048:C1048)</f>
        <v>3</v>
      </c>
      <c r="M1049" s="87"/>
    </row>
    <row r="1050" spans="1:14" x14ac:dyDescent="0.25">
      <c r="A1050" s="86"/>
      <c r="M1050" s="87"/>
    </row>
    <row r="1051" spans="1:14" ht="15.75" x14ac:dyDescent="0.25">
      <c r="A1051" s="86"/>
      <c r="B1051" s="46" t="s">
        <v>109</v>
      </c>
      <c r="C1051" s="46">
        <f>C1049</f>
        <v>3</v>
      </c>
      <c r="D1051" s="46" t="s">
        <v>110</v>
      </c>
      <c r="M1051" s="87"/>
    </row>
    <row r="1052" spans="1:14" x14ac:dyDescent="0.25">
      <c r="A1052" s="86"/>
      <c r="M1052" s="87"/>
    </row>
    <row r="1053" spans="1:14" x14ac:dyDescent="0.25">
      <c r="A1053" s="107" t="s">
        <v>415</v>
      </c>
      <c r="B1053" s="47" t="str">
        <f>VLOOKUP('IV-MEMORIAL'!A1053,'II-PO'!$A$19:$M$295,5,0)</f>
        <v>PORTA DE CORRER DE 04 FOLHAS EM VIDRO (DUAS FIXAS E DUAS MÓVEIS) PF-6 C/ FERRAGENS</v>
      </c>
      <c r="C1053" s="47"/>
      <c r="D1053" s="47"/>
      <c r="E1053" s="48"/>
      <c r="F1053" s="48"/>
      <c r="G1053" s="48"/>
      <c r="H1053" s="48"/>
      <c r="I1053" s="48"/>
      <c r="J1053" s="48"/>
      <c r="K1053" s="48"/>
      <c r="L1053" s="48"/>
      <c r="M1053" s="108"/>
      <c r="N1053" s="3">
        <f>C1060</f>
        <v>13.54</v>
      </c>
    </row>
    <row r="1054" spans="1:14" x14ac:dyDescent="0.25">
      <c r="A1054" s="86"/>
      <c r="M1054" s="87"/>
    </row>
    <row r="1055" spans="1:14" ht="15.75" x14ac:dyDescent="0.25">
      <c r="A1055" s="86"/>
      <c r="B1055" s="4" t="s">
        <v>409</v>
      </c>
      <c r="C1055" s="4" t="s">
        <v>151</v>
      </c>
      <c r="D1055" s="4" t="s">
        <v>150</v>
      </c>
      <c r="E1055" s="4" t="s">
        <v>109</v>
      </c>
      <c r="F1055" s="149" t="s">
        <v>321</v>
      </c>
      <c r="M1055" s="87"/>
    </row>
    <row r="1056" spans="1:14" x14ac:dyDescent="0.25">
      <c r="A1056" s="86"/>
      <c r="B1056" s="2" t="s">
        <v>369</v>
      </c>
      <c r="C1056" s="2">
        <v>2.4500000000000002</v>
      </c>
      <c r="D1056" s="2">
        <v>2.1</v>
      </c>
      <c r="E1056" s="2">
        <v>1</v>
      </c>
      <c r="F1056" s="2">
        <f>TRUNC(C1056*D1056*E1056,2)</f>
        <v>5.14</v>
      </c>
      <c r="M1056" s="87"/>
    </row>
    <row r="1057" spans="1:14" x14ac:dyDescent="0.25">
      <c r="A1057" s="86"/>
      <c r="B1057" s="2" t="s">
        <v>376</v>
      </c>
      <c r="C1057" s="2">
        <v>4</v>
      </c>
      <c r="D1057" s="2">
        <v>2.1</v>
      </c>
      <c r="E1057" s="158">
        <v>1</v>
      </c>
      <c r="F1057" s="2">
        <f>TRUNC(C1057*D1057*E1057,2)</f>
        <v>8.4</v>
      </c>
      <c r="M1057" s="87"/>
    </row>
    <row r="1058" spans="1:14" x14ac:dyDescent="0.25">
      <c r="A1058" s="86"/>
      <c r="B1058" s="341" t="s">
        <v>0</v>
      </c>
      <c r="C1058" s="341"/>
      <c r="D1058" s="341"/>
      <c r="E1058" s="341"/>
      <c r="F1058" s="2">
        <f>SUM(F1056:F1057)</f>
        <v>13.54</v>
      </c>
      <c r="M1058" s="87"/>
    </row>
    <row r="1059" spans="1:14" x14ac:dyDescent="0.25">
      <c r="A1059" s="86"/>
      <c r="M1059" s="87"/>
    </row>
    <row r="1060" spans="1:14" ht="15.75" x14ac:dyDescent="0.25">
      <c r="A1060" s="86"/>
      <c r="B1060" s="46" t="s">
        <v>109</v>
      </c>
      <c r="C1060" s="46">
        <f>F1058</f>
        <v>13.54</v>
      </c>
      <c r="D1060" s="46" t="s">
        <v>167</v>
      </c>
      <c r="M1060" s="87"/>
    </row>
    <row r="1061" spans="1:14" x14ac:dyDescent="0.25">
      <c r="A1061" s="86"/>
      <c r="M1061" s="87"/>
    </row>
    <row r="1062" spans="1:14" x14ac:dyDescent="0.25">
      <c r="A1062" s="107" t="s">
        <v>416</v>
      </c>
      <c r="B1062" s="47" t="str">
        <f>VLOOKUP('IV-MEMORIAL'!A1062,'II-PO'!$A$19:$M$295,5,0)</f>
        <v>PORTA DE CORRER DE ALUMÍNIO, COM FOLHAS MÚLTIPLAS PARA VIDRO, INCLUSO VIDRO LISO INCOLOR, FECHADURA E PUXADOR, SEM ALIZAR. AF_12/2019 (REF.: SINAPI 100702)</v>
      </c>
      <c r="C1062" s="47"/>
      <c r="D1062" s="47"/>
      <c r="E1062" s="48"/>
      <c r="F1062" s="48"/>
      <c r="G1062" s="48"/>
      <c r="H1062" s="48"/>
      <c r="I1062" s="48"/>
      <c r="J1062" s="48"/>
      <c r="K1062" s="48"/>
      <c r="L1062" s="48"/>
      <c r="M1062" s="108"/>
      <c r="N1062" s="3">
        <f>C1068</f>
        <v>3.15</v>
      </c>
    </row>
    <row r="1063" spans="1:14" x14ac:dyDescent="0.25">
      <c r="A1063" s="86"/>
      <c r="M1063" s="87"/>
    </row>
    <row r="1064" spans="1:14" ht="15.75" x14ac:dyDescent="0.25">
      <c r="A1064" s="86"/>
      <c r="B1064" s="4" t="s">
        <v>409</v>
      </c>
      <c r="C1064" s="4" t="s">
        <v>151</v>
      </c>
      <c r="D1064" s="4" t="s">
        <v>150</v>
      </c>
      <c r="E1064" s="4" t="s">
        <v>109</v>
      </c>
      <c r="F1064" s="149" t="s">
        <v>321</v>
      </c>
      <c r="M1064" s="87"/>
    </row>
    <row r="1065" spans="1:14" x14ac:dyDescent="0.25">
      <c r="A1065" s="86"/>
      <c r="B1065" s="2" t="s">
        <v>377</v>
      </c>
      <c r="C1065" s="2">
        <v>1.5</v>
      </c>
      <c r="D1065" s="2">
        <v>2.1</v>
      </c>
      <c r="E1065" s="2">
        <v>1</v>
      </c>
      <c r="F1065" s="2">
        <f>TRUNC(C1065*D1065*E1065,2)</f>
        <v>3.15</v>
      </c>
      <c r="M1065" s="87"/>
    </row>
    <row r="1066" spans="1:14" x14ac:dyDescent="0.25">
      <c r="A1066" s="86"/>
      <c r="B1066" s="341" t="s">
        <v>0</v>
      </c>
      <c r="C1066" s="341"/>
      <c r="D1066" s="341"/>
      <c r="E1066" s="341"/>
      <c r="F1066" s="2">
        <f>SUM(F1065:F1065)</f>
        <v>3.15</v>
      </c>
      <c r="M1066" s="87"/>
    </row>
    <row r="1067" spans="1:14" x14ac:dyDescent="0.25">
      <c r="A1067" s="86"/>
      <c r="M1067" s="87"/>
    </row>
    <row r="1068" spans="1:14" ht="15.75" x14ac:dyDescent="0.25">
      <c r="A1068" s="86"/>
      <c r="B1068" s="46" t="s">
        <v>109</v>
      </c>
      <c r="C1068" s="46">
        <f>F1066</f>
        <v>3.15</v>
      </c>
      <c r="D1068" s="46" t="s">
        <v>167</v>
      </c>
      <c r="M1068" s="87"/>
    </row>
    <row r="1069" spans="1:14" x14ac:dyDescent="0.25">
      <c r="A1069" s="86"/>
      <c r="M1069" s="87"/>
    </row>
    <row r="1070" spans="1:14" x14ac:dyDescent="0.25">
      <c r="A1070" s="107" t="s">
        <v>417</v>
      </c>
      <c r="B1070" s="47" t="str">
        <f>VLOOKUP('IV-MEMORIAL'!A1070,'II-PO'!$A$19:$M$295,5,0)</f>
        <v>PORTÃO DE ABRIR 01 FOLHA CHAPA 14  PT-4 C/FERRAGENS</v>
      </c>
      <c r="C1070" s="47"/>
      <c r="D1070" s="47"/>
      <c r="E1070" s="48"/>
      <c r="F1070" s="48"/>
      <c r="G1070" s="48"/>
      <c r="H1070" s="48"/>
      <c r="I1070" s="48"/>
      <c r="J1070" s="48"/>
      <c r="K1070" s="48"/>
      <c r="L1070" s="48"/>
      <c r="M1070" s="108"/>
      <c r="N1070" s="3">
        <f>C1076</f>
        <v>6.72</v>
      </c>
    </row>
    <row r="1071" spans="1:14" x14ac:dyDescent="0.25">
      <c r="A1071" s="86"/>
      <c r="M1071" s="87"/>
    </row>
    <row r="1072" spans="1:14" ht="15.75" x14ac:dyDescent="0.25">
      <c r="A1072" s="86"/>
      <c r="B1072" s="4" t="s">
        <v>409</v>
      </c>
      <c r="C1072" s="4" t="s">
        <v>151</v>
      </c>
      <c r="D1072" s="4" t="s">
        <v>150</v>
      </c>
      <c r="E1072" s="4" t="s">
        <v>109</v>
      </c>
      <c r="F1072" s="149" t="s">
        <v>321</v>
      </c>
      <c r="M1072" s="87"/>
    </row>
    <row r="1073" spans="1:14" x14ac:dyDescent="0.25">
      <c r="A1073" s="86"/>
      <c r="B1073" s="2" t="s">
        <v>359</v>
      </c>
      <c r="C1073" s="2">
        <v>0.8</v>
      </c>
      <c r="D1073" s="2">
        <v>2.1</v>
      </c>
      <c r="E1073" s="2">
        <v>4</v>
      </c>
      <c r="F1073" s="2">
        <f>TRUNC(C1073*D1073*E1073,2)</f>
        <v>6.72</v>
      </c>
      <c r="M1073" s="87"/>
    </row>
    <row r="1074" spans="1:14" x14ac:dyDescent="0.25">
      <c r="A1074" s="86"/>
      <c r="B1074" s="341" t="s">
        <v>0</v>
      </c>
      <c r="C1074" s="341"/>
      <c r="D1074" s="341"/>
      <c r="E1074" s="341"/>
      <c r="F1074" s="2">
        <f>SUM(F1073:F1073)</f>
        <v>6.72</v>
      </c>
      <c r="M1074" s="87"/>
    </row>
    <row r="1075" spans="1:14" x14ac:dyDescent="0.25">
      <c r="A1075" s="86"/>
      <c r="M1075" s="87"/>
    </row>
    <row r="1076" spans="1:14" ht="15.75" x14ac:dyDescent="0.25">
      <c r="A1076" s="86"/>
      <c r="B1076" s="46" t="s">
        <v>109</v>
      </c>
      <c r="C1076" s="46">
        <f>F1074</f>
        <v>6.72</v>
      </c>
      <c r="D1076" s="46" t="s">
        <v>167</v>
      </c>
      <c r="M1076" s="87"/>
    </row>
    <row r="1077" spans="1:14" x14ac:dyDescent="0.25">
      <c r="A1077" s="86"/>
      <c r="M1077" s="87"/>
    </row>
    <row r="1078" spans="1:14" x14ac:dyDescent="0.25">
      <c r="A1078" s="107" t="s">
        <v>418</v>
      </c>
      <c r="B1078" s="47" t="str">
        <f>VLOOKUP('IV-MEMORIAL'!A1078,'II-PO'!$A$19:$M$295,5,0)</f>
        <v>PORTA MADEIRA 1A CORRER GUARNICAO 15CM/ALIZAR (REF.: SINAPI 84876)</v>
      </c>
      <c r="C1078" s="47"/>
      <c r="D1078" s="47"/>
      <c r="E1078" s="48"/>
      <c r="F1078" s="48"/>
      <c r="G1078" s="48"/>
      <c r="H1078" s="48"/>
      <c r="I1078" s="48"/>
      <c r="J1078" s="48"/>
      <c r="K1078" s="48"/>
      <c r="L1078" s="48"/>
      <c r="M1078" s="108"/>
      <c r="N1078" s="3">
        <f>C1084</f>
        <v>2.31</v>
      </c>
    </row>
    <row r="1079" spans="1:14" x14ac:dyDescent="0.25">
      <c r="A1079" s="86"/>
      <c r="M1079" s="87"/>
    </row>
    <row r="1080" spans="1:14" ht="15.75" x14ac:dyDescent="0.25">
      <c r="A1080" s="86"/>
      <c r="B1080" s="4" t="s">
        <v>409</v>
      </c>
      <c r="C1080" s="4" t="s">
        <v>151</v>
      </c>
      <c r="D1080" s="4" t="s">
        <v>150</v>
      </c>
      <c r="E1080" s="4" t="s">
        <v>109</v>
      </c>
      <c r="F1080" s="149" t="s">
        <v>321</v>
      </c>
      <c r="M1080" s="87"/>
    </row>
    <row r="1081" spans="1:14" x14ac:dyDescent="0.25">
      <c r="A1081" s="86"/>
      <c r="B1081" s="2" t="s">
        <v>375</v>
      </c>
      <c r="C1081" s="2">
        <v>1.1000000000000001</v>
      </c>
      <c r="D1081" s="2">
        <v>2.1</v>
      </c>
      <c r="E1081" s="2">
        <v>1</v>
      </c>
      <c r="F1081" s="2">
        <f>TRUNC(C1081*D1081*E1081,2)</f>
        <v>2.31</v>
      </c>
      <c r="M1081" s="87"/>
    </row>
    <row r="1082" spans="1:14" x14ac:dyDescent="0.25">
      <c r="A1082" s="86"/>
      <c r="B1082" s="341" t="s">
        <v>0</v>
      </c>
      <c r="C1082" s="341"/>
      <c r="D1082" s="341"/>
      <c r="E1082" s="341"/>
      <c r="F1082" s="2">
        <f>SUM(F1081:F1081)</f>
        <v>2.31</v>
      </c>
      <c r="M1082" s="87"/>
    </row>
    <row r="1083" spans="1:14" x14ac:dyDescent="0.25">
      <c r="A1083" s="86"/>
      <c r="M1083" s="87"/>
    </row>
    <row r="1084" spans="1:14" ht="15.75" x14ac:dyDescent="0.25">
      <c r="A1084" s="86"/>
      <c r="B1084" s="46" t="s">
        <v>109</v>
      </c>
      <c r="C1084" s="46">
        <f>F1082</f>
        <v>2.31</v>
      </c>
      <c r="D1084" s="46" t="s">
        <v>167</v>
      </c>
      <c r="M1084" s="87"/>
    </row>
    <row r="1085" spans="1:14" x14ac:dyDescent="0.25">
      <c r="A1085" s="86"/>
      <c r="M1085" s="87"/>
    </row>
    <row r="1086" spans="1:14" ht="15.75" x14ac:dyDescent="0.25">
      <c r="A1086" s="105">
        <v>10</v>
      </c>
      <c r="B1086" s="43" t="s">
        <v>605</v>
      </c>
      <c r="C1086" s="44"/>
      <c r="D1086" s="44"/>
      <c r="E1086" s="45"/>
      <c r="F1086" s="45"/>
      <c r="G1086" s="45"/>
      <c r="H1086" s="45"/>
      <c r="I1086" s="45"/>
      <c r="J1086" s="45"/>
      <c r="K1086" s="45"/>
      <c r="L1086" s="45"/>
      <c r="M1086" s="106"/>
    </row>
    <row r="1087" spans="1:14" x14ac:dyDescent="0.25">
      <c r="A1087" s="86"/>
      <c r="M1087" s="87"/>
    </row>
    <row r="1088" spans="1:14" x14ac:dyDescent="0.25">
      <c r="A1088" s="107" t="s">
        <v>419</v>
      </c>
      <c r="B1088" s="47" t="str">
        <f>VLOOKUP('IV-MEMORIAL'!A1088,'II-PO'!$A$19:$M$295,5,0)</f>
        <v>FUNDO SELADOR ACRÍLICO, APLICAÇÃO MANUAL EM PAREDE, UMA DEMÃO. AF_04/2023</v>
      </c>
      <c r="C1088" s="47"/>
      <c r="D1088" s="47"/>
      <c r="E1088" s="48"/>
      <c r="F1088" s="48"/>
      <c r="G1088" s="48"/>
      <c r="H1088" s="48"/>
      <c r="I1088" s="48"/>
      <c r="J1088" s="48"/>
      <c r="K1088" s="48"/>
      <c r="L1088" s="48"/>
      <c r="M1088" s="108"/>
      <c r="N1088" s="3">
        <f>C1092</f>
        <v>1060.03</v>
      </c>
    </row>
    <row r="1089" spans="1:14" x14ac:dyDescent="0.25">
      <c r="A1089" s="86"/>
      <c r="M1089" s="87"/>
    </row>
    <row r="1090" spans="1:14" x14ac:dyDescent="0.25">
      <c r="A1090" s="86"/>
      <c r="B1090" s="128" t="s">
        <v>420</v>
      </c>
      <c r="M1090" s="87"/>
    </row>
    <row r="1091" spans="1:14" x14ac:dyDescent="0.25">
      <c r="A1091" s="86"/>
      <c r="M1091" s="87"/>
    </row>
    <row r="1092" spans="1:14" ht="15.75" x14ac:dyDescent="0.25">
      <c r="A1092" s="86"/>
      <c r="B1092" s="46" t="s">
        <v>109</v>
      </c>
      <c r="C1092" s="46">
        <f>$C$648</f>
        <v>1060.03</v>
      </c>
      <c r="D1092" s="46" t="s">
        <v>167</v>
      </c>
      <c r="M1092" s="87"/>
    </row>
    <row r="1093" spans="1:14" x14ac:dyDescent="0.25">
      <c r="A1093" s="86"/>
      <c r="M1093" s="87"/>
    </row>
    <row r="1094" spans="1:14" x14ac:dyDescent="0.25">
      <c r="A1094" s="107" t="s">
        <v>421</v>
      </c>
      <c r="B1094" s="47" t="str">
        <f>VLOOKUP('IV-MEMORIAL'!A1094,'II-PO'!$A$19:$M$295,5,0)</f>
        <v>APLICAÇÃO MANUAL DE FUNDO SELADOR ACRÍLICO EM PAREDES EXTERNAS DE CASAS. AF_03/2024</v>
      </c>
      <c r="C1094" s="47"/>
      <c r="D1094" s="47"/>
      <c r="E1094" s="48"/>
      <c r="F1094" s="48"/>
      <c r="G1094" s="48"/>
      <c r="H1094" s="48"/>
      <c r="I1094" s="48"/>
      <c r="J1094" s="48"/>
      <c r="K1094" s="48"/>
      <c r="L1094" s="48"/>
      <c r="M1094" s="108"/>
      <c r="N1094" s="3">
        <f>C1098</f>
        <v>375.24</v>
      </c>
    </row>
    <row r="1095" spans="1:14" x14ac:dyDescent="0.25">
      <c r="A1095" s="86"/>
      <c r="M1095" s="87"/>
    </row>
    <row r="1096" spans="1:14" x14ac:dyDescent="0.25">
      <c r="A1096" s="86"/>
      <c r="B1096" s="128" t="s">
        <v>422</v>
      </c>
      <c r="M1096" s="87"/>
    </row>
    <row r="1097" spans="1:14" x14ac:dyDescent="0.25">
      <c r="A1097" s="86"/>
      <c r="M1097" s="87"/>
    </row>
    <row r="1098" spans="1:14" ht="15.75" x14ac:dyDescent="0.25">
      <c r="A1098" s="86"/>
      <c r="B1098" s="46" t="s">
        <v>109</v>
      </c>
      <c r="C1098" s="46">
        <f>$G$674</f>
        <v>375.24</v>
      </c>
      <c r="D1098" s="46" t="s">
        <v>167</v>
      </c>
      <c r="M1098" s="87"/>
    </row>
    <row r="1099" spans="1:14" x14ac:dyDescent="0.25">
      <c r="A1099" s="86"/>
      <c r="M1099" s="87"/>
    </row>
    <row r="1100" spans="1:14" x14ac:dyDescent="0.25">
      <c r="A1100" s="107" t="s">
        <v>423</v>
      </c>
      <c r="B1100" s="47" t="str">
        <f>VLOOKUP('IV-MEMORIAL'!A1100,'II-PO'!$A$19:$M$295,5,0)</f>
        <v>EMASSAMENTO COM MASSA LÁTEX, APLICAÇÃO EM PAREDE, DUAS DEMÃOS, LIXAMENTO MANUAL. AF_04/2023</v>
      </c>
      <c r="C1100" s="47"/>
      <c r="D1100" s="47"/>
      <c r="E1100" s="48"/>
      <c r="F1100" s="48"/>
      <c r="G1100" s="48"/>
      <c r="H1100" s="48"/>
      <c r="I1100" s="48"/>
      <c r="J1100" s="48"/>
      <c r="K1100" s="48"/>
      <c r="L1100" s="48"/>
      <c r="M1100" s="108"/>
      <c r="N1100" s="3">
        <f>C1104</f>
        <v>1435.27</v>
      </c>
    </row>
    <row r="1101" spans="1:14" x14ac:dyDescent="0.25">
      <c r="A1101" s="86"/>
      <c r="M1101" s="87"/>
    </row>
    <row r="1102" spans="1:14" x14ac:dyDescent="0.25">
      <c r="A1102" s="86"/>
      <c r="B1102" s="128" t="s">
        <v>424</v>
      </c>
      <c r="M1102" s="87"/>
    </row>
    <row r="1103" spans="1:14" x14ac:dyDescent="0.25">
      <c r="A1103" s="86"/>
      <c r="M1103" s="87"/>
    </row>
    <row r="1104" spans="1:14" ht="15.75" x14ac:dyDescent="0.25">
      <c r="A1104" s="86"/>
      <c r="B1104" s="46" t="s">
        <v>109</v>
      </c>
      <c r="C1104" s="46">
        <f>$G$674+$C$648</f>
        <v>1435.27</v>
      </c>
      <c r="D1104" s="46" t="s">
        <v>167</v>
      </c>
      <c r="M1104" s="87"/>
    </row>
    <row r="1105" spans="1:14" x14ac:dyDescent="0.25">
      <c r="A1105" s="86"/>
      <c r="M1105" s="87"/>
    </row>
    <row r="1106" spans="1:14" x14ac:dyDescent="0.25">
      <c r="A1106" s="107" t="s">
        <v>425</v>
      </c>
      <c r="B1106" s="47" t="str">
        <f>VLOOKUP('IV-MEMORIAL'!A1106,'II-PO'!$A$19:$M$295,5,0)</f>
        <v>PINTURA LÁTEX ACRÍLICA PREMIUM, APLICAÇÃO MANUAL EM PAREDES, DUAS DEMÃOS. AF_04/2023</v>
      </c>
      <c r="C1106" s="47"/>
      <c r="D1106" s="47"/>
      <c r="E1106" s="48"/>
      <c r="F1106" s="48"/>
      <c r="G1106" s="48"/>
      <c r="H1106" s="48"/>
      <c r="I1106" s="48"/>
      <c r="J1106" s="48"/>
      <c r="K1106" s="48"/>
      <c r="L1106" s="48"/>
      <c r="M1106" s="108"/>
      <c r="N1106" s="3">
        <f>C1110</f>
        <v>1435.27</v>
      </c>
    </row>
    <row r="1107" spans="1:14" x14ac:dyDescent="0.25">
      <c r="A1107" s="86"/>
      <c r="M1107" s="87"/>
    </row>
    <row r="1108" spans="1:14" x14ac:dyDescent="0.25">
      <c r="A1108" s="86"/>
      <c r="B1108" s="128" t="s">
        <v>424</v>
      </c>
      <c r="M1108" s="87"/>
    </row>
    <row r="1109" spans="1:14" x14ac:dyDescent="0.25">
      <c r="A1109" s="86"/>
      <c r="M1109" s="87"/>
    </row>
    <row r="1110" spans="1:14" ht="15.75" x14ac:dyDescent="0.25">
      <c r="A1110" s="86"/>
      <c r="B1110" s="46" t="s">
        <v>109</v>
      </c>
      <c r="C1110" s="46">
        <f>$G$674+$C$648</f>
        <v>1435.27</v>
      </c>
      <c r="D1110" s="46" t="s">
        <v>167</v>
      </c>
      <c r="M1110" s="87"/>
    </row>
    <row r="1111" spans="1:14" x14ac:dyDescent="0.25">
      <c r="A1111" s="86"/>
      <c r="M1111" s="87"/>
    </row>
    <row r="1112" spans="1:14" ht="15.75" x14ac:dyDescent="0.25">
      <c r="A1112" s="105">
        <v>11</v>
      </c>
      <c r="B1112" s="43" t="s">
        <v>433</v>
      </c>
      <c r="C1112" s="44"/>
      <c r="D1112" s="44"/>
      <c r="E1112" s="45"/>
      <c r="F1112" s="45"/>
      <c r="G1112" s="45"/>
      <c r="H1112" s="45"/>
      <c r="I1112" s="45"/>
      <c r="J1112" s="45"/>
      <c r="K1112" s="45"/>
      <c r="L1112" s="45"/>
      <c r="M1112" s="106"/>
    </row>
    <row r="1113" spans="1:14" x14ac:dyDescent="0.25">
      <c r="A1113" s="86"/>
      <c r="M1113" s="87"/>
    </row>
    <row r="1114" spans="1:14" x14ac:dyDescent="0.25">
      <c r="A1114" s="107" t="s">
        <v>426</v>
      </c>
      <c r="B1114" s="47" t="str">
        <f>VLOOKUP('IV-MEMORIAL'!A1114,'II-PO'!$A$19:$M$295,5,0)</f>
        <v>TELHAMENTO COM TELHA METÁLICA TERMOACÚSTICA E = 30 MM, COM ATÉ 2 ÁGUAS, INCLUSO IÇAMENTO. AF_07/2019</v>
      </c>
      <c r="C1114" s="47"/>
      <c r="D1114" s="47"/>
      <c r="E1114" s="48"/>
      <c r="F1114" s="48"/>
      <c r="G1114" s="48"/>
      <c r="H1114" s="48"/>
      <c r="I1114" s="48"/>
      <c r="J1114" s="48"/>
      <c r="K1114" s="48"/>
      <c r="L1114" s="48"/>
      <c r="M1114" s="108"/>
      <c r="N1114" s="3">
        <f>C1123</f>
        <v>381.65999999999997</v>
      </c>
    </row>
    <row r="1115" spans="1:14" x14ac:dyDescent="0.25">
      <c r="A1115" s="86"/>
      <c r="M1115" s="87"/>
    </row>
    <row r="1116" spans="1:14" ht="15.75" x14ac:dyDescent="0.25">
      <c r="A1116" s="86"/>
      <c r="B1116" s="4" t="s">
        <v>320</v>
      </c>
      <c r="C1116" s="149" t="s">
        <v>321</v>
      </c>
      <c r="M1116" s="87"/>
    </row>
    <row r="1117" spans="1:14" x14ac:dyDescent="0.25">
      <c r="A1117" s="86"/>
      <c r="B1117" s="2" t="s">
        <v>436</v>
      </c>
      <c r="C1117" s="2">
        <v>307.57</v>
      </c>
      <c r="M1117" s="87"/>
    </row>
    <row r="1118" spans="1:14" x14ac:dyDescent="0.25">
      <c r="A1118" s="86"/>
      <c r="B1118" s="2" t="s">
        <v>382</v>
      </c>
      <c r="C1118" s="2">
        <v>9</v>
      </c>
      <c r="M1118" s="87"/>
    </row>
    <row r="1119" spans="1:14" x14ac:dyDescent="0.25">
      <c r="A1119" s="86"/>
      <c r="B1119" s="2" t="s">
        <v>341</v>
      </c>
      <c r="C1119" s="2">
        <v>29.27</v>
      </c>
      <c r="M1119" s="87"/>
    </row>
    <row r="1120" spans="1:14" x14ac:dyDescent="0.25">
      <c r="A1120" s="86"/>
      <c r="B1120" s="2" t="s">
        <v>340</v>
      </c>
      <c r="C1120" s="2">
        <v>35.82</v>
      </c>
      <c r="M1120" s="87"/>
    </row>
    <row r="1121" spans="1:14" ht="15.75" x14ac:dyDescent="0.25">
      <c r="A1121" s="86"/>
      <c r="B1121" s="4" t="s">
        <v>0</v>
      </c>
      <c r="C1121" s="4">
        <f>SUM(C1117:C1120)</f>
        <v>381.65999999999997</v>
      </c>
      <c r="M1121" s="87"/>
    </row>
    <row r="1122" spans="1:14" x14ac:dyDescent="0.25">
      <c r="A1122" s="86"/>
      <c r="M1122" s="87"/>
    </row>
    <row r="1123" spans="1:14" ht="15.75" x14ac:dyDescent="0.25">
      <c r="A1123" s="86"/>
      <c r="B1123" s="46" t="s">
        <v>109</v>
      </c>
      <c r="C1123" s="46">
        <f>C1121</f>
        <v>381.65999999999997</v>
      </c>
      <c r="D1123" s="46" t="s">
        <v>167</v>
      </c>
      <c r="M1123" s="87"/>
    </row>
    <row r="1124" spans="1:14" x14ac:dyDescent="0.25">
      <c r="A1124" s="86"/>
      <c r="M1124" s="87"/>
    </row>
    <row r="1125" spans="1:14" x14ac:dyDescent="0.25">
      <c r="A1125" s="107" t="s">
        <v>427</v>
      </c>
      <c r="B1125" s="47" t="str">
        <f>VLOOKUP('IV-MEMORIAL'!A1125,'II-PO'!$A$19:$M$295,5,0)</f>
        <v>TRAMA DE AÇO COMPOSTA POR TERÇAS PARA TELHADOS DE ATÉ 2 ÁGUAS PARA TELHA ONDULADA DE FIBROCIMENTO, METÁLICA, PLÁSTICA OU TERMOACÚSTICA, INCLUSO TRANSPORTE VERTICAL. AF_07/2019</v>
      </c>
      <c r="C1125" s="47"/>
      <c r="D1125" s="47"/>
      <c r="E1125" s="48"/>
      <c r="F1125" s="48"/>
      <c r="G1125" s="48"/>
      <c r="H1125" s="48"/>
      <c r="I1125" s="48"/>
      <c r="J1125" s="48"/>
      <c r="K1125" s="48"/>
      <c r="L1125" s="48"/>
      <c r="M1125" s="108"/>
      <c r="N1125" s="3">
        <f>C1127</f>
        <v>381.65999999999997</v>
      </c>
    </row>
    <row r="1126" spans="1:14" x14ac:dyDescent="0.25">
      <c r="A1126" s="86"/>
      <c r="M1126" s="87"/>
    </row>
    <row r="1127" spans="1:14" ht="15.75" x14ac:dyDescent="0.25">
      <c r="A1127" s="86"/>
      <c r="B1127" s="46" t="s">
        <v>109</v>
      </c>
      <c r="C1127" s="46">
        <f>C1123</f>
        <v>381.65999999999997</v>
      </c>
      <c r="D1127" s="46" t="s">
        <v>167</v>
      </c>
      <c r="M1127" s="87"/>
    </row>
    <row r="1128" spans="1:14" x14ac:dyDescent="0.25">
      <c r="A1128" s="86"/>
      <c r="M1128" s="87"/>
    </row>
    <row r="1129" spans="1:14" x14ac:dyDescent="0.25">
      <c r="A1129" s="107" t="s">
        <v>428</v>
      </c>
      <c r="B1129" s="47" t="str">
        <f>VLOOKUP('IV-MEMORIAL'!A1129,'II-PO'!$A$19:$M$295,5,0)</f>
        <v>FABRICAÇÃO E INSTALAÇÃO DE MEIA TESOURA DE MADEIRA NÃO APARELHADA, COM VÃO DE 3 M, PARA TELHA ONDULADA DE FIBROCIMENTO, ALUMÍNIO, PLÁSTICA OU TERMOACÚSTICA, INCLUSO IÇAMENTO. AF_07/2019</v>
      </c>
      <c r="C1129" s="47"/>
      <c r="D1129" s="47"/>
      <c r="E1129" s="48"/>
      <c r="F1129" s="48"/>
      <c r="G1129" s="48"/>
      <c r="H1129" s="48"/>
      <c r="I1129" s="48"/>
      <c r="J1129" s="48"/>
      <c r="K1129" s="48"/>
      <c r="L1129" s="48"/>
      <c r="M1129" s="108"/>
      <c r="N1129" s="3">
        <f>C1141</f>
        <v>3</v>
      </c>
    </row>
    <row r="1130" spans="1:14" x14ac:dyDescent="0.25">
      <c r="A1130" s="86"/>
      <c r="M1130" s="87"/>
    </row>
    <row r="1131" spans="1:14" x14ac:dyDescent="0.25">
      <c r="A1131" s="86"/>
      <c r="B1131" s="2" t="s">
        <v>437</v>
      </c>
      <c r="C1131" s="2">
        <v>3</v>
      </c>
      <c r="D1131" s="2" t="s">
        <v>113</v>
      </c>
      <c r="M1131" s="87"/>
    </row>
    <row r="1132" spans="1:14" x14ac:dyDescent="0.25">
      <c r="A1132" s="86"/>
      <c r="B1132" s="2" t="s">
        <v>438</v>
      </c>
      <c r="C1132" s="2">
        <v>3</v>
      </c>
      <c r="D1132" s="2" t="s">
        <v>113</v>
      </c>
      <c r="M1132" s="87"/>
    </row>
    <row r="1133" spans="1:14" x14ac:dyDescent="0.25">
      <c r="A1133" s="86"/>
      <c r="M1133" s="87"/>
    </row>
    <row r="1134" spans="1:14" x14ac:dyDescent="0.25">
      <c r="A1134" s="86"/>
      <c r="B1134" s="2" t="s">
        <v>439</v>
      </c>
      <c r="C1134" s="2">
        <v>3</v>
      </c>
      <c r="D1134" s="2" t="s">
        <v>113</v>
      </c>
      <c r="M1134" s="87"/>
    </row>
    <row r="1135" spans="1:14" x14ac:dyDescent="0.25">
      <c r="A1135" s="86"/>
      <c r="B1135" s="2" t="s">
        <v>440</v>
      </c>
      <c r="C1135" s="2">
        <v>1</v>
      </c>
      <c r="D1135" s="2" t="s">
        <v>129</v>
      </c>
      <c r="M1135" s="87"/>
    </row>
    <row r="1136" spans="1:14" x14ac:dyDescent="0.25">
      <c r="A1136" s="86"/>
      <c r="B1136" s="2" t="s">
        <v>441</v>
      </c>
      <c r="C1136" s="2">
        <f>C1134/(C1135+1)</f>
        <v>1.5</v>
      </c>
      <c r="D1136" s="2" t="s">
        <v>113</v>
      </c>
      <c r="M1136" s="87"/>
    </row>
    <row r="1137" spans="1:14" x14ac:dyDescent="0.25">
      <c r="A1137" s="86"/>
      <c r="M1137" s="87"/>
    </row>
    <row r="1138" spans="1:14" x14ac:dyDescent="0.25">
      <c r="A1138" s="86"/>
      <c r="B1138" s="2" t="s">
        <v>442</v>
      </c>
      <c r="C1138" s="2">
        <v>1</v>
      </c>
      <c r="D1138" s="2" t="s">
        <v>129</v>
      </c>
      <c r="M1138" s="87"/>
    </row>
    <row r="1139" spans="1:14" x14ac:dyDescent="0.25">
      <c r="A1139" s="86"/>
      <c r="B1139" s="2" t="s">
        <v>443</v>
      </c>
      <c r="C1139" s="2">
        <v>1</v>
      </c>
      <c r="D1139" s="2" t="s">
        <v>129</v>
      </c>
      <c r="M1139" s="87"/>
    </row>
    <row r="1140" spans="1:14" x14ac:dyDescent="0.25">
      <c r="A1140" s="86"/>
      <c r="M1140" s="87"/>
    </row>
    <row r="1141" spans="1:14" ht="15.75" x14ac:dyDescent="0.25">
      <c r="A1141" s="86"/>
      <c r="B1141" s="46" t="s">
        <v>109</v>
      </c>
      <c r="C1141" s="46">
        <f>C1135+C1138+C1139</f>
        <v>3</v>
      </c>
      <c r="D1141" s="46" t="s">
        <v>110</v>
      </c>
      <c r="M1141" s="87"/>
    </row>
    <row r="1142" spans="1:14" x14ac:dyDescent="0.25">
      <c r="A1142" s="86"/>
      <c r="M1142" s="87"/>
    </row>
    <row r="1143" spans="1:14" x14ac:dyDescent="0.25">
      <c r="A1143" s="107" t="s">
        <v>444</v>
      </c>
      <c r="B1143" s="47" t="str">
        <f>VLOOKUP('IV-MEMORIAL'!A1143,'II-PO'!$A$19:$M$295,5,0)</f>
        <v>FABRICAÇÃO E INSTALAÇÃO DE MEIA TESOURA DE MADEIRA NÃO APARELHADA, COM VÃO DE 12 M, PARA TELHA ONDULADA DE FIBROCIMENTO, ALUMÍNIO, PLÁSTICA OU TERMOACÚSTICA, INCLUSO IÇAMENTO. AF_07/2019</v>
      </c>
      <c r="C1143" s="47"/>
      <c r="D1143" s="47"/>
      <c r="E1143" s="48"/>
      <c r="F1143" s="48"/>
      <c r="G1143" s="48"/>
      <c r="H1143" s="48"/>
      <c r="I1143" s="48"/>
      <c r="J1143" s="48"/>
      <c r="K1143" s="48"/>
      <c r="L1143" s="48"/>
      <c r="M1143" s="108"/>
      <c r="N1143" s="3">
        <f>C1155</f>
        <v>13</v>
      </c>
    </row>
    <row r="1144" spans="1:14" x14ac:dyDescent="0.25">
      <c r="A1144" s="86"/>
      <c r="M1144" s="87"/>
    </row>
    <row r="1145" spans="1:14" x14ac:dyDescent="0.25">
      <c r="A1145" s="86"/>
      <c r="B1145" s="2" t="s">
        <v>445</v>
      </c>
      <c r="C1145" s="2">
        <v>12</v>
      </c>
      <c r="D1145" s="2" t="s">
        <v>113</v>
      </c>
      <c r="M1145" s="87"/>
    </row>
    <row r="1146" spans="1:14" x14ac:dyDescent="0.25">
      <c r="A1146" s="86"/>
      <c r="B1146" s="2" t="s">
        <v>438</v>
      </c>
      <c r="C1146" s="2">
        <v>12</v>
      </c>
      <c r="D1146" s="2" t="s">
        <v>113</v>
      </c>
      <c r="M1146" s="87"/>
    </row>
    <row r="1147" spans="1:14" x14ac:dyDescent="0.25">
      <c r="A1147" s="86"/>
      <c r="M1147" s="87"/>
    </row>
    <row r="1148" spans="1:14" x14ac:dyDescent="0.25">
      <c r="A1148" s="86"/>
      <c r="B1148" s="2" t="s">
        <v>439</v>
      </c>
      <c r="C1148" s="2">
        <v>24.4</v>
      </c>
      <c r="D1148" s="2" t="s">
        <v>113</v>
      </c>
      <c r="M1148" s="87"/>
    </row>
    <row r="1149" spans="1:14" x14ac:dyDescent="0.25">
      <c r="A1149" s="86"/>
      <c r="B1149" s="2" t="s">
        <v>440</v>
      </c>
      <c r="C1149" s="2">
        <v>11</v>
      </c>
      <c r="D1149" s="2" t="s">
        <v>129</v>
      </c>
      <c r="M1149" s="87"/>
    </row>
    <row r="1150" spans="1:14" x14ac:dyDescent="0.25">
      <c r="A1150" s="86"/>
      <c r="B1150" s="2" t="s">
        <v>441</v>
      </c>
      <c r="C1150" s="2">
        <f>C1148/(C1149+1)</f>
        <v>2.0333333333333332</v>
      </c>
      <c r="D1150" s="2" t="s">
        <v>113</v>
      </c>
      <c r="M1150" s="87"/>
    </row>
    <row r="1151" spans="1:14" x14ac:dyDescent="0.25">
      <c r="A1151" s="86"/>
      <c r="M1151" s="87"/>
    </row>
    <row r="1152" spans="1:14" x14ac:dyDescent="0.25">
      <c r="A1152" s="86"/>
      <c r="B1152" s="2" t="s">
        <v>442</v>
      </c>
      <c r="C1152" s="2">
        <v>1</v>
      </c>
      <c r="D1152" s="2" t="s">
        <v>129</v>
      </c>
      <c r="M1152" s="87"/>
    </row>
    <row r="1153" spans="1:14" x14ac:dyDescent="0.25">
      <c r="A1153" s="86"/>
      <c r="B1153" s="2" t="s">
        <v>443</v>
      </c>
      <c r="C1153" s="2">
        <v>1</v>
      </c>
      <c r="D1153" s="2" t="s">
        <v>129</v>
      </c>
      <c r="M1153" s="87"/>
    </row>
    <row r="1154" spans="1:14" x14ac:dyDescent="0.25">
      <c r="A1154" s="86"/>
      <c r="M1154" s="87"/>
    </row>
    <row r="1155" spans="1:14" ht="15.75" x14ac:dyDescent="0.25">
      <c r="A1155" s="86"/>
      <c r="B1155" s="46" t="s">
        <v>109</v>
      </c>
      <c r="C1155" s="46">
        <f>C1149+C1152+C1153</f>
        <v>13</v>
      </c>
      <c r="D1155" s="46" t="s">
        <v>110</v>
      </c>
      <c r="M1155" s="87"/>
    </row>
    <row r="1156" spans="1:14" x14ac:dyDescent="0.25">
      <c r="A1156" s="86"/>
      <c r="M1156" s="87"/>
    </row>
    <row r="1157" spans="1:14" ht="15.75" x14ac:dyDescent="0.25">
      <c r="A1157" s="105">
        <v>12</v>
      </c>
      <c r="B1157" s="43" t="s">
        <v>274</v>
      </c>
      <c r="C1157" s="44"/>
      <c r="D1157" s="44"/>
      <c r="E1157" s="45"/>
      <c r="F1157" s="45"/>
      <c r="G1157" s="45"/>
      <c r="H1157" s="45"/>
      <c r="I1157" s="45"/>
      <c r="J1157" s="45"/>
      <c r="K1157" s="45"/>
      <c r="L1157" s="45"/>
      <c r="M1157" s="106"/>
    </row>
    <row r="1158" spans="1:14" x14ac:dyDescent="0.25">
      <c r="A1158" s="86"/>
      <c r="M1158" s="87"/>
    </row>
    <row r="1159" spans="1:14" x14ac:dyDescent="0.25">
      <c r="A1159" s="107" t="s">
        <v>429</v>
      </c>
      <c r="B1159" s="47" t="str">
        <f>VLOOKUP('IV-MEMORIAL'!A1159,'II-PO'!$A$19:$M$295,5,0)</f>
        <v>FORRO EM DRYWALL, PARA AMBIENTES COMERCIAIS, INCLUSIVE ESTRUTURA BIRECIONAL DE FIXAÇÃO. AF_08/2023_PS</v>
      </c>
      <c r="C1159" s="47"/>
      <c r="D1159" s="47"/>
      <c r="E1159" s="48"/>
      <c r="F1159" s="48"/>
      <c r="G1159" s="48"/>
      <c r="H1159" s="48"/>
      <c r="I1159" s="48"/>
      <c r="J1159" s="48"/>
      <c r="K1159" s="48"/>
      <c r="L1159" s="48"/>
      <c r="M1159" s="108"/>
      <c r="N1159" s="3">
        <f>C1163</f>
        <v>442.82</v>
      </c>
    </row>
    <row r="1160" spans="1:14" x14ac:dyDescent="0.25">
      <c r="A1160" s="86"/>
      <c r="M1160" s="87"/>
    </row>
    <row r="1161" spans="1:14" x14ac:dyDescent="0.25">
      <c r="A1161" s="86"/>
      <c r="B1161" s="128" t="s">
        <v>432</v>
      </c>
      <c r="M1161" s="87"/>
    </row>
    <row r="1162" spans="1:14" x14ac:dyDescent="0.25">
      <c r="A1162" s="86"/>
      <c r="M1162" s="87"/>
    </row>
    <row r="1163" spans="1:14" ht="15.75" x14ac:dyDescent="0.25">
      <c r="A1163" s="86"/>
      <c r="B1163" s="46" t="s">
        <v>109</v>
      </c>
      <c r="C1163" s="46">
        <f>$C$726</f>
        <v>442.82</v>
      </c>
      <c r="D1163" s="46" t="s">
        <v>167</v>
      </c>
      <c r="M1163" s="87"/>
    </row>
    <row r="1164" spans="1:14" x14ac:dyDescent="0.25">
      <c r="A1164" s="86"/>
      <c r="M1164" s="87"/>
    </row>
    <row r="1165" spans="1:14" x14ac:dyDescent="0.25">
      <c r="A1165" s="107" t="s">
        <v>430</v>
      </c>
      <c r="B1165" s="47" t="str">
        <f>VLOOKUP('IV-MEMORIAL'!A1165,'II-PO'!$A$19:$M$295,5,0)</f>
        <v>EMASSAMENTO COM MASSA LÁTEX, APLICAÇÃO EM TETO, UMA DEMÃO, LIXAMENTO MANUAL. AF_04/2023</v>
      </c>
      <c r="C1165" s="47"/>
      <c r="D1165" s="47"/>
      <c r="E1165" s="48"/>
      <c r="F1165" s="48"/>
      <c r="G1165" s="48"/>
      <c r="H1165" s="48"/>
      <c r="I1165" s="48"/>
      <c r="J1165" s="48"/>
      <c r="K1165" s="48"/>
      <c r="L1165" s="48"/>
      <c r="M1165" s="108"/>
      <c r="N1165" s="3">
        <f>C1169</f>
        <v>442.82</v>
      </c>
    </row>
    <row r="1166" spans="1:14" x14ac:dyDescent="0.25">
      <c r="A1166" s="86"/>
      <c r="M1166" s="87"/>
    </row>
    <row r="1167" spans="1:14" x14ac:dyDescent="0.25">
      <c r="A1167" s="86"/>
      <c r="B1167" s="128" t="s">
        <v>432</v>
      </c>
      <c r="M1167" s="87"/>
    </row>
    <row r="1168" spans="1:14" x14ac:dyDescent="0.25">
      <c r="A1168" s="86"/>
      <c r="M1168" s="87"/>
    </row>
    <row r="1169" spans="1:14" ht="15.75" x14ac:dyDescent="0.25">
      <c r="A1169" s="86"/>
      <c r="B1169" s="46" t="s">
        <v>109</v>
      </c>
      <c r="C1169" s="46">
        <f>$C$726</f>
        <v>442.82</v>
      </c>
      <c r="D1169" s="46" t="s">
        <v>167</v>
      </c>
      <c r="M1169" s="87"/>
    </row>
    <row r="1170" spans="1:14" x14ac:dyDescent="0.25">
      <c r="A1170" s="86"/>
      <c r="M1170" s="87"/>
    </row>
    <row r="1171" spans="1:14" x14ac:dyDescent="0.25">
      <c r="A1171" s="107" t="s">
        <v>431</v>
      </c>
      <c r="B1171" s="47" t="str">
        <f>VLOOKUP('IV-MEMORIAL'!A1171,'II-PO'!$A$19:$M$295,5,0)</f>
        <v>PINTURA LÁTEX ACRÍLICA PREMIUM, APLICAÇÃO MANUAL EM TETO, DUAS DEMÃOS. AF_04/2023</v>
      </c>
      <c r="C1171" s="47"/>
      <c r="D1171" s="47"/>
      <c r="E1171" s="48"/>
      <c r="F1171" s="48"/>
      <c r="G1171" s="48"/>
      <c r="H1171" s="48"/>
      <c r="I1171" s="48"/>
      <c r="J1171" s="48"/>
      <c r="K1171" s="48"/>
      <c r="L1171" s="48"/>
      <c r="M1171" s="108"/>
      <c r="N1171" s="3">
        <f>C1175</f>
        <v>442.82</v>
      </c>
    </row>
    <row r="1172" spans="1:14" x14ac:dyDescent="0.25">
      <c r="A1172" s="86"/>
      <c r="M1172" s="87"/>
    </row>
    <row r="1173" spans="1:14" x14ac:dyDescent="0.25">
      <c r="A1173" s="86"/>
      <c r="B1173" s="128" t="s">
        <v>432</v>
      </c>
      <c r="M1173" s="87"/>
    </row>
    <row r="1174" spans="1:14" x14ac:dyDescent="0.25">
      <c r="A1174" s="86"/>
      <c r="M1174" s="87"/>
    </row>
    <row r="1175" spans="1:14" ht="15.75" x14ac:dyDescent="0.25">
      <c r="A1175" s="86"/>
      <c r="B1175" s="46" t="s">
        <v>109</v>
      </c>
      <c r="C1175" s="46">
        <f>$C$726</f>
        <v>442.82</v>
      </c>
      <c r="D1175" s="46" t="s">
        <v>167</v>
      </c>
      <c r="M1175" s="87"/>
    </row>
    <row r="1176" spans="1:14" x14ac:dyDescent="0.25">
      <c r="A1176" s="86"/>
      <c r="M1176" s="87"/>
    </row>
    <row r="1177" spans="1:14" x14ac:dyDescent="0.25">
      <c r="A1177" s="107" t="s">
        <v>434</v>
      </c>
      <c r="B1177" s="47" t="str">
        <f>VLOOKUP('IV-MEMORIAL'!A1177,'II-PO'!$A$19:$M$295,5,0)</f>
        <v>ACABAMENTOS PARA FORRO (MOLDURA EM DRYWALL, COM LARGURA DE 15 CM). AF_08/2023_PS</v>
      </c>
      <c r="C1177" s="47"/>
      <c r="D1177" s="47"/>
      <c r="E1177" s="48"/>
      <c r="F1177" s="48"/>
      <c r="G1177" s="48"/>
      <c r="H1177" s="48"/>
      <c r="I1177" s="48"/>
      <c r="J1177" s="48"/>
      <c r="K1177" s="48"/>
      <c r="L1177" s="48"/>
      <c r="M1177" s="108"/>
      <c r="N1177" s="3">
        <f>C1181</f>
        <v>400.88999999999987</v>
      </c>
    </row>
    <row r="1178" spans="1:14" x14ac:dyDescent="0.25">
      <c r="A1178" s="86"/>
      <c r="M1178" s="87"/>
    </row>
    <row r="1179" spans="1:14" x14ac:dyDescent="0.25">
      <c r="A1179" s="86"/>
      <c r="B1179" s="128" t="s">
        <v>435</v>
      </c>
      <c r="M1179" s="87"/>
    </row>
    <row r="1180" spans="1:14" x14ac:dyDescent="0.25">
      <c r="A1180" s="86"/>
      <c r="M1180" s="87"/>
    </row>
    <row r="1181" spans="1:14" ht="15.75" x14ac:dyDescent="0.25">
      <c r="A1181" s="86"/>
      <c r="B1181" s="46" t="s">
        <v>109</v>
      </c>
      <c r="C1181" s="46">
        <f>SUM($C$759:$C$857)</f>
        <v>400.88999999999987</v>
      </c>
      <c r="D1181" s="46" t="s">
        <v>116</v>
      </c>
      <c r="M1181" s="87"/>
    </row>
    <row r="1182" spans="1:14" x14ac:dyDescent="0.25">
      <c r="A1182" s="86"/>
      <c r="M1182" s="87"/>
    </row>
    <row r="1183" spans="1:14" ht="15.75" x14ac:dyDescent="0.25">
      <c r="A1183" s="105">
        <v>13</v>
      </c>
      <c r="B1183" s="43" t="s">
        <v>221</v>
      </c>
      <c r="C1183" s="44"/>
      <c r="D1183" s="44"/>
      <c r="E1183" s="45"/>
      <c r="F1183" s="45"/>
      <c r="G1183" s="45"/>
      <c r="H1183" s="45"/>
      <c r="I1183" s="45"/>
      <c r="J1183" s="45"/>
      <c r="K1183" s="45"/>
      <c r="L1183" s="45"/>
      <c r="M1183" s="106"/>
    </row>
    <row r="1184" spans="1:14" x14ac:dyDescent="0.25">
      <c r="A1184" s="86"/>
      <c r="M1184" s="87"/>
    </row>
    <row r="1185" spans="1:14" ht="15.75" x14ac:dyDescent="0.25">
      <c r="A1185" s="151" t="s">
        <v>446</v>
      </c>
      <c r="B1185" s="152" t="s">
        <v>473</v>
      </c>
      <c r="C1185" s="153"/>
      <c r="D1185" s="153"/>
      <c r="E1185" s="154"/>
      <c r="F1185" s="154"/>
      <c r="G1185" s="154"/>
      <c r="H1185" s="154"/>
      <c r="I1185" s="154"/>
      <c r="J1185" s="154"/>
      <c r="K1185" s="154"/>
      <c r="L1185" s="154"/>
      <c r="M1185" s="155"/>
    </row>
    <row r="1186" spans="1:14" x14ac:dyDescent="0.25">
      <c r="A1186" s="86"/>
      <c r="M1186" s="87"/>
    </row>
    <row r="1187" spans="1:14" x14ac:dyDescent="0.25">
      <c r="A1187" s="107" t="s">
        <v>447</v>
      </c>
      <c r="B1187" s="47" t="str">
        <f>VLOOKUP('IV-MEMORIAL'!A1187,'II-PO'!$A$19:$M$295,5,0)</f>
        <v>CALHA EM CHAPA DE AÇO GALVANIZADO NÚMERO 24, DESENVOLVIMENTO DE 50 CM, INCLUSO TRANSPORTE VERTICAL. AF_07/2019</v>
      </c>
      <c r="C1187" s="47"/>
      <c r="D1187" s="47"/>
      <c r="E1187" s="48"/>
      <c r="F1187" s="48"/>
      <c r="G1187" s="48"/>
      <c r="H1187" s="48"/>
      <c r="I1187" s="48"/>
      <c r="J1187" s="48"/>
      <c r="K1187" s="48"/>
      <c r="L1187" s="48"/>
      <c r="M1187" s="108"/>
      <c r="N1187" s="3">
        <f>C1191</f>
        <v>55</v>
      </c>
    </row>
    <row r="1188" spans="1:14" x14ac:dyDescent="0.25">
      <c r="A1188" s="86"/>
      <c r="M1188" s="87"/>
    </row>
    <row r="1189" spans="1:14" x14ac:dyDescent="0.25">
      <c r="A1189" s="86"/>
      <c r="B1189" s="30" t="s">
        <v>474</v>
      </c>
      <c r="M1189" s="87"/>
    </row>
    <row r="1190" spans="1:14" x14ac:dyDescent="0.25">
      <c r="A1190" s="86"/>
      <c r="M1190" s="87"/>
    </row>
    <row r="1191" spans="1:14" ht="15.75" x14ac:dyDescent="0.25">
      <c r="A1191" s="86"/>
      <c r="B1191" s="46" t="s">
        <v>109</v>
      </c>
      <c r="C1191" s="46">
        <v>55</v>
      </c>
      <c r="D1191" s="46" t="s">
        <v>116</v>
      </c>
      <c r="M1191" s="87"/>
    </row>
    <row r="1192" spans="1:14" x14ac:dyDescent="0.25">
      <c r="A1192" s="86"/>
      <c r="M1192" s="87"/>
    </row>
    <row r="1193" spans="1:14" x14ac:dyDescent="0.25">
      <c r="A1193" s="107" t="s">
        <v>450</v>
      </c>
      <c r="B1193" s="47" t="str">
        <f>VLOOKUP('IV-MEMORIAL'!A1193,'II-PO'!$A$19:$M$295,5,0)</f>
        <v>TUBO PVC, SÉRIE R, ÁGUA PLUVIAL, DN 75 MM, FORNECIDO E INSTALADO EM CONDUTORES VERTICAIS DE ÁGUAS PLUVIAIS. AF_06/2022</v>
      </c>
      <c r="C1193" s="47"/>
      <c r="D1193" s="47"/>
      <c r="E1193" s="48"/>
      <c r="F1193" s="48"/>
      <c r="G1193" s="48"/>
      <c r="H1193" s="48"/>
      <c r="I1193" s="48"/>
      <c r="J1193" s="48"/>
      <c r="K1193" s="48"/>
      <c r="L1193" s="48"/>
      <c r="M1193" s="108"/>
      <c r="N1193" s="3">
        <f>C1197</f>
        <v>35</v>
      </c>
    </row>
    <row r="1194" spans="1:14" x14ac:dyDescent="0.25">
      <c r="A1194" s="86"/>
      <c r="M1194" s="87"/>
    </row>
    <row r="1195" spans="1:14" x14ac:dyDescent="0.25">
      <c r="A1195" s="86"/>
      <c r="B1195" s="30" t="s">
        <v>474</v>
      </c>
      <c r="M1195" s="87"/>
    </row>
    <row r="1196" spans="1:14" x14ac:dyDescent="0.25">
      <c r="A1196" s="86"/>
      <c r="M1196" s="87"/>
    </row>
    <row r="1197" spans="1:14" ht="15.75" x14ac:dyDescent="0.25">
      <c r="A1197" s="86"/>
      <c r="B1197" s="46" t="s">
        <v>109</v>
      </c>
      <c r="C1197" s="46">
        <v>35</v>
      </c>
      <c r="D1197" s="46" t="s">
        <v>116</v>
      </c>
      <c r="M1197" s="87"/>
    </row>
    <row r="1198" spans="1:14" x14ac:dyDescent="0.25">
      <c r="A1198" s="86"/>
      <c r="M1198" s="87"/>
    </row>
    <row r="1199" spans="1:14" x14ac:dyDescent="0.25">
      <c r="A1199" s="107" t="s">
        <v>475</v>
      </c>
      <c r="B1199" s="47" t="str">
        <f>VLOOKUP('IV-MEMORIAL'!A1199,'II-PO'!$A$19:$M$295,5,0)</f>
        <v>CHAPIM (RUFO CAPA) EM AÇO GALVANIZADO, CORTE 33. AF_11/2020</v>
      </c>
      <c r="C1199" s="47"/>
      <c r="D1199" s="47"/>
      <c r="E1199" s="48"/>
      <c r="F1199" s="48"/>
      <c r="G1199" s="48"/>
      <c r="H1199" s="48"/>
      <c r="I1199" s="48"/>
      <c r="J1199" s="48"/>
      <c r="K1199" s="48"/>
      <c r="L1199" s="48"/>
      <c r="M1199" s="108"/>
      <c r="N1199" s="3">
        <f>C1203</f>
        <v>36</v>
      </c>
    </row>
    <row r="1200" spans="1:14" x14ac:dyDescent="0.25">
      <c r="A1200" s="86"/>
      <c r="M1200" s="87"/>
    </row>
    <row r="1201" spans="1:14" x14ac:dyDescent="0.25">
      <c r="A1201" s="86"/>
      <c r="B1201" s="30" t="s">
        <v>474</v>
      </c>
      <c r="M1201" s="87"/>
    </row>
    <row r="1202" spans="1:14" x14ac:dyDescent="0.25">
      <c r="A1202" s="86"/>
      <c r="M1202" s="87"/>
    </row>
    <row r="1203" spans="1:14" ht="15.75" x14ac:dyDescent="0.25">
      <c r="A1203" s="86"/>
      <c r="B1203" s="46" t="s">
        <v>109</v>
      </c>
      <c r="C1203" s="46">
        <v>36</v>
      </c>
      <c r="D1203" s="46" t="s">
        <v>116</v>
      </c>
      <c r="M1203" s="87"/>
    </row>
    <row r="1204" spans="1:14" x14ac:dyDescent="0.25">
      <c r="A1204" s="86"/>
      <c r="M1204" s="87"/>
    </row>
    <row r="1205" spans="1:14" x14ac:dyDescent="0.25">
      <c r="A1205" s="107" t="s">
        <v>476</v>
      </c>
      <c r="B1205" s="47" t="str">
        <f>VLOOKUP('IV-MEMORIAL'!A1205,'II-PO'!$A$19:$M$295,5,0)</f>
        <v>CAIXA DE AREIA 60X60X80CM (MEDIDAS INTERNAS) FUNDO DE BRITA COM GRELHA METÁLICA FERRO CHATO PADRÃO GOINFRA</v>
      </c>
      <c r="C1205" s="47"/>
      <c r="D1205" s="47"/>
      <c r="E1205" s="48"/>
      <c r="F1205" s="48"/>
      <c r="G1205" s="48"/>
      <c r="H1205" s="48"/>
      <c r="I1205" s="48"/>
      <c r="J1205" s="48"/>
      <c r="K1205" s="48"/>
      <c r="L1205" s="48"/>
      <c r="M1205" s="108"/>
      <c r="N1205" s="3">
        <f>C1209</f>
        <v>2</v>
      </c>
    </row>
    <row r="1206" spans="1:14" x14ac:dyDescent="0.25">
      <c r="A1206" s="86"/>
      <c r="M1206" s="87"/>
    </row>
    <row r="1207" spans="1:14" x14ac:dyDescent="0.25">
      <c r="A1207" s="86"/>
      <c r="B1207" s="30" t="s">
        <v>474</v>
      </c>
      <c r="M1207" s="87"/>
    </row>
    <row r="1208" spans="1:14" x14ac:dyDescent="0.25">
      <c r="A1208" s="86"/>
      <c r="M1208" s="87"/>
    </row>
    <row r="1209" spans="1:14" ht="15.75" x14ac:dyDescent="0.25">
      <c r="A1209" s="86"/>
      <c r="B1209" s="46" t="s">
        <v>109</v>
      </c>
      <c r="C1209" s="46">
        <v>2</v>
      </c>
      <c r="D1209" s="46" t="s">
        <v>110</v>
      </c>
      <c r="M1209" s="87"/>
    </row>
    <row r="1210" spans="1:14" x14ac:dyDescent="0.25">
      <c r="A1210" s="86"/>
      <c r="M1210" s="87"/>
    </row>
    <row r="1211" spans="1:14" x14ac:dyDescent="0.25">
      <c r="A1211" s="107" t="s">
        <v>477</v>
      </c>
      <c r="B1211" s="47" t="str">
        <f>VLOOKUP('IV-MEMORIAL'!A1211,'II-PO'!$A$19:$M$295,5,0)</f>
        <v>CAIXA DE AREIA 40X40X80CM (MEDIDAS INTERNAS), FUNDO DE BRITA COM GRELHA METÁLICA FERRO CHATO PADRÃO GOINFRA</v>
      </c>
      <c r="C1211" s="47"/>
      <c r="D1211" s="47"/>
      <c r="E1211" s="48"/>
      <c r="F1211" s="48"/>
      <c r="G1211" s="48"/>
      <c r="H1211" s="48"/>
      <c r="I1211" s="48"/>
      <c r="J1211" s="48"/>
      <c r="K1211" s="48"/>
      <c r="L1211" s="48"/>
      <c r="M1211" s="108"/>
      <c r="N1211" s="3">
        <f>C1215</f>
        <v>10</v>
      </c>
    </row>
    <row r="1212" spans="1:14" x14ac:dyDescent="0.25">
      <c r="A1212" s="86"/>
      <c r="M1212" s="87"/>
    </row>
    <row r="1213" spans="1:14" x14ac:dyDescent="0.25">
      <c r="A1213" s="86"/>
      <c r="B1213" s="30" t="s">
        <v>474</v>
      </c>
      <c r="M1213" s="87"/>
    </row>
    <row r="1214" spans="1:14" x14ac:dyDescent="0.25">
      <c r="A1214" s="86"/>
      <c r="M1214" s="87"/>
    </row>
    <row r="1215" spans="1:14" ht="15.75" x14ac:dyDescent="0.25">
      <c r="A1215" s="86"/>
      <c r="B1215" s="46" t="s">
        <v>109</v>
      </c>
      <c r="C1215" s="46">
        <v>10</v>
      </c>
      <c r="D1215" s="46" t="s">
        <v>110</v>
      </c>
      <c r="M1215" s="87"/>
    </row>
    <row r="1216" spans="1:14" x14ac:dyDescent="0.25">
      <c r="A1216" s="86"/>
      <c r="M1216" s="87"/>
    </row>
    <row r="1217" spans="1:13" ht="15.75" x14ac:dyDescent="0.25">
      <c r="A1217" s="151" t="s">
        <v>451</v>
      </c>
      <c r="B1217" s="152" t="s">
        <v>478</v>
      </c>
      <c r="C1217" s="153"/>
      <c r="D1217" s="153"/>
      <c r="E1217" s="154"/>
      <c r="F1217" s="154"/>
      <c r="G1217" s="154"/>
      <c r="H1217" s="154"/>
      <c r="I1217" s="154"/>
      <c r="J1217" s="154"/>
      <c r="K1217" s="154"/>
      <c r="L1217" s="154"/>
      <c r="M1217" s="155"/>
    </row>
    <row r="1218" spans="1:13" x14ac:dyDescent="0.25">
      <c r="A1218" s="86"/>
      <c r="M1218" s="87"/>
    </row>
    <row r="1219" spans="1:13" ht="15.75" x14ac:dyDescent="0.25">
      <c r="A1219" s="86"/>
      <c r="B1219" s="4" t="s">
        <v>496</v>
      </c>
      <c r="C1219" s="4" t="s">
        <v>501</v>
      </c>
      <c r="D1219" s="4" t="s">
        <v>334</v>
      </c>
      <c r="E1219" s="149" t="s">
        <v>500</v>
      </c>
      <c r="F1219" s="149" t="s">
        <v>0</v>
      </c>
      <c r="M1219" s="87"/>
    </row>
    <row r="1220" spans="1:13" x14ac:dyDescent="0.25">
      <c r="A1220" s="86"/>
      <c r="B1220" s="2" t="s">
        <v>492</v>
      </c>
      <c r="C1220" s="2">
        <v>2</v>
      </c>
      <c r="D1220" s="2">
        <v>1</v>
      </c>
      <c r="E1220" s="2">
        <v>1</v>
      </c>
      <c r="F1220" s="2">
        <f>SUM(C1220:E1220)</f>
        <v>4</v>
      </c>
      <c r="M1220" s="87"/>
    </row>
    <row r="1221" spans="1:13" x14ac:dyDescent="0.25">
      <c r="A1221" s="86"/>
      <c r="B1221" s="2" t="s">
        <v>479</v>
      </c>
      <c r="C1221" s="2">
        <v>2</v>
      </c>
      <c r="D1221" s="2">
        <v>1</v>
      </c>
      <c r="E1221" s="2"/>
      <c r="F1221" s="2">
        <f t="shared" ref="F1221:F1240" si="78">SUM(C1221:E1221)</f>
        <v>3</v>
      </c>
      <c r="M1221" s="87"/>
    </row>
    <row r="1222" spans="1:13" x14ac:dyDescent="0.25">
      <c r="A1222" s="86"/>
      <c r="B1222" s="2" t="s">
        <v>493</v>
      </c>
      <c r="C1222" s="2"/>
      <c r="D1222" s="2">
        <v>1</v>
      </c>
      <c r="E1222" s="2">
        <v>1</v>
      </c>
      <c r="F1222" s="2">
        <f t="shared" si="78"/>
        <v>2</v>
      </c>
      <c r="M1222" s="87"/>
    </row>
    <row r="1223" spans="1:13" x14ac:dyDescent="0.25">
      <c r="A1223" s="86"/>
      <c r="B1223" s="2" t="s">
        <v>497</v>
      </c>
      <c r="C1223" s="2"/>
      <c r="D1223" s="2"/>
      <c r="E1223" s="2">
        <v>1</v>
      </c>
      <c r="F1223" s="2">
        <f t="shared" si="78"/>
        <v>1</v>
      </c>
      <c r="M1223" s="87"/>
    </row>
    <row r="1224" spans="1:13" x14ac:dyDescent="0.25">
      <c r="A1224" s="86"/>
      <c r="B1224" s="2" t="s">
        <v>480</v>
      </c>
      <c r="C1224" s="2">
        <v>2</v>
      </c>
      <c r="D1224" s="2">
        <v>1</v>
      </c>
      <c r="E1224" s="2"/>
      <c r="F1224" s="342">
        <f>SUM(C1224:E1225)</f>
        <v>5</v>
      </c>
      <c r="M1224" s="87"/>
    </row>
    <row r="1225" spans="1:13" x14ac:dyDescent="0.25">
      <c r="A1225" s="86"/>
      <c r="B1225" s="2" t="s">
        <v>494</v>
      </c>
      <c r="C1225" s="2"/>
      <c r="D1225" s="2">
        <v>1</v>
      </c>
      <c r="E1225" s="2">
        <v>1</v>
      </c>
      <c r="F1225" s="343"/>
      <c r="M1225" s="87"/>
    </row>
    <row r="1226" spans="1:13" x14ac:dyDescent="0.25">
      <c r="A1226" s="86"/>
      <c r="B1226" s="2" t="s">
        <v>498</v>
      </c>
      <c r="C1226" s="2"/>
      <c r="D1226" s="2"/>
      <c r="E1226" s="2">
        <v>1</v>
      </c>
      <c r="F1226" s="2">
        <f t="shared" si="78"/>
        <v>1</v>
      </c>
      <c r="M1226" s="87"/>
    </row>
    <row r="1227" spans="1:13" x14ac:dyDescent="0.25">
      <c r="A1227" s="86"/>
      <c r="B1227" s="2" t="s">
        <v>481</v>
      </c>
      <c r="C1227" s="2">
        <v>2</v>
      </c>
      <c r="D1227" s="2">
        <v>1</v>
      </c>
      <c r="E1227" s="2">
        <v>1</v>
      </c>
      <c r="F1227" s="2">
        <f t="shared" si="78"/>
        <v>4</v>
      </c>
      <c r="M1227" s="87"/>
    </row>
    <row r="1228" spans="1:13" x14ac:dyDescent="0.25">
      <c r="A1228" s="86"/>
      <c r="B1228" s="2" t="s">
        <v>482</v>
      </c>
      <c r="C1228" s="2">
        <v>2</v>
      </c>
      <c r="D1228" s="2">
        <v>2</v>
      </c>
      <c r="E1228" s="2">
        <v>1</v>
      </c>
      <c r="F1228" s="2">
        <f t="shared" si="78"/>
        <v>5</v>
      </c>
      <c r="M1228" s="87"/>
    </row>
    <row r="1229" spans="1:13" x14ac:dyDescent="0.25">
      <c r="A1229" s="86"/>
      <c r="B1229" s="2" t="s">
        <v>502</v>
      </c>
      <c r="C1229" s="2"/>
      <c r="D1229" s="2">
        <v>1</v>
      </c>
      <c r="E1229" s="2"/>
      <c r="F1229" s="2">
        <f t="shared" si="78"/>
        <v>1</v>
      </c>
      <c r="M1229" s="87"/>
    </row>
    <row r="1230" spans="1:13" x14ac:dyDescent="0.25">
      <c r="A1230" s="86"/>
      <c r="B1230" s="2" t="s">
        <v>499</v>
      </c>
      <c r="C1230" s="2"/>
      <c r="D1230" s="2">
        <v>2</v>
      </c>
      <c r="E1230" s="2">
        <v>2</v>
      </c>
      <c r="F1230" s="2">
        <f t="shared" si="78"/>
        <v>4</v>
      </c>
      <c r="M1230" s="87"/>
    </row>
    <row r="1231" spans="1:13" x14ac:dyDescent="0.25">
      <c r="A1231" s="86"/>
      <c r="B1231" s="2" t="s">
        <v>483</v>
      </c>
      <c r="C1231" s="2">
        <v>2</v>
      </c>
      <c r="D1231" s="2">
        <v>1</v>
      </c>
      <c r="E1231" s="2"/>
      <c r="F1231" s="2">
        <f t="shared" si="78"/>
        <v>3</v>
      </c>
      <c r="M1231" s="87"/>
    </row>
    <row r="1232" spans="1:13" x14ac:dyDescent="0.25">
      <c r="A1232" s="86"/>
      <c r="B1232" s="2" t="s">
        <v>484</v>
      </c>
      <c r="C1232" s="2">
        <v>2</v>
      </c>
      <c r="D1232" s="2">
        <v>1</v>
      </c>
      <c r="E1232" s="2">
        <v>1</v>
      </c>
      <c r="F1232" s="2">
        <f t="shared" si="78"/>
        <v>4</v>
      </c>
      <c r="M1232" s="87"/>
    </row>
    <row r="1233" spans="1:14" x14ac:dyDescent="0.25">
      <c r="A1233" s="86"/>
      <c r="B1233" s="2" t="s">
        <v>485</v>
      </c>
      <c r="C1233" s="2">
        <v>1</v>
      </c>
      <c r="D1233" s="2"/>
      <c r="E1233" s="2"/>
      <c r="F1233" s="2">
        <f t="shared" si="78"/>
        <v>1</v>
      </c>
      <c r="M1233" s="87"/>
    </row>
    <row r="1234" spans="1:14" x14ac:dyDescent="0.25">
      <c r="A1234" s="86"/>
      <c r="B1234" s="2" t="s">
        <v>486</v>
      </c>
      <c r="C1234" s="2">
        <v>2</v>
      </c>
      <c r="D1234" s="2">
        <v>2</v>
      </c>
      <c r="E1234" s="2"/>
      <c r="F1234" s="2">
        <f t="shared" si="78"/>
        <v>4</v>
      </c>
      <c r="M1234" s="87"/>
    </row>
    <row r="1235" spans="1:14" x14ac:dyDescent="0.25">
      <c r="A1235" s="86"/>
      <c r="B1235" s="2" t="s">
        <v>487</v>
      </c>
      <c r="C1235" s="2">
        <v>3</v>
      </c>
      <c r="D1235" s="2">
        <v>2</v>
      </c>
      <c r="E1235" s="2"/>
      <c r="F1235" s="2">
        <f t="shared" si="78"/>
        <v>5</v>
      </c>
      <c r="M1235" s="87"/>
    </row>
    <row r="1236" spans="1:14" x14ac:dyDescent="0.25">
      <c r="A1236" s="86"/>
      <c r="B1236" s="2" t="s">
        <v>488</v>
      </c>
      <c r="C1236" s="2">
        <v>4</v>
      </c>
      <c r="D1236" s="2">
        <v>4</v>
      </c>
      <c r="E1236" s="2">
        <v>2</v>
      </c>
      <c r="F1236" s="2">
        <f t="shared" si="78"/>
        <v>10</v>
      </c>
      <c r="M1236" s="87"/>
    </row>
    <row r="1237" spans="1:14" x14ac:dyDescent="0.25">
      <c r="A1237" s="86"/>
      <c r="B1237" s="2" t="s">
        <v>489</v>
      </c>
      <c r="C1237" s="2">
        <v>2.2999999999999998</v>
      </c>
      <c r="D1237" s="2">
        <v>0.74</v>
      </c>
      <c r="E1237" s="2"/>
      <c r="F1237" s="2">
        <f t="shared" si="78"/>
        <v>3.04</v>
      </c>
      <c r="M1237" s="87"/>
    </row>
    <row r="1238" spans="1:14" x14ac:dyDescent="0.25">
      <c r="A1238" s="86"/>
      <c r="B1238" s="2" t="s">
        <v>490</v>
      </c>
      <c r="C1238" s="2">
        <v>6.16</v>
      </c>
      <c r="D1238" s="2">
        <v>2.38</v>
      </c>
      <c r="E1238" s="2">
        <v>1.01</v>
      </c>
      <c r="F1238" s="2">
        <f t="shared" si="78"/>
        <v>9.5499999999999989</v>
      </c>
      <c r="M1238" s="87"/>
    </row>
    <row r="1239" spans="1:14" x14ac:dyDescent="0.25">
      <c r="A1239" s="86"/>
      <c r="B1239" s="2" t="s">
        <v>491</v>
      </c>
      <c r="C1239" s="2">
        <v>1.06</v>
      </c>
      <c r="D1239" s="2">
        <v>4.5</v>
      </c>
      <c r="E1239" s="2">
        <v>23.09</v>
      </c>
      <c r="F1239" s="2">
        <f t="shared" si="78"/>
        <v>28.65</v>
      </c>
      <c r="M1239" s="87"/>
    </row>
    <row r="1240" spans="1:14" x14ac:dyDescent="0.25">
      <c r="A1240" s="86"/>
      <c r="B1240" s="2" t="s">
        <v>495</v>
      </c>
      <c r="C1240" s="2"/>
      <c r="D1240" s="2">
        <v>1</v>
      </c>
      <c r="E1240" s="2"/>
      <c r="F1240" s="2">
        <f t="shared" si="78"/>
        <v>1</v>
      </c>
      <c r="M1240" s="87"/>
    </row>
    <row r="1241" spans="1:14" x14ac:dyDescent="0.25">
      <c r="A1241" s="86"/>
      <c r="M1241" s="87"/>
    </row>
    <row r="1242" spans="1:14" x14ac:dyDescent="0.25">
      <c r="A1242" s="107" t="s">
        <v>519</v>
      </c>
      <c r="B1242" s="47" t="str">
        <f>VLOOKUP('IV-MEMORIAL'!A1242,'II-PO'!$A$19:$M$295,5,0)</f>
        <v>CAIXA SIFONADA, COM GRELHA QUADRADA, PVC, DN 150 X 150 X 50 MM, JUNTA SOLDÁVEL, FORNECIDA E INSTALADA EM RAMAL DE DESCARGA OU EM RAMAL DE ESGOTO SANITÁRIO. AF_08/2022</v>
      </c>
      <c r="C1242" s="47"/>
      <c r="D1242" s="47"/>
      <c r="E1242" s="48"/>
      <c r="F1242" s="48"/>
      <c r="G1242" s="48"/>
      <c r="H1242" s="48"/>
      <c r="I1242" s="48"/>
      <c r="J1242" s="48"/>
      <c r="K1242" s="48"/>
      <c r="L1242" s="48"/>
      <c r="M1242" s="108"/>
      <c r="N1242" s="3">
        <f>C1246</f>
        <v>4</v>
      </c>
    </row>
    <row r="1243" spans="1:14" x14ac:dyDescent="0.25">
      <c r="A1243" s="86"/>
      <c r="M1243" s="87"/>
    </row>
    <row r="1244" spans="1:14" x14ac:dyDescent="0.25">
      <c r="A1244" s="86"/>
      <c r="B1244" s="30" t="s">
        <v>474</v>
      </c>
      <c r="M1244" s="87"/>
    </row>
    <row r="1245" spans="1:14" x14ac:dyDescent="0.25">
      <c r="A1245" s="86"/>
      <c r="M1245" s="87"/>
    </row>
    <row r="1246" spans="1:14" ht="15.75" x14ac:dyDescent="0.25">
      <c r="A1246" s="86"/>
      <c r="B1246" s="46" t="s">
        <v>109</v>
      </c>
      <c r="C1246" s="46">
        <v>4</v>
      </c>
      <c r="D1246" s="46" t="s">
        <v>110</v>
      </c>
      <c r="M1246" s="87"/>
    </row>
    <row r="1247" spans="1:14" x14ac:dyDescent="0.25">
      <c r="A1247" s="86"/>
      <c r="M1247" s="87"/>
    </row>
    <row r="1248" spans="1:14" x14ac:dyDescent="0.25">
      <c r="A1248" s="107" t="s">
        <v>520</v>
      </c>
      <c r="B1248" s="47" t="str">
        <f>VLOOKUP('IV-MEMORIAL'!A1248,'II-PO'!$A$19:$M$295,5,0)</f>
        <v>SIFÃO DO TIPO GARRAFA EM METAL CROMADO 1 X 1.1/2" - FORNECIMENTO E INSTALAÇÃO. AF_01/2020</v>
      </c>
      <c r="C1248" s="47"/>
      <c r="D1248" s="47"/>
      <c r="E1248" s="48"/>
      <c r="F1248" s="48"/>
      <c r="G1248" s="48"/>
      <c r="H1248" s="48"/>
      <c r="I1248" s="48"/>
      <c r="J1248" s="48"/>
      <c r="K1248" s="48"/>
      <c r="L1248" s="48"/>
      <c r="M1248" s="108"/>
      <c r="N1248" s="3">
        <f>C1252</f>
        <v>3</v>
      </c>
    </row>
    <row r="1249" spans="1:14" x14ac:dyDescent="0.25">
      <c r="A1249" s="86"/>
      <c r="M1249" s="87"/>
    </row>
    <row r="1250" spans="1:14" x14ac:dyDescent="0.25">
      <c r="A1250" s="86"/>
      <c r="B1250" s="30" t="s">
        <v>474</v>
      </c>
      <c r="M1250" s="87"/>
    </row>
    <row r="1251" spans="1:14" x14ac:dyDescent="0.25">
      <c r="A1251" s="86"/>
      <c r="M1251" s="87"/>
    </row>
    <row r="1252" spans="1:14" ht="15.75" x14ac:dyDescent="0.25">
      <c r="A1252" s="86"/>
      <c r="B1252" s="46" t="s">
        <v>109</v>
      </c>
      <c r="C1252" s="46">
        <v>3</v>
      </c>
      <c r="D1252" s="46" t="s">
        <v>110</v>
      </c>
      <c r="M1252" s="87"/>
    </row>
    <row r="1253" spans="1:14" x14ac:dyDescent="0.25">
      <c r="A1253" s="86"/>
      <c r="M1253" s="87"/>
    </row>
    <row r="1254" spans="1:14" x14ac:dyDescent="0.25">
      <c r="A1254" s="107" t="s">
        <v>521</v>
      </c>
      <c r="B1254" s="47" t="str">
        <f>VLOOKUP('IV-MEMORIAL'!A1254,'II-PO'!$A$19:$M$295,5,0)</f>
        <v>SIFAO PARA PIA 1.1/2"X2" PVC CROMADO</v>
      </c>
      <c r="C1254" s="47"/>
      <c r="D1254" s="47"/>
      <c r="E1254" s="48"/>
      <c r="F1254" s="48"/>
      <c r="G1254" s="48"/>
      <c r="H1254" s="48"/>
      <c r="I1254" s="48"/>
      <c r="J1254" s="48"/>
      <c r="K1254" s="48"/>
      <c r="L1254" s="48"/>
      <c r="M1254" s="108"/>
      <c r="N1254" s="3">
        <f>C1258</f>
        <v>2</v>
      </c>
    </row>
    <row r="1255" spans="1:14" x14ac:dyDescent="0.25">
      <c r="A1255" s="86"/>
      <c r="M1255" s="87"/>
    </row>
    <row r="1256" spans="1:14" x14ac:dyDescent="0.25">
      <c r="A1256" s="86"/>
      <c r="B1256" s="30" t="s">
        <v>474</v>
      </c>
      <c r="M1256" s="87"/>
    </row>
    <row r="1257" spans="1:14" x14ac:dyDescent="0.25">
      <c r="A1257" s="86"/>
      <c r="M1257" s="87"/>
    </row>
    <row r="1258" spans="1:14" ht="15.75" x14ac:dyDescent="0.25">
      <c r="A1258" s="86"/>
      <c r="B1258" s="46" t="s">
        <v>109</v>
      </c>
      <c r="C1258" s="46">
        <v>2</v>
      </c>
      <c r="D1258" s="46" t="s">
        <v>110</v>
      </c>
      <c r="M1258" s="87"/>
    </row>
    <row r="1259" spans="1:14" x14ac:dyDescent="0.25">
      <c r="A1259" s="86"/>
      <c r="M1259" s="87"/>
    </row>
    <row r="1260" spans="1:14" x14ac:dyDescent="0.25">
      <c r="A1260" s="107" t="s">
        <v>522</v>
      </c>
      <c r="B1260" s="47" t="str">
        <f>VLOOKUP('IV-MEMORIAL'!A1260,'II-PO'!$A$19:$M$295,5,0)</f>
        <v>SIFAO FLEXIVEL UNIVERSAL (SANFONADO) EM PVC PARA LAVATORIO</v>
      </c>
      <c r="C1260" s="47"/>
      <c r="D1260" s="47"/>
      <c r="E1260" s="48"/>
      <c r="F1260" s="48"/>
      <c r="G1260" s="48"/>
      <c r="H1260" s="48"/>
      <c r="I1260" s="48"/>
      <c r="J1260" s="48"/>
      <c r="K1260" s="48"/>
      <c r="L1260" s="48"/>
      <c r="M1260" s="108"/>
      <c r="N1260" s="3">
        <f>C1264</f>
        <v>1</v>
      </c>
    </row>
    <row r="1261" spans="1:14" x14ac:dyDescent="0.25">
      <c r="A1261" s="86"/>
      <c r="M1261" s="87"/>
    </row>
    <row r="1262" spans="1:14" x14ac:dyDescent="0.25">
      <c r="A1262" s="86"/>
      <c r="B1262" s="30" t="s">
        <v>474</v>
      </c>
      <c r="M1262" s="87"/>
    </row>
    <row r="1263" spans="1:14" x14ac:dyDescent="0.25">
      <c r="A1263" s="86"/>
      <c r="M1263" s="87"/>
    </row>
    <row r="1264" spans="1:14" ht="15.75" x14ac:dyDescent="0.25">
      <c r="A1264" s="86"/>
      <c r="B1264" s="46" t="s">
        <v>109</v>
      </c>
      <c r="C1264" s="46">
        <v>1</v>
      </c>
      <c r="D1264" s="46" t="s">
        <v>110</v>
      </c>
      <c r="M1264" s="87"/>
    </row>
    <row r="1265" spans="1:14" x14ac:dyDescent="0.25">
      <c r="A1265" s="86"/>
      <c r="M1265" s="87"/>
    </row>
    <row r="1266" spans="1:14" x14ac:dyDescent="0.25">
      <c r="A1266" s="107" t="s">
        <v>523</v>
      </c>
      <c r="B1266" s="47" t="str">
        <f>VLOOKUP('IV-MEMORIAL'!A1266,'II-PO'!$A$19:$M$295,5,0)</f>
        <v>VÁLVULA EM PLÁSTICO 1" PARA PIA, TANQUE OU LAVATÓRIO, COM OU SEM LADRÃO - FORNECIMENTO E INSTALAÇÃO. AF_01/2020</v>
      </c>
      <c r="C1266" s="47"/>
      <c r="D1266" s="47"/>
      <c r="E1266" s="48"/>
      <c r="F1266" s="48"/>
      <c r="G1266" s="48"/>
      <c r="H1266" s="48"/>
      <c r="I1266" s="48"/>
      <c r="J1266" s="48"/>
      <c r="K1266" s="48"/>
      <c r="L1266" s="48"/>
      <c r="M1266" s="108"/>
      <c r="N1266" s="3">
        <f>C1270</f>
        <v>5</v>
      </c>
    </row>
    <row r="1267" spans="1:14" x14ac:dyDescent="0.25">
      <c r="A1267" s="86"/>
      <c r="M1267" s="87"/>
    </row>
    <row r="1268" spans="1:14" x14ac:dyDescent="0.25">
      <c r="A1268" s="86"/>
      <c r="B1268" s="30" t="s">
        <v>474</v>
      </c>
      <c r="M1268" s="87"/>
    </row>
    <row r="1269" spans="1:14" x14ac:dyDescent="0.25">
      <c r="A1269" s="86"/>
      <c r="M1269" s="87"/>
    </row>
    <row r="1270" spans="1:14" ht="15.75" x14ac:dyDescent="0.25">
      <c r="A1270" s="86"/>
      <c r="B1270" s="46" t="s">
        <v>109</v>
      </c>
      <c r="C1270" s="46">
        <v>5</v>
      </c>
      <c r="D1270" s="46" t="s">
        <v>110</v>
      </c>
      <c r="M1270" s="87"/>
    </row>
    <row r="1271" spans="1:14" x14ac:dyDescent="0.25">
      <c r="A1271" s="86"/>
      <c r="M1271" s="87"/>
    </row>
    <row r="1272" spans="1:14" x14ac:dyDescent="0.25">
      <c r="A1272" s="107" t="s">
        <v>524</v>
      </c>
      <c r="B1272" s="47" t="str">
        <f>VLOOKUP('IV-MEMORIAL'!A1272,'II-PO'!$A$19:$M$295,5,0)</f>
        <v>VÁLVULA EM METAL CROMADO 1.1/2" X 1.1/2" PARA TANQUE OU LAVATÓRIO, COM OU SEM LADRÃO - FORNECIMENTO E INSTALAÇÃO. AF_01/2020</v>
      </c>
      <c r="C1272" s="47"/>
      <c r="D1272" s="47"/>
      <c r="E1272" s="48"/>
      <c r="F1272" s="48"/>
      <c r="G1272" s="48"/>
      <c r="H1272" s="48"/>
      <c r="I1272" s="48"/>
      <c r="J1272" s="48"/>
      <c r="K1272" s="48"/>
      <c r="L1272" s="48"/>
      <c r="M1272" s="108"/>
      <c r="N1272" s="3">
        <f>C1276</f>
        <v>1</v>
      </c>
    </row>
    <row r="1273" spans="1:14" x14ac:dyDescent="0.25">
      <c r="A1273" s="86"/>
      <c r="M1273" s="87"/>
    </row>
    <row r="1274" spans="1:14" x14ac:dyDescent="0.25">
      <c r="A1274" s="86"/>
      <c r="B1274" s="30" t="s">
        <v>474</v>
      </c>
      <c r="M1274" s="87"/>
    </row>
    <row r="1275" spans="1:14" x14ac:dyDescent="0.25">
      <c r="A1275" s="86"/>
      <c r="M1275" s="87"/>
    </row>
    <row r="1276" spans="1:14" ht="15.75" x14ac:dyDescent="0.25">
      <c r="A1276" s="86"/>
      <c r="B1276" s="46" t="s">
        <v>109</v>
      </c>
      <c r="C1276" s="46">
        <v>1</v>
      </c>
      <c r="D1276" s="46" t="s">
        <v>110</v>
      </c>
      <c r="M1276" s="87"/>
    </row>
    <row r="1277" spans="1:14" x14ac:dyDescent="0.25">
      <c r="A1277" s="86"/>
      <c r="M1277" s="87"/>
    </row>
    <row r="1278" spans="1:14" x14ac:dyDescent="0.25">
      <c r="A1278" s="107" t="s">
        <v>525</v>
      </c>
      <c r="B1278" s="47" t="str">
        <f>VLOOKUP('IV-MEMORIAL'!A1278,'II-PO'!$A$19:$M$295,5,0)</f>
        <v>CURVA 90 GRAUS CURTA DIAM. 40 MM (ESGOTO)</v>
      </c>
      <c r="C1278" s="47"/>
      <c r="D1278" s="47"/>
      <c r="E1278" s="48"/>
      <c r="F1278" s="48"/>
      <c r="G1278" s="48"/>
      <c r="H1278" s="48"/>
      <c r="I1278" s="48"/>
      <c r="J1278" s="48"/>
      <c r="K1278" s="48"/>
      <c r="L1278" s="48"/>
      <c r="M1278" s="108"/>
      <c r="N1278" s="3">
        <f>C1282</f>
        <v>4</v>
      </c>
    </row>
    <row r="1279" spans="1:14" x14ac:dyDescent="0.25">
      <c r="A1279" s="86"/>
      <c r="M1279" s="87"/>
    </row>
    <row r="1280" spans="1:14" x14ac:dyDescent="0.25">
      <c r="A1280" s="86"/>
      <c r="B1280" s="30" t="s">
        <v>474</v>
      </c>
      <c r="M1280" s="87"/>
    </row>
    <row r="1281" spans="1:14" x14ac:dyDescent="0.25">
      <c r="A1281" s="86"/>
      <c r="M1281" s="87"/>
    </row>
    <row r="1282" spans="1:14" ht="15.75" x14ac:dyDescent="0.25">
      <c r="A1282" s="86"/>
      <c r="B1282" s="46" t="s">
        <v>109</v>
      </c>
      <c r="C1282" s="46">
        <v>4</v>
      </c>
      <c r="D1282" s="46" t="s">
        <v>110</v>
      </c>
      <c r="M1282" s="87"/>
    </row>
    <row r="1283" spans="1:14" x14ac:dyDescent="0.25">
      <c r="A1283" s="86"/>
      <c r="M1283" s="87"/>
    </row>
    <row r="1284" spans="1:14" x14ac:dyDescent="0.25">
      <c r="A1284" s="107" t="s">
        <v>526</v>
      </c>
      <c r="B1284" s="47" t="str">
        <f>VLOOKUP('IV-MEMORIAL'!A1284,'II-PO'!$A$19:$M$295,5,0)</f>
        <v>JOELHO 45 GRAUS DIAMETRO 40 MM (ESGOTO)</v>
      </c>
      <c r="C1284" s="47"/>
      <c r="D1284" s="47"/>
      <c r="E1284" s="48"/>
      <c r="F1284" s="48"/>
      <c r="G1284" s="48"/>
      <c r="H1284" s="48"/>
      <c r="I1284" s="48"/>
      <c r="J1284" s="48"/>
      <c r="K1284" s="48"/>
      <c r="L1284" s="48"/>
      <c r="M1284" s="108"/>
      <c r="N1284" s="3">
        <f>C1288</f>
        <v>5</v>
      </c>
    </row>
    <row r="1285" spans="1:14" x14ac:dyDescent="0.25">
      <c r="A1285" s="86"/>
      <c r="M1285" s="87"/>
    </row>
    <row r="1286" spans="1:14" x14ac:dyDescent="0.25">
      <c r="A1286" s="86"/>
      <c r="B1286" s="30" t="s">
        <v>474</v>
      </c>
      <c r="M1286" s="87"/>
    </row>
    <row r="1287" spans="1:14" x14ac:dyDescent="0.25">
      <c r="A1287" s="86"/>
      <c r="M1287" s="87"/>
    </row>
    <row r="1288" spans="1:14" ht="15.75" x14ac:dyDescent="0.25">
      <c r="A1288" s="86"/>
      <c r="B1288" s="46" t="s">
        <v>109</v>
      </c>
      <c r="C1288" s="46">
        <v>5</v>
      </c>
      <c r="D1288" s="46" t="s">
        <v>110</v>
      </c>
      <c r="M1288" s="87"/>
    </row>
    <row r="1289" spans="1:14" x14ac:dyDescent="0.25">
      <c r="A1289" s="86"/>
      <c r="M1289" s="87"/>
    </row>
    <row r="1290" spans="1:14" x14ac:dyDescent="0.25">
      <c r="A1290" s="107" t="s">
        <v>527</v>
      </c>
      <c r="B1290" s="47" t="str">
        <f>VLOOKUP('IV-MEMORIAL'!A1290,'II-PO'!$A$19:$M$295,5,0)</f>
        <v>JOELHO 45 GRAUS DIAMETRO 50 MM (ESGOTO)</v>
      </c>
      <c r="C1290" s="47"/>
      <c r="D1290" s="47"/>
      <c r="E1290" s="48"/>
      <c r="F1290" s="48"/>
      <c r="G1290" s="48"/>
      <c r="H1290" s="48"/>
      <c r="I1290" s="48"/>
      <c r="J1290" s="48"/>
      <c r="K1290" s="48"/>
      <c r="L1290" s="48"/>
      <c r="M1290" s="108"/>
      <c r="N1290" s="3">
        <f>C1294</f>
        <v>1</v>
      </c>
    </row>
    <row r="1291" spans="1:14" x14ac:dyDescent="0.25">
      <c r="A1291" s="86"/>
      <c r="M1291" s="87"/>
    </row>
    <row r="1292" spans="1:14" x14ac:dyDescent="0.25">
      <c r="A1292" s="86"/>
      <c r="B1292" s="30" t="s">
        <v>474</v>
      </c>
      <c r="M1292" s="87"/>
    </row>
    <row r="1293" spans="1:14" x14ac:dyDescent="0.25">
      <c r="A1293" s="86"/>
      <c r="M1293" s="87"/>
    </row>
    <row r="1294" spans="1:14" ht="15.75" x14ac:dyDescent="0.25">
      <c r="A1294" s="86"/>
      <c r="B1294" s="46" t="s">
        <v>109</v>
      </c>
      <c r="C1294" s="46">
        <v>1</v>
      </c>
      <c r="D1294" s="46" t="s">
        <v>110</v>
      </c>
      <c r="M1294" s="87"/>
    </row>
    <row r="1295" spans="1:14" x14ac:dyDescent="0.25">
      <c r="A1295" s="86"/>
      <c r="M1295" s="87"/>
    </row>
    <row r="1296" spans="1:14" x14ac:dyDescent="0.25">
      <c r="A1296" s="107" t="s">
        <v>528</v>
      </c>
      <c r="B1296" s="47" t="str">
        <f>VLOOKUP('IV-MEMORIAL'!A1296,'II-PO'!$A$19:$M$295,5,0)</f>
        <v>JOELHO 90 GRAUS DIAMETRO 50 MM (ESGOTO)</v>
      </c>
      <c r="C1296" s="47"/>
      <c r="D1296" s="47"/>
      <c r="E1296" s="48"/>
      <c r="F1296" s="48"/>
      <c r="G1296" s="48"/>
      <c r="H1296" s="48"/>
      <c r="I1296" s="48"/>
      <c r="J1296" s="48"/>
      <c r="K1296" s="48"/>
      <c r="L1296" s="48"/>
      <c r="M1296" s="108"/>
      <c r="N1296" s="3">
        <f>C1300</f>
        <v>4</v>
      </c>
    </row>
    <row r="1297" spans="1:14" x14ac:dyDescent="0.25">
      <c r="A1297" s="86"/>
      <c r="M1297" s="87"/>
    </row>
    <row r="1298" spans="1:14" x14ac:dyDescent="0.25">
      <c r="A1298" s="86"/>
      <c r="B1298" s="30" t="s">
        <v>474</v>
      </c>
      <c r="M1298" s="87"/>
    </row>
    <row r="1299" spans="1:14" x14ac:dyDescent="0.25">
      <c r="A1299" s="86"/>
      <c r="M1299" s="87"/>
    </row>
    <row r="1300" spans="1:14" ht="15.75" x14ac:dyDescent="0.25">
      <c r="A1300" s="86"/>
      <c r="B1300" s="46" t="s">
        <v>109</v>
      </c>
      <c r="C1300" s="46">
        <v>4</v>
      </c>
      <c r="D1300" s="46" t="s">
        <v>110</v>
      </c>
      <c r="M1300" s="87"/>
    </row>
    <row r="1301" spans="1:14" x14ac:dyDescent="0.25">
      <c r="A1301" s="86"/>
      <c r="M1301" s="87"/>
    </row>
    <row r="1302" spans="1:14" x14ac:dyDescent="0.25">
      <c r="A1302" s="107" t="s">
        <v>529</v>
      </c>
      <c r="B1302" s="47" t="str">
        <f>VLOOKUP('IV-MEMORIAL'!A1302,'II-PO'!$A$19:$M$295,5,0)</f>
        <v>JOELHO 90 GRAUS DIAMETRO 100 MM (ESGOTO)</v>
      </c>
      <c r="C1302" s="47"/>
      <c r="D1302" s="47"/>
      <c r="E1302" s="48"/>
      <c r="F1302" s="48"/>
      <c r="G1302" s="48"/>
      <c r="H1302" s="48"/>
      <c r="I1302" s="48"/>
      <c r="J1302" s="48"/>
      <c r="K1302" s="48"/>
      <c r="L1302" s="48"/>
      <c r="M1302" s="108"/>
      <c r="N1302" s="3">
        <f>C1306</f>
        <v>3</v>
      </c>
    </row>
    <row r="1303" spans="1:14" x14ac:dyDescent="0.25">
      <c r="A1303" s="86"/>
      <c r="M1303" s="87"/>
    </row>
    <row r="1304" spans="1:14" x14ac:dyDescent="0.25">
      <c r="A1304" s="86"/>
      <c r="B1304" s="30" t="s">
        <v>474</v>
      </c>
      <c r="M1304" s="87"/>
    </row>
    <row r="1305" spans="1:14" x14ac:dyDescent="0.25">
      <c r="A1305" s="86"/>
      <c r="M1305" s="87"/>
    </row>
    <row r="1306" spans="1:14" ht="15.75" x14ac:dyDescent="0.25">
      <c r="A1306" s="86"/>
      <c r="B1306" s="46" t="s">
        <v>109</v>
      </c>
      <c r="C1306" s="46">
        <v>3</v>
      </c>
      <c r="D1306" s="46" t="s">
        <v>110</v>
      </c>
      <c r="M1306" s="87"/>
    </row>
    <row r="1307" spans="1:14" x14ac:dyDescent="0.25">
      <c r="A1307" s="86"/>
      <c r="M1307" s="87"/>
    </row>
    <row r="1308" spans="1:14" x14ac:dyDescent="0.25">
      <c r="A1308" s="107" t="s">
        <v>530</v>
      </c>
      <c r="B1308" s="47" t="str">
        <f>VLOOKUP('IV-MEMORIAL'!A1308,'II-PO'!$A$19:$M$295,5,0)</f>
        <v>JOELHO 90 GRAUS DIAMETRO 40 MM (ESGOTO)</v>
      </c>
      <c r="C1308" s="47"/>
      <c r="D1308" s="47"/>
      <c r="E1308" s="48"/>
      <c r="F1308" s="48"/>
      <c r="G1308" s="48"/>
      <c r="H1308" s="48"/>
      <c r="I1308" s="48"/>
      <c r="J1308" s="48"/>
      <c r="K1308" s="48"/>
      <c r="L1308" s="48"/>
      <c r="M1308" s="108"/>
      <c r="N1308" s="3">
        <f>C1312</f>
        <v>4</v>
      </c>
    </row>
    <row r="1309" spans="1:14" x14ac:dyDescent="0.25">
      <c r="A1309" s="86"/>
      <c r="M1309" s="87"/>
    </row>
    <row r="1310" spans="1:14" x14ac:dyDescent="0.25">
      <c r="A1310" s="86"/>
      <c r="B1310" s="30" t="s">
        <v>474</v>
      </c>
      <c r="M1310" s="87"/>
    </row>
    <row r="1311" spans="1:14" x14ac:dyDescent="0.25">
      <c r="A1311" s="86"/>
      <c r="M1311" s="87"/>
    </row>
    <row r="1312" spans="1:14" ht="15.75" x14ac:dyDescent="0.25">
      <c r="A1312" s="86"/>
      <c r="B1312" s="46" t="s">
        <v>109</v>
      </c>
      <c r="C1312" s="46">
        <v>4</v>
      </c>
      <c r="D1312" s="46" t="s">
        <v>110</v>
      </c>
      <c r="M1312" s="87"/>
    </row>
    <row r="1313" spans="1:14" x14ac:dyDescent="0.25">
      <c r="A1313" s="86"/>
      <c r="M1313" s="87"/>
    </row>
    <row r="1314" spans="1:14" x14ac:dyDescent="0.25">
      <c r="A1314" s="107" t="s">
        <v>531</v>
      </c>
      <c r="B1314" s="47" t="str">
        <f>VLOOKUP('IV-MEMORIAL'!A1314,'II-PO'!$A$19:$M$295,5,0)</f>
        <v>JUNCAO SIMPLES DIAM. 100 X 50 MM (ESGOTO)</v>
      </c>
      <c r="C1314" s="47"/>
      <c r="D1314" s="47"/>
      <c r="E1314" s="48"/>
      <c r="F1314" s="48"/>
      <c r="G1314" s="48"/>
      <c r="H1314" s="48"/>
      <c r="I1314" s="48"/>
      <c r="J1314" s="48"/>
      <c r="K1314" s="48"/>
      <c r="L1314" s="48"/>
      <c r="M1314" s="108"/>
      <c r="N1314" s="3">
        <f>C1318</f>
        <v>1</v>
      </c>
    </row>
    <row r="1315" spans="1:14" x14ac:dyDescent="0.25">
      <c r="A1315" s="86"/>
      <c r="M1315" s="87"/>
    </row>
    <row r="1316" spans="1:14" x14ac:dyDescent="0.25">
      <c r="A1316" s="86"/>
      <c r="B1316" s="30" t="s">
        <v>474</v>
      </c>
      <c r="M1316" s="87"/>
    </row>
    <row r="1317" spans="1:14" x14ac:dyDescent="0.25">
      <c r="A1317" s="86"/>
      <c r="M1317" s="87"/>
    </row>
    <row r="1318" spans="1:14" ht="15.75" x14ac:dyDescent="0.25">
      <c r="A1318" s="86"/>
      <c r="B1318" s="46" t="s">
        <v>109</v>
      </c>
      <c r="C1318" s="46">
        <v>1</v>
      </c>
      <c r="D1318" s="46" t="s">
        <v>110</v>
      </c>
      <c r="M1318" s="87"/>
    </row>
    <row r="1319" spans="1:14" x14ac:dyDescent="0.25">
      <c r="A1319" s="86"/>
      <c r="M1319" s="87"/>
    </row>
    <row r="1320" spans="1:14" x14ac:dyDescent="0.25">
      <c r="A1320" s="107" t="s">
        <v>532</v>
      </c>
      <c r="B1320" s="47" t="str">
        <f>VLOOKUP('IV-MEMORIAL'!A1320,'II-PO'!$A$19:$M$295,5,0)</f>
        <v>LUVA SIMPLES DIAMETRO 40 MM - (ESGOTO)</v>
      </c>
      <c r="C1320" s="47"/>
      <c r="D1320" s="47"/>
      <c r="E1320" s="48"/>
      <c r="F1320" s="48"/>
      <c r="G1320" s="48"/>
      <c r="H1320" s="48"/>
      <c r="I1320" s="48"/>
      <c r="J1320" s="48"/>
      <c r="K1320" s="48"/>
      <c r="L1320" s="48"/>
      <c r="M1320" s="108"/>
      <c r="N1320" s="3">
        <f>C1324</f>
        <v>4</v>
      </c>
    </row>
    <row r="1321" spans="1:14" x14ac:dyDescent="0.25">
      <c r="A1321" s="86"/>
      <c r="M1321" s="87"/>
    </row>
    <row r="1322" spans="1:14" x14ac:dyDescent="0.25">
      <c r="A1322" s="86"/>
      <c r="B1322" s="30" t="s">
        <v>474</v>
      </c>
      <c r="M1322" s="87"/>
    </row>
    <row r="1323" spans="1:14" x14ac:dyDescent="0.25">
      <c r="A1323" s="86"/>
      <c r="M1323" s="87"/>
    </row>
    <row r="1324" spans="1:14" ht="15.75" x14ac:dyDescent="0.25">
      <c r="A1324" s="86"/>
      <c r="B1324" s="46" t="s">
        <v>109</v>
      </c>
      <c r="C1324" s="46">
        <v>4</v>
      </c>
      <c r="D1324" s="46" t="s">
        <v>110</v>
      </c>
      <c r="M1324" s="87"/>
    </row>
    <row r="1325" spans="1:14" x14ac:dyDescent="0.25">
      <c r="A1325" s="86"/>
      <c r="M1325" s="87"/>
    </row>
    <row r="1326" spans="1:14" x14ac:dyDescent="0.25">
      <c r="A1326" s="107" t="s">
        <v>533</v>
      </c>
      <c r="B1326" s="47" t="str">
        <f>VLOOKUP('IV-MEMORIAL'!A1326,'II-PO'!$A$19:$M$295,5,0)</f>
        <v>LUVA SIMPLES DIAMETRO 100 mm - (ESGOTO)</v>
      </c>
      <c r="C1326" s="47"/>
      <c r="D1326" s="47"/>
      <c r="E1326" s="48"/>
      <c r="F1326" s="48"/>
      <c r="G1326" s="48"/>
      <c r="H1326" s="48"/>
      <c r="I1326" s="48"/>
      <c r="J1326" s="48"/>
      <c r="K1326" s="48"/>
      <c r="L1326" s="48"/>
      <c r="M1326" s="108"/>
      <c r="N1326" s="3">
        <f>C1330</f>
        <v>5</v>
      </c>
    </row>
    <row r="1327" spans="1:14" x14ac:dyDescent="0.25">
      <c r="A1327" s="86"/>
      <c r="M1327" s="87"/>
    </row>
    <row r="1328" spans="1:14" x14ac:dyDescent="0.25">
      <c r="A1328" s="86"/>
      <c r="B1328" s="30" t="s">
        <v>474</v>
      </c>
      <c r="M1328" s="87"/>
    </row>
    <row r="1329" spans="1:14" x14ac:dyDescent="0.25">
      <c r="A1329" s="86"/>
      <c r="M1329" s="87"/>
    </row>
    <row r="1330" spans="1:14" ht="15.75" x14ac:dyDescent="0.25">
      <c r="A1330" s="86"/>
      <c r="B1330" s="46" t="s">
        <v>109</v>
      </c>
      <c r="C1330" s="46">
        <v>5</v>
      </c>
      <c r="D1330" s="46" t="s">
        <v>110</v>
      </c>
      <c r="M1330" s="87"/>
    </row>
    <row r="1331" spans="1:14" x14ac:dyDescent="0.25">
      <c r="A1331" s="86"/>
      <c r="M1331" s="87"/>
    </row>
    <row r="1332" spans="1:14" x14ac:dyDescent="0.25">
      <c r="A1332" s="107" t="s">
        <v>534</v>
      </c>
      <c r="B1332" s="47" t="str">
        <f>VLOOKUP('IV-MEMORIAL'!A1332,'II-PO'!$A$19:$M$295,5,0)</f>
        <v>LUVA SIMPLES DIAMETRO 50 MM - (ESGOTO)</v>
      </c>
      <c r="C1332" s="47"/>
      <c r="D1332" s="47"/>
      <c r="E1332" s="48"/>
      <c r="F1332" s="48"/>
      <c r="G1332" s="48"/>
      <c r="H1332" s="48"/>
      <c r="I1332" s="48"/>
      <c r="J1332" s="48"/>
      <c r="K1332" s="48"/>
      <c r="L1332" s="48"/>
      <c r="M1332" s="108"/>
      <c r="N1332" s="3">
        <f>C1336</f>
        <v>10</v>
      </c>
    </row>
    <row r="1333" spans="1:14" x14ac:dyDescent="0.25">
      <c r="A1333" s="86"/>
      <c r="M1333" s="87"/>
    </row>
    <row r="1334" spans="1:14" x14ac:dyDescent="0.25">
      <c r="A1334" s="86"/>
      <c r="B1334" s="30" t="s">
        <v>474</v>
      </c>
      <c r="M1334" s="87"/>
    </row>
    <row r="1335" spans="1:14" x14ac:dyDescent="0.25">
      <c r="A1335" s="86"/>
      <c r="M1335" s="87"/>
    </row>
    <row r="1336" spans="1:14" ht="15.75" x14ac:dyDescent="0.25">
      <c r="A1336" s="86"/>
      <c r="B1336" s="46" t="s">
        <v>109</v>
      </c>
      <c r="C1336" s="46">
        <v>10</v>
      </c>
      <c r="D1336" s="46" t="s">
        <v>110</v>
      </c>
      <c r="M1336" s="87"/>
    </row>
    <row r="1337" spans="1:14" x14ac:dyDescent="0.25">
      <c r="A1337" s="86"/>
      <c r="M1337" s="87"/>
    </row>
    <row r="1338" spans="1:14" x14ac:dyDescent="0.25">
      <c r="A1338" s="107" t="s">
        <v>535</v>
      </c>
      <c r="B1338" s="47" t="str">
        <f>VLOOKUP('IV-MEMORIAL'!A1338,'II-PO'!$A$19:$M$295,5,0)</f>
        <v>TUBO SOLDAVEL PARA ESGOTO DIAMETRO 100 MM</v>
      </c>
      <c r="C1338" s="47"/>
      <c r="D1338" s="47"/>
      <c r="E1338" s="48"/>
      <c r="F1338" s="48"/>
      <c r="G1338" s="48"/>
      <c r="H1338" s="48"/>
      <c r="I1338" s="48"/>
      <c r="J1338" s="48"/>
      <c r="K1338" s="48"/>
      <c r="L1338" s="48"/>
      <c r="M1338" s="108"/>
      <c r="N1338" s="3">
        <f>C1342</f>
        <v>3.04</v>
      </c>
    </row>
    <row r="1339" spans="1:14" x14ac:dyDescent="0.25">
      <c r="A1339" s="86"/>
      <c r="M1339" s="87"/>
    </row>
    <row r="1340" spans="1:14" x14ac:dyDescent="0.25">
      <c r="A1340" s="86"/>
      <c r="B1340" s="30" t="s">
        <v>474</v>
      </c>
      <c r="M1340" s="87"/>
    </row>
    <row r="1341" spans="1:14" x14ac:dyDescent="0.25">
      <c r="A1341" s="86"/>
      <c r="M1341" s="87"/>
    </row>
    <row r="1342" spans="1:14" ht="15.75" x14ac:dyDescent="0.25">
      <c r="A1342" s="86"/>
      <c r="B1342" s="46" t="s">
        <v>109</v>
      </c>
      <c r="C1342" s="46">
        <v>3.04</v>
      </c>
      <c r="D1342" s="46" t="s">
        <v>116</v>
      </c>
      <c r="M1342" s="87"/>
    </row>
    <row r="1343" spans="1:14" x14ac:dyDescent="0.25">
      <c r="A1343" s="86"/>
      <c r="M1343" s="87"/>
    </row>
    <row r="1344" spans="1:14" x14ac:dyDescent="0.25">
      <c r="A1344" s="107" t="s">
        <v>536</v>
      </c>
      <c r="B1344" s="47" t="str">
        <f>VLOOKUP('IV-MEMORIAL'!A1344,'II-PO'!$A$19:$M$295,5,0)</f>
        <v>TUBO SOLDAVEL PARA ESGOTO DIAMETRO 40 MM</v>
      </c>
      <c r="C1344" s="47"/>
      <c r="D1344" s="47"/>
      <c r="E1344" s="48"/>
      <c r="F1344" s="48"/>
      <c r="G1344" s="48"/>
      <c r="H1344" s="48"/>
      <c r="I1344" s="48"/>
      <c r="J1344" s="48"/>
      <c r="K1344" s="48"/>
      <c r="L1344" s="48"/>
      <c r="M1344" s="108"/>
      <c r="N1344" s="3">
        <f>C1348</f>
        <v>9.5500000000000007</v>
      </c>
    </row>
    <row r="1345" spans="1:14" x14ac:dyDescent="0.25">
      <c r="A1345" s="86"/>
      <c r="M1345" s="87"/>
    </row>
    <row r="1346" spans="1:14" x14ac:dyDescent="0.25">
      <c r="A1346" s="86"/>
      <c r="B1346" s="30" t="s">
        <v>474</v>
      </c>
      <c r="M1346" s="87"/>
    </row>
    <row r="1347" spans="1:14" x14ac:dyDescent="0.25">
      <c r="A1347" s="86"/>
      <c r="M1347" s="87"/>
    </row>
    <row r="1348" spans="1:14" ht="15.75" x14ac:dyDescent="0.25">
      <c r="A1348" s="86"/>
      <c r="B1348" s="46" t="s">
        <v>109</v>
      </c>
      <c r="C1348" s="46">
        <v>9.5500000000000007</v>
      </c>
      <c r="D1348" s="46" t="s">
        <v>116</v>
      </c>
      <c r="M1348" s="87"/>
    </row>
    <row r="1349" spans="1:14" x14ac:dyDescent="0.25">
      <c r="A1349" s="86"/>
      <c r="M1349" s="87"/>
    </row>
    <row r="1350" spans="1:14" x14ac:dyDescent="0.25">
      <c r="A1350" s="107" t="s">
        <v>537</v>
      </c>
      <c r="B1350" s="47" t="str">
        <f>VLOOKUP('IV-MEMORIAL'!A1350,'II-PO'!$A$19:$M$295,5,0)</f>
        <v>TUBO SOLDAVEL PARA ESGOTO DIAMETRO 50 MM</v>
      </c>
      <c r="C1350" s="47"/>
      <c r="D1350" s="47"/>
      <c r="E1350" s="48"/>
      <c r="F1350" s="48"/>
      <c r="G1350" s="48"/>
      <c r="H1350" s="48"/>
      <c r="I1350" s="48"/>
      <c r="J1350" s="48"/>
      <c r="K1350" s="48"/>
      <c r="L1350" s="48"/>
      <c r="M1350" s="108"/>
      <c r="N1350" s="3">
        <f>C1354</f>
        <v>28.65</v>
      </c>
    </row>
    <row r="1351" spans="1:14" x14ac:dyDescent="0.25">
      <c r="A1351" s="86"/>
      <c r="M1351" s="87"/>
    </row>
    <row r="1352" spans="1:14" x14ac:dyDescent="0.25">
      <c r="A1352" s="86"/>
      <c r="B1352" s="30" t="s">
        <v>474</v>
      </c>
      <c r="M1352" s="87"/>
    </row>
    <row r="1353" spans="1:14" x14ac:dyDescent="0.25">
      <c r="A1353" s="86"/>
      <c r="M1353" s="87"/>
    </row>
    <row r="1354" spans="1:14" ht="15.75" x14ac:dyDescent="0.25">
      <c r="A1354" s="86"/>
      <c r="B1354" s="46" t="s">
        <v>109</v>
      </c>
      <c r="C1354" s="46">
        <v>28.65</v>
      </c>
      <c r="D1354" s="46" t="s">
        <v>116</v>
      </c>
      <c r="M1354" s="87"/>
    </row>
    <row r="1355" spans="1:14" x14ac:dyDescent="0.25">
      <c r="A1355" s="86"/>
      <c r="M1355" s="87"/>
    </row>
    <row r="1356" spans="1:14" x14ac:dyDescent="0.25">
      <c r="A1356" s="107" t="s">
        <v>538</v>
      </c>
      <c r="B1356" s="47" t="str">
        <f>VLOOKUP('IV-MEMORIAL'!A1356,'II-PO'!$A$19:$M$295,5,0)</f>
        <v>TE SANITARIO DIAMETRO 100 X 50 MM (ESGOTO)</v>
      </c>
      <c r="C1356" s="47"/>
      <c r="D1356" s="47"/>
      <c r="E1356" s="48"/>
      <c r="F1356" s="48"/>
      <c r="G1356" s="48"/>
      <c r="H1356" s="48"/>
      <c r="I1356" s="48"/>
      <c r="J1356" s="48"/>
      <c r="K1356" s="48"/>
      <c r="L1356" s="48"/>
      <c r="M1356" s="108"/>
      <c r="N1356" s="3">
        <f>C1360</f>
        <v>1</v>
      </c>
    </row>
    <row r="1357" spans="1:14" x14ac:dyDescent="0.25">
      <c r="A1357" s="86"/>
      <c r="M1357" s="87"/>
    </row>
    <row r="1358" spans="1:14" x14ac:dyDescent="0.25">
      <c r="A1358" s="86"/>
      <c r="B1358" s="30" t="s">
        <v>474</v>
      </c>
      <c r="M1358" s="87"/>
    </row>
    <row r="1359" spans="1:14" x14ac:dyDescent="0.25">
      <c r="A1359" s="86"/>
      <c r="M1359" s="87"/>
    </row>
    <row r="1360" spans="1:14" ht="15.75" x14ac:dyDescent="0.25">
      <c r="A1360" s="86"/>
      <c r="B1360" s="46" t="s">
        <v>109</v>
      </c>
      <c r="C1360" s="46">
        <v>1</v>
      </c>
      <c r="D1360" s="46" t="s">
        <v>110</v>
      </c>
      <c r="M1360" s="87"/>
    </row>
    <row r="1361" spans="1:14" x14ac:dyDescent="0.25">
      <c r="A1361" s="86"/>
      <c r="M1361" s="87"/>
    </row>
    <row r="1362" spans="1:14" ht="15.75" x14ac:dyDescent="0.25">
      <c r="A1362" s="151" t="s">
        <v>462</v>
      </c>
      <c r="B1362" s="152" t="s">
        <v>503</v>
      </c>
      <c r="C1362" s="153"/>
      <c r="D1362" s="153"/>
      <c r="E1362" s="154"/>
      <c r="F1362" s="154"/>
      <c r="G1362" s="154"/>
      <c r="H1362" s="154"/>
      <c r="I1362" s="154"/>
      <c r="J1362" s="154"/>
      <c r="K1362" s="154"/>
      <c r="L1362" s="154"/>
      <c r="M1362" s="155"/>
    </row>
    <row r="1363" spans="1:14" x14ac:dyDescent="0.25">
      <c r="A1363" s="86"/>
      <c r="M1363" s="87"/>
    </row>
    <row r="1364" spans="1:14" ht="15.75" x14ac:dyDescent="0.25">
      <c r="A1364" s="86"/>
      <c r="B1364" s="4" t="s">
        <v>496</v>
      </c>
      <c r="C1364" s="4" t="s">
        <v>501</v>
      </c>
      <c r="D1364" s="4" t="s">
        <v>334</v>
      </c>
      <c r="E1364" s="149" t="s">
        <v>500</v>
      </c>
      <c r="F1364" s="149" t="s">
        <v>0</v>
      </c>
      <c r="M1364" s="87"/>
    </row>
    <row r="1365" spans="1:14" x14ac:dyDescent="0.25">
      <c r="A1365" s="86"/>
      <c r="B1365" s="2" t="s">
        <v>499</v>
      </c>
      <c r="C1365" s="2">
        <v>4</v>
      </c>
      <c r="D1365" s="2">
        <v>2</v>
      </c>
      <c r="E1365" s="2"/>
      <c r="F1365" s="2">
        <f t="shared" ref="F1365:F1367" si="79">SUM(C1365:E1365)</f>
        <v>6</v>
      </c>
      <c r="M1365" s="87"/>
    </row>
    <row r="1366" spans="1:14" x14ac:dyDescent="0.25">
      <c r="A1366" s="86"/>
      <c r="B1366" s="2" t="s">
        <v>504</v>
      </c>
      <c r="C1366" s="2">
        <v>0.44</v>
      </c>
      <c r="D1366" s="2">
        <v>0.49</v>
      </c>
      <c r="E1366" s="2"/>
      <c r="F1366" s="2">
        <f t="shared" si="79"/>
        <v>0.92999999999999994</v>
      </c>
      <c r="M1366" s="87"/>
    </row>
    <row r="1367" spans="1:14" x14ac:dyDescent="0.25">
      <c r="A1367" s="86"/>
      <c r="B1367" s="2" t="s">
        <v>505</v>
      </c>
      <c r="C1367" s="2">
        <v>2</v>
      </c>
      <c r="D1367" s="2">
        <v>1</v>
      </c>
      <c r="E1367" s="2"/>
      <c r="F1367" s="2">
        <f t="shared" si="79"/>
        <v>3</v>
      </c>
      <c r="M1367" s="87"/>
    </row>
    <row r="1368" spans="1:14" x14ac:dyDescent="0.25">
      <c r="A1368" s="86"/>
      <c r="M1368" s="87"/>
    </row>
    <row r="1369" spans="1:14" x14ac:dyDescent="0.25">
      <c r="A1369" s="107" t="s">
        <v>539</v>
      </c>
      <c r="B1369" s="47" t="str">
        <f>VLOOKUP('IV-MEMORIAL'!A1369,'II-PO'!$A$19:$M$295,5,0)</f>
        <v>JOELHO 90 GRAUS, PVC, SERIE NORMAL, ESGOTO PREDIAL, DN 50 MM, JUNTA ELÁSTICA, FORNECIDO E INSTALADO EM PRUMADA DE ESGOTO SANITÁRIO OU VENTILAÇÃO. AF_08/2022</v>
      </c>
      <c r="C1369" s="47"/>
      <c r="D1369" s="47"/>
      <c r="E1369" s="48"/>
      <c r="F1369" s="48"/>
      <c r="G1369" s="48"/>
      <c r="H1369" s="48"/>
      <c r="I1369" s="48"/>
      <c r="J1369" s="48"/>
      <c r="K1369" s="48"/>
      <c r="L1369" s="48"/>
      <c r="M1369" s="108"/>
      <c r="N1369" s="3">
        <f>C1373</f>
        <v>6</v>
      </c>
    </row>
    <row r="1370" spans="1:14" x14ac:dyDescent="0.25">
      <c r="A1370" s="86"/>
      <c r="M1370" s="87"/>
    </row>
    <row r="1371" spans="1:14" x14ac:dyDescent="0.25">
      <c r="A1371" s="86"/>
      <c r="B1371" s="30" t="s">
        <v>474</v>
      </c>
      <c r="M1371" s="87"/>
    </row>
    <row r="1372" spans="1:14" x14ac:dyDescent="0.25">
      <c r="A1372" s="86"/>
      <c r="M1372" s="87"/>
    </row>
    <row r="1373" spans="1:14" ht="15.75" x14ac:dyDescent="0.25">
      <c r="A1373" s="86"/>
      <c r="B1373" s="46" t="s">
        <v>109</v>
      </c>
      <c r="C1373" s="46">
        <v>6</v>
      </c>
      <c r="D1373" s="46" t="s">
        <v>110</v>
      </c>
      <c r="M1373" s="87"/>
    </row>
    <row r="1374" spans="1:14" x14ac:dyDescent="0.25">
      <c r="A1374" s="86"/>
      <c r="M1374" s="87"/>
    </row>
    <row r="1375" spans="1:14" x14ac:dyDescent="0.25">
      <c r="A1375" s="107" t="s">
        <v>540</v>
      </c>
      <c r="B1375" s="47" t="str">
        <f>VLOOKUP('IV-MEMORIAL'!A1375,'II-PO'!$A$19:$M$295,5,0)</f>
        <v>TUBO PVC, SERIE NORMAL, ESGOTO PREDIAL, DN 50 MM, FORNECIDO E INSTALADO EM PRUMADA DE ESGOTO SANITÁRIO OU VENTILAÇÃO. AF_08/2022</v>
      </c>
      <c r="C1375" s="47"/>
      <c r="D1375" s="47"/>
      <c r="E1375" s="48"/>
      <c r="F1375" s="48"/>
      <c r="G1375" s="48"/>
      <c r="H1375" s="48"/>
      <c r="I1375" s="48"/>
      <c r="J1375" s="48"/>
      <c r="K1375" s="48"/>
      <c r="L1375" s="48"/>
      <c r="M1375" s="108"/>
      <c r="N1375" s="3">
        <f>C1379</f>
        <v>0.93</v>
      </c>
    </row>
    <row r="1376" spans="1:14" x14ac:dyDescent="0.25">
      <c r="A1376" s="86"/>
      <c r="M1376" s="87"/>
    </row>
    <row r="1377" spans="1:14" x14ac:dyDescent="0.25">
      <c r="A1377" s="86"/>
      <c r="B1377" s="30" t="s">
        <v>474</v>
      </c>
      <c r="M1377" s="87"/>
    </row>
    <row r="1378" spans="1:14" x14ac:dyDescent="0.25">
      <c r="A1378" s="86"/>
      <c r="M1378" s="87"/>
    </row>
    <row r="1379" spans="1:14" ht="15.75" x14ac:dyDescent="0.25">
      <c r="A1379" s="86"/>
      <c r="B1379" s="46" t="s">
        <v>109</v>
      </c>
      <c r="C1379" s="46">
        <v>0.93</v>
      </c>
      <c r="D1379" s="46" t="s">
        <v>116</v>
      </c>
      <c r="M1379" s="87"/>
    </row>
    <row r="1380" spans="1:14" x14ac:dyDescent="0.25">
      <c r="A1380" s="86"/>
      <c r="M1380" s="87"/>
    </row>
    <row r="1381" spans="1:14" x14ac:dyDescent="0.25">
      <c r="A1381" s="107" t="s">
        <v>541</v>
      </c>
      <c r="B1381" s="47" t="str">
        <f>VLOOKUP('IV-MEMORIAL'!A1381,'II-PO'!$A$19:$M$295,5,0)</f>
        <v>TE, PVC, SERIE NORMAL, ESGOTO PREDIAL, DN 50 X 50 MM, JUNTA ELÁSTICA, FORNECIDO E INSTALADO EM PRUMADA DE ESGOTO SANITÁRIO OU VENTILAÇÃO. AF_08/2022</v>
      </c>
      <c r="C1381" s="47"/>
      <c r="D1381" s="47"/>
      <c r="E1381" s="48"/>
      <c r="F1381" s="48"/>
      <c r="G1381" s="48"/>
      <c r="H1381" s="48"/>
      <c r="I1381" s="48"/>
      <c r="J1381" s="48"/>
      <c r="K1381" s="48"/>
      <c r="L1381" s="48"/>
      <c r="M1381" s="108"/>
      <c r="N1381" s="3">
        <f>C1385</f>
        <v>3</v>
      </c>
    </row>
    <row r="1382" spans="1:14" x14ac:dyDescent="0.25">
      <c r="A1382" s="86"/>
      <c r="M1382" s="87"/>
    </row>
    <row r="1383" spans="1:14" x14ac:dyDescent="0.25">
      <c r="A1383" s="86"/>
      <c r="B1383" s="30" t="s">
        <v>474</v>
      </c>
      <c r="M1383" s="87"/>
    </row>
    <row r="1384" spans="1:14" x14ac:dyDescent="0.25">
      <c r="A1384" s="86"/>
      <c r="M1384" s="87"/>
    </row>
    <row r="1385" spans="1:14" ht="15.75" x14ac:dyDescent="0.25">
      <c r="A1385" s="86"/>
      <c r="B1385" s="46" t="s">
        <v>109</v>
      </c>
      <c r="C1385" s="46">
        <v>3</v>
      </c>
      <c r="D1385" s="46" t="s">
        <v>110</v>
      </c>
      <c r="M1385" s="87"/>
    </row>
    <row r="1386" spans="1:14" x14ac:dyDescent="0.25">
      <c r="A1386" s="86"/>
      <c r="M1386" s="87"/>
    </row>
    <row r="1387" spans="1:14" ht="15.75" x14ac:dyDescent="0.25">
      <c r="A1387" s="151" t="s">
        <v>506</v>
      </c>
      <c r="B1387" s="152" t="s">
        <v>507</v>
      </c>
      <c r="C1387" s="153"/>
      <c r="D1387" s="153"/>
      <c r="E1387" s="154"/>
      <c r="F1387" s="154"/>
      <c r="G1387" s="154"/>
      <c r="H1387" s="154"/>
      <c r="I1387" s="154"/>
      <c r="J1387" s="154"/>
      <c r="K1387" s="154"/>
      <c r="L1387" s="154"/>
      <c r="M1387" s="155"/>
    </row>
    <row r="1388" spans="1:14" x14ac:dyDescent="0.25">
      <c r="A1388" s="86"/>
      <c r="M1388" s="87"/>
    </row>
    <row r="1389" spans="1:14" x14ac:dyDescent="0.25">
      <c r="A1389" s="107" t="s">
        <v>542</v>
      </c>
      <c r="B1389" s="47" t="str">
        <f>VLOOKUP('IV-MEMORIAL'!A1389,'II-PO'!$A$19:$M$295,5,0)</f>
        <v>CURVA 90 GRAUS, PVC, SOLDÁVEL, DN 25MM, INSTALADO EM RAMAL OU SUB-RAMAL DE ÁGUA - FORNECIMENTO E INSTALAÇÃO. AF_06/2022</v>
      </c>
      <c r="C1389" s="47"/>
      <c r="D1389" s="47"/>
      <c r="E1389" s="48"/>
      <c r="F1389" s="48"/>
      <c r="G1389" s="48"/>
      <c r="H1389" s="48"/>
      <c r="I1389" s="48"/>
      <c r="J1389" s="48"/>
      <c r="K1389" s="48"/>
      <c r="L1389" s="48"/>
      <c r="M1389" s="108"/>
      <c r="N1389" s="3">
        <f>C1393</f>
        <v>1</v>
      </c>
    </row>
    <row r="1390" spans="1:14" x14ac:dyDescent="0.25">
      <c r="A1390" s="86"/>
      <c r="M1390" s="87"/>
    </row>
    <row r="1391" spans="1:14" x14ac:dyDescent="0.25">
      <c r="A1391" s="86"/>
      <c r="B1391" s="30" t="s">
        <v>474</v>
      </c>
      <c r="M1391" s="87"/>
    </row>
    <row r="1392" spans="1:14" x14ac:dyDescent="0.25">
      <c r="A1392" s="86"/>
      <c r="M1392" s="87"/>
    </row>
    <row r="1393" spans="1:14" ht="15.75" x14ac:dyDescent="0.25">
      <c r="A1393" s="86"/>
      <c r="B1393" s="46" t="s">
        <v>109</v>
      </c>
      <c r="C1393" s="46">
        <v>1</v>
      </c>
      <c r="D1393" s="46" t="s">
        <v>110</v>
      </c>
      <c r="M1393" s="87"/>
    </row>
    <row r="1394" spans="1:14" x14ac:dyDescent="0.25">
      <c r="A1394" s="86"/>
      <c r="M1394" s="87"/>
    </row>
    <row r="1395" spans="1:14" x14ac:dyDescent="0.25">
      <c r="A1395" s="107" t="s">
        <v>543</v>
      </c>
      <c r="B1395" s="47" t="str">
        <f>VLOOKUP('IV-MEMORIAL'!A1395,'II-PO'!$A$19:$M$295,5,0)</f>
        <v>TUBO, PVC, SOLDÁVEL, DE 25MM, INSTALADO EM RAMAL OU SUB-RAMAL DE ÁGUA - FORNECIMENTO E INSTALAÇÃO. AF_06/2022</v>
      </c>
      <c r="C1395" s="47"/>
      <c r="D1395" s="47"/>
      <c r="E1395" s="48"/>
      <c r="F1395" s="48"/>
      <c r="G1395" s="48"/>
      <c r="H1395" s="48"/>
      <c r="I1395" s="48"/>
      <c r="J1395" s="48"/>
      <c r="K1395" s="48"/>
      <c r="L1395" s="48"/>
      <c r="M1395" s="108"/>
      <c r="N1395" s="3">
        <f>C1399</f>
        <v>9.42</v>
      </c>
    </row>
    <row r="1396" spans="1:14" x14ac:dyDescent="0.25">
      <c r="A1396" s="86"/>
      <c r="M1396" s="87"/>
    </row>
    <row r="1397" spans="1:14" x14ac:dyDescent="0.25">
      <c r="A1397" s="86"/>
      <c r="B1397" s="30" t="s">
        <v>474</v>
      </c>
      <c r="M1397" s="87"/>
    </row>
    <row r="1398" spans="1:14" x14ac:dyDescent="0.25">
      <c r="A1398" s="86"/>
      <c r="M1398" s="87"/>
    </row>
    <row r="1399" spans="1:14" ht="15.75" x14ac:dyDescent="0.25">
      <c r="A1399" s="86"/>
      <c r="B1399" s="46" t="s">
        <v>109</v>
      </c>
      <c r="C1399" s="46">
        <v>9.42</v>
      </c>
      <c r="D1399" s="46" t="s">
        <v>116</v>
      </c>
      <c r="M1399" s="87"/>
    </row>
    <row r="1400" spans="1:14" x14ac:dyDescent="0.25">
      <c r="A1400" s="86"/>
      <c r="M1400" s="87"/>
    </row>
    <row r="1401" spans="1:14" x14ac:dyDescent="0.25">
      <c r="A1401" s="107" t="s">
        <v>544</v>
      </c>
      <c r="B1401" s="47" t="str">
        <f>VLOOKUP('IV-MEMORIAL'!A1401,'II-PO'!$A$19:$M$295,5,0)</f>
        <v>TORNEIRA CROMADA DE MESA, 1/2" OU 3/4", PARA LAVATÓRIO, PADRÃO MÉDIO - FORNECIMENTO E INSTALAÇÃO. AF_01/2020</v>
      </c>
      <c r="C1401" s="47"/>
      <c r="D1401" s="47"/>
      <c r="E1401" s="48"/>
      <c r="F1401" s="48"/>
      <c r="G1401" s="48"/>
      <c r="H1401" s="48"/>
      <c r="I1401" s="48"/>
      <c r="J1401" s="48"/>
      <c r="K1401" s="48"/>
      <c r="L1401" s="48"/>
      <c r="M1401" s="108"/>
      <c r="N1401" s="3">
        <f>C1405</f>
        <v>2</v>
      </c>
    </row>
    <row r="1402" spans="1:14" x14ac:dyDescent="0.25">
      <c r="A1402" s="86"/>
      <c r="M1402" s="87"/>
    </row>
    <row r="1403" spans="1:14" x14ac:dyDescent="0.25">
      <c r="A1403" s="86"/>
      <c r="B1403" s="30" t="s">
        <v>474</v>
      </c>
      <c r="M1403" s="87"/>
    </row>
    <row r="1404" spans="1:14" x14ac:dyDescent="0.25">
      <c r="A1404" s="86"/>
      <c r="M1404" s="87"/>
    </row>
    <row r="1405" spans="1:14" ht="15.75" x14ac:dyDescent="0.25">
      <c r="A1405" s="86"/>
      <c r="B1405" s="46" t="s">
        <v>109</v>
      </c>
      <c r="C1405" s="46">
        <v>2</v>
      </c>
      <c r="D1405" s="46" t="s">
        <v>110</v>
      </c>
      <c r="M1405" s="87"/>
    </row>
    <row r="1406" spans="1:14" x14ac:dyDescent="0.25">
      <c r="A1406" s="86"/>
      <c r="M1406" s="87"/>
    </row>
    <row r="1407" spans="1:14" x14ac:dyDescent="0.25">
      <c r="A1407" s="107" t="s">
        <v>545</v>
      </c>
      <c r="B1407" s="47" t="str">
        <f>VLOOKUP('IV-MEMORIAL'!A1407,'II-PO'!$A$19:$M$295,5,0)</f>
        <v>VASO SANITÁRIO SIFONADO COM CAIXA ACOPLADA LOUÇA BRANCA - FORNECIMENTO E INSTALAÇÃO. AF_01/2020</v>
      </c>
      <c r="C1407" s="47"/>
      <c r="D1407" s="47"/>
      <c r="E1407" s="48"/>
      <c r="F1407" s="48"/>
      <c r="G1407" s="48"/>
      <c r="H1407" s="48"/>
      <c r="I1407" s="48"/>
      <c r="J1407" s="48"/>
      <c r="K1407" s="48"/>
      <c r="L1407" s="48"/>
      <c r="M1407" s="108"/>
      <c r="N1407" s="3">
        <f>C1411</f>
        <v>2</v>
      </c>
    </row>
    <row r="1408" spans="1:14" x14ac:dyDescent="0.25">
      <c r="A1408" s="86"/>
      <c r="M1408" s="87"/>
    </row>
    <row r="1409" spans="1:14" x14ac:dyDescent="0.25">
      <c r="A1409" s="86"/>
      <c r="B1409" s="30" t="s">
        <v>474</v>
      </c>
      <c r="M1409" s="87"/>
    </row>
    <row r="1410" spans="1:14" x14ac:dyDescent="0.25">
      <c r="A1410" s="86"/>
      <c r="M1410" s="87"/>
    </row>
    <row r="1411" spans="1:14" ht="15.75" x14ac:dyDescent="0.25">
      <c r="A1411" s="86"/>
      <c r="B1411" s="46" t="s">
        <v>109</v>
      </c>
      <c r="C1411" s="46">
        <v>2</v>
      </c>
      <c r="D1411" s="46" t="s">
        <v>110</v>
      </c>
      <c r="M1411" s="87"/>
    </row>
    <row r="1412" spans="1:14" x14ac:dyDescent="0.25">
      <c r="A1412" s="86"/>
      <c r="M1412" s="87"/>
    </row>
    <row r="1413" spans="1:14" x14ac:dyDescent="0.25">
      <c r="A1413" s="107" t="s">
        <v>546</v>
      </c>
      <c r="B1413" s="47" t="str">
        <f>VLOOKUP('IV-MEMORIAL'!A1413,'II-PO'!$A$19:$M$295,5,0)</f>
        <v>REGISTRO DE GAVETA C/CANOPLA DIAMETRO 3/4"</v>
      </c>
      <c r="C1413" s="47"/>
      <c r="D1413" s="47"/>
      <c r="E1413" s="48"/>
      <c r="F1413" s="48"/>
      <c r="G1413" s="48"/>
      <c r="H1413" s="48"/>
      <c r="I1413" s="48"/>
      <c r="J1413" s="48"/>
      <c r="K1413" s="48"/>
      <c r="L1413" s="48"/>
      <c r="M1413" s="108"/>
      <c r="N1413" s="3">
        <f>C1417</f>
        <v>2</v>
      </c>
    </row>
    <row r="1414" spans="1:14" x14ac:dyDescent="0.25">
      <c r="A1414" s="86"/>
      <c r="M1414" s="87"/>
    </row>
    <row r="1415" spans="1:14" x14ac:dyDescent="0.25">
      <c r="A1415" s="86"/>
      <c r="B1415" s="30" t="s">
        <v>474</v>
      </c>
      <c r="M1415" s="87"/>
    </row>
    <row r="1416" spans="1:14" x14ac:dyDescent="0.25">
      <c r="A1416" s="86"/>
      <c r="M1416" s="87"/>
    </row>
    <row r="1417" spans="1:14" ht="15.75" x14ac:dyDescent="0.25">
      <c r="A1417" s="86"/>
      <c r="B1417" s="46" t="s">
        <v>109</v>
      </c>
      <c r="C1417" s="46">
        <v>2</v>
      </c>
      <c r="D1417" s="46" t="s">
        <v>110</v>
      </c>
      <c r="M1417" s="87"/>
    </row>
    <row r="1418" spans="1:14" x14ac:dyDescent="0.25">
      <c r="A1418" s="86"/>
      <c r="M1418" s="87"/>
    </row>
    <row r="1419" spans="1:14" x14ac:dyDescent="0.25">
      <c r="A1419" s="107" t="s">
        <v>547</v>
      </c>
      <c r="B1419" s="47" t="str">
        <f>VLOOKUP('IV-MEMORIAL'!A1419,'II-PO'!$A$19:$M$295,5,0)</f>
        <v>ENGATE FLEXÍVEL EM INOX, 1/2 X 30CM - FORNECIMENTO E INSTALAÇÃO. AF_01/2020</v>
      </c>
      <c r="C1419" s="47"/>
      <c r="D1419" s="47"/>
      <c r="E1419" s="48"/>
      <c r="F1419" s="48"/>
      <c r="G1419" s="48"/>
      <c r="H1419" s="48"/>
      <c r="I1419" s="48"/>
      <c r="J1419" s="48"/>
      <c r="K1419" s="48"/>
      <c r="L1419" s="48"/>
      <c r="M1419" s="108"/>
      <c r="N1419" s="3">
        <f>C1423</f>
        <v>2</v>
      </c>
    </row>
    <row r="1420" spans="1:14" x14ac:dyDescent="0.25">
      <c r="A1420" s="86"/>
      <c r="M1420" s="87"/>
    </row>
    <row r="1421" spans="1:14" x14ac:dyDescent="0.25">
      <c r="A1421" s="86"/>
      <c r="B1421" s="30" t="s">
        <v>474</v>
      </c>
      <c r="M1421" s="87"/>
    </row>
    <row r="1422" spans="1:14" x14ac:dyDescent="0.25">
      <c r="A1422" s="86"/>
      <c r="M1422" s="87"/>
    </row>
    <row r="1423" spans="1:14" ht="15.75" x14ac:dyDescent="0.25">
      <c r="A1423" s="86"/>
      <c r="B1423" s="46" t="s">
        <v>109</v>
      </c>
      <c r="C1423" s="46">
        <v>2</v>
      </c>
      <c r="D1423" s="46" t="s">
        <v>110</v>
      </c>
      <c r="M1423" s="87"/>
    </row>
    <row r="1424" spans="1:14" x14ac:dyDescent="0.25">
      <c r="A1424" s="86"/>
      <c r="M1424" s="87"/>
    </row>
    <row r="1425" spans="1:14" x14ac:dyDescent="0.25">
      <c r="A1425" s="107" t="s">
        <v>548</v>
      </c>
      <c r="B1425" s="47" t="str">
        <f>VLOOKUP('IV-MEMORIAL'!A1425,'II-PO'!$A$19:$M$295,5,0)</f>
        <v>ENGATE FLEXÍVEL EM PLÁSTICO BRANCO, 1/2" X 30CM - FORNECIMENTO E INSTALAÇÃO. AF_01/2020</v>
      </c>
      <c r="C1425" s="47"/>
      <c r="D1425" s="47"/>
      <c r="E1425" s="48"/>
      <c r="F1425" s="48"/>
      <c r="G1425" s="48"/>
      <c r="H1425" s="48"/>
      <c r="I1425" s="48"/>
      <c r="J1425" s="48"/>
      <c r="K1425" s="48"/>
      <c r="L1425" s="48"/>
      <c r="M1425" s="108"/>
      <c r="N1425" s="3">
        <f>C1429</f>
        <v>2</v>
      </c>
    </row>
    <row r="1426" spans="1:14" x14ac:dyDescent="0.25">
      <c r="A1426" s="86"/>
      <c r="M1426" s="87"/>
    </row>
    <row r="1427" spans="1:14" x14ac:dyDescent="0.25">
      <c r="A1427" s="86"/>
      <c r="B1427" s="30" t="s">
        <v>474</v>
      </c>
      <c r="M1427" s="87"/>
    </row>
    <row r="1428" spans="1:14" x14ac:dyDescent="0.25">
      <c r="A1428" s="86"/>
      <c r="M1428" s="87"/>
    </row>
    <row r="1429" spans="1:14" ht="15.75" x14ac:dyDescent="0.25">
      <c r="A1429" s="86"/>
      <c r="B1429" s="46" t="s">
        <v>109</v>
      </c>
      <c r="C1429" s="46">
        <v>2</v>
      </c>
      <c r="D1429" s="46" t="s">
        <v>110</v>
      </c>
      <c r="M1429" s="87"/>
    </row>
    <row r="1430" spans="1:14" x14ac:dyDescent="0.25">
      <c r="A1430" s="86"/>
      <c r="M1430" s="87"/>
    </row>
    <row r="1431" spans="1:14" x14ac:dyDescent="0.25">
      <c r="A1431" s="107" t="s">
        <v>549</v>
      </c>
      <c r="B1431" s="47" t="str">
        <f>VLOOKUP('IV-MEMORIAL'!A1431,'II-PO'!$A$19:$M$295,5,0)</f>
        <v>ADAPTADOR CURTO COM BOLSA E ROSCA PARA REGISTRO, PVC, SOLDÁVEL, DN 25MM X 3/4, INSTALADO EM RAMAL OU SUB-RAMAL DE ÁGUA - FORNECIMENTO E INSTALAÇÃO. AF_06/2022</v>
      </c>
      <c r="C1431" s="47"/>
      <c r="D1431" s="47"/>
      <c r="E1431" s="48"/>
      <c r="F1431" s="48"/>
      <c r="G1431" s="48"/>
      <c r="H1431" s="48"/>
      <c r="I1431" s="48"/>
      <c r="J1431" s="48"/>
      <c r="K1431" s="48"/>
      <c r="L1431" s="48"/>
      <c r="M1431" s="108"/>
      <c r="N1431" s="3">
        <f>C1435</f>
        <v>4</v>
      </c>
    </row>
    <row r="1432" spans="1:14" x14ac:dyDescent="0.25">
      <c r="A1432" s="86"/>
      <c r="M1432" s="87"/>
    </row>
    <row r="1433" spans="1:14" x14ac:dyDescent="0.25">
      <c r="A1433" s="86"/>
      <c r="B1433" s="30" t="s">
        <v>474</v>
      </c>
      <c r="M1433" s="87"/>
    </row>
    <row r="1434" spans="1:14" x14ac:dyDescent="0.25">
      <c r="A1434" s="86"/>
      <c r="M1434" s="87"/>
    </row>
    <row r="1435" spans="1:14" ht="15.75" x14ac:dyDescent="0.25">
      <c r="A1435" s="86"/>
      <c r="B1435" s="46" t="s">
        <v>109</v>
      </c>
      <c r="C1435" s="46">
        <v>4</v>
      </c>
      <c r="D1435" s="46" t="s">
        <v>110</v>
      </c>
      <c r="M1435" s="87"/>
    </row>
    <row r="1436" spans="1:14" x14ac:dyDescent="0.25">
      <c r="A1436" s="86"/>
      <c r="M1436" s="87"/>
    </row>
    <row r="1437" spans="1:14" x14ac:dyDescent="0.25">
      <c r="A1437" s="107" t="s">
        <v>550</v>
      </c>
      <c r="B1437" s="47" t="str">
        <f>VLOOKUP('IV-MEMORIAL'!A1437,'II-PO'!$A$19:$M$295,5,0)</f>
        <v>JOELHO 90 GRAUS, PVC, SOLDÁVEL, DN 25MM, INSTALADO EM RAMAL OU SUB-RAMAL DE ÁGUA - FORNECIMENTO E INSTALAÇÃO. AF_06/2022</v>
      </c>
      <c r="C1437" s="47"/>
      <c r="D1437" s="47"/>
      <c r="E1437" s="48"/>
      <c r="F1437" s="48"/>
      <c r="G1437" s="48"/>
      <c r="H1437" s="48"/>
      <c r="I1437" s="48"/>
      <c r="J1437" s="48"/>
      <c r="K1437" s="48"/>
      <c r="L1437" s="48"/>
      <c r="M1437" s="108"/>
      <c r="N1437" s="3">
        <f>C1441</f>
        <v>4</v>
      </c>
    </row>
    <row r="1438" spans="1:14" x14ac:dyDescent="0.25">
      <c r="A1438" s="86"/>
      <c r="M1438" s="87"/>
    </row>
    <row r="1439" spans="1:14" x14ac:dyDescent="0.25">
      <c r="A1439" s="86"/>
      <c r="B1439" s="30" t="s">
        <v>474</v>
      </c>
      <c r="M1439" s="87"/>
    </row>
    <row r="1440" spans="1:14" x14ac:dyDescent="0.25">
      <c r="A1440" s="86"/>
      <c r="M1440" s="87"/>
    </row>
    <row r="1441" spans="1:14" ht="15.75" x14ac:dyDescent="0.25">
      <c r="A1441" s="86"/>
      <c r="B1441" s="46" t="s">
        <v>109</v>
      </c>
      <c r="C1441" s="46">
        <v>4</v>
      </c>
      <c r="D1441" s="46" t="s">
        <v>110</v>
      </c>
      <c r="M1441" s="87"/>
    </row>
    <row r="1442" spans="1:14" x14ac:dyDescent="0.25">
      <c r="A1442" s="86"/>
      <c r="M1442" s="87"/>
    </row>
    <row r="1443" spans="1:14" x14ac:dyDescent="0.25">
      <c r="A1443" s="107" t="s">
        <v>553</v>
      </c>
      <c r="B1443" s="47" t="str">
        <f>VLOOKUP('IV-MEMORIAL'!A1443,'II-PO'!$A$19:$M$295,5,0)</f>
        <v>LUVA DE CORRER, PVC, SOLDÁVEL, DN 25MM, INSTALADO EM RAMAL OU SUB-RAMAL DE ÁGUA - FORNECIMENTO E INSTALAÇÃO. AF_12/2014</v>
      </c>
      <c r="C1443" s="47"/>
      <c r="D1443" s="47"/>
      <c r="E1443" s="48"/>
      <c r="F1443" s="48"/>
      <c r="G1443" s="48"/>
      <c r="H1443" s="48"/>
      <c r="I1443" s="48"/>
      <c r="J1443" s="48"/>
      <c r="K1443" s="48"/>
      <c r="L1443" s="48"/>
      <c r="M1443" s="108"/>
      <c r="N1443" s="3">
        <f>C1447</f>
        <v>2</v>
      </c>
    </row>
    <row r="1444" spans="1:14" x14ac:dyDescent="0.25">
      <c r="A1444" s="86"/>
      <c r="M1444" s="87"/>
    </row>
    <row r="1445" spans="1:14" x14ac:dyDescent="0.25">
      <c r="A1445" s="86"/>
      <c r="B1445" s="30" t="s">
        <v>474</v>
      </c>
      <c r="M1445" s="87"/>
    </row>
    <row r="1446" spans="1:14" x14ac:dyDescent="0.25">
      <c r="A1446" s="86"/>
      <c r="M1446" s="87"/>
    </row>
    <row r="1447" spans="1:14" ht="15.75" x14ac:dyDescent="0.25">
      <c r="A1447" s="86"/>
      <c r="B1447" s="46" t="s">
        <v>109</v>
      </c>
      <c r="C1447" s="46">
        <v>2</v>
      </c>
      <c r="D1447" s="46" t="s">
        <v>110</v>
      </c>
      <c r="M1447" s="87"/>
    </row>
    <row r="1448" spans="1:14" x14ac:dyDescent="0.25">
      <c r="A1448" s="86"/>
      <c r="M1448" s="87"/>
    </row>
    <row r="1449" spans="1:14" x14ac:dyDescent="0.25">
      <c r="A1449" s="107" t="s">
        <v>551</v>
      </c>
      <c r="B1449" s="47" t="str">
        <f>VLOOKUP('IV-MEMORIAL'!A1449,'II-PO'!$A$19:$M$295,5,0)</f>
        <v>TE, PVC, SOLDÁVEL, DN 25MM, INSTALADO EM RAMAL OU SUB-RAMAL DE ÁGUA - FORNECIMENTO E INSTALAÇÃO. AF_06/2022</v>
      </c>
      <c r="C1449" s="47"/>
      <c r="D1449" s="47"/>
      <c r="E1449" s="48"/>
      <c r="F1449" s="48"/>
      <c r="G1449" s="48"/>
      <c r="H1449" s="48"/>
      <c r="I1449" s="48"/>
      <c r="J1449" s="48"/>
      <c r="K1449" s="48"/>
      <c r="L1449" s="48"/>
      <c r="M1449" s="108"/>
      <c r="N1449" s="3">
        <f>C1453</f>
        <v>2</v>
      </c>
    </row>
    <row r="1450" spans="1:14" x14ac:dyDescent="0.25">
      <c r="A1450" s="86"/>
      <c r="M1450" s="87"/>
    </row>
    <row r="1451" spans="1:14" x14ac:dyDescent="0.25">
      <c r="A1451" s="86"/>
      <c r="B1451" s="30" t="s">
        <v>474</v>
      </c>
      <c r="M1451" s="87"/>
    </row>
    <row r="1452" spans="1:14" x14ac:dyDescent="0.25">
      <c r="A1452" s="86"/>
      <c r="M1452" s="87"/>
    </row>
    <row r="1453" spans="1:14" ht="15.75" x14ac:dyDescent="0.25">
      <c r="A1453" s="86"/>
      <c r="B1453" s="46" t="s">
        <v>109</v>
      </c>
      <c r="C1453" s="46">
        <v>2</v>
      </c>
      <c r="D1453" s="46" t="s">
        <v>110</v>
      </c>
      <c r="M1453" s="87"/>
    </row>
    <row r="1454" spans="1:14" x14ac:dyDescent="0.25">
      <c r="A1454" s="86"/>
      <c r="M1454" s="87"/>
    </row>
    <row r="1455" spans="1:14" x14ac:dyDescent="0.25">
      <c r="A1455" s="107" t="s">
        <v>552</v>
      </c>
      <c r="B1455" s="47" t="str">
        <f>VLOOKUP('IV-MEMORIAL'!A1455,'II-PO'!$A$19:$M$295,5,0)</f>
        <v>JOELHO DE REDUCAO 90 GRAUS SOLDÁVEL COM BUCHA LATAO 25X1/2"</v>
      </c>
      <c r="C1455" s="47"/>
      <c r="D1455" s="47"/>
      <c r="E1455" s="48"/>
      <c r="F1455" s="48"/>
      <c r="G1455" s="48"/>
      <c r="H1455" s="48"/>
      <c r="I1455" s="48"/>
      <c r="J1455" s="48"/>
      <c r="K1455" s="48"/>
      <c r="L1455" s="48"/>
      <c r="M1455" s="108"/>
      <c r="N1455" s="3">
        <f>C1459</f>
        <v>4</v>
      </c>
    </row>
    <row r="1456" spans="1:14" x14ac:dyDescent="0.25">
      <c r="A1456" s="86"/>
      <c r="M1456" s="87"/>
    </row>
    <row r="1457" spans="1:15" x14ac:dyDescent="0.25">
      <c r="A1457" s="86"/>
      <c r="B1457" s="30" t="s">
        <v>474</v>
      </c>
      <c r="M1457" s="87"/>
    </row>
    <row r="1458" spans="1:15" x14ac:dyDescent="0.25">
      <c r="A1458" s="86"/>
      <c r="M1458" s="87"/>
    </row>
    <row r="1459" spans="1:15" ht="15.75" x14ac:dyDescent="0.25">
      <c r="A1459" s="86"/>
      <c r="B1459" s="46" t="s">
        <v>109</v>
      </c>
      <c r="C1459" s="46">
        <v>4</v>
      </c>
      <c r="D1459" s="46" t="s">
        <v>110</v>
      </c>
      <c r="M1459" s="87"/>
    </row>
    <row r="1460" spans="1:15" x14ac:dyDescent="0.25">
      <c r="A1460" s="86"/>
      <c r="M1460" s="87"/>
    </row>
    <row r="1461" spans="1:15" ht="15.75" x14ac:dyDescent="0.25">
      <c r="A1461" s="151" t="s">
        <v>554</v>
      </c>
      <c r="B1461" s="152" t="s">
        <v>560</v>
      </c>
      <c r="C1461" s="153"/>
      <c r="D1461" s="153"/>
      <c r="E1461" s="154"/>
      <c r="F1461" s="154"/>
      <c r="G1461" s="154"/>
      <c r="H1461" s="154"/>
      <c r="I1461" s="154"/>
      <c r="J1461" s="154"/>
      <c r="K1461" s="154"/>
      <c r="L1461" s="154"/>
      <c r="M1461" s="155"/>
    </row>
    <row r="1462" spans="1:15" x14ac:dyDescent="0.25">
      <c r="A1462" s="86"/>
      <c r="M1462" s="87"/>
    </row>
    <row r="1463" spans="1:15" x14ac:dyDescent="0.25">
      <c r="A1463" s="107" t="s">
        <v>555</v>
      </c>
      <c r="B1463" s="47" t="str">
        <f>VLOOKUP('IV-MEMORIAL'!A1463,'II-PO'!$A$19:$M$295,5,0)</f>
        <v>TORNEIRA CROMADA DE MESA, 1/2" OU 3/4", PARA LAVATÓRIO, PADRÃO MÉDIO - FORNECIMENTO E INSTALAÇÃO. AF_01/2020</v>
      </c>
      <c r="C1463" s="47"/>
      <c r="D1463" s="47"/>
      <c r="E1463" s="48"/>
      <c r="F1463" s="48"/>
      <c r="G1463" s="48"/>
      <c r="H1463" s="48"/>
      <c r="I1463" s="48"/>
      <c r="J1463" s="48"/>
      <c r="K1463" s="48"/>
      <c r="L1463" s="48"/>
      <c r="M1463" s="108"/>
      <c r="N1463" s="3">
        <f>C1467</f>
        <v>1</v>
      </c>
      <c r="O1463" s="1">
        <v>1</v>
      </c>
    </row>
    <row r="1464" spans="1:15" x14ac:dyDescent="0.25">
      <c r="A1464" s="86"/>
      <c r="M1464" s="87"/>
    </row>
    <row r="1465" spans="1:15" x14ac:dyDescent="0.25">
      <c r="A1465" s="86"/>
      <c r="B1465" s="30" t="s">
        <v>474</v>
      </c>
      <c r="M1465" s="87"/>
    </row>
    <row r="1466" spans="1:15" x14ac:dyDescent="0.25">
      <c r="A1466" s="86"/>
      <c r="M1466" s="87"/>
    </row>
    <row r="1467" spans="1:15" ht="15.75" x14ac:dyDescent="0.25">
      <c r="A1467" s="86"/>
      <c r="B1467" s="46" t="s">
        <v>109</v>
      </c>
      <c r="C1467" s="46">
        <v>1</v>
      </c>
      <c r="D1467" s="46" t="s">
        <v>110</v>
      </c>
      <c r="M1467" s="87"/>
    </row>
    <row r="1468" spans="1:15" x14ac:dyDescent="0.25">
      <c r="A1468" s="86"/>
      <c r="M1468" s="87"/>
    </row>
    <row r="1469" spans="1:15" x14ac:dyDescent="0.25">
      <c r="A1469" s="107" t="str">
        <f>_xlfn.CONCAT("13.5.",O1469)</f>
        <v>13.5.2</v>
      </c>
      <c r="B1469" s="47" t="str">
        <f>VLOOKUP('IV-MEMORIAL'!A1469,'II-PO'!$A$19:$M$295,5,0)</f>
        <v>VASO SANITÁRIO SIFONADO COM CAIXA ACOPLADA LOUÇA BRANCA - FORNECIMENTO E INSTALAÇÃO. AF_01/2020</v>
      </c>
      <c r="C1469" s="47"/>
      <c r="D1469" s="47"/>
      <c r="E1469" s="48"/>
      <c r="F1469" s="48"/>
      <c r="G1469" s="48"/>
      <c r="H1469" s="48"/>
      <c r="I1469" s="48"/>
      <c r="J1469" s="48"/>
      <c r="K1469" s="48"/>
      <c r="L1469" s="48"/>
      <c r="M1469" s="108"/>
      <c r="N1469" s="3">
        <f>C1473</f>
        <v>1</v>
      </c>
      <c r="O1469" s="1">
        <f>O1463+1</f>
        <v>2</v>
      </c>
    </row>
    <row r="1470" spans="1:15" x14ac:dyDescent="0.25">
      <c r="A1470" s="86"/>
      <c r="M1470" s="87"/>
    </row>
    <row r="1471" spans="1:15" x14ac:dyDescent="0.25">
      <c r="A1471" s="86"/>
      <c r="B1471" s="30" t="s">
        <v>474</v>
      </c>
      <c r="M1471" s="87"/>
    </row>
    <row r="1472" spans="1:15" x14ac:dyDescent="0.25">
      <c r="A1472" s="86"/>
      <c r="M1472" s="87"/>
    </row>
    <row r="1473" spans="1:15" ht="15.75" x14ac:dyDescent="0.25">
      <c r="A1473" s="86"/>
      <c r="B1473" s="46" t="s">
        <v>109</v>
      </c>
      <c r="C1473" s="46">
        <v>1</v>
      </c>
      <c r="D1473" s="46" t="s">
        <v>110</v>
      </c>
      <c r="M1473" s="87"/>
    </row>
    <row r="1474" spans="1:15" x14ac:dyDescent="0.25">
      <c r="A1474" s="86"/>
      <c r="M1474" s="87"/>
    </row>
    <row r="1475" spans="1:15" x14ac:dyDescent="0.25">
      <c r="A1475" s="107" t="str">
        <f>_xlfn.CONCAT("13.5.",O1475)</f>
        <v>13.5.3</v>
      </c>
      <c r="B1475" s="47" t="str">
        <f>VLOOKUP('IV-MEMORIAL'!A1475,'II-PO'!$A$19:$M$295,5,0)</f>
        <v>REGISTRO DE GAVETA C/CANOPLA DIAMETRO 3/4"</v>
      </c>
      <c r="C1475" s="47"/>
      <c r="D1475" s="47"/>
      <c r="E1475" s="48"/>
      <c r="F1475" s="48"/>
      <c r="G1475" s="48"/>
      <c r="H1475" s="48"/>
      <c r="I1475" s="48"/>
      <c r="J1475" s="48"/>
      <c r="K1475" s="48"/>
      <c r="L1475" s="48"/>
      <c r="M1475" s="108"/>
      <c r="N1475" s="3">
        <f>C1479</f>
        <v>1</v>
      </c>
      <c r="O1475" s="1">
        <f>O1469+1</f>
        <v>3</v>
      </c>
    </row>
    <row r="1476" spans="1:15" x14ac:dyDescent="0.25">
      <c r="A1476" s="86"/>
      <c r="M1476" s="87"/>
    </row>
    <row r="1477" spans="1:15" x14ac:dyDescent="0.25">
      <c r="A1477" s="86"/>
      <c r="B1477" s="30" t="s">
        <v>474</v>
      </c>
      <c r="M1477" s="87"/>
    </row>
    <row r="1478" spans="1:15" x14ac:dyDescent="0.25">
      <c r="A1478" s="86"/>
      <c r="M1478" s="87"/>
    </row>
    <row r="1479" spans="1:15" ht="15.75" x14ac:dyDescent="0.25">
      <c r="A1479" s="86"/>
      <c r="B1479" s="46" t="s">
        <v>109</v>
      </c>
      <c r="C1479" s="46">
        <v>1</v>
      </c>
      <c r="D1479" s="46" t="s">
        <v>110</v>
      </c>
      <c r="M1479" s="87"/>
    </row>
    <row r="1480" spans="1:15" x14ac:dyDescent="0.25">
      <c r="A1480" s="86"/>
      <c r="M1480" s="87"/>
    </row>
    <row r="1481" spans="1:15" x14ac:dyDescent="0.25">
      <c r="A1481" s="107" t="str">
        <f>_xlfn.CONCAT("13.5.",O1481)</f>
        <v>13.5.4</v>
      </c>
      <c r="B1481" s="47" t="str">
        <f>VLOOKUP('IV-MEMORIAL'!A1481,'II-PO'!$A$19:$M$295,5,0)</f>
        <v>ENGATE FLEXÍVEL EM INOX, 1/2 X 30CM - FORNECIMENTO E INSTALAÇÃO. AF_01/2020</v>
      </c>
      <c r="C1481" s="47"/>
      <c r="D1481" s="47"/>
      <c r="E1481" s="48"/>
      <c r="F1481" s="48"/>
      <c r="G1481" s="48"/>
      <c r="H1481" s="48"/>
      <c r="I1481" s="48"/>
      <c r="J1481" s="48"/>
      <c r="K1481" s="48"/>
      <c r="L1481" s="48"/>
      <c r="M1481" s="108"/>
      <c r="N1481" s="3">
        <f>C1485</f>
        <v>1</v>
      </c>
      <c r="O1481" s="1">
        <f>O1475+1</f>
        <v>4</v>
      </c>
    </row>
    <row r="1482" spans="1:15" x14ac:dyDescent="0.25">
      <c r="A1482" s="86"/>
      <c r="M1482" s="87"/>
    </row>
    <row r="1483" spans="1:15" x14ac:dyDescent="0.25">
      <c r="A1483" s="86"/>
      <c r="B1483" s="30" t="s">
        <v>474</v>
      </c>
      <c r="M1483" s="87"/>
    </row>
    <row r="1484" spans="1:15" x14ac:dyDescent="0.25">
      <c r="A1484" s="86"/>
      <c r="M1484" s="87"/>
    </row>
    <row r="1485" spans="1:15" ht="15.75" x14ac:dyDescent="0.25">
      <c r="A1485" s="86"/>
      <c r="B1485" s="46" t="s">
        <v>109</v>
      </c>
      <c r="C1485" s="46">
        <v>1</v>
      </c>
      <c r="D1485" s="46" t="s">
        <v>110</v>
      </c>
      <c r="M1485" s="87"/>
    </row>
    <row r="1486" spans="1:15" x14ac:dyDescent="0.25">
      <c r="A1486" s="86"/>
      <c r="M1486" s="87"/>
    </row>
    <row r="1487" spans="1:15" x14ac:dyDescent="0.25">
      <c r="A1487" s="107" t="str">
        <f>_xlfn.CONCAT("13.5.",O1487)</f>
        <v>13.5.5</v>
      </c>
      <c r="B1487" s="47" t="str">
        <f>VLOOKUP('IV-MEMORIAL'!A1487,'II-PO'!$A$19:$M$295,5,0)</f>
        <v>ENGATE FLEXÍVEL EM PLÁSTICO BRANCO, 1/2" X 30CM - FORNECIMENTO E INSTALAÇÃO. AF_01/2020</v>
      </c>
      <c r="C1487" s="47"/>
      <c r="D1487" s="47"/>
      <c r="E1487" s="48"/>
      <c r="F1487" s="48"/>
      <c r="G1487" s="48"/>
      <c r="H1487" s="48"/>
      <c r="I1487" s="48"/>
      <c r="J1487" s="48"/>
      <c r="K1487" s="48"/>
      <c r="L1487" s="48"/>
      <c r="M1487" s="108"/>
      <c r="N1487" s="3">
        <f>C1491</f>
        <v>1</v>
      </c>
      <c r="O1487" s="1">
        <f>O1481+1</f>
        <v>5</v>
      </c>
    </row>
    <row r="1488" spans="1:15" x14ac:dyDescent="0.25">
      <c r="A1488" s="86"/>
      <c r="M1488" s="87"/>
    </row>
    <row r="1489" spans="1:15" x14ac:dyDescent="0.25">
      <c r="A1489" s="86"/>
      <c r="B1489" s="30" t="s">
        <v>474</v>
      </c>
      <c r="M1489" s="87"/>
    </row>
    <row r="1490" spans="1:15" x14ac:dyDescent="0.25">
      <c r="A1490" s="86"/>
      <c r="M1490" s="87"/>
    </row>
    <row r="1491" spans="1:15" ht="15.75" x14ac:dyDescent="0.25">
      <c r="A1491" s="86"/>
      <c r="B1491" s="46" t="s">
        <v>109</v>
      </c>
      <c r="C1491" s="46">
        <v>1</v>
      </c>
      <c r="D1491" s="46" t="s">
        <v>110</v>
      </c>
      <c r="M1491" s="87"/>
    </row>
    <row r="1492" spans="1:15" x14ac:dyDescent="0.25">
      <c r="A1492" s="86"/>
      <c r="M1492" s="87"/>
    </row>
    <row r="1493" spans="1:15" x14ac:dyDescent="0.25">
      <c r="A1493" s="107" t="str">
        <f>_xlfn.CONCAT("13.5.",O1493)</f>
        <v>13.5.6</v>
      </c>
      <c r="B1493" s="47" t="str">
        <f>VLOOKUP('IV-MEMORIAL'!A1493,'II-PO'!$A$19:$M$295,5,0)</f>
        <v>ADAPTADOR CURTO COM BOLSA E ROSCA PARA REGISTRO, PVC, SOLDÁVEL, DN 25MM X 3/4, INSTALADO EM RAMAL OU SUB-RAMAL DE ÁGUA - FORNECIMENTO E INSTALAÇÃO. AF_06/2022</v>
      </c>
      <c r="C1493" s="47"/>
      <c r="D1493" s="47"/>
      <c r="E1493" s="48"/>
      <c r="F1493" s="48"/>
      <c r="G1493" s="48"/>
      <c r="H1493" s="48"/>
      <c r="I1493" s="48"/>
      <c r="J1493" s="48"/>
      <c r="K1493" s="48"/>
      <c r="L1493" s="48"/>
      <c r="M1493" s="108"/>
      <c r="N1493" s="3">
        <f>C1497</f>
        <v>2</v>
      </c>
      <c r="O1493" s="1">
        <f>O1487+1</f>
        <v>6</v>
      </c>
    </row>
    <row r="1494" spans="1:15" x14ac:dyDescent="0.25">
      <c r="A1494" s="86"/>
      <c r="M1494" s="87"/>
    </row>
    <row r="1495" spans="1:15" x14ac:dyDescent="0.25">
      <c r="A1495" s="86"/>
      <c r="B1495" s="30" t="s">
        <v>474</v>
      </c>
      <c r="M1495" s="87"/>
    </row>
    <row r="1496" spans="1:15" x14ac:dyDescent="0.25">
      <c r="A1496" s="86"/>
      <c r="M1496" s="87"/>
    </row>
    <row r="1497" spans="1:15" ht="15.75" x14ac:dyDescent="0.25">
      <c r="A1497" s="86"/>
      <c r="B1497" s="46" t="s">
        <v>109</v>
      </c>
      <c r="C1497" s="46">
        <v>2</v>
      </c>
      <c r="D1497" s="46" t="s">
        <v>110</v>
      </c>
      <c r="M1497" s="87"/>
    </row>
    <row r="1498" spans="1:15" x14ac:dyDescent="0.25">
      <c r="A1498" s="86"/>
      <c r="M1498" s="87"/>
    </row>
    <row r="1499" spans="1:15" x14ac:dyDescent="0.25">
      <c r="A1499" s="107" t="str">
        <f>_xlfn.CONCAT("13.5.",O1499)</f>
        <v>13.5.7</v>
      </c>
      <c r="B1499" s="47" t="str">
        <f>VLOOKUP('IV-MEMORIAL'!A1499,'II-PO'!$A$19:$M$295,5,0)</f>
        <v>JOELHO 90 GRAUS, PVC, SOLDÁVEL, DN 25MM, INSTALADO EM RAMAL OU SUB-RAMAL DE ÁGUA - FORNECIMENTO E INSTALAÇÃO. AF_06/2022</v>
      </c>
      <c r="C1499" s="47"/>
      <c r="D1499" s="47"/>
      <c r="E1499" s="48"/>
      <c r="F1499" s="48"/>
      <c r="G1499" s="48"/>
      <c r="H1499" s="48"/>
      <c r="I1499" s="48"/>
      <c r="J1499" s="48"/>
      <c r="K1499" s="48"/>
      <c r="L1499" s="48"/>
      <c r="M1499" s="108"/>
      <c r="N1499" s="3">
        <f>C1503</f>
        <v>2</v>
      </c>
      <c r="O1499" s="1">
        <f>O1493+1</f>
        <v>7</v>
      </c>
    </row>
    <row r="1500" spans="1:15" x14ac:dyDescent="0.25">
      <c r="A1500" s="86"/>
      <c r="M1500" s="87"/>
    </row>
    <row r="1501" spans="1:15" x14ac:dyDescent="0.25">
      <c r="A1501" s="86"/>
      <c r="B1501" s="30" t="s">
        <v>474</v>
      </c>
      <c r="M1501" s="87"/>
    </row>
    <row r="1502" spans="1:15" x14ac:dyDescent="0.25">
      <c r="A1502" s="86"/>
      <c r="M1502" s="87"/>
    </row>
    <row r="1503" spans="1:15" ht="15.75" x14ac:dyDescent="0.25">
      <c r="A1503" s="86"/>
      <c r="B1503" s="46" t="s">
        <v>109</v>
      </c>
      <c r="C1503" s="46">
        <v>2</v>
      </c>
      <c r="D1503" s="46" t="s">
        <v>110</v>
      </c>
      <c r="M1503" s="87"/>
    </row>
    <row r="1504" spans="1:15" x14ac:dyDescent="0.25">
      <c r="A1504" s="86"/>
      <c r="M1504" s="87"/>
    </row>
    <row r="1505" spans="1:15" x14ac:dyDescent="0.25">
      <c r="A1505" s="107" t="str">
        <f>_xlfn.CONCAT("13.5.",O1505)</f>
        <v>13.5.8</v>
      </c>
      <c r="B1505" s="47" t="str">
        <f>VLOOKUP('IV-MEMORIAL'!A1505,'II-PO'!$A$19:$M$295,5,0)</f>
        <v>LUVA DE CORRER, PVC, SOLDÁVEL, DN 25MM, INSTALADO EM RAMAL OU SUB-RAMAL DE ÁGUA - FORNECIMENTO E INSTALAÇÃO. AF_12/2014</v>
      </c>
      <c r="C1505" s="47"/>
      <c r="D1505" s="47"/>
      <c r="E1505" s="48"/>
      <c r="F1505" s="48"/>
      <c r="G1505" s="48"/>
      <c r="H1505" s="48"/>
      <c r="I1505" s="48"/>
      <c r="J1505" s="48"/>
      <c r="K1505" s="48"/>
      <c r="L1505" s="48"/>
      <c r="M1505" s="108"/>
      <c r="N1505" s="3">
        <f>C1509</f>
        <v>1</v>
      </c>
      <c r="O1505" s="1">
        <f>O1499+1</f>
        <v>8</v>
      </c>
    </row>
    <row r="1506" spans="1:15" x14ac:dyDescent="0.25">
      <c r="A1506" s="86"/>
      <c r="M1506" s="87"/>
    </row>
    <row r="1507" spans="1:15" x14ac:dyDescent="0.25">
      <c r="A1507" s="86"/>
      <c r="B1507" s="30" t="s">
        <v>474</v>
      </c>
      <c r="M1507" s="87"/>
    </row>
    <row r="1508" spans="1:15" x14ac:dyDescent="0.25">
      <c r="A1508" s="86"/>
      <c r="M1508" s="87"/>
    </row>
    <row r="1509" spans="1:15" ht="15.75" x14ac:dyDescent="0.25">
      <c r="A1509" s="86"/>
      <c r="B1509" s="46" t="s">
        <v>109</v>
      </c>
      <c r="C1509" s="46">
        <v>1</v>
      </c>
      <c r="D1509" s="46" t="s">
        <v>110</v>
      </c>
      <c r="M1509" s="87"/>
    </row>
    <row r="1510" spans="1:15" x14ac:dyDescent="0.25">
      <c r="A1510" s="86"/>
      <c r="M1510" s="87"/>
    </row>
    <row r="1511" spans="1:15" x14ac:dyDescent="0.25">
      <c r="A1511" s="107" t="str">
        <f>_xlfn.CONCAT("13.5.",O1511)</f>
        <v>13.5.9</v>
      </c>
      <c r="B1511" s="47" t="str">
        <f>VLOOKUP('IV-MEMORIAL'!A1511,'II-PO'!$A$19:$M$295,5,0)</f>
        <v>TUBO, PVC, SOLDÁVEL, DE 25MM, INSTALADO EM RAMAL OU SUB-RAMAL DE ÁGUA - FORNECIMENTO E INSTALAÇÃO. AF_06/2022</v>
      </c>
      <c r="C1511" s="47"/>
      <c r="D1511" s="47"/>
      <c r="E1511" s="48"/>
      <c r="F1511" s="48"/>
      <c r="G1511" s="48"/>
      <c r="H1511" s="48"/>
      <c r="I1511" s="48"/>
      <c r="J1511" s="48"/>
      <c r="K1511" s="48"/>
      <c r="L1511" s="48"/>
      <c r="M1511" s="108"/>
      <c r="N1511" s="3">
        <f>C1515</f>
        <v>4.05</v>
      </c>
      <c r="O1511" s="1">
        <f>O1505+1</f>
        <v>9</v>
      </c>
    </row>
    <row r="1512" spans="1:15" x14ac:dyDescent="0.25">
      <c r="A1512" s="86"/>
      <c r="M1512" s="87"/>
    </row>
    <row r="1513" spans="1:15" x14ac:dyDescent="0.25">
      <c r="A1513" s="86"/>
      <c r="B1513" s="30" t="s">
        <v>474</v>
      </c>
      <c r="M1513" s="87"/>
    </row>
    <row r="1514" spans="1:15" x14ac:dyDescent="0.25">
      <c r="A1514" s="86"/>
      <c r="M1514" s="87"/>
    </row>
    <row r="1515" spans="1:15" ht="15.75" x14ac:dyDescent="0.25">
      <c r="A1515" s="86"/>
      <c r="B1515" s="46" t="s">
        <v>109</v>
      </c>
      <c r="C1515" s="46">
        <v>4.05</v>
      </c>
      <c r="D1515" s="46" t="s">
        <v>116</v>
      </c>
      <c r="M1515" s="87"/>
    </row>
    <row r="1516" spans="1:15" x14ac:dyDescent="0.25">
      <c r="A1516" s="86"/>
      <c r="M1516" s="87"/>
    </row>
    <row r="1517" spans="1:15" x14ac:dyDescent="0.25">
      <c r="A1517" s="107" t="str">
        <f>_xlfn.CONCAT("13.5.",O1517)</f>
        <v>13.5.10</v>
      </c>
      <c r="B1517" s="47" t="str">
        <f>VLOOKUP('IV-MEMORIAL'!A1517,'II-PO'!$A$19:$M$295,5,0)</f>
        <v>TE, PVC, SOLDÁVEL, DN 25MM, INSTALADO EM RAMAL OU SUB-RAMAL DE ÁGUA - FORNECIMENTO E INSTALAÇÃO. AF_06/2022</v>
      </c>
      <c r="C1517" s="47"/>
      <c r="D1517" s="47"/>
      <c r="E1517" s="48"/>
      <c r="F1517" s="48"/>
      <c r="G1517" s="48"/>
      <c r="H1517" s="48"/>
      <c r="I1517" s="48"/>
      <c r="J1517" s="48"/>
      <c r="K1517" s="48"/>
      <c r="L1517" s="48"/>
      <c r="M1517" s="108"/>
      <c r="N1517" s="3">
        <f>C1521</f>
        <v>1</v>
      </c>
      <c r="O1517" s="1">
        <f>O1511+1</f>
        <v>10</v>
      </c>
    </row>
    <row r="1518" spans="1:15" x14ac:dyDescent="0.25">
      <c r="A1518" s="86"/>
      <c r="M1518" s="87"/>
    </row>
    <row r="1519" spans="1:15" x14ac:dyDescent="0.25">
      <c r="A1519" s="86"/>
      <c r="B1519" s="30" t="s">
        <v>474</v>
      </c>
      <c r="M1519" s="87"/>
    </row>
    <row r="1520" spans="1:15" x14ac:dyDescent="0.25">
      <c r="A1520" s="86"/>
      <c r="M1520" s="87"/>
    </row>
    <row r="1521" spans="1:15" ht="15.75" x14ac:dyDescent="0.25">
      <c r="A1521" s="86"/>
      <c r="B1521" s="46" t="s">
        <v>109</v>
      </c>
      <c r="C1521" s="46">
        <v>1</v>
      </c>
      <c r="D1521" s="46" t="s">
        <v>110</v>
      </c>
      <c r="M1521" s="87"/>
    </row>
    <row r="1522" spans="1:15" x14ac:dyDescent="0.25">
      <c r="A1522" s="86"/>
      <c r="M1522" s="87"/>
    </row>
    <row r="1523" spans="1:15" x14ac:dyDescent="0.25">
      <c r="A1523" s="107" t="str">
        <f>_xlfn.CONCAT("13.5.",O1523)</f>
        <v>13.5.11</v>
      </c>
      <c r="B1523" s="47" t="str">
        <f>VLOOKUP('IV-MEMORIAL'!A1523,'II-PO'!$A$19:$M$295,5,0)</f>
        <v>JOELHO DE REDUCAO 90 GRAUS SOLDÁVEL COM BUCHA LATAO 25X1/2"</v>
      </c>
      <c r="C1523" s="47"/>
      <c r="D1523" s="47"/>
      <c r="E1523" s="48"/>
      <c r="F1523" s="48"/>
      <c r="G1523" s="48"/>
      <c r="H1523" s="48"/>
      <c r="I1523" s="48"/>
      <c r="J1523" s="48"/>
      <c r="K1523" s="48"/>
      <c r="L1523" s="48"/>
      <c r="M1523" s="108"/>
      <c r="N1523" s="3">
        <f>C1527</f>
        <v>2</v>
      </c>
      <c r="O1523" s="1">
        <f>O1517+1</f>
        <v>11</v>
      </c>
    </row>
    <row r="1524" spans="1:15" x14ac:dyDescent="0.25">
      <c r="A1524" s="86"/>
      <c r="M1524" s="87"/>
    </row>
    <row r="1525" spans="1:15" x14ac:dyDescent="0.25">
      <c r="A1525" s="86"/>
      <c r="B1525" s="30" t="s">
        <v>474</v>
      </c>
      <c r="M1525" s="87"/>
    </row>
    <row r="1526" spans="1:15" x14ac:dyDescent="0.25">
      <c r="A1526" s="86"/>
      <c r="M1526" s="87"/>
    </row>
    <row r="1527" spans="1:15" ht="15.75" x14ac:dyDescent="0.25">
      <c r="A1527" s="86"/>
      <c r="B1527" s="46" t="s">
        <v>109</v>
      </c>
      <c r="C1527" s="46">
        <v>2</v>
      </c>
      <c r="D1527" s="46" t="s">
        <v>110</v>
      </c>
      <c r="M1527" s="87"/>
    </row>
    <row r="1528" spans="1:15" x14ac:dyDescent="0.25">
      <c r="A1528" s="86"/>
      <c r="M1528" s="87"/>
    </row>
    <row r="1529" spans="1:15" ht="15.75" x14ac:dyDescent="0.25">
      <c r="A1529" s="151" t="s">
        <v>557</v>
      </c>
      <c r="B1529" s="152" t="s">
        <v>559</v>
      </c>
      <c r="C1529" s="153"/>
      <c r="D1529" s="153"/>
      <c r="E1529" s="154"/>
      <c r="F1529" s="154"/>
      <c r="G1529" s="154"/>
      <c r="H1529" s="154"/>
      <c r="I1529" s="154"/>
      <c r="J1529" s="154"/>
      <c r="K1529" s="154"/>
      <c r="L1529" s="154"/>
      <c r="M1529" s="155"/>
    </row>
    <row r="1530" spans="1:15" x14ac:dyDescent="0.25">
      <c r="A1530" s="86"/>
      <c r="M1530" s="87"/>
    </row>
    <row r="1531" spans="1:15" x14ac:dyDescent="0.25">
      <c r="A1531" s="107" t="s">
        <v>558</v>
      </c>
      <c r="B1531" s="47" t="str">
        <f>VLOOKUP('IV-MEMORIAL'!A1531,'II-PO'!$A$19:$M$295,5,0)</f>
        <v>TORNEIRA CROMADA TUBO MÓVEL, DE MESA, 1/2" OU 3/4", PARA PIA DE COZINHA, PADRÃO ALTO - FORNECIMENTO E INSTALAÇÃO. AF_01/2020</v>
      </c>
      <c r="C1531" s="47"/>
      <c r="D1531" s="47"/>
      <c r="E1531" s="48"/>
      <c r="F1531" s="48"/>
      <c r="G1531" s="48"/>
      <c r="H1531" s="48"/>
      <c r="I1531" s="48"/>
      <c r="J1531" s="48"/>
      <c r="K1531" s="48"/>
      <c r="L1531" s="48"/>
      <c r="M1531" s="108"/>
      <c r="N1531" s="3">
        <f>C1535</f>
        <v>1</v>
      </c>
      <c r="O1531" s="1">
        <v>1</v>
      </c>
    </row>
    <row r="1532" spans="1:15" x14ac:dyDescent="0.25">
      <c r="A1532" s="86"/>
      <c r="M1532" s="87"/>
    </row>
    <row r="1533" spans="1:15" x14ac:dyDescent="0.25">
      <c r="A1533" s="86"/>
      <c r="B1533" s="30" t="s">
        <v>474</v>
      </c>
      <c r="M1533" s="87"/>
    </row>
    <row r="1534" spans="1:15" x14ac:dyDescent="0.25">
      <c r="A1534" s="86"/>
      <c r="M1534" s="87"/>
    </row>
    <row r="1535" spans="1:15" ht="15.75" x14ac:dyDescent="0.25">
      <c r="A1535" s="86"/>
      <c r="B1535" s="46" t="s">
        <v>109</v>
      </c>
      <c r="C1535" s="46">
        <v>1</v>
      </c>
      <c r="D1535" s="46" t="s">
        <v>110</v>
      </c>
      <c r="M1535" s="87"/>
    </row>
    <row r="1536" spans="1:15" x14ac:dyDescent="0.25">
      <c r="A1536" s="86"/>
      <c r="M1536" s="87"/>
    </row>
    <row r="1537" spans="1:15" x14ac:dyDescent="0.25">
      <c r="A1537" s="107" t="str">
        <f>_xlfn.CONCAT("13.6.",O1537)</f>
        <v>13.6.2</v>
      </c>
      <c r="B1537" s="47" t="str">
        <f>VLOOKUP('IV-MEMORIAL'!A1537,'II-PO'!$A$19:$M$295,5,0)</f>
        <v>TORNEIRA CROMADA DE MESA, 1/2" OU 3/4", PARA LAVATÓRIO, PADRÃO MÉDIO - FORNECIMENTO E INSTALAÇÃO. AF_01/2020</v>
      </c>
      <c r="C1537" s="47"/>
      <c r="D1537" s="47"/>
      <c r="E1537" s="48"/>
      <c r="F1537" s="48"/>
      <c r="G1537" s="48"/>
      <c r="H1537" s="48"/>
      <c r="I1537" s="48"/>
      <c r="J1537" s="48"/>
      <c r="K1537" s="48"/>
      <c r="L1537" s="48"/>
      <c r="M1537" s="108"/>
      <c r="N1537" s="3">
        <f>C1541</f>
        <v>1</v>
      </c>
      <c r="O1537" s="1">
        <f>O1531+1</f>
        <v>2</v>
      </c>
    </row>
    <row r="1538" spans="1:15" x14ac:dyDescent="0.25">
      <c r="A1538" s="86"/>
      <c r="M1538" s="87"/>
    </row>
    <row r="1539" spans="1:15" x14ac:dyDescent="0.25">
      <c r="A1539" s="86"/>
      <c r="B1539" s="30" t="s">
        <v>474</v>
      </c>
      <c r="M1539" s="87"/>
    </row>
    <row r="1540" spans="1:15" x14ac:dyDescent="0.25">
      <c r="A1540" s="86"/>
      <c r="M1540" s="87"/>
    </row>
    <row r="1541" spans="1:15" ht="15.75" x14ac:dyDescent="0.25">
      <c r="A1541" s="86"/>
      <c r="B1541" s="46" t="s">
        <v>109</v>
      </c>
      <c r="C1541" s="46">
        <v>1</v>
      </c>
      <c r="D1541" s="46" t="s">
        <v>110</v>
      </c>
      <c r="M1541" s="87"/>
    </row>
    <row r="1542" spans="1:15" x14ac:dyDescent="0.25">
      <c r="A1542" s="86"/>
      <c r="M1542" s="87"/>
    </row>
    <row r="1543" spans="1:15" x14ac:dyDescent="0.25">
      <c r="A1543" s="107" t="str">
        <f>_xlfn.CONCAT("13.6.",O1543)</f>
        <v>13.6.3</v>
      </c>
      <c r="B1543" s="47" t="str">
        <f>VLOOKUP('IV-MEMORIAL'!A1543,'II-PO'!$A$19:$M$295,5,0)</f>
        <v>REGISTRO DE GAVETA C/CANOPLA DIAMETRO 3/4"</v>
      </c>
      <c r="C1543" s="47"/>
      <c r="D1543" s="47"/>
      <c r="E1543" s="48"/>
      <c r="F1543" s="48"/>
      <c r="G1543" s="48"/>
      <c r="H1543" s="48"/>
      <c r="I1543" s="48"/>
      <c r="J1543" s="48"/>
      <c r="K1543" s="48"/>
      <c r="L1543" s="48"/>
      <c r="M1543" s="108"/>
      <c r="N1543" s="3">
        <f>C1547</f>
        <v>3</v>
      </c>
      <c r="O1543" s="1">
        <f>O1537+1</f>
        <v>3</v>
      </c>
    </row>
    <row r="1544" spans="1:15" x14ac:dyDescent="0.25">
      <c r="A1544" s="86"/>
      <c r="M1544" s="87"/>
    </row>
    <row r="1545" spans="1:15" x14ac:dyDescent="0.25">
      <c r="A1545" s="86"/>
      <c r="B1545" s="30" t="s">
        <v>474</v>
      </c>
      <c r="M1545" s="87"/>
    </row>
    <row r="1546" spans="1:15" x14ac:dyDescent="0.25">
      <c r="A1546" s="86"/>
      <c r="M1546" s="87"/>
    </row>
    <row r="1547" spans="1:15" ht="15.75" x14ac:dyDescent="0.25">
      <c r="A1547" s="86"/>
      <c r="B1547" s="46" t="s">
        <v>109</v>
      </c>
      <c r="C1547" s="46">
        <v>3</v>
      </c>
      <c r="D1547" s="46" t="s">
        <v>110</v>
      </c>
      <c r="M1547" s="87"/>
    </row>
    <row r="1548" spans="1:15" x14ac:dyDescent="0.25">
      <c r="A1548" s="86"/>
      <c r="M1548" s="87"/>
    </row>
    <row r="1549" spans="1:15" x14ac:dyDescent="0.25">
      <c r="A1549" s="107" t="str">
        <f>_xlfn.CONCAT("13.6.",O1549)</f>
        <v>13.6.4</v>
      </c>
      <c r="B1549" s="47" t="str">
        <f>VLOOKUP('IV-MEMORIAL'!A1549,'II-PO'!$A$19:$M$295,5,0)</f>
        <v>ADAPTADOR CURTO COM BOLSA E ROSCA PARA REGISTRO, PVC, SOLDÁVEL, DN 25MM X 3/4, INSTALADO EM RAMAL OU SUB-RAMAL DE ÁGUA - FORNECIMENTO E INSTALAÇÃO. AF_06/2022</v>
      </c>
      <c r="C1549" s="47"/>
      <c r="D1549" s="47"/>
      <c r="E1549" s="48"/>
      <c r="F1549" s="48"/>
      <c r="G1549" s="48"/>
      <c r="H1549" s="48"/>
      <c r="I1549" s="48"/>
      <c r="J1549" s="48"/>
      <c r="K1549" s="48"/>
      <c r="L1549" s="48"/>
      <c r="M1549" s="108"/>
      <c r="N1549" s="3">
        <f>C1553</f>
        <v>6</v>
      </c>
      <c r="O1549" s="1">
        <f>O1543+1</f>
        <v>4</v>
      </c>
    </row>
    <row r="1550" spans="1:15" x14ac:dyDescent="0.25">
      <c r="A1550" s="86"/>
      <c r="M1550" s="87"/>
    </row>
    <row r="1551" spans="1:15" x14ac:dyDescent="0.25">
      <c r="A1551" s="86"/>
      <c r="B1551" s="30" t="s">
        <v>474</v>
      </c>
      <c r="M1551" s="87"/>
    </row>
    <row r="1552" spans="1:15" x14ac:dyDescent="0.25">
      <c r="A1552" s="86"/>
      <c r="M1552" s="87"/>
    </row>
    <row r="1553" spans="1:15" ht="15.75" x14ac:dyDescent="0.25">
      <c r="A1553" s="86"/>
      <c r="B1553" s="46" t="s">
        <v>109</v>
      </c>
      <c r="C1553" s="46">
        <v>6</v>
      </c>
      <c r="D1553" s="46" t="s">
        <v>110</v>
      </c>
      <c r="M1553" s="87"/>
    </row>
    <row r="1554" spans="1:15" x14ac:dyDescent="0.25">
      <c r="A1554" s="86"/>
      <c r="M1554" s="87"/>
    </row>
    <row r="1555" spans="1:15" x14ac:dyDescent="0.25">
      <c r="A1555" s="107" t="str">
        <f>_xlfn.CONCAT("13.6.",O1555)</f>
        <v>13.6.5</v>
      </c>
      <c r="B1555" s="47" t="str">
        <f>VLOOKUP('IV-MEMORIAL'!A1555,'II-PO'!$A$19:$M$295,5,0)</f>
        <v>JOELHO 90 GRAUS, PVC, SOLDÁVEL, DN 25MM, INSTALADO EM RAMAL OU SUB-RAMAL DE ÁGUA - FORNECIMENTO E INSTALAÇÃO. AF_06/2022</v>
      </c>
      <c r="C1555" s="47"/>
      <c r="D1555" s="47"/>
      <c r="E1555" s="48"/>
      <c r="F1555" s="48"/>
      <c r="G1555" s="48"/>
      <c r="H1555" s="48"/>
      <c r="I1555" s="48"/>
      <c r="J1555" s="48"/>
      <c r="K1555" s="48"/>
      <c r="L1555" s="48"/>
      <c r="M1555" s="108"/>
      <c r="N1555" s="3">
        <f>C1559</f>
        <v>4</v>
      </c>
      <c r="O1555" s="1">
        <f>O1549+1</f>
        <v>5</v>
      </c>
    </row>
    <row r="1556" spans="1:15" x14ac:dyDescent="0.25">
      <c r="A1556" s="86"/>
      <c r="M1556" s="87"/>
    </row>
    <row r="1557" spans="1:15" x14ac:dyDescent="0.25">
      <c r="A1557" s="86"/>
      <c r="B1557" s="30" t="s">
        <v>474</v>
      </c>
      <c r="M1557" s="87"/>
    </row>
    <row r="1558" spans="1:15" x14ac:dyDescent="0.25">
      <c r="A1558" s="86"/>
      <c r="M1558" s="87"/>
    </row>
    <row r="1559" spans="1:15" ht="15.75" x14ac:dyDescent="0.25">
      <c r="A1559" s="86"/>
      <c r="B1559" s="46" t="s">
        <v>109</v>
      </c>
      <c r="C1559" s="46">
        <v>4</v>
      </c>
      <c r="D1559" s="46" t="s">
        <v>110</v>
      </c>
      <c r="M1559" s="87"/>
    </row>
    <row r="1560" spans="1:15" x14ac:dyDescent="0.25">
      <c r="A1560" s="86"/>
      <c r="M1560" s="87"/>
    </row>
    <row r="1561" spans="1:15" x14ac:dyDescent="0.25">
      <c r="A1561" s="107" t="str">
        <f>_xlfn.CONCAT("13.6.",O1561)</f>
        <v>13.6.6</v>
      </c>
      <c r="B1561" s="47" t="str">
        <f>VLOOKUP('IV-MEMORIAL'!A1561,'II-PO'!$A$19:$M$295,5,0)</f>
        <v>LUVA DE CORRER, PVC, SOLDÁVEL, DN 25MM, INSTALADO EM RAMAL OU SUB-RAMAL DE ÁGUA - FORNECIMENTO E INSTALAÇÃO. AF_12/2014</v>
      </c>
      <c r="C1561" s="47"/>
      <c r="D1561" s="47"/>
      <c r="E1561" s="48"/>
      <c r="F1561" s="48"/>
      <c r="G1561" s="48"/>
      <c r="H1561" s="48"/>
      <c r="I1561" s="48"/>
      <c r="J1561" s="48"/>
      <c r="K1561" s="48"/>
      <c r="L1561" s="48"/>
      <c r="M1561" s="108"/>
      <c r="N1561" s="3">
        <f>C1565</f>
        <v>3</v>
      </c>
      <c r="O1561" s="1">
        <f>O1555+1</f>
        <v>6</v>
      </c>
    </row>
    <row r="1562" spans="1:15" x14ac:dyDescent="0.25">
      <c r="A1562" s="86"/>
      <c r="M1562" s="87"/>
    </row>
    <row r="1563" spans="1:15" x14ac:dyDescent="0.25">
      <c r="A1563" s="86"/>
      <c r="B1563" s="30" t="s">
        <v>474</v>
      </c>
      <c r="M1563" s="87"/>
    </row>
    <row r="1564" spans="1:15" x14ac:dyDescent="0.25">
      <c r="A1564" s="86"/>
      <c r="M1564" s="87"/>
    </row>
    <row r="1565" spans="1:15" ht="15.75" x14ac:dyDescent="0.25">
      <c r="A1565" s="86"/>
      <c r="B1565" s="46" t="s">
        <v>109</v>
      </c>
      <c r="C1565" s="46">
        <v>3</v>
      </c>
      <c r="D1565" s="46" t="s">
        <v>110</v>
      </c>
      <c r="M1565" s="87"/>
    </row>
    <row r="1566" spans="1:15" x14ac:dyDescent="0.25">
      <c r="A1566" s="86"/>
      <c r="M1566" s="87"/>
    </row>
    <row r="1567" spans="1:15" x14ac:dyDescent="0.25">
      <c r="A1567" s="107" t="str">
        <f>_xlfn.CONCAT("13.6.",O1567)</f>
        <v>13.6.7</v>
      </c>
      <c r="B1567" s="47" t="str">
        <f>VLOOKUP('IV-MEMORIAL'!A1567,'II-PO'!$A$19:$M$295,5,0)</f>
        <v>TUBO, PVC, SOLDÁVEL, DE 25MM, INSTALADO EM RAMAL OU SUB-RAMAL DE ÁGUA - FORNECIMENTO E INSTALAÇÃO. AF_06/2022</v>
      </c>
      <c r="C1567" s="47"/>
      <c r="D1567" s="47"/>
      <c r="E1567" s="48"/>
      <c r="F1567" s="48"/>
      <c r="G1567" s="48"/>
      <c r="H1567" s="48"/>
      <c r="I1567" s="48"/>
      <c r="J1567" s="48"/>
      <c r="K1567" s="48"/>
      <c r="L1567" s="48"/>
      <c r="M1567" s="108"/>
      <c r="N1567" s="3">
        <f>C1571</f>
        <v>6.86</v>
      </c>
      <c r="O1567" s="1">
        <f>O1561+1</f>
        <v>7</v>
      </c>
    </row>
    <row r="1568" spans="1:15" x14ac:dyDescent="0.25">
      <c r="A1568" s="86"/>
      <c r="M1568" s="87"/>
    </row>
    <row r="1569" spans="1:15" x14ac:dyDescent="0.25">
      <c r="A1569" s="86"/>
      <c r="B1569" s="30" t="s">
        <v>474</v>
      </c>
      <c r="M1569" s="87"/>
    </row>
    <row r="1570" spans="1:15" x14ac:dyDescent="0.25">
      <c r="A1570" s="86"/>
      <c r="M1570" s="87"/>
    </row>
    <row r="1571" spans="1:15" ht="15.75" x14ac:dyDescent="0.25">
      <c r="A1571" s="86"/>
      <c r="B1571" s="46" t="s">
        <v>109</v>
      </c>
      <c r="C1571" s="46">
        <v>6.86</v>
      </c>
      <c r="D1571" s="46" t="s">
        <v>116</v>
      </c>
      <c r="M1571" s="87"/>
    </row>
    <row r="1572" spans="1:15" x14ac:dyDescent="0.25">
      <c r="A1572" s="86"/>
      <c r="M1572" s="87"/>
    </row>
    <row r="1573" spans="1:15" x14ac:dyDescent="0.25">
      <c r="A1573" s="107" t="str">
        <f>_xlfn.CONCAT("13.6.",O1573)</f>
        <v>13.6.8</v>
      </c>
      <c r="B1573" s="47" t="str">
        <f>VLOOKUP('IV-MEMORIAL'!A1573,'II-PO'!$A$19:$M$295,5,0)</f>
        <v>JOELHO 90 GRAUS SOLDAVEL COM BUCHA DE LATAO 25 X 3/4"</v>
      </c>
      <c r="C1573" s="47"/>
      <c r="D1573" s="47"/>
      <c r="E1573" s="48"/>
      <c r="F1573" s="48"/>
      <c r="G1573" s="48"/>
      <c r="H1573" s="48"/>
      <c r="I1573" s="48"/>
      <c r="J1573" s="48"/>
      <c r="K1573" s="48"/>
      <c r="L1573" s="48"/>
      <c r="M1573" s="108"/>
      <c r="N1573" s="3">
        <f>C1577</f>
        <v>2</v>
      </c>
      <c r="O1573" s="1">
        <f>O1567+1</f>
        <v>8</v>
      </c>
    </row>
    <row r="1574" spans="1:15" x14ac:dyDescent="0.25">
      <c r="A1574" s="86"/>
      <c r="M1574" s="87"/>
    </row>
    <row r="1575" spans="1:15" x14ac:dyDescent="0.25">
      <c r="A1575" s="86"/>
      <c r="B1575" s="30" t="s">
        <v>474</v>
      </c>
      <c r="M1575" s="87"/>
    </row>
    <row r="1576" spans="1:15" x14ac:dyDescent="0.25">
      <c r="A1576" s="86"/>
      <c r="M1576" s="87"/>
    </row>
    <row r="1577" spans="1:15" ht="15.75" x14ac:dyDescent="0.25">
      <c r="A1577" s="86"/>
      <c r="B1577" s="46" t="s">
        <v>109</v>
      </c>
      <c r="C1577" s="46">
        <v>2</v>
      </c>
      <c r="D1577" s="46" t="s">
        <v>110</v>
      </c>
      <c r="M1577" s="87"/>
    </row>
    <row r="1578" spans="1:15" x14ac:dyDescent="0.25">
      <c r="A1578" s="86"/>
      <c r="M1578" s="87"/>
    </row>
    <row r="1579" spans="1:15" ht="15.75" x14ac:dyDescent="0.25">
      <c r="A1579" s="151" t="s">
        <v>561</v>
      </c>
      <c r="B1579" s="152" t="s">
        <v>562</v>
      </c>
      <c r="C1579" s="153"/>
      <c r="D1579" s="153"/>
      <c r="E1579" s="154"/>
      <c r="F1579" s="154"/>
      <c r="G1579" s="154"/>
      <c r="H1579" s="154"/>
      <c r="I1579" s="154"/>
      <c r="J1579" s="154"/>
      <c r="K1579" s="154"/>
      <c r="L1579" s="154"/>
      <c r="M1579" s="155"/>
    </row>
    <row r="1580" spans="1:15" x14ac:dyDescent="0.25">
      <c r="A1580" s="86"/>
      <c r="M1580" s="87"/>
    </row>
    <row r="1581" spans="1:15" x14ac:dyDescent="0.25">
      <c r="A1581" s="107" t="s">
        <v>563</v>
      </c>
      <c r="B1581" s="47" t="str">
        <f>VLOOKUP('IV-MEMORIAL'!A1581,'II-PO'!$A$19:$M$295,5,0)</f>
        <v>TORNEIRA CROMADA TUBO MÓVEL, DE MESA, 1/2" OU 3/4", PARA PIA DE COZINHA, PADRÃO ALTO - FORNECIMENTO E INSTALAÇÃO. AF_01/2020</v>
      </c>
      <c r="C1581" s="47"/>
      <c r="D1581" s="47"/>
      <c r="E1581" s="48"/>
      <c r="F1581" s="48"/>
      <c r="G1581" s="48"/>
      <c r="H1581" s="48"/>
      <c r="I1581" s="48"/>
      <c r="J1581" s="48"/>
      <c r="K1581" s="48"/>
      <c r="L1581" s="48"/>
      <c r="M1581" s="108"/>
      <c r="N1581" s="3">
        <f>C1585</f>
        <v>1</v>
      </c>
      <c r="O1581" s="1">
        <v>1</v>
      </c>
    </row>
    <row r="1582" spans="1:15" x14ac:dyDescent="0.25">
      <c r="A1582" s="86"/>
      <c r="M1582" s="87"/>
    </row>
    <row r="1583" spans="1:15" x14ac:dyDescent="0.25">
      <c r="A1583" s="86"/>
      <c r="B1583" s="30" t="s">
        <v>474</v>
      </c>
      <c r="M1583" s="87"/>
    </row>
    <row r="1584" spans="1:15" x14ac:dyDescent="0.25">
      <c r="A1584" s="86"/>
      <c r="M1584" s="87"/>
    </row>
    <row r="1585" spans="1:15" ht="15.75" x14ac:dyDescent="0.25">
      <c r="A1585" s="86"/>
      <c r="B1585" s="46" t="s">
        <v>109</v>
      </c>
      <c r="C1585" s="46">
        <v>1</v>
      </c>
      <c r="D1585" s="46" t="s">
        <v>110</v>
      </c>
      <c r="M1585" s="87"/>
    </row>
    <row r="1586" spans="1:15" x14ac:dyDescent="0.25">
      <c r="A1586" s="86"/>
      <c r="M1586" s="87"/>
    </row>
    <row r="1587" spans="1:15" x14ac:dyDescent="0.25">
      <c r="A1587" s="107" t="str">
        <f>_xlfn.CONCAT("13.7.",O1587)</f>
        <v>13.7.2</v>
      </c>
      <c r="B1587" s="47" t="str">
        <f>VLOOKUP('IV-MEMORIAL'!A1587,'II-PO'!$A$19:$M$295,5,0)</f>
        <v>REGISTRO DE GAVETA C/CANOPLA DIAMETRO 3/4"</v>
      </c>
      <c r="C1587" s="47"/>
      <c r="D1587" s="47"/>
      <c r="E1587" s="48"/>
      <c r="F1587" s="48"/>
      <c r="G1587" s="48"/>
      <c r="H1587" s="48"/>
      <c r="I1587" s="48"/>
      <c r="J1587" s="48"/>
      <c r="K1587" s="48"/>
      <c r="L1587" s="48"/>
      <c r="M1587" s="108"/>
      <c r="N1587" s="3">
        <f>C1591</f>
        <v>2</v>
      </c>
      <c r="O1587" s="1">
        <f>O1581+1</f>
        <v>2</v>
      </c>
    </row>
    <row r="1588" spans="1:15" x14ac:dyDescent="0.25">
      <c r="A1588" s="86"/>
      <c r="M1588" s="87"/>
    </row>
    <row r="1589" spans="1:15" x14ac:dyDescent="0.25">
      <c r="A1589" s="86"/>
      <c r="B1589" s="30" t="s">
        <v>474</v>
      </c>
      <c r="M1589" s="87"/>
    </row>
    <row r="1590" spans="1:15" x14ac:dyDescent="0.25">
      <c r="A1590" s="86"/>
      <c r="M1590" s="87"/>
    </row>
    <row r="1591" spans="1:15" ht="15.75" x14ac:dyDescent="0.25">
      <c r="A1591" s="86"/>
      <c r="B1591" s="46" t="s">
        <v>109</v>
      </c>
      <c r="C1591" s="46">
        <v>2</v>
      </c>
      <c r="D1591" s="46" t="s">
        <v>110</v>
      </c>
      <c r="M1591" s="87"/>
    </row>
    <row r="1592" spans="1:15" x14ac:dyDescent="0.25">
      <c r="A1592" s="86"/>
      <c r="M1592" s="87"/>
    </row>
    <row r="1593" spans="1:15" x14ac:dyDescent="0.25">
      <c r="A1593" s="107" t="str">
        <f>_xlfn.CONCAT("13.7.",O1593)</f>
        <v>13.7.3</v>
      </c>
      <c r="B1593" s="47" t="str">
        <f>VLOOKUP('IV-MEMORIAL'!A1593,'II-PO'!$A$19:$M$295,5,0)</f>
        <v>ADAPTADOR CURTO COM BOLSA E ROSCA PARA REGISTRO, PVC, SOLDÁVEL, DN 25MM X 3/4, INSTALADO EM RAMAL OU SUB-RAMAL DE ÁGUA - FORNECIMENTO E INSTALAÇÃO. AF_06/2022</v>
      </c>
      <c r="C1593" s="47"/>
      <c r="D1593" s="47"/>
      <c r="E1593" s="48"/>
      <c r="F1593" s="48"/>
      <c r="G1593" s="48"/>
      <c r="H1593" s="48"/>
      <c r="I1593" s="48"/>
      <c r="J1593" s="48"/>
      <c r="K1593" s="48"/>
      <c r="L1593" s="48"/>
      <c r="M1593" s="108"/>
      <c r="N1593" s="3">
        <f>C1597</f>
        <v>4</v>
      </c>
      <c r="O1593" s="1">
        <f>O1587+1</f>
        <v>3</v>
      </c>
    </row>
    <row r="1594" spans="1:15" x14ac:dyDescent="0.25">
      <c r="A1594" s="86"/>
      <c r="M1594" s="87"/>
    </row>
    <row r="1595" spans="1:15" x14ac:dyDescent="0.25">
      <c r="A1595" s="86"/>
      <c r="B1595" s="30" t="s">
        <v>474</v>
      </c>
      <c r="M1595" s="87"/>
    </row>
    <row r="1596" spans="1:15" x14ac:dyDescent="0.25">
      <c r="A1596" s="86"/>
      <c r="M1596" s="87"/>
    </row>
    <row r="1597" spans="1:15" ht="15.75" x14ac:dyDescent="0.25">
      <c r="A1597" s="86"/>
      <c r="B1597" s="46" t="s">
        <v>109</v>
      </c>
      <c r="C1597" s="46">
        <v>4</v>
      </c>
      <c r="D1597" s="46" t="s">
        <v>110</v>
      </c>
      <c r="M1597" s="87"/>
    </row>
    <row r="1598" spans="1:15" x14ac:dyDescent="0.25">
      <c r="A1598" s="86"/>
      <c r="M1598" s="87"/>
    </row>
    <row r="1599" spans="1:15" x14ac:dyDescent="0.25">
      <c r="A1599" s="107" t="str">
        <f>_xlfn.CONCAT("13.7.",O1599)</f>
        <v>13.7.4</v>
      </c>
      <c r="B1599" s="47" t="str">
        <f>VLOOKUP('IV-MEMORIAL'!A1599,'II-PO'!$A$19:$M$295,5,0)</f>
        <v>JOELHO 90 GRAUS, PVC, SOLDÁVEL, DN 25MM, INSTALADO EM RAMAL OU SUB-RAMAL DE ÁGUA - FORNECIMENTO E INSTALAÇÃO. AF_06/2022</v>
      </c>
      <c r="C1599" s="47"/>
      <c r="D1599" s="47"/>
      <c r="E1599" s="48"/>
      <c r="F1599" s="48"/>
      <c r="G1599" s="48"/>
      <c r="H1599" s="48"/>
      <c r="I1599" s="48"/>
      <c r="J1599" s="48"/>
      <c r="K1599" s="48"/>
      <c r="L1599" s="48"/>
      <c r="M1599" s="108"/>
      <c r="N1599" s="3">
        <f>C1603</f>
        <v>2</v>
      </c>
      <c r="O1599" s="1">
        <f>O1593+1</f>
        <v>4</v>
      </c>
    </row>
    <row r="1600" spans="1:15" x14ac:dyDescent="0.25">
      <c r="A1600" s="86"/>
      <c r="M1600" s="87"/>
    </row>
    <row r="1601" spans="1:15" x14ac:dyDescent="0.25">
      <c r="A1601" s="86"/>
      <c r="B1601" s="30" t="s">
        <v>474</v>
      </c>
      <c r="M1601" s="87"/>
    </row>
    <row r="1602" spans="1:15" x14ac:dyDescent="0.25">
      <c r="A1602" s="86"/>
      <c r="M1602" s="87"/>
    </row>
    <row r="1603" spans="1:15" ht="15.75" x14ac:dyDescent="0.25">
      <c r="A1603" s="86"/>
      <c r="B1603" s="46" t="s">
        <v>109</v>
      </c>
      <c r="C1603" s="46">
        <v>2</v>
      </c>
      <c r="D1603" s="46" t="s">
        <v>110</v>
      </c>
      <c r="M1603" s="87"/>
    </row>
    <row r="1604" spans="1:15" x14ac:dyDescent="0.25">
      <c r="A1604" s="86"/>
      <c r="M1604" s="87"/>
    </row>
    <row r="1605" spans="1:15" x14ac:dyDescent="0.25">
      <c r="A1605" s="107" t="str">
        <f>_xlfn.CONCAT("13.7.",O1605)</f>
        <v>13.7.5</v>
      </c>
      <c r="B1605" s="47" t="str">
        <f>VLOOKUP('IV-MEMORIAL'!A1605,'II-PO'!$A$19:$M$295,5,0)</f>
        <v>LUVA DE CORRER, PVC, SOLDÁVEL, DN 25MM, INSTALADO EM RAMAL OU SUB-RAMAL DE ÁGUA - FORNECIMENTO E INSTALAÇÃO. AF_12/2014</v>
      </c>
      <c r="C1605" s="47"/>
      <c r="D1605" s="47"/>
      <c r="E1605" s="48"/>
      <c r="F1605" s="48"/>
      <c r="G1605" s="48"/>
      <c r="H1605" s="48"/>
      <c r="I1605" s="48"/>
      <c r="J1605" s="48"/>
      <c r="K1605" s="48"/>
      <c r="L1605" s="48"/>
      <c r="M1605" s="108"/>
      <c r="N1605" s="3">
        <f>C1609</f>
        <v>2</v>
      </c>
      <c r="O1605" s="1">
        <f>O1599+1</f>
        <v>5</v>
      </c>
    </row>
    <row r="1606" spans="1:15" x14ac:dyDescent="0.25">
      <c r="A1606" s="86"/>
      <c r="M1606" s="87"/>
    </row>
    <row r="1607" spans="1:15" x14ac:dyDescent="0.25">
      <c r="A1607" s="86"/>
      <c r="B1607" s="30" t="s">
        <v>474</v>
      </c>
      <c r="M1607" s="87"/>
    </row>
    <row r="1608" spans="1:15" x14ac:dyDescent="0.25">
      <c r="A1608" s="86"/>
      <c r="M1608" s="87"/>
    </row>
    <row r="1609" spans="1:15" ht="15.75" x14ac:dyDescent="0.25">
      <c r="A1609" s="86"/>
      <c r="B1609" s="46" t="s">
        <v>109</v>
      </c>
      <c r="C1609" s="46">
        <v>2</v>
      </c>
      <c r="D1609" s="46" t="s">
        <v>110</v>
      </c>
      <c r="M1609" s="87"/>
    </row>
    <row r="1610" spans="1:15" x14ac:dyDescent="0.25">
      <c r="A1610" s="86"/>
      <c r="M1610" s="87"/>
    </row>
    <row r="1611" spans="1:15" x14ac:dyDescent="0.25">
      <c r="A1611" s="107" t="str">
        <f>_xlfn.CONCAT("13.7.",O1611)</f>
        <v>13.7.6</v>
      </c>
      <c r="B1611" s="47" t="str">
        <f>VLOOKUP('IV-MEMORIAL'!A1611,'II-PO'!$A$19:$M$295,5,0)</f>
        <v>TUBO, PVC, SOLDÁVEL, DE 25MM, INSTALADO EM RAMAL OU SUB-RAMAL DE ÁGUA - FORNECIMENTO E INSTALAÇÃO. AF_06/2022</v>
      </c>
      <c r="C1611" s="47"/>
      <c r="D1611" s="47"/>
      <c r="E1611" s="48"/>
      <c r="F1611" s="48"/>
      <c r="G1611" s="48"/>
      <c r="H1611" s="48"/>
      <c r="I1611" s="48"/>
      <c r="J1611" s="48"/>
      <c r="K1611" s="48"/>
      <c r="L1611" s="48"/>
      <c r="M1611" s="108"/>
      <c r="N1611" s="3">
        <f>C1615</f>
        <v>4.55</v>
      </c>
      <c r="O1611" s="1">
        <f>O1605+1</f>
        <v>6</v>
      </c>
    </row>
    <row r="1612" spans="1:15" x14ac:dyDescent="0.25">
      <c r="A1612" s="86"/>
      <c r="M1612" s="87"/>
    </row>
    <row r="1613" spans="1:15" x14ac:dyDescent="0.25">
      <c r="A1613" s="86"/>
      <c r="B1613" s="30" t="s">
        <v>474</v>
      </c>
      <c r="M1613" s="87"/>
    </row>
    <row r="1614" spans="1:15" x14ac:dyDescent="0.25">
      <c r="A1614" s="86"/>
      <c r="M1614" s="87"/>
    </row>
    <row r="1615" spans="1:15" ht="15.75" x14ac:dyDescent="0.25">
      <c r="A1615" s="86"/>
      <c r="B1615" s="46" t="s">
        <v>109</v>
      </c>
      <c r="C1615" s="46">
        <v>4.55</v>
      </c>
      <c r="D1615" s="46" t="s">
        <v>116</v>
      </c>
      <c r="M1615" s="87"/>
    </row>
    <row r="1616" spans="1:15" x14ac:dyDescent="0.25">
      <c r="A1616" s="86"/>
      <c r="M1616" s="87"/>
    </row>
    <row r="1617" spans="1:15" x14ac:dyDescent="0.25">
      <c r="A1617" s="107" t="str">
        <f>_xlfn.CONCAT("13.7.",O1617)</f>
        <v>13.7.7</v>
      </c>
      <c r="B1617" s="47" t="str">
        <f>VLOOKUP('IV-MEMORIAL'!A1617,'II-PO'!$A$19:$M$295,5,0)</f>
        <v>JOELHO 90 GRAUS SOLDAVEL COM BUCHA DE LATAO 25 X 3/4"</v>
      </c>
      <c r="C1617" s="47"/>
      <c r="D1617" s="47"/>
      <c r="E1617" s="48"/>
      <c r="F1617" s="48"/>
      <c r="G1617" s="48"/>
      <c r="H1617" s="48"/>
      <c r="I1617" s="48"/>
      <c r="J1617" s="48"/>
      <c r="K1617" s="48"/>
      <c r="L1617" s="48"/>
      <c r="M1617" s="108"/>
      <c r="N1617" s="3">
        <f>C1621</f>
        <v>1</v>
      </c>
      <c r="O1617" s="1">
        <f>O1611+1</f>
        <v>7</v>
      </c>
    </row>
    <row r="1618" spans="1:15" x14ac:dyDescent="0.25">
      <c r="A1618" s="86"/>
      <c r="M1618" s="87"/>
    </row>
    <row r="1619" spans="1:15" x14ac:dyDescent="0.25">
      <c r="A1619" s="86"/>
      <c r="B1619" s="30" t="s">
        <v>474</v>
      </c>
      <c r="M1619" s="87"/>
    </row>
    <row r="1620" spans="1:15" x14ac:dyDescent="0.25">
      <c r="A1620" s="86"/>
      <c r="M1620" s="87"/>
    </row>
    <row r="1621" spans="1:15" ht="15.75" x14ac:dyDescent="0.25">
      <c r="A1621" s="86"/>
      <c r="B1621" s="46" t="s">
        <v>109</v>
      </c>
      <c r="C1621" s="46">
        <v>1</v>
      </c>
      <c r="D1621" s="46" t="s">
        <v>110</v>
      </c>
      <c r="M1621" s="87"/>
    </row>
    <row r="1622" spans="1:15" x14ac:dyDescent="0.25">
      <c r="A1622" s="86"/>
      <c r="M1622" s="87"/>
    </row>
    <row r="1623" spans="1:15" ht="15.75" x14ac:dyDescent="0.25">
      <c r="A1623" s="151" t="s">
        <v>564</v>
      </c>
      <c r="B1623" s="152" t="s">
        <v>565</v>
      </c>
      <c r="C1623" s="153"/>
      <c r="D1623" s="153"/>
      <c r="E1623" s="154"/>
      <c r="F1623" s="154"/>
      <c r="G1623" s="154"/>
      <c r="H1623" s="154"/>
      <c r="I1623" s="154"/>
      <c r="J1623" s="154"/>
      <c r="K1623" s="154"/>
      <c r="L1623" s="154"/>
      <c r="M1623" s="155"/>
    </row>
    <row r="1624" spans="1:15" x14ac:dyDescent="0.25">
      <c r="A1624" s="86"/>
      <c r="M1624" s="87"/>
    </row>
    <row r="1625" spans="1:15" x14ac:dyDescent="0.25">
      <c r="A1625" s="107" t="s">
        <v>566</v>
      </c>
      <c r="B1625" s="47" t="str">
        <f>VLOOKUP('IV-MEMORIAL'!A1625,'II-PO'!$A$19:$M$295,5,0)</f>
        <v>REGISTRO DE GAVETA C/CANOPLA DIAMETRO 1"</v>
      </c>
      <c r="C1625" s="47"/>
      <c r="D1625" s="47"/>
      <c r="E1625" s="48"/>
      <c r="F1625" s="48"/>
      <c r="G1625" s="48"/>
      <c r="H1625" s="48"/>
      <c r="I1625" s="48"/>
      <c r="J1625" s="48"/>
      <c r="K1625" s="48"/>
      <c r="L1625" s="48"/>
      <c r="M1625" s="108"/>
      <c r="N1625" s="3">
        <f>C1629</f>
        <v>1</v>
      </c>
      <c r="O1625" s="1">
        <v>1</v>
      </c>
    </row>
    <row r="1626" spans="1:15" x14ac:dyDescent="0.25">
      <c r="A1626" s="86"/>
      <c r="M1626" s="87"/>
    </row>
    <row r="1627" spans="1:15" x14ac:dyDescent="0.25">
      <c r="A1627" s="86"/>
      <c r="B1627" s="30" t="s">
        <v>474</v>
      </c>
      <c r="M1627" s="87"/>
    </row>
    <row r="1628" spans="1:15" x14ac:dyDescent="0.25">
      <c r="A1628" s="86"/>
      <c r="M1628" s="87"/>
    </row>
    <row r="1629" spans="1:15" ht="15.75" x14ac:dyDescent="0.25">
      <c r="A1629" s="86"/>
      <c r="B1629" s="46" t="s">
        <v>109</v>
      </c>
      <c r="C1629" s="46">
        <v>1</v>
      </c>
      <c r="D1629" s="46" t="s">
        <v>110</v>
      </c>
      <c r="M1629" s="87"/>
    </row>
    <row r="1630" spans="1:15" x14ac:dyDescent="0.25">
      <c r="A1630" s="86"/>
      <c r="M1630" s="87"/>
    </row>
    <row r="1631" spans="1:15" x14ac:dyDescent="0.25">
      <c r="A1631" s="107" t="str">
        <f>_xlfn.CONCAT("13.8.",O1631)</f>
        <v>13.8.2</v>
      </c>
      <c r="B1631" s="47" t="str">
        <f>VLOOKUP('IV-MEMORIAL'!A1631,'II-PO'!$A$19:$M$295,5,0)</f>
        <v>REGISTRO DE GAVETA C/CANOPLA DIAMETRO 1.1/4"</v>
      </c>
      <c r="C1631" s="47"/>
      <c r="D1631" s="47"/>
      <c r="E1631" s="48"/>
      <c r="F1631" s="48"/>
      <c r="G1631" s="48"/>
      <c r="H1631" s="48"/>
      <c r="I1631" s="48"/>
      <c r="J1631" s="48"/>
      <c r="K1631" s="48"/>
      <c r="L1631" s="48"/>
      <c r="M1631" s="108"/>
      <c r="N1631" s="3">
        <f>C1635</f>
        <v>2</v>
      </c>
      <c r="O1631" s="1">
        <f>O1625+1</f>
        <v>2</v>
      </c>
    </row>
    <row r="1632" spans="1:15" x14ac:dyDescent="0.25">
      <c r="A1632" s="86"/>
      <c r="M1632" s="87"/>
    </row>
    <row r="1633" spans="1:15" x14ac:dyDescent="0.25">
      <c r="A1633" s="86"/>
      <c r="B1633" s="30" t="s">
        <v>474</v>
      </c>
      <c r="M1633" s="87"/>
    </row>
    <row r="1634" spans="1:15" x14ac:dyDescent="0.25">
      <c r="A1634" s="86"/>
      <c r="M1634" s="87"/>
    </row>
    <row r="1635" spans="1:15" ht="15.75" x14ac:dyDescent="0.25">
      <c r="A1635" s="86"/>
      <c r="B1635" s="46" t="s">
        <v>109</v>
      </c>
      <c r="C1635" s="46">
        <v>2</v>
      </c>
      <c r="D1635" s="46" t="s">
        <v>110</v>
      </c>
      <c r="M1635" s="87"/>
    </row>
    <row r="1636" spans="1:15" x14ac:dyDescent="0.25">
      <c r="A1636" s="86"/>
      <c r="M1636" s="87"/>
    </row>
    <row r="1637" spans="1:15" x14ac:dyDescent="0.25">
      <c r="A1637" s="107" t="str">
        <f>_xlfn.CONCAT("13.8.",O1637)</f>
        <v>13.8.3</v>
      </c>
      <c r="B1637" s="47" t="str">
        <f>VLOOKUP('IV-MEMORIAL'!A1637,'II-PO'!$A$19:$M$295,5,0)</f>
        <v>LUVA COM ROSCA, PVC, SOLDÁVEL, DN 40MM X 1.1/4", INSTALADO EM RAMAL DE DISTRIBUIÇÃO DE ÁGUA - FORNECIMENTO E INSTALAÇÃO. AF_06/2022</v>
      </c>
      <c r="C1637" s="47"/>
      <c r="D1637" s="47"/>
      <c r="E1637" s="48"/>
      <c r="F1637" s="48"/>
      <c r="G1637" s="48"/>
      <c r="H1637" s="48"/>
      <c r="I1637" s="48"/>
      <c r="J1637" s="48"/>
      <c r="K1637" s="48"/>
      <c r="L1637" s="48"/>
      <c r="M1637" s="108"/>
      <c r="N1637" s="3">
        <f>C1641</f>
        <v>1</v>
      </c>
      <c r="O1637" s="1">
        <f>O1631+1</f>
        <v>3</v>
      </c>
    </row>
    <row r="1638" spans="1:15" x14ac:dyDescent="0.25">
      <c r="A1638" s="86"/>
      <c r="M1638" s="87"/>
    </row>
    <row r="1639" spans="1:15" x14ac:dyDescent="0.25">
      <c r="A1639" s="86"/>
      <c r="B1639" s="30" t="s">
        <v>474</v>
      </c>
      <c r="M1639" s="87"/>
    </row>
    <row r="1640" spans="1:15" x14ac:dyDescent="0.25">
      <c r="A1640" s="86"/>
      <c r="M1640" s="87"/>
    </row>
    <row r="1641" spans="1:15" ht="15.75" x14ac:dyDescent="0.25">
      <c r="A1641" s="86"/>
      <c r="B1641" s="46" t="s">
        <v>109</v>
      </c>
      <c r="C1641" s="46">
        <v>1</v>
      </c>
      <c r="D1641" s="46" t="s">
        <v>110</v>
      </c>
      <c r="M1641" s="87"/>
    </row>
    <row r="1642" spans="1:15" x14ac:dyDescent="0.25">
      <c r="A1642" s="86"/>
      <c r="M1642" s="87"/>
    </row>
    <row r="1643" spans="1:15" x14ac:dyDescent="0.25">
      <c r="A1643" s="107" t="str">
        <f>_xlfn.CONCAT("13.8.",O1643)</f>
        <v>13.8.4</v>
      </c>
      <c r="B1643" s="47" t="str">
        <f>VLOOKUP('IV-MEMORIAL'!A1643,'II-PO'!$A$19:$M$295,5,0)</f>
        <v>ADAPTADOR SOLDÁVEL COM FLANGES LIVRES PARA CAIXA D'ÁGUA 32X1"</v>
      </c>
      <c r="C1643" s="47"/>
      <c r="D1643" s="47"/>
      <c r="E1643" s="48"/>
      <c r="F1643" s="48"/>
      <c r="G1643" s="48"/>
      <c r="H1643" s="48"/>
      <c r="I1643" s="48"/>
      <c r="J1643" s="48"/>
      <c r="K1643" s="48"/>
      <c r="L1643" s="48"/>
      <c r="M1643" s="108"/>
      <c r="N1643" s="3">
        <f>C1647</f>
        <v>3</v>
      </c>
      <c r="O1643" s="1">
        <f>O1637+1</f>
        <v>4</v>
      </c>
    </row>
    <row r="1644" spans="1:15" x14ac:dyDescent="0.25">
      <c r="A1644" s="86"/>
      <c r="M1644" s="87"/>
    </row>
    <row r="1645" spans="1:15" x14ac:dyDescent="0.25">
      <c r="A1645" s="86"/>
      <c r="B1645" s="30" t="s">
        <v>474</v>
      </c>
      <c r="M1645" s="87"/>
    </row>
    <row r="1646" spans="1:15" x14ac:dyDescent="0.25">
      <c r="A1646" s="86"/>
      <c r="M1646" s="87"/>
    </row>
    <row r="1647" spans="1:15" ht="15.75" x14ac:dyDescent="0.25">
      <c r="A1647" s="86"/>
      <c r="B1647" s="46" t="s">
        <v>109</v>
      </c>
      <c r="C1647" s="46">
        <v>3</v>
      </c>
      <c r="D1647" s="46" t="s">
        <v>110</v>
      </c>
      <c r="M1647" s="87"/>
    </row>
    <row r="1648" spans="1:15" x14ac:dyDescent="0.25">
      <c r="A1648" s="86"/>
      <c r="M1648" s="87"/>
    </row>
    <row r="1649" spans="1:15" x14ac:dyDescent="0.25">
      <c r="A1649" s="107" t="str">
        <f>_xlfn.CONCAT("13.8.",O1649)</f>
        <v>13.8.5</v>
      </c>
      <c r="B1649" s="47" t="str">
        <f>VLOOKUP('IV-MEMORIAL'!A1649,'II-PO'!$A$19:$M$295,5,0)</f>
        <v>ADAPTADOR SOLDÁVEL CURTO C/ BOLSA E ROSCA PARA REGISTRO 32X1"</v>
      </c>
      <c r="C1649" s="47"/>
      <c r="D1649" s="47"/>
      <c r="E1649" s="48"/>
      <c r="F1649" s="48"/>
      <c r="G1649" s="48"/>
      <c r="H1649" s="48"/>
      <c r="I1649" s="48"/>
      <c r="J1649" s="48"/>
      <c r="K1649" s="48"/>
      <c r="L1649" s="48"/>
      <c r="M1649" s="108"/>
      <c r="N1649" s="3">
        <f>C1653</f>
        <v>2</v>
      </c>
      <c r="O1649" s="1">
        <f>O1643+1</f>
        <v>5</v>
      </c>
    </row>
    <row r="1650" spans="1:15" x14ac:dyDescent="0.25">
      <c r="A1650" s="86"/>
      <c r="M1650" s="87"/>
    </row>
    <row r="1651" spans="1:15" x14ac:dyDescent="0.25">
      <c r="A1651" s="86"/>
      <c r="B1651" s="30" t="s">
        <v>474</v>
      </c>
      <c r="M1651" s="87"/>
    </row>
    <row r="1652" spans="1:15" x14ac:dyDescent="0.25">
      <c r="A1652" s="86"/>
      <c r="M1652" s="87"/>
    </row>
    <row r="1653" spans="1:15" ht="15.75" x14ac:dyDescent="0.25">
      <c r="A1653" s="86"/>
      <c r="B1653" s="46" t="s">
        <v>109</v>
      </c>
      <c r="C1653" s="46">
        <v>2</v>
      </c>
      <c r="D1653" s="46" t="s">
        <v>110</v>
      </c>
      <c r="M1653" s="87"/>
    </row>
    <row r="1654" spans="1:15" x14ac:dyDescent="0.25">
      <c r="A1654" s="86"/>
      <c r="M1654" s="87"/>
    </row>
    <row r="1655" spans="1:15" x14ac:dyDescent="0.25">
      <c r="A1655" s="107" t="str">
        <f>_xlfn.CONCAT("13.8.",O1655)</f>
        <v>13.8.6</v>
      </c>
      <c r="B1655" s="47" t="str">
        <f>VLOOKUP('IV-MEMORIAL'!A1655,'II-PO'!$A$19:$M$295,5,0)</f>
        <v>ADAPTADOR SOLDÁVEL CURTO C/ BOLSA E ROSCA PARA REGISTRO 40X1 1/4"</v>
      </c>
      <c r="C1655" s="47"/>
      <c r="D1655" s="47"/>
      <c r="E1655" s="48"/>
      <c r="F1655" s="48"/>
      <c r="G1655" s="48"/>
      <c r="H1655" s="48"/>
      <c r="I1655" s="48"/>
      <c r="J1655" s="48"/>
      <c r="K1655" s="48"/>
      <c r="L1655" s="48"/>
      <c r="M1655" s="108"/>
      <c r="N1655" s="3">
        <f>C1659</f>
        <v>4</v>
      </c>
      <c r="O1655" s="1">
        <f>O1649+1</f>
        <v>6</v>
      </c>
    </row>
    <row r="1656" spans="1:15" x14ac:dyDescent="0.25">
      <c r="A1656" s="86"/>
      <c r="M1656" s="87"/>
    </row>
    <row r="1657" spans="1:15" x14ac:dyDescent="0.25">
      <c r="A1657" s="86"/>
      <c r="B1657" s="30" t="s">
        <v>474</v>
      </c>
      <c r="M1657" s="87"/>
    </row>
    <row r="1658" spans="1:15" x14ac:dyDescent="0.25">
      <c r="A1658" s="86"/>
      <c r="M1658" s="87"/>
    </row>
    <row r="1659" spans="1:15" ht="15.75" x14ac:dyDescent="0.25">
      <c r="A1659" s="86"/>
      <c r="B1659" s="46" t="s">
        <v>109</v>
      </c>
      <c r="C1659" s="46">
        <v>4</v>
      </c>
      <c r="D1659" s="46" t="s">
        <v>110</v>
      </c>
      <c r="M1659" s="87"/>
    </row>
    <row r="1660" spans="1:15" x14ac:dyDescent="0.25">
      <c r="A1660" s="86"/>
      <c r="M1660" s="87"/>
    </row>
    <row r="1661" spans="1:15" x14ac:dyDescent="0.25">
      <c r="A1661" s="107" t="str">
        <f>_xlfn.CONCAT("13.8.",O1661)</f>
        <v>13.8.7</v>
      </c>
      <c r="B1661" s="47" t="str">
        <f>VLOOKUP('IV-MEMORIAL'!A1661,'II-PO'!$A$19:$M$295,5,0)</f>
        <v>BUCHA DE REDUÇÃO PVC, SOLDÁVEL, LONGA, DN 40 X 25 MM, INSTALADO EM RESERVAÇÃO PREDIAL DE ÁGUA - FORNECIMENTO E INSTALAÇÃO. AF_04/2024</v>
      </c>
      <c r="C1661" s="47"/>
      <c r="D1661" s="47"/>
      <c r="E1661" s="48"/>
      <c r="F1661" s="48"/>
      <c r="G1661" s="48"/>
      <c r="H1661" s="48"/>
      <c r="I1661" s="48"/>
      <c r="J1661" s="48"/>
      <c r="K1661" s="48"/>
      <c r="L1661" s="48"/>
      <c r="M1661" s="108"/>
      <c r="N1661" s="3">
        <f>C1665</f>
        <v>10</v>
      </c>
      <c r="O1661" s="1">
        <f>O1655+1</f>
        <v>7</v>
      </c>
    </row>
    <row r="1662" spans="1:15" x14ac:dyDescent="0.25">
      <c r="A1662" s="86"/>
      <c r="M1662" s="87"/>
    </row>
    <row r="1663" spans="1:15" x14ac:dyDescent="0.25">
      <c r="A1663" s="86"/>
      <c r="B1663" s="30" t="s">
        <v>474</v>
      </c>
      <c r="M1663" s="87"/>
    </row>
    <row r="1664" spans="1:15" x14ac:dyDescent="0.25">
      <c r="A1664" s="86"/>
      <c r="M1664" s="87"/>
    </row>
    <row r="1665" spans="1:15" ht="15.75" x14ac:dyDescent="0.25">
      <c r="A1665" s="86"/>
      <c r="B1665" s="46" t="s">
        <v>109</v>
      </c>
      <c r="C1665" s="46">
        <v>10</v>
      </c>
      <c r="D1665" s="46" t="s">
        <v>110</v>
      </c>
      <c r="M1665" s="87"/>
    </row>
    <row r="1666" spans="1:15" x14ac:dyDescent="0.25">
      <c r="A1666" s="86"/>
      <c r="M1666" s="87"/>
    </row>
    <row r="1667" spans="1:15" x14ac:dyDescent="0.25">
      <c r="A1667" s="107" t="str">
        <f>_xlfn.CONCAT("13.8.",O1667)</f>
        <v>13.8.8</v>
      </c>
      <c r="B1667" s="47" t="str">
        <f>VLOOKUP('IV-MEMORIAL'!A1667,'II-PO'!$A$19:$M$295,5,0)</f>
        <v>CURVA 90 GRAUS, PVC, SOLDÁVEL, DN 25 MM, INSTALADO EM RESERVAÇÃO PREDIAL DE ÁGUA - FORNECIMENTO E INSTALAÇÃO. AF_04/2024</v>
      </c>
      <c r="C1667" s="47"/>
      <c r="D1667" s="47"/>
      <c r="E1667" s="48"/>
      <c r="F1667" s="48"/>
      <c r="G1667" s="48"/>
      <c r="H1667" s="48"/>
      <c r="I1667" s="48"/>
      <c r="J1667" s="48"/>
      <c r="K1667" s="48"/>
      <c r="L1667" s="48"/>
      <c r="M1667" s="108"/>
      <c r="N1667" s="3">
        <f>C1671</f>
        <v>10</v>
      </c>
      <c r="O1667" s="1">
        <f>O1661+1</f>
        <v>8</v>
      </c>
    </row>
    <row r="1668" spans="1:15" x14ac:dyDescent="0.25">
      <c r="A1668" s="86"/>
      <c r="M1668" s="87"/>
    </row>
    <row r="1669" spans="1:15" x14ac:dyDescent="0.25">
      <c r="A1669" s="86"/>
      <c r="B1669" s="30" t="s">
        <v>474</v>
      </c>
      <c r="M1669" s="87"/>
    </row>
    <row r="1670" spans="1:15" x14ac:dyDescent="0.25">
      <c r="A1670" s="86"/>
      <c r="M1670" s="87"/>
    </row>
    <row r="1671" spans="1:15" ht="15.75" x14ac:dyDescent="0.25">
      <c r="A1671" s="86"/>
      <c r="B1671" s="46" t="s">
        <v>109</v>
      </c>
      <c r="C1671" s="46">
        <v>10</v>
      </c>
      <c r="D1671" s="46" t="s">
        <v>110</v>
      </c>
      <c r="M1671" s="87"/>
    </row>
    <row r="1672" spans="1:15" x14ac:dyDescent="0.25">
      <c r="A1672" s="86"/>
      <c r="M1672" s="87"/>
    </row>
    <row r="1673" spans="1:15" x14ac:dyDescent="0.25">
      <c r="A1673" s="107" t="str">
        <f>_xlfn.CONCAT("13.8.",O1673)</f>
        <v>13.8.9</v>
      </c>
      <c r="B1673" s="47" t="str">
        <f>VLOOKUP('IV-MEMORIAL'!A1673,'II-PO'!$A$19:$M$295,5,0)</f>
        <v>CURVA 90 GRAUS, PVC, SOLDÁVEL, DN 32 MM, INSTALADO EM RESERVAÇÃO PREDIAL DE ÁGUA - FORNECIMENTO E INSTALAÇÃO. AF_04/2024</v>
      </c>
      <c r="C1673" s="47"/>
      <c r="D1673" s="47"/>
      <c r="E1673" s="48"/>
      <c r="F1673" s="48"/>
      <c r="G1673" s="48"/>
      <c r="H1673" s="48"/>
      <c r="I1673" s="48"/>
      <c r="J1673" s="48"/>
      <c r="K1673" s="48"/>
      <c r="L1673" s="48"/>
      <c r="M1673" s="108"/>
      <c r="N1673" s="3">
        <f>C1677</f>
        <v>1</v>
      </c>
      <c r="O1673" s="1">
        <f>O1667+1</f>
        <v>9</v>
      </c>
    </row>
    <row r="1674" spans="1:15" x14ac:dyDescent="0.25">
      <c r="A1674" s="86"/>
      <c r="M1674" s="87"/>
    </row>
    <row r="1675" spans="1:15" x14ac:dyDescent="0.25">
      <c r="A1675" s="86"/>
      <c r="B1675" s="30" t="s">
        <v>474</v>
      </c>
      <c r="M1675" s="87"/>
    </row>
    <row r="1676" spans="1:15" x14ac:dyDescent="0.25">
      <c r="A1676" s="86"/>
      <c r="M1676" s="87"/>
    </row>
    <row r="1677" spans="1:15" ht="15.75" x14ac:dyDescent="0.25">
      <c r="A1677" s="86"/>
      <c r="B1677" s="46" t="s">
        <v>109</v>
      </c>
      <c r="C1677" s="46">
        <v>1</v>
      </c>
      <c r="D1677" s="46" t="s">
        <v>110</v>
      </c>
      <c r="M1677" s="87"/>
    </row>
    <row r="1678" spans="1:15" x14ac:dyDescent="0.25">
      <c r="A1678" s="86"/>
      <c r="M1678" s="87"/>
    </row>
    <row r="1679" spans="1:15" x14ac:dyDescent="0.25">
      <c r="A1679" s="107" t="str">
        <f>_xlfn.CONCAT("13.8.",O1679)</f>
        <v>13.8.10</v>
      </c>
      <c r="B1679" s="47" t="str">
        <f>VLOOKUP('IV-MEMORIAL'!A1679,'II-PO'!$A$19:$M$295,5,0)</f>
        <v>JOELHO 90 GRAUS, PPR, DN 25 MM, INSTALADO EM RESERVAÇÃO PREDIAL DE ÁGUA - FORNECIMENTO E INSTALAÇÃO. AF_04/2024</v>
      </c>
      <c r="C1679" s="47"/>
      <c r="D1679" s="47"/>
      <c r="E1679" s="48"/>
      <c r="F1679" s="48"/>
      <c r="G1679" s="48"/>
      <c r="H1679" s="48"/>
      <c r="I1679" s="48"/>
      <c r="J1679" s="48"/>
      <c r="K1679" s="48"/>
      <c r="L1679" s="48"/>
      <c r="M1679" s="108"/>
      <c r="N1679" s="3">
        <f>C1683</f>
        <v>6</v>
      </c>
      <c r="O1679" s="1">
        <f>O1673+1</f>
        <v>10</v>
      </c>
    </row>
    <row r="1680" spans="1:15" x14ac:dyDescent="0.25">
      <c r="A1680" s="86"/>
      <c r="M1680" s="87"/>
    </row>
    <row r="1681" spans="1:15" x14ac:dyDescent="0.25">
      <c r="A1681" s="86"/>
      <c r="B1681" s="30" t="s">
        <v>474</v>
      </c>
      <c r="M1681" s="87"/>
    </row>
    <row r="1682" spans="1:15" x14ac:dyDescent="0.25">
      <c r="A1682" s="86"/>
      <c r="M1682" s="87"/>
    </row>
    <row r="1683" spans="1:15" ht="15.75" x14ac:dyDescent="0.25">
      <c r="A1683" s="86"/>
      <c r="B1683" s="46" t="s">
        <v>109</v>
      </c>
      <c r="C1683" s="46">
        <v>6</v>
      </c>
      <c r="D1683" s="46" t="s">
        <v>110</v>
      </c>
      <c r="M1683" s="87"/>
    </row>
    <row r="1684" spans="1:15" x14ac:dyDescent="0.25">
      <c r="A1684" s="86"/>
      <c r="M1684" s="87"/>
    </row>
    <row r="1685" spans="1:15" x14ac:dyDescent="0.25">
      <c r="A1685" s="107" t="str">
        <f>_xlfn.CONCAT("13.8.",O1685)</f>
        <v>13.8.11</v>
      </c>
      <c r="B1685" s="47" t="str">
        <f>VLOOKUP('IV-MEMORIAL'!A1685,'II-PO'!$A$19:$M$295,5,0)</f>
        <v>LUVA DE CORRER, PVC, SOLDÁVEL, DN 25MM, INSTALADO EM PRUMADA DE ÁGUA - FORNECIMENTO E INSTALAÇÃO. AF_06/2022</v>
      </c>
      <c r="C1685" s="47"/>
      <c r="D1685" s="47"/>
      <c r="E1685" s="48"/>
      <c r="F1685" s="48"/>
      <c r="G1685" s="48"/>
      <c r="H1685" s="48"/>
      <c r="I1685" s="48"/>
      <c r="J1685" s="48"/>
      <c r="K1685" s="48"/>
      <c r="L1685" s="48"/>
      <c r="M1685" s="108"/>
      <c r="N1685" s="3">
        <f>C1689</f>
        <v>1</v>
      </c>
      <c r="O1685" s="1">
        <f>O1679+1</f>
        <v>11</v>
      </c>
    </row>
    <row r="1686" spans="1:15" x14ac:dyDescent="0.25">
      <c r="A1686" s="86"/>
      <c r="M1686" s="87"/>
    </row>
    <row r="1687" spans="1:15" x14ac:dyDescent="0.25">
      <c r="A1687" s="86"/>
      <c r="B1687" s="30" t="s">
        <v>474</v>
      </c>
      <c r="M1687" s="87"/>
    </row>
    <row r="1688" spans="1:15" x14ac:dyDescent="0.25">
      <c r="A1688" s="86"/>
      <c r="M1688" s="87"/>
    </row>
    <row r="1689" spans="1:15" ht="15.75" x14ac:dyDescent="0.25">
      <c r="A1689" s="86"/>
      <c r="B1689" s="46" t="s">
        <v>109</v>
      </c>
      <c r="C1689" s="46">
        <v>1</v>
      </c>
      <c r="D1689" s="46" t="s">
        <v>110</v>
      </c>
      <c r="M1689" s="87"/>
    </row>
    <row r="1690" spans="1:15" x14ac:dyDescent="0.25">
      <c r="A1690" s="86"/>
      <c r="M1690" s="87"/>
    </row>
    <row r="1691" spans="1:15" x14ac:dyDescent="0.25">
      <c r="A1691" s="107" t="str">
        <f>_xlfn.CONCAT("13.8.",O1691)</f>
        <v>13.8.12</v>
      </c>
      <c r="B1691" s="47" t="str">
        <f>VLOOKUP('IV-MEMORIAL'!A1691,'II-PO'!$A$19:$M$295,5,0)</f>
        <v>LUVA, PVC, SOLDÁVEL, DN 40 MM, INSTALADO EM RESERVAÇÃO PREDIAL DE ÁGUA - FORNECIMENTO E INSTALAÇÃO. AF_04/2024</v>
      </c>
      <c r="C1691" s="47"/>
      <c r="D1691" s="47"/>
      <c r="E1691" s="48"/>
      <c r="F1691" s="48"/>
      <c r="G1691" s="48"/>
      <c r="H1691" s="48"/>
      <c r="I1691" s="48"/>
      <c r="J1691" s="48"/>
      <c r="K1691" s="48"/>
      <c r="L1691" s="48"/>
      <c r="M1691" s="108"/>
      <c r="N1691" s="3">
        <f>C1695</f>
        <v>3</v>
      </c>
      <c r="O1691" s="1">
        <f>O1685+1</f>
        <v>12</v>
      </c>
    </row>
    <row r="1692" spans="1:15" x14ac:dyDescent="0.25">
      <c r="A1692" s="86"/>
      <c r="M1692" s="87"/>
    </row>
    <row r="1693" spans="1:15" x14ac:dyDescent="0.25">
      <c r="A1693" s="86"/>
      <c r="B1693" s="30" t="s">
        <v>474</v>
      </c>
      <c r="M1693" s="87"/>
    </row>
    <row r="1694" spans="1:15" x14ac:dyDescent="0.25">
      <c r="A1694" s="86"/>
      <c r="M1694" s="87"/>
    </row>
    <row r="1695" spans="1:15" ht="15.75" x14ac:dyDescent="0.25">
      <c r="A1695" s="86"/>
      <c r="B1695" s="46" t="s">
        <v>109</v>
      </c>
      <c r="C1695" s="46">
        <v>3</v>
      </c>
      <c r="D1695" s="46" t="s">
        <v>110</v>
      </c>
      <c r="M1695" s="87"/>
    </row>
    <row r="1696" spans="1:15" x14ac:dyDescent="0.25">
      <c r="A1696" s="86"/>
      <c r="M1696" s="87"/>
    </row>
    <row r="1697" spans="1:15" x14ac:dyDescent="0.25">
      <c r="A1697" s="107" t="str">
        <f>_xlfn.CONCAT("13.8.",O1697)</f>
        <v>13.8.13</v>
      </c>
      <c r="B1697" s="47" t="str">
        <f>VLOOKUP('IV-MEMORIAL'!A1697,'II-PO'!$A$19:$M$295,5,0)</f>
        <v>TORNEIRA DE BOIA PARA CAIXA D'ÁGUA, ROSCÁVEL, 1/2" - FORNECIMENTO E INSTALAÇÃO. AF_08/2021</v>
      </c>
      <c r="C1697" s="47"/>
      <c r="D1697" s="47"/>
      <c r="E1697" s="48"/>
      <c r="F1697" s="48"/>
      <c r="G1697" s="48"/>
      <c r="H1697" s="48"/>
      <c r="I1697" s="48"/>
      <c r="J1697" s="48"/>
      <c r="K1697" s="48"/>
      <c r="L1697" s="48"/>
      <c r="M1697" s="108"/>
      <c r="N1697" s="3">
        <f>C1701</f>
        <v>1</v>
      </c>
      <c r="O1697" s="1">
        <f>O1691+1</f>
        <v>13</v>
      </c>
    </row>
    <row r="1698" spans="1:15" x14ac:dyDescent="0.25">
      <c r="A1698" s="86"/>
      <c r="M1698" s="87"/>
    </row>
    <row r="1699" spans="1:15" x14ac:dyDescent="0.25">
      <c r="A1699" s="86"/>
      <c r="B1699" s="30" t="s">
        <v>474</v>
      </c>
      <c r="M1699" s="87"/>
    </row>
    <row r="1700" spans="1:15" x14ac:dyDescent="0.25">
      <c r="A1700" s="86"/>
      <c r="M1700" s="87"/>
    </row>
    <row r="1701" spans="1:15" ht="15.75" x14ac:dyDescent="0.25">
      <c r="A1701" s="86"/>
      <c r="B1701" s="46" t="s">
        <v>109</v>
      </c>
      <c r="C1701" s="46">
        <v>1</v>
      </c>
      <c r="D1701" s="46" t="s">
        <v>110</v>
      </c>
      <c r="M1701" s="87"/>
    </row>
    <row r="1702" spans="1:15" x14ac:dyDescent="0.25">
      <c r="A1702" s="86"/>
      <c r="M1702" s="87"/>
    </row>
    <row r="1703" spans="1:15" x14ac:dyDescent="0.25">
      <c r="A1703" s="107" t="str">
        <f>_xlfn.CONCAT("13.8.",O1703)</f>
        <v>13.8.14</v>
      </c>
      <c r="B1703" s="47" t="str">
        <f>VLOOKUP('IV-MEMORIAL'!A1703,'II-PO'!$A$19:$M$295,5,0)</f>
        <v>TUBO, PVC, SOLDÁVEL, DE 25MM, INSTALADO EM RESERVAÇÃO PREDIAL DE ÁGUA - FORNECIMENTO E INSTALAÇÃO. AF_04/2024</v>
      </c>
      <c r="C1703" s="47"/>
      <c r="D1703" s="47"/>
      <c r="E1703" s="48"/>
      <c r="F1703" s="48"/>
      <c r="G1703" s="48"/>
      <c r="H1703" s="48"/>
      <c r="I1703" s="48"/>
      <c r="J1703" s="48"/>
      <c r="K1703" s="48"/>
      <c r="L1703" s="48"/>
      <c r="M1703" s="108"/>
      <c r="N1703" s="3">
        <f>C1707</f>
        <v>8.9600000000000009</v>
      </c>
      <c r="O1703" s="1">
        <f>O1697+1</f>
        <v>14</v>
      </c>
    </row>
    <row r="1704" spans="1:15" x14ac:dyDescent="0.25">
      <c r="A1704" s="86"/>
      <c r="M1704" s="87"/>
    </row>
    <row r="1705" spans="1:15" x14ac:dyDescent="0.25">
      <c r="A1705" s="86"/>
      <c r="B1705" s="30" t="s">
        <v>474</v>
      </c>
      <c r="M1705" s="87"/>
    </row>
    <row r="1706" spans="1:15" x14ac:dyDescent="0.25">
      <c r="A1706" s="86"/>
      <c r="M1706" s="87"/>
    </row>
    <row r="1707" spans="1:15" ht="15.75" x14ac:dyDescent="0.25">
      <c r="A1707" s="86"/>
      <c r="B1707" s="46" t="s">
        <v>109</v>
      </c>
      <c r="C1707" s="46">
        <v>8.9600000000000009</v>
      </c>
      <c r="D1707" s="46" t="s">
        <v>116</v>
      </c>
      <c r="M1707" s="87"/>
    </row>
    <row r="1708" spans="1:15" x14ac:dyDescent="0.25">
      <c r="A1708" s="86"/>
      <c r="M1708" s="87"/>
    </row>
    <row r="1709" spans="1:15" x14ac:dyDescent="0.25">
      <c r="A1709" s="107" t="str">
        <f>_xlfn.CONCAT("13.8.",O1709)</f>
        <v>13.8.15</v>
      </c>
      <c r="B1709" s="47" t="str">
        <f>VLOOKUP('IV-MEMORIAL'!A1709,'II-PO'!$A$19:$M$295,5,0)</f>
        <v>TUBO, PVC, SOLDÁVEL, DE 32MM, INSTALADO EM RESERVAÇÃO PREDIAL DE ÁGUA - FORNECIMENTO E INSTALAÇÃO. AF_04/2024</v>
      </c>
      <c r="C1709" s="47"/>
      <c r="D1709" s="47"/>
      <c r="E1709" s="48"/>
      <c r="F1709" s="48"/>
      <c r="G1709" s="48"/>
      <c r="H1709" s="48"/>
      <c r="I1709" s="48"/>
      <c r="J1709" s="48"/>
      <c r="K1709" s="48"/>
      <c r="L1709" s="48"/>
      <c r="M1709" s="108"/>
      <c r="N1709" s="3">
        <f>C1713</f>
        <v>1</v>
      </c>
      <c r="O1709" s="1">
        <f>O1703+1</f>
        <v>15</v>
      </c>
    </row>
    <row r="1710" spans="1:15" x14ac:dyDescent="0.25">
      <c r="A1710" s="86"/>
      <c r="M1710" s="87"/>
    </row>
    <row r="1711" spans="1:15" x14ac:dyDescent="0.25">
      <c r="A1711" s="86"/>
      <c r="B1711" s="30" t="s">
        <v>474</v>
      </c>
      <c r="M1711" s="87"/>
    </row>
    <row r="1712" spans="1:15" x14ac:dyDescent="0.25">
      <c r="A1712" s="86"/>
      <c r="M1712" s="87"/>
    </row>
    <row r="1713" spans="1:15" ht="15.75" x14ac:dyDescent="0.25">
      <c r="A1713" s="86"/>
      <c r="B1713" s="46" t="s">
        <v>109</v>
      </c>
      <c r="C1713" s="46">
        <v>1</v>
      </c>
      <c r="D1713" s="46" t="s">
        <v>116</v>
      </c>
      <c r="M1713" s="87"/>
    </row>
    <row r="1714" spans="1:15" x14ac:dyDescent="0.25">
      <c r="A1714" s="86"/>
      <c r="M1714" s="87"/>
    </row>
    <row r="1715" spans="1:15" x14ac:dyDescent="0.25">
      <c r="A1715" s="107" t="str">
        <f>_xlfn.CONCAT("13.8.",O1715)</f>
        <v>13.8.16</v>
      </c>
      <c r="B1715" s="47" t="str">
        <f>VLOOKUP('IV-MEMORIAL'!A1715,'II-PO'!$A$19:$M$295,5,0)</f>
        <v>TUBO, PVC, SOLDÁVEL, DE 40MM, INSTALADO EM RESERVAÇÃO PREDIAL DE ÁGUA - FORNECIMENTO E INSTALAÇÃO. AF_04/2024</v>
      </c>
      <c r="C1715" s="47"/>
      <c r="D1715" s="47"/>
      <c r="E1715" s="48"/>
      <c r="F1715" s="48"/>
      <c r="G1715" s="48"/>
      <c r="H1715" s="48"/>
      <c r="I1715" s="48"/>
      <c r="J1715" s="48"/>
      <c r="K1715" s="48"/>
      <c r="L1715" s="48"/>
      <c r="M1715" s="108"/>
      <c r="N1715" s="3">
        <f>C1719</f>
        <v>8.19</v>
      </c>
      <c r="O1715" s="1">
        <f>O1709+1</f>
        <v>16</v>
      </c>
    </row>
    <row r="1716" spans="1:15" x14ac:dyDescent="0.25">
      <c r="A1716" s="86"/>
      <c r="M1716" s="87"/>
    </row>
    <row r="1717" spans="1:15" x14ac:dyDescent="0.25">
      <c r="A1717" s="86"/>
      <c r="B1717" s="30" t="s">
        <v>474</v>
      </c>
      <c r="M1717" s="87"/>
    </row>
    <row r="1718" spans="1:15" x14ac:dyDescent="0.25">
      <c r="A1718" s="86"/>
      <c r="M1718" s="87"/>
    </row>
    <row r="1719" spans="1:15" ht="15.75" x14ac:dyDescent="0.25">
      <c r="A1719" s="86"/>
      <c r="B1719" s="46" t="s">
        <v>109</v>
      </c>
      <c r="C1719" s="46">
        <v>8.19</v>
      </c>
      <c r="D1719" s="46" t="s">
        <v>116</v>
      </c>
      <c r="M1719" s="87"/>
    </row>
    <row r="1720" spans="1:15" x14ac:dyDescent="0.25">
      <c r="A1720" s="86"/>
      <c r="M1720" s="87"/>
    </row>
    <row r="1721" spans="1:15" x14ac:dyDescent="0.25">
      <c r="A1721" s="107" t="str">
        <f>_xlfn.CONCAT("13.8.",O1721)</f>
        <v>13.8.17</v>
      </c>
      <c r="B1721" s="47" t="str">
        <f>VLOOKUP('IV-MEMORIAL'!A1721,'II-PO'!$A$19:$M$295,5,0)</f>
        <v>TÊ, PVC, SOLDÁVEL, DN 32 MM INSTALADO EM RESERVAÇÃO PREDIAL DE ÁGUA - FORNECIMENTO E INSTALAÇÃO. AF_04/2024</v>
      </c>
      <c r="C1721" s="47"/>
      <c r="D1721" s="47"/>
      <c r="E1721" s="48"/>
      <c r="F1721" s="48"/>
      <c r="G1721" s="48"/>
      <c r="H1721" s="48"/>
      <c r="I1721" s="48"/>
      <c r="J1721" s="48"/>
      <c r="K1721" s="48"/>
      <c r="L1721" s="48"/>
      <c r="M1721" s="108"/>
      <c r="N1721" s="3">
        <f>C1725</f>
        <v>1</v>
      </c>
      <c r="O1721" s="1">
        <f>O1715+1</f>
        <v>17</v>
      </c>
    </row>
    <row r="1722" spans="1:15" x14ac:dyDescent="0.25">
      <c r="A1722" s="86"/>
      <c r="M1722" s="87"/>
    </row>
    <row r="1723" spans="1:15" x14ac:dyDescent="0.25">
      <c r="A1723" s="86"/>
      <c r="B1723" s="30" t="s">
        <v>474</v>
      </c>
      <c r="M1723" s="87"/>
    </row>
    <row r="1724" spans="1:15" x14ac:dyDescent="0.25">
      <c r="A1724" s="86"/>
      <c r="M1724" s="87"/>
    </row>
    <row r="1725" spans="1:15" ht="15.75" x14ac:dyDescent="0.25">
      <c r="A1725" s="86"/>
      <c r="B1725" s="46" t="s">
        <v>109</v>
      </c>
      <c r="C1725" s="46">
        <v>1</v>
      </c>
      <c r="D1725" s="46" t="s">
        <v>110</v>
      </c>
      <c r="M1725" s="87"/>
    </row>
    <row r="1726" spans="1:15" x14ac:dyDescent="0.25">
      <c r="A1726" s="86"/>
      <c r="M1726" s="87"/>
    </row>
    <row r="1727" spans="1:15" x14ac:dyDescent="0.25">
      <c r="A1727" s="107" t="str">
        <f>_xlfn.CONCAT("13.8.",O1727)</f>
        <v>13.8.18</v>
      </c>
      <c r="B1727" s="47" t="str">
        <f>VLOOKUP('IV-MEMORIAL'!A1727,'II-PO'!$A$19:$M$295,5,0)</f>
        <v>TÊ, PVC, SOLDÁVEL, DN 40 MM INSTALADO EM RESERVAÇÃO PREDIAL DE ÁGUA - FORNECIMENTO E INSTALAÇÃO. AF_04/2024</v>
      </c>
      <c r="C1727" s="47"/>
      <c r="D1727" s="47"/>
      <c r="E1727" s="48"/>
      <c r="F1727" s="48"/>
      <c r="G1727" s="48"/>
      <c r="H1727" s="48"/>
      <c r="I1727" s="48"/>
      <c r="J1727" s="48"/>
      <c r="K1727" s="48"/>
      <c r="L1727" s="48"/>
      <c r="M1727" s="108"/>
      <c r="N1727" s="3">
        <f>C1731</f>
        <v>4</v>
      </c>
      <c r="O1727" s="1">
        <f>O1721+1</f>
        <v>18</v>
      </c>
    </row>
    <row r="1728" spans="1:15" x14ac:dyDescent="0.25">
      <c r="A1728" s="86"/>
      <c r="M1728" s="87"/>
    </row>
    <row r="1729" spans="1:15" x14ac:dyDescent="0.25">
      <c r="A1729" s="86"/>
      <c r="B1729" s="30" t="s">
        <v>474</v>
      </c>
      <c r="M1729" s="87"/>
    </row>
    <row r="1730" spans="1:15" x14ac:dyDescent="0.25">
      <c r="A1730" s="86"/>
      <c r="M1730" s="87"/>
    </row>
    <row r="1731" spans="1:15" ht="15.75" x14ac:dyDescent="0.25">
      <c r="A1731" s="86"/>
      <c r="B1731" s="46" t="s">
        <v>109</v>
      </c>
      <c r="C1731" s="46">
        <v>4</v>
      </c>
      <c r="D1731" s="46" t="s">
        <v>110</v>
      </c>
      <c r="M1731" s="87"/>
    </row>
    <row r="1732" spans="1:15" x14ac:dyDescent="0.25">
      <c r="A1732" s="86"/>
      <c r="M1732" s="87"/>
    </row>
    <row r="1733" spans="1:15" x14ac:dyDescent="0.25">
      <c r="A1733" s="107" t="str">
        <f>_xlfn.CONCAT("13.8.",O1733)</f>
        <v>13.8.19</v>
      </c>
      <c r="B1733" s="47" t="str">
        <f>VLOOKUP('IV-MEMORIAL'!A1733,'II-PO'!$A$19:$M$295,5,0)</f>
        <v>CAIXA D'AGUA POLIETILENO 1000 LTS. COM TAMPA</v>
      </c>
      <c r="C1733" s="47"/>
      <c r="D1733" s="47"/>
      <c r="E1733" s="48"/>
      <c r="F1733" s="48"/>
      <c r="G1733" s="48"/>
      <c r="H1733" s="48"/>
      <c r="I1733" s="48"/>
      <c r="J1733" s="48"/>
      <c r="K1733" s="48"/>
      <c r="L1733" s="48"/>
      <c r="M1733" s="108"/>
      <c r="N1733" s="3">
        <f>C1737</f>
        <v>1</v>
      </c>
      <c r="O1733" s="1">
        <f>O1727+1</f>
        <v>19</v>
      </c>
    </row>
    <row r="1734" spans="1:15" x14ac:dyDescent="0.25">
      <c r="A1734" s="86"/>
      <c r="M1734" s="87"/>
    </row>
    <row r="1735" spans="1:15" x14ac:dyDescent="0.25">
      <c r="A1735" s="86"/>
      <c r="B1735" s="30" t="s">
        <v>474</v>
      </c>
      <c r="M1735" s="87"/>
    </row>
    <row r="1736" spans="1:15" x14ac:dyDescent="0.25">
      <c r="A1736" s="86"/>
      <c r="M1736" s="87"/>
    </row>
    <row r="1737" spans="1:15" ht="15.75" x14ac:dyDescent="0.25">
      <c r="A1737" s="86"/>
      <c r="B1737" s="46" t="s">
        <v>109</v>
      </c>
      <c r="C1737" s="46">
        <v>1</v>
      </c>
      <c r="D1737" s="46" t="s">
        <v>110</v>
      </c>
      <c r="M1737" s="87"/>
    </row>
    <row r="1738" spans="1:15" x14ac:dyDescent="0.25">
      <c r="A1738" s="86"/>
      <c r="M1738" s="87"/>
    </row>
    <row r="1739" spans="1:15" x14ac:dyDescent="0.25">
      <c r="A1739" s="107" t="str">
        <f>_xlfn.CONCAT("13.8.",O1739)</f>
        <v>13.8.20</v>
      </c>
      <c r="B1739" s="47" t="str">
        <f>VLOOKUP('IV-MEMORIAL'!A1739,'II-PO'!$A$19:$M$295,5,0)</f>
        <v>HIDRÔMETRO DN 1/2", 3,0 M3/H - FORNECIMENTO E INSTALAÇÃO. AF_03/2024</v>
      </c>
      <c r="C1739" s="47"/>
      <c r="D1739" s="47"/>
      <c r="E1739" s="48"/>
      <c r="F1739" s="48"/>
      <c r="G1739" s="48"/>
      <c r="H1739" s="48"/>
      <c r="I1739" s="48"/>
      <c r="J1739" s="48"/>
      <c r="K1739" s="48"/>
      <c r="L1739" s="48"/>
      <c r="M1739" s="108"/>
      <c r="N1739" s="3">
        <f>C1743</f>
        <v>1</v>
      </c>
      <c r="O1739" s="1">
        <f>O1733+1</f>
        <v>20</v>
      </c>
    </row>
    <row r="1740" spans="1:15" x14ac:dyDescent="0.25">
      <c r="A1740" s="86"/>
      <c r="M1740" s="87"/>
    </row>
    <row r="1741" spans="1:15" x14ac:dyDescent="0.25">
      <c r="A1741" s="86"/>
      <c r="B1741" s="30" t="s">
        <v>474</v>
      </c>
      <c r="M1741" s="87"/>
    </row>
    <row r="1742" spans="1:15" x14ac:dyDescent="0.25">
      <c r="A1742" s="86"/>
      <c r="M1742" s="87"/>
    </row>
    <row r="1743" spans="1:15" ht="15.75" x14ac:dyDescent="0.25">
      <c r="A1743" s="86"/>
      <c r="B1743" s="46" t="s">
        <v>109</v>
      </c>
      <c r="C1743" s="46">
        <v>1</v>
      </c>
      <c r="D1743" s="46" t="s">
        <v>110</v>
      </c>
      <c r="M1743" s="87"/>
    </row>
    <row r="1744" spans="1:15" x14ac:dyDescent="0.25">
      <c r="A1744" s="86"/>
      <c r="M1744" s="87"/>
    </row>
    <row r="1745" spans="1:15" x14ac:dyDescent="0.25">
      <c r="A1745" s="107" t="str">
        <f>_xlfn.CONCAT("13.8.",O1745)</f>
        <v>13.8.21</v>
      </c>
      <c r="B1745" s="47" t="str">
        <f>VLOOKUP('IV-MEMORIAL'!A1745,'II-PO'!$A$19:$M$295,5,0)</f>
        <v>KIT CAVALETE PARA MEDIÇÃO DE ÁGUA - ENTRADA PRINCIPAL, EM PVC 20 MM (1/2") - FORNECIMENTO E INSTALAÇÃO (EXCLUSIVE HIDRÔMETRO). AF_03/2024</v>
      </c>
      <c r="C1745" s="47"/>
      <c r="D1745" s="47"/>
      <c r="E1745" s="48"/>
      <c r="F1745" s="48"/>
      <c r="G1745" s="48"/>
      <c r="H1745" s="48"/>
      <c r="I1745" s="48"/>
      <c r="J1745" s="48"/>
      <c r="K1745" s="48"/>
      <c r="L1745" s="48"/>
      <c r="M1745" s="108"/>
      <c r="N1745" s="3">
        <f>C1749</f>
        <v>1</v>
      </c>
      <c r="O1745" s="1">
        <f>O1739+1</f>
        <v>21</v>
      </c>
    </row>
    <row r="1746" spans="1:15" x14ac:dyDescent="0.25">
      <c r="A1746" s="86"/>
      <c r="M1746" s="87"/>
    </row>
    <row r="1747" spans="1:15" x14ac:dyDescent="0.25">
      <c r="A1747" s="86"/>
      <c r="B1747" s="30" t="s">
        <v>474</v>
      </c>
      <c r="M1747" s="87"/>
    </row>
    <row r="1748" spans="1:15" x14ac:dyDescent="0.25">
      <c r="A1748" s="86"/>
      <c r="M1748" s="87"/>
    </row>
    <row r="1749" spans="1:15" ht="15.75" x14ac:dyDescent="0.25">
      <c r="A1749" s="86"/>
      <c r="B1749" s="46" t="s">
        <v>109</v>
      </c>
      <c r="C1749" s="46">
        <v>1</v>
      </c>
      <c r="D1749" s="46" t="s">
        <v>110</v>
      </c>
      <c r="M1749" s="87"/>
    </row>
    <row r="1750" spans="1:15" x14ac:dyDescent="0.25">
      <c r="A1750" s="86"/>
      <c r="M1750" s="87"/>
    </row>
    <row r="1751" spans="1:15" x14ac:dyDescent="0.25">
      <c r="A1751" s="107" t="str">
        <f>_xlfn.CONCAT("13.8.",O1751)</f>
        <v>13.8.22</v>
      </c>
      <c r="B1751" s="47" t="str">
        <f>VLOOKUP('IV-MEMORIAL'!A1751,'II-PO'!$A$19:$M$295,5,0)</f>
        <v>CURVA 90 GRAUS, PVC, SOLDÁVEL, DN 25MM, INSTALADO EM PRUMADA DE ÁGUA - FORNECIMENTO E INSTALAÇÃO. AF_06/2022</v>
      </c>
      <c r="C1751" s="47"/>
      <c r="D1751" s="47"/>
      <c r="E1751" s="48"/>
      <c r="F1751" s="48"/>
      <c r="G1751" s="48"/>
      <c r="H1751" s="48"/>
      <c r="I1751" s="48"/>
      <c r="J1751" s="48"/>
      <c r="K1751" s="48"/>
      <c r="L1751" s="48"/>
      <c r="M1751" s="108"/>
      <c r="N1751" s="3">
        <f>C1755</f>
        <v>1</v>
      </c>
      <c r="O1751" s="1">
        <f>O1745+1</f>
        <v>22</v>
      </c>
    </row>
    <row r="1752" spans="1:15" x14ac:dyDescent="0.25">
      <c r="A1752" s="86"/>
      <c r="M1752" s="87"/>
    </row>
    <row r="1753" spans="1:15" x14ac:dyDescent="0.25">
      <c r="A1753" s="86"/>
      <c r="B1753" s="30" t="s">
        <v>474</v>
      </c>
      <c r="M1753" s="87"/>
    </row>
    <row r="1754" spans="1:15" x14ac:dyDescent="0.25">
      <c r="A1754" s="86"/>
      <c r="M1754" s="87"/>
    </row>
    <row r="1755" spans="1:15" ht="15.75" x14ac:dyDescent="0.25">
      <c r="A1755" s="86"/>
      <c r="B1755" s="46" t="s">
        <v>109</v>
      </c>
      <c r="C1755" s="46">
        <v>1</v>
      </c>
      <c r="D1755" s="46" t="s">
        <v>110</v>
      </c>
      <c r="M1755" s="87"/>
    </row>
    <row r="1756" spans="1:15" x14ac:dyDescent="0.25">
      <c r="A1756" s="86"/>
      <c r="M1756" s="87"/>
    </row>
    <row r="1757" spans="1:15" x14ac:dyDescent="0.25">
      <c r="A1757" s="107" t="str">
        <f>_xlfn.CONCAT("13.8.",O1757)</f>
        <v>13.8.23</v>
      </c>
      <c r="B1757" s="47" t="str">
        <f>VLOOKUP('IV-MEMORIAL'!A1757,'II-PO'!$A$19:$M$295,5,0)</f>
        <v>LUVA DE CORRER, PVC, SOLDÁVEL, DN 25MM, INSTALADO EM RAMAL DE DISTRIBUIÇÃO DE ÁGUA - FORNECIMENTO E INSTALAÇÃO. AF_06/2022</v>
      </c>
      <c r="C1757" s="47"/>
      <c r="D1757" s="47"/>
      <c r="E1757" s="48"/>
      <c r="F1757" s="48"/>
      <c r="G1757" s="48"/>
      <c r="H1757" s="48"/>
      <c r="I1757" s="48"/>
      <c r="J1757" s="48"/>
      <c r="K1757" s="48"/>
      <c r="L1757" s="48"/>
      <c r="M1757" s="108"/>
      <c r="N1757" s="3">
        <f>C1761</f>
        <v>1</v>
      </c>
      <c r="O1757" s="1">
        <f>O1751+1</f>
        <v>23</v>
      </c>
    </row>
    <row r="1758" spans="1:15" x14ac:dyDescent="0.25">
      <c r="A1758" s="86"/>
      <c r="M1758" s="87"/>
    </row>
    <row r="1759" spans="1:15" x14ac:dyDescent="0.25">
      <c r="A1759" s="86"/>
      <c r="B1759" s="30" t="s">
        <v>474</v>
      </c>
      <c r="M1759" s="87"/>
    </row>
    <row r="1760" spans="1:15" x14ac:dyDescent="0.25">
      <c r="A1760" s="86"/>
      <c r="M1760" s="87"/>
    </row>
    <row r="1761" spans="1:15" ht="15.75" x14ac:dyDescent="0.25">
      <c r="A1761" s="86"/>
      <c r="B1761" s="46" t="s">
        <v>109</v>
      </c>
      <c r="C1761" s="46">
        <v>1</v>
      </c>
      <c r="D1761" s="46" t="s">
        <v>110</v>
      </c>
      <c r="M1761" s="87"/>
    </row>
    <row r="1762" spans="1:15" x14ac:dyDescent="0.25">
      <c r="A1762" s="86"/>
      <c r="M1762" s="87"/>
    </row>
    <row r="1763" spans="1:15" ht="15.75" x14ac:dyDescent="0.25">
      <c r="A1763" s="151" t="s">
        <v>567</v>
      </c>
      <c r="B1763" s="152" t="s">
        <v>568</v>
      </c>
      <c r="C1763" s="153"/>
      <c r="D1763" s="153"/>
      <c r="E1763" s="154"/>
      <c r="F1763" s="154"/>
      <c r="G1763" s="154"/>
      <c r="H1763" s="154"/>
      <c r="I1763" s="154"/>
      <c r="J1763" s="154"/>
      <c r="K1763" s="154"/>
      <c r="L1763" s="154"/>
      <c r="M1763" s="155"/>
    </row>
    <row r="1764" spans="1:15" x14ac:dyDescent="0.25">
      <c r="A1764" s="86"/>
      <c r="M1764" s="87"/>
    </row>
    <row r="1765" spans="1:15" x14ac:dyDescent="0.25">
      <c r="A1765" s="107" t="s">
        <v>569</v>
      </c>
      <c r="B1765" s="47" t="str">
        <f>VLOOKUP('IV-MEMORIAL'!A1765,'II-PO'!$A$19:$M$295,5,0)</f>
        <v>CURVA 90 GRAUS, PVC, SOLDÁVEL, DN 25MM, INSTALADO EM PRUMADA DE ÁGUA - FORNECIMENTO E INSTALAÇÃO. AF_06/2022</v>
      </c>
      <c r="C1765" s="47"/>
      <c r="D1765" s="47"/>
      <c r="E1765" s="48"/>
      <c r="F1765" s="48"/>
      <c r="G1765" s="48"/>
      <c r="H1765" s="48"/>
      <c r="I1765" s="48"/>
      <c r="J1765" s="48"/>
      <c r="K1765" s="48"/>
      <c r="L1765" s="48"/>
      <c r="M1765" s="108"/>
      <c r="N1765" s="3">
        <f>C1769</f>
        <v>1</v>
      </c>
      <c r="O1765" s="1">
        <v>1</v>
      </c>
    </row>
    <row r="1766" spans="1:15" x14ac:dyDescent="0.25">
      <c r="A1766" s="86"/>
      <c r="M1766" s="87"/>
    </row>
    <row r="1767" spans="1:15" x14ac:dyDescent="0.25">
      <c r="A1767" s="86"/>
      <c r="B1767" s="30" t="s">
        <v>474</v>
      </c>
      <c r="M1767" s="87"/>
    </row>
    <row r="1768" spans="1:15" x14ac:dyDescent="0.25">
      <c r="A1768" s="86"/>
      <c r="M1768" s="87"/>
    </row>
    <row r="1769" spans="1:15" ht="15.75" x14ac:dyDescent="0.25">
      <c r="A1769" s="86"/>
      <c r="B1769" s="46" t="s">
        <v>109</v>
      </c>
      <c r="C1769" s="46">
        <v>1</v>
      </c>
      <c r="D1769" s="46" t="s">
        <v>110</v>
      </c>
      <c r="M1769" s="87"/>
    </row>
    <row r="1770" spans="1:15" x14ac:dyDescent="0.25">
      <c r="A1770" s="86"/>
      <c r="M1770" s="87"/>
    </row>
    <row r="1771" spans="1:15" x14ac:dyDescent="0.25">
      <c r="A1771" s="107" t="str">
        <f>_xlfn.CONCAT("13.9.",O1771)</f>
        <v>13.9.2</v>
      </c>
      <c r="B1771" s="47" t="str">
        <f>VLOOKUP('IV-MEMORIAL'!A1771,'II-PO'!$A$19:$M$295,5,0)</f>
        <v>LUVA DE CORRER, PVC, SOLDÁVEL, DN 25MM, INSTALADO EM RAMAL DE DISTRIBUIÇÃO DE ÁGUA - FORNECIMENTO E INSTALAÇÃO. AF_06/2022</v>
      </c>
      <c r="C1771" s="47"/>
      <c r="D1771" s="47"/>
      <c r="E1771" s="48"/>
      <c r="F1771" s="48"/>
      <c r="G1771" s="48"/>
      <c r="H1771" s="48"/>
      <c r="I1771" s="48"/>
      <c r="J1771" s="48"/>
      <c r="K1771" s="48"/>
      <c r="L1771" s="48"/>
      <c r="M1771" s="108"/>
      <c r="N1771" s="3">
        <f>C1775</f>
        <v>1</v>
      </c>
      <c r="O1771" s="1">
        <f>O1765+1</f>
        <v>2</v>
      </c>
    </row>
    <row r="1772" spans="1:15" x14ac:dyDescent="0.25">
      <c r="A1772" s="86"/>
      <c r="M1772" s="87"/>
    </row>
    <row r="1773" spans="1:15" x14ac:dyDescent="0.25">
      <c r="A1773" s="86"/>
      <c r="B1773" s="30" t="s">
        <v>474</v>
      </c>
      <c r="M1773" s="87"/>
    </row>
    <row r="1774" spans="1:15" x14ac:dyDescent="0.25">
      <c r="A1774" s="86"/>
      <c r="M1774" s="87"/>
    </row>
    <row r="1775" spans="1:15" ht="15.75" x14ac:dyDescent="0.25">
      <c r="A1775" s="86"/>
      <c r="B1775" s="46" t="s">
        <v>109</v>
      </c>
      <c r="C1775" s="46">
        <v>1</v>
      </c>
      <c r="D1775" s="46" t="s">
        <v>110</v>
      </c>
      <c r="M1775" s="87"/>
    </row>
    <row r="1776" spans="1:15" x14ac:dyDescent="0.25">
      <c r="A1776" s="86"/>
      <c r="M1776" s="87"/>
    </row>
    <row r="1777" spans="1:15" x14ac:dyDescent="0.25">
      <c r="A1777" s="107" t="str">
        <f>_xlfn.CONCAT("13.9.",O1777)</f>
        <v>13.9.3</v>
      </c>
      <c r="B1777" s="47" t="str">
        <f>VLOOKUP('IV-MEMORIAL'!A1777,'II-PO'!$A$19:$M$295,5,0)</f>
        <v>TUBO, PVC, SOLDÁVEL, DE 25MM, INSTALADO EM RAMAL DE DISTRIBUIÇÃO DE ÁGUA - FORNECIMENTO E INSTALAÇÃO. AF_06/2022</v>
      </c>
      <c r="C1777" s="47"/>
      <c r="D1777" s="47"/>
      <c r="E1777" s="48"/>
      <c r="F1777" s="48"/>
      <c r="G1777" s="48"/>
      <c r="H1777" s="48"/>
      <c r="I1777" s="48"/>
      <c r="J1777" s="48"/>
      <c r="K1777" s="48"/>
      <c r="L1777" s="48"/>
      <c r="M1777" s="108"/>
      <c r="N1777" s="3">
        <f>C1781</f>
        <v>37.61</v>
      </c>
      <c r="O1777" s="1">
        <f>O1771+1</f>
        <v>3</v>
      </c>
    </row>
    <row r="1778" spans="1:15" x14ac:dyDescent="0.25">
      <c r="A1778" s="86"/>
      <c r="M1778" s="87"/>
    </row>
    <row r="1779" spans="1:15" x14ac:dyDescent="0.25">
      <c r="A1779" s="86"/>
      <c r="B1779" s="30" t="s">
        <v>474</v>
      </c>
      <c r="M1779" s="87"/>
    </row>
    <row r="1780" spans="1:15" x14ac:dyDescent="0.25">
      <c r="A1780" s="86"/>
      <c r="M1780" s="87"/>
    </row>
    <row r="1781" spans="1:15" ht="15.75" x14ac:dyDescent="0.25">
      <c r="A1781" s="86"/>
      <c r="B1781" s="46" t="s">
        <v>109</v>
      </c>
      <c r="C1781" s="46">
        <v>37.61</v>
      </c>
      <c r="D1781" s="46" t="s">
        <v>116</v>
      </c>
      <c r="M1781" s="87"/>
    </row>
    <row r="1782" spans="1:15" x14ac:dyDescent="0.25">
      <c r="A1782" s="86"/>
      <c r="M1782" s="87"/>
    </row>
    <row r="1783" spans="1:15" x14ac:dyDescent="0.25">
      <c r="A1783" s="107" t="str">
        <f>_xlfn.CONCAT("13.9.",O1783)</f>
        <v>13.9.4</v>
      </c>
      <c r="B1783" s="47" t="str">
        <f>VLOOKUP('IV-MEMORIAL'!A1783,'II-PO'!$A$19:$M$295,5,0)</f>
        <v>TUBO, PVC, SOLDÁVEL, DE 32MM, INSTALADO EM RAMAL DE DISTRIBUIÇÃO DE ÁGUA - FORNECIMENTO E INSTALAÇÃO. AF_06/2022</v>
      </c>
      <c r="C1783" s="47"/>
      <c r="D1783" s="47"/>
      <c r="E1783" s="48"/>
      <c r="F1783" s="48"/>
      <c r="G1783" s="48"/>
      <c r="H1783" s="48"/>
      <c r="I1783" s="48"/>
      <c r="J1783" s="48"/>
      <c r="K1783" s="48"/>
      <c r="L1783" s="48"/>
      <c r="M1783" s="108"/>
      <c r="N1783" s="3">
        <f>C1787</f>
        <v>1</v>
      </c>
      <c r="O1783" s="1">
        <f>O1777+1</f>
        <v>4</v>
      </c>
    </row>
    <row r="1784" spans="1:15" x14ac:dyDescent="0.25">
      <c r="A1784" s="86"/>
      <c r="M1784" s="87"/>
    </row>
    <row r="1785" spans="1:15" x14ac:dyDescent="0.25">
      <c r="A1785" s="86"/>
      <c r="B1785" s="30" t="s">
        <v>474</v>
      </c>
      <c r="M1785" s="87"/>
    </row>
    <row r="1786" spans="1:15" x14ac:dyDescent="0.25">
      <c r="A1786" s="86"/>
      <c r="M1786" s="87"/>
    </row>
    <row r="1787" spans="1:15" ht="15.75" x14ac:dyDescent="0.25">
      <c r="A1787" s="86"/>
      <c r="B1787" s="46" t="s">
        <v>109</v>
      </c>
      <c r="C1787" s="46">
        <v>1</v>
      </c>
      <c r="D1787" s="46" t="s">
        <v>116</v>
      </c>
      <c r="M1787" s="87"/>
    </row>
    <row r="1788" spans="1:15" x14ac:dyDescent="0.25">
      <c r="A1788" s="86"/>
      <c r="M1788" s="87"/>
    </row>
    <row r="1789" spans="1:15" x14ac:dyDescent="0.25">
      <c r="A1789" s="107" t="str">
        <f>_xlfn.CONCAT("13.9.",O1789)</f>
        <v>13.9.5</v>
      </c>
      <c r="B1789" s="47" t="str">
        <f>VLOOKUP('IV-MEMORIAL'!A1789,'II-PO'!$A$19:$M$295,5,0)</f>
        <v>TUBO, PVC, SOLDÁVEL, DE 40MM, INSTALADO EM RAMAL DE DISTRIBUIÇÃO DE ÁGUA - FORNECIMENTO E INSTALAÇÃO. AF_06/2022</v>
      </c>
      <c r="C1789" s="47"/>
      <c r="D1789" s="47"/>
      <c r="E1789" s="48"/>
      <c r="F1789" s="48"/>
      <c r="G1789" s="48"/>
      <c r="H1789" s="48"/>
      <c r="I1789" s="48"/>
      <c r="J1789" s="48"/>
      <c r="K1789" s="48"/>
      <c r="L1789" s="48"/>
      <c r="M1789" s="108"/>
      <c r="N1789" s="3">
        <f>C1793</f>
        <v>33.78</v>
      </c>
      <c r="O1789" s="1">
        <f>O1783+1</f>
        <v>5</v>
      </c>
    </row>
    <row r="1790" spans="1:15" x14ac:dyDescent="0.25">
      <c r="A1790" s="86"/>
      <c r="M1790" s="87"/>
    </row>
    <row r="1791" spans="1:15" x14ac:dyDescent="0.25">
      <c r="A1791" s="86"/>
      <c r="B1791" s="30" t="s">
        <v>474</v>
      </c>
      <c r="M1791" s="87"/>
    </row>
    <row r="1792" spans="1:15" x14ac:dyDescent="0.25">
      <c r="A1792" s="86"/>
      <c r="M1792" s="87"/>
    </row>
    <row r="1793" spans="1:15" ht="15.75" x14ac:dyDescent="0.25">
      <c r="A1793" s="86"/>
      <c r="B1793" s="46" t="s">
        <v>109</v>
      </c>
      <c r="C1793" s="46">
        <v>33.78</v>
      </c>
      <c r="D1793" s="46" t="s">
        <v>116</v>
      </c>
      <c r="M1793" s="87"/>
    </row>
    <row r="1794" spans="1:15" x14ac:dyDescent="0.25">
      <c r="A1794" s="86"/>
      <c r="M1794" s="87"/>
    </row>
    <row r="1795" spans="1:15" x14ac:dyDescent="0.25">
      <c r="A1795" s="107" t="str">
        <f>_xlfn.CONCAT("13.9.",O1795)</f>
        <v>13.9.6</v>
      </c>
      <c r="B1795" s="47" t="str">
        <f>VLOOKUP('IV-MEMORIAL'!A1795,'II-PO'!$A$19:$M$295,5,0)</f>
        <v>REGISTRO DE GAVETA C/CANOPLA DIAMETRO 1"</v>
      </c>
      <c r="C1795" s="47"/>
      <c r="D1795" s="47"/>
      <c r="E1795" s="48"/>
      <c r="F1795" s="48"/>
      <c r="G1795" s="48"/>
      <c r="H1795" s="48"/>
      <c r="I1795" s="48"/>
      <c r="J1795" s="48"/>
      <c r="K1795" s="48"/>
      <c r="L1795" s="48"/>
      <c r="M1795" s="108"/>
      <c r="N1795" s="3">
        <f>C1799</f>
        <v>1</v>
      </c>
      <c r="O1795" s="1">
        <f>O1789+1</f>
        <v>6</v>
      </c>
    </row>
    <row r="1796" spans="1:15" x14ac:dyDescent="0.25">
      <c r="A1796" s="86"/>
      <c r="M1796" s="87"/>
    </row>
    <row r="1797" spans="1:15" x14ac:dyDescent="0.25">
      <c r="A1797" s="86"/>
      <c r="B1797" s="30" t="s">
        <v>474</v>
      </c>
      <c r="M1797" s="87"/>
    </row>
    <row r="1798" spans="1:15" x14ac:dyDescent="0.25">
      <c r="A1798" s="86"/>
      <c r="M1798" s="87"/>
    </row>
    <row r="1799" spans="1:15" ht="15.75" x14ac:dyDescent="0.25">
      <c r="A1799" s="86"/>
      <c r="B1799" s="46" t="s">
        <v>109</v>
      </c>
      <c r="C1799" s="46">
        <v>1</v>
      </c>
      <c r="D1799" s="46" t="s">
        <v>110</v>
      </c>
      <c r="M1799" s="87"/>
    </row>
    <row r="1800" spans="1:15" x14ac:dyDescent="0.25">
      <c r="A1800" s="86"/>
      <c r="M1800" s="87"/>
    </row>
    <row r="1801" spans="1:15" x14ac:dyDescent="0.25">
      <c r="A1801" s="107" t="str">
        <f>_xlfn.CONCAT("13.9.",O1801)</f>
        <v>13.9.7</v>
      </c>
      <c r="B1801" s="47" t="str">
        <f>VLOOKUP('IV-MEMORIAL'!A1801,'II-PO'!$A$19:$M$295,5,0)</f>
        <v>REGISTRO DE GAVETA C/CANOPLA DIAMETRO 1.1/4"</v>
      </c>
      <c r="C1801" s="47"/>
      <c r="D1801" s="47"/>
      <c r="E1801" s="48"/>
      <c r="F1801" s="48"/>
      <c r="G1801" s="48"/>
      <c r="H1801" s="48"/>
      <c r="I1801" s="48"/>
      <c r="J1801" s="48"/>
      <c r="K1801" s="48"/>
      <c r="L1801" s="48"/>
      <c r="M1801" s="108"/>
      <c r="N1801" s="3">
        <f>C1805</f>
        <v>2</v>
      </c>
      <c r="O1801" s="1">
        <f>O1795+1</f>
        <v>7</v>
      </c>
    </row>
    <row r="1802" spans="1:15" x14ac:dyDescent="0.25">
      <c r="A1802" s="86"/>
      <c r="M1802" s="87"/>
    </row>
    <row r="1803" spans="1:15" x14ac:dyDescent="0.25">
      <c r="A1803" s="86"/>
      <c r="B1803" s="30" t="s">
        <v>474</v>
      </c>
      <c r="M1803" s="87"/>
    </row>
    <row r="1804" spans="1:15" x14ac:dyDescent="0.25">
      <c r="A1804" s="86"/>
      <c r="M1804" s="87"/>
    </row>
    <row r="1805" spans="1:15" ht="15.75" x14ac:dyDescent="0.25">
      <c r="A1805" s="86"/>
      <c r="B1805" s="46" t="s">
        <v>109</v>
      </c>
      <c r="C1805" s="46">
        <v>2</v>
      </c>
      <c r="D1805" s="46" t="s">
        <v>110</v>
      </c>
      <c r="M1805" s="87"/>
    </row>
    <row r="1806" spans="1:15" x14ac:dyDescent="0.25">
      <c r="A1806" s="86"/>
      <c r="M1806" s="87"/>
    </row>
    <row r="1807" spans="1:15" x14ac:dyDescent="0.25">
      <c r="A1807" s="107" t="str">
        <f>_xlfn.CONCAT("13.9.",O1807)</f>
        <v>13.9.8</v>
      </c>
      <c r="B1807" s="47" t="str">
        <f>VLOOKUP('IV-MEMORIAL'!A1807,'II-PO'!$A$19:$M$295,5,0)</f>
        <v>ADAPTADOR SOLDÁVEL COM FLANGES LIVRES PARA CAIXA D'ÁGUA 32X1"</v>
      </c>
      <c r="C1807" s="47"/>
      <c r="D1807" s="47"/>
      <c r="E1807" s="48"/>
      <c r="F1807" s="48"/>
      <c r="G1807" s="48"/>
      <c r="H1807" s="48"/>
      <c r="I1807" s="48"/>
      <c r="J1807" s="48"/>
      <c r="K1807" s="48"/>
      <c r="L1807" s="48"/>
      <c r="M1807" s="108"/>
      <c r="N1807" s="3">
        <f>C1811</f>
        <v>3</v>
      </c>
      <c r="O1807" s="1">
        <f>O1801+1</f>
        <v>8</v>
      </c>
    </row>
    <row r="1808" spans="1:15" x14ac:dyDescent="0.25">
      <c r="A1808" s="86"/>
      <c r="M1808" s="87"/>
    </row>
    <row r="1809" spans="1:15" x14ac:dyDescent="0.25">
      <c r="A1809" s="86"/>
      <c r="B1809" s="30" t="s">
        <v>474</v>
      </c>
      <c r="M1809" s="87"/>
    </row>
    <row r="1810" spans="1:15" x14ac:dyDescent="0.25">
      <c r="A1810" s="86"/>
      <c r="M1810" s="87"/>
    </row>
    <row r="1811" spans="1:15" ht="15.75" x14ac:dyDescent="0.25">
      <c r="A1811" s="86"/>
      <c r="B1811" s="46" t="s">
        <v>109</v>
      </c>
      <c r="C1811" s="46">
        <v>3</v>
      </c>
      <c r="D1811" s="46" t="s">
        <v>110</v>
      </c>
      <c r="M1811" s="87"/>
    </row>
    <row r="1812" spans="1:15" x14ac:dyDescent="0.25">
      <c r="A1812" s="86"/>
      <c r="M1812" s="87"/>
    </row>
    <row r="1813" spans="1:15" x14ac:dyDescent="0.25">
      <c r="A1813" s="107" t="str">
        <f>_xlfn.CONCAT("13.9.",O1813)</f>
        <v>13.9.9</v>
      </c>
      <c r="B1813" s="47" t="str">
        <f>VLOOKUP('IV-MEMORIAL'!A1813,'II-PO'!$A$19:$M$295,5,0)</f>
        <v>ADAPTADOR SOLDÁVEL CURTO C/ BOLSA E ROSCA PARA REGISTRO 32X1"</v>
      </c>
      <c r="C1813" s="47"/>
      <c r="D1813" s="47"/>
      <c r="E1813" s="48"/>
      <c r="F1813" s="48"/>
      <c r="G1813" s="48"/>
      <c r="H1813" s="48"/>
      <c r="I1813" s="48"/>
      <c r="J1813" s="48"/>
      <c r="K1813" s="48"/>
      <c r="L1813" s="48"/>
      <c r="M1813" s="108"/>
      <c r="N1813" s="3">
        <f>C1817</f>
        <v>2</v>
      </c>
      <c r="O1813" s="1">
        <f>O1807+1</f>
        <v>9</v>
      </c>
    </row>
    <row r="1814" spans="1:15" x14ac:dyDescent="0.25">
      <c r="A1814" s="86"/>
      <c r="M1814" s="87"/>
    </row>
    <row r="1815" spans="1:15" x14ac:dyDescent="0.25">
      <c r="A1815" s="86"/>
      <c r="B1815" s="30" t="s">
        <v>474</v>
      </c>
      <c r="M1815" s="87"/>
    </row>
    <row r="1816" spans="1:15" x14ac:dyDescent="0.25">
      <c r="A1816" s="86"/>
      <c r="M1816" s="87"/>
    </row>
    <row r="1817" spans="1:15" ht="15.75" x14ac:dyDescent="0.25">
      <c r="A1817" s="86"/>
      <c r="B1817" s="46" t="s">
        <v>109</v>
      </c>
      <c r="C1817" s="46">
        <v>2</v>
      </c>
      <c r="D1817" s="46" t="s">
        <v>110</v>
      </c>
      <c r="M1817" s="87"/>
    </row>
    <row r="1818" spans="1:15" x14ac:dyDescent="0.25">
      <c r="A1818" s="86"/>
      <c r="M1818" s="87"/>
    </row>
    <row r="1819" spans="1:15" x14ac:dyDescent="0.25">
      <c r="A1819" s="107" t="str">
        <f>_xlfn.CONCAT("13.9.",O1819)</f>
        <v>13.9.10</v>
      </c>
      <c r="B1819" s="47" t="str">
        <f>VLOOKUP('IV-MEMORIAL'!A1819,'II-PO'!$A$19:$M$295,5,0)</f>
        <v>ADAPTADOR SOLDÁVEL CURTO C/ BOLSA E ROSCA PARA REGISTRO 40X1 1/4"</v>
      </c>
      <c r="C1819" s="47"/>
      <c r="D1819" s="47"/>
      <c r="E1819" s="48"/>
      <c r="F1819" s="48"/>
      <c r="G1819" s="48"/>
      <c r="H1819" s="48"/>
      <c r="I1819" s="48"/>
      <c r="J1819" s="48"/>
      <c r="K1819" s="48"/>
      <c r="L1819" s="48"/>
      <c r="M1819" s="108"/>
      <c r="N1819" s="3">
        <f>C1823</f>
        <v>4</v>
      </c>
      <c r="O1819" s="1">
        <f>O1813+1</f>
        <v>10</v>
      </c>
    </row>
    <row r="1820" spans="1:15" x14ac:dyDescent="0.25">
      <c r="A1820" s="86"/>
      <c r="M1820" s="87"/>
    </row>
    <row r="1821" spans="1:15" x14ac:dyDescent="0.25">
      <c r="A1821" s="86"/>
      <c r="B1821" s="30" t="s">
        <v>474</v>
      </c>
      <c r="M1821" s="87"/>
    </row>
    <row r="1822" spans="1:15" x14ac:dyDescent="0.25">
      <c r="A1822" s="86"/>
      <c r="M1822" s="87"/>
    </row>
    <row r="1823" spans="1:15" ht="15.75" x14ac:dyDescent="0.25">
      <c r="A1823" s="86"/>
      <c r="B1823" s="46" t="s">
        <v>109</v>
      </c>
      <c r="C1823" s="46">
        <v>4</v>
      </c>
      <c r="D1823" s="46" t="s">
        <v>110</v>
      </c>
      <c r="M1823" s="87"/>
    </row>
    <row r="1824" spans="1:15" x14ac:dyDescent="0.25">
      <c r="A1824" s="86"/>
      <c r="M1824" s="87"/>
    </row>
    <row r="1825" spans="1:15" x14ac:dyDescent="0.25">
      <c r="A1825" s="107" t="str">
        <f>_xlfn.CONCAT("13.9.",O1825)</f>
        <v>13.9.11</v>
      </c>
      <c r="B1825" s="47" t="str">
        <f>VLOOKUP('IV-MEMORIAL'!A1825,'II-PO'!$A$19:$M$295,5,0)</f>
        <v>BUCHA DE REDUÇÃO, LONGA, PVC, SOLDÁVEL, DN 40 X 25 MM, INSTALADO EM RAMAL DE DISTRIBUIÇÃO DE ÁGUA - FORNECIMENTO E INSTALAÇÃO. AF_06/2022</v>
      </c>
      <c r="C1825" s="47"/>
      <c r="D1825" s="47"/>
      <c r="E1825" s="48"/>
      <c r="F1825" s="48"/>
      <c r="G1825" s="48"/>
      <c r="H1825" s="48"/>
      <c r="I1825" s="48"/>
      <c r="J1825" s="48"/>
      <c r="K1825" s="48"/>
      <c r="L1825" s="48"/>
      <c r="M1825" s="108"/>
      <c r="N1825" s="3">
        <f>C1829</f>
        <v>9</v>
      </c>
      <c r="O1825" s="1">
        <f>O1819+1</f>
        <v>11</v>
      </c>
    </row>
    <row r="1826" spans="1:15" x14ac:dyDescent="0.25">
      <c r="A1826" s="86"/>
      <c r="M1826" s="87"/>
    </row>
    <row r="1827" spans="1:15" x14ac:dyDescent="0.25">
      <c r="A1827" s="86"/>
      <c r="B1827" s="30" t="s">
        <v>474</v>
      </c>
      <c r="M1827" s="87"/>
    </row>
    <row r="1828" spans="1:15" x14ac:dyDescent="0.25">
      <c r="A1828" s="86"/>
      <c r="M1828" s="87"/>
    </row>
    <row r="1829" spans="1:15" ht="15.75" x14ac:dyDescent="0.25">
      <c r="A1829" s="86"/>
      <c r="B1829" s="46" t="s">
        <v>109</v>
      </c>
      <c r="C1829" s="46">
        <v>9</v>
      </c>
      <c r="D1829" s="46" t="s">
        <v>110</v>
      </c>
      <c r="M1829" s="87"/>
    </row>
    <row r="1830" spans="1:15" x14ac:dyDescent="0.25">
      <c r="A1830" s="86"/>
      <c r="M1830" s="87"/>
    </row>
    <row r="1831" spans="1:15" x14ac:dyDescent="0.25">
      <c r="A1831" s="107" t="str">
        <f>_xlfn.CONCAT("13.9.",O1831)</f>
        <v>13.9.12</v>
      </c>
      <c r="B1831" s="47" t="str">
        <f>VLOOKUP('IV-MEMORIAL'!A1831,'II-PO'!$A$19:$M$295,5,0)</f>
        <v>CURVA 45 GRAUS, PVC, SOLDÁVEL, DN 25MM, INSTALADO EM RAMAL DE DISTRIBUIÇÃO DE ÁGUA - FORNECIMENTO E INSTALAÇÃO. AF_06/2022</v>
      </c>
      <c r="C1831" s="47"/>
      <c r="D1831" s="47"/>
      <c r="E1831" s="48"/>
      <c r="F1831" s="48"/>
      <c r="G1831" s="48"/>
      <c r="H1831" s="48"/>
      <c r="I1831" s="48"/>
      <c r="J1831" s="48"/>
      <c r="K1831" s="48"/>
      <c r="L1831" s="48"/>
      <c r="M1831" s="108"/>
      <c r="N1831" s="3">
        <f>C1835</f>
        <v>4</v>
      </c>
      <c r="O1831" s="1">
        <f>O1825+1</f>
        <v>12</v>
      </c>
    </row>
    <row r="1832" spans="1:15" x14ac:dyDescent="0.25">
      <c r="A1832" s="86"/>
      <c r="M1832" s="87"/>
    </row>
    <row r="1833" spans="1:15" x14ac:dyDescent="0.25">
      <c r="A1833" s="86"/>
      <c r="B1833" s="30" t="s">
        <v>474</v>
      </c>
      <c r="M1833" s="87"/>
    </row>
    <row r="1834" spans="1:15" x14ac:dyDescent="0.25">
      <c r="A1834" s="86"/>
      <c r="M1834" s="87"/>
    </row>
    <row r="1835" spans="1:15" ht="15.75" x14ac:dyDescent="0.25">
      <c r="A1835" s="86"/>
      <c r="B1835" s="46" t="s">
        <v>109</v>
      </c>
      <c r="C1835" s="46">
        <v>4</v>
      </c>
      <c r="D1835" s="46" t="s">
        <v>110</v>
      </c>
      <c r="M1835" s="87"/>
    </row>
    <row r="1836" spans="1:15" x14ac:dyDescent="0.25">
      <c r="A1836" s="86"/>
      <c r="M1836" s="87"/>
    </row>
    <row r="1837" spans="1:15" x14ac:dyDescent="0.25">
      <c r="A1837" s="107" t="str">
        <f>_xlfn.CONCAT("13.9.",O1837)</f>
        <v>13.9.13</v>
      </c>
      <c r="B1837" s="47" t="str">
        <f>VLOOKUP('IV-MEMORIAL'!A1837,'II-PO'!$A$19:$M$295,5,0)</f>
        <v>CURVA 45 GRAUS, PVC, SOLDÁVEL, DN 40MM, INSTALADO EM RAMAL DE DISTRIBUIÇÃO DE ÁGUA - FORNECIMENTO E INSTALAÇÃO. AF_06/2022</v>
      </c>
      <c r="C1837" s="47"/>
      <c r="D1837" s="47"/>
      <c r="E1837" s="48"/>
      <c r="F1837" s="48"/>
      <c r="G1837" s="48"/>
      <c r="H1837" s="48"/>
      <c r="I1837" s="48"/>
      <c r="J1837" s="48"/>
      <c r="K1837" s="48"/>
      <c r="L1837" s="48"/>
      <c r="M1837" s="108"/>
      <c r="N1837" s="3">
        <f>C1841</f>
        <v>4</v>
      </c>
      <c r="O1837" s="1">
        <f>O1831+1</f>
        <v>13</v>
      </c>
    </row>
    <row r="1838" spans="1:15" x14ac:dyDescent="0.25">
      <c r="A1838" s="86"/>
      <c r="M1838" s="87"/>
    </row>
    <row r="1839" spans="1:15" x14ac:dyDescent="0.25">
      <c r="A1839" s="86"/>
      <c r="B1839" s="30" t="s">
        <v>474</v>
      </c>
      <c r="M1839" s="87"/>
    </row>
    <row r="1840" spans="1:15" x14ac:dyDescent="0.25">
      <c r="A1840" s="86"/>
      <c r="M1840" s="87"/>
    </row>
    <row r="1841" spans="1:15" ht="15.75" x14ac:dyDescent="0.25">
      <c r="A1841" s="86"/>
      <c r="B1841" s="46" t="s">
        <v>109</v>
      </c>
      <c r="C1841" s="46">
        <v>4</v>
      </c>
      <c r="D1841" s="46" t="s">
        <v>110</v>
      </c>
      <c r="M1841" s="87"/>
    </row>
    <row r="1842" spans="1:15" x14ac:dyDescent="0.25">
      <c r="A1842" s="86"/>
      <c r="M1842" s="87"/>
    </row>
    <row r="1843" spans="1:15" x14ac:dyDescent="0.25">
      <c r="A1843" s="107" t="str">
        <f>_xlfn.CONCAT("13.9.",O1843)</f>
        <v>13.9.14</v>
      </c>
      <c r="B1843" s="47" t="str">
        <f>VLOOKUP('IV-MEMORIAL'!A1843,'II-PO'!$A$19:$M$295,5,0)</f>
        <v>CURVA 90 GRAUS, PVC, SOLDÁVEL, DN 25MM, INSTALADO EM RAMAL DE DISTRIBUIÇÃO DE ÁGUA - FORNECIMENTO E INSTALAÇÃO. AF_06/2022</v>
      </c>
      <c r="C1843" s="47"/>
      <c r="D1843" s="47"/>
      <c r="E1843" s="48"/>
      <c r="F1843" s="48"/>
      <c r="G1843" s="48"/>
      <c r="H1843" s="48"/>
      <c r="I1843" s="48"/>
      <c r="J1843" s="48"/>
      <c r="K1843" s="48"/>
      <c r="L1843" s="48"/>
      <c r="M1843" s="108"/>
      <c r="N1843" s="3">
        <f>C1847</f>
        <v>13</v>
      </c>
      <c r="O1843" s="1">
        <f>O1837+1</f>
        <v>14</v>
      </c>
    </row>
    <row r="1844" spans="1:15" x14ac:dyDescent="0.25">
      <c r="A1844" s="86"/>
      <c r="M1844" s="87"/>
    </row>
    <row r="1845" spans="1:15" x14ac:dyDescent="0.25">
      <c r="A1845" s="86"/>
      <c r="B1845" s="30" t="s">
        <v>474</v>
      </c>
      <c r="M1845" s="87"/>
    </row>
    <row r="1846" spans="1:15" x14ac:dyDescent="0.25">
      <c r="A1846" s="86"/>
      <c r="M1846" s="87"/>
    </row>
    <row r="1847" spans="1:15" ht="15.75" x14ac:dyDescent="0.25">
      <c r="A1847" s="86"/>
      <c r="B1847" s="46" t="s">
        <v>109</v>
      </c>
      <c r="C1847" s="46">
        <v>13</v>
      </c>
      <c r="D1847" s="46" t="s">
        <v>110</v>
      </c>
      <c r="M1847" s="87"/>
    </row>
    <row r="1848" spans="1:15" x14ac:dyDescent="0.25">
      <c r="A1848" s="86"/>
      <c r="M1848" s="87"/>
    </row>
    <row r="1849" spans="1:15" x14ac:dyDescent="0.25">
      <c r="A1849" s="107" t="str">
        <f>_xlfn.CONCAT("13.9.",O1849)</f>
        <v>13.9.15</v>
      </c>
      <c r="B1849" s="47" t="str">
        <f>VLOOKUP('IV-MEMORIAL'!A1849,'II-PO'!$A$19:$M$295,5,0)</f>
        <v>CURVA 90 GRAUS, PVC, SOLDÁVEL, DN 32MM, INSTALADO EM RAMAL DE DISTRIBUIÇÃO DE ÁGUA - FORNECIMENTO E INSTALAÇÃO. AF_06/2022</v>
      </c>
      <c r="C1849" s="47"/>
      <c r="D1849" s="47"/>
      <c r="E1849" s="48"/>
      <c r="F1849" s="48"/>
      <c r="G1849" s="48"/>
      <c r="H1849" s="48"/>
      <c r="I1849" s="48"/>
      <c r="J1849" s="48"/>
      <c r="K1849" s="48"/>
      <c r="L1849" s="48"/>
      <c r="M1849" s="108"/>
      <c r="N1849" s="3">
        <f>C1853</f>
        <v>1</v>
      </c>
      <c r="O1849" s="1">
        <f>O1843+1</f>
        <v>15</v>
      </c>
    </row>
    <row r="1850" spans="1:15" x14ac:dyDescent="0.25">
      <c r="A1850" s="86"/>
      <c r="M1850" s="87"/>
    </row>
    <row r="1851" spans="1:15" x14ac:dyDescent="0.25">
      <c r="A1851" s="86"/>
      <c r="B1851" s="30" t="s">
        <v>474</v>
      </c>
      <c r="M1851" s="87"/>
    </row>
    <row r="1852" spans="1:15" x14ac:dyDescent="0.25">
      <c r="A1852" s="86"/>
      <c r="M1852" s="87"/>
    </row>
    <row r="1853" spans="1:15" ht="15.75" x14ac:dyDescent="0.25">
      <c r="A1853" s="86"/>
      <c r="B1853" s="46" t="s">
        <v>109</v>
      </c>
      <c r="C1853" s="46">
        <v>1</v>
      </c>
      <c r="D1853" s="46" t="s">
        <v>110</v>
      </c>
      <c r="M1853" s="87"/>
    </row>
    <row r="1854" spans="1:15" x14ac:dyDescent="0.25">
      <c r="A1854" s="86"/>
      <c r="M1854" s="87"/>
    </row>
    <row r="1855" spans="1:15" x14ac:dyDescent="0.25">
      <c r="A1855" s="107" t="str">
        <f>_xlfn.CONCAT("13.9.",O1855)</f>
        <v>13.9.16</v>
      </c>
      <c r="B1855" s="47" t="str">
        <f>VLOOKUP('IV-MEMORIAL'!A1855,'II-PO'!$A$19:$M$295,5,0)</f>
        <v>JOELHO 90 GRAUS, PVC, SOLDÁVEL, DN 25MM, INSTALADO EM RAMAL DE DISTRIBUIÇÃO DE ÁGUA - FORNECIMENTO E INSTALAÇÃO. AF_06/2022</v>
      </c>
      <c r="C1855" s="47"/>
      <c r="D1855" s="47"/>
      <c r="E1855" s="48"/>
      <c r="F1855" s="48"/>
      <c r="G1855" s="48"/>
      <c r="H1855" s="48"/>
      <c r="I1855" s="48"/>
      <c r="J1855" s="48"/>
      <c r="K1855" s="48"/>
      <c r="L1855" s="48"/>
      <c r="M1855" s="108"/>
      <c r="N1855" s="3">
        <f>C1859</f>
        <v>1</v>
      </c>
      <c r="O1855" s="1">
        <f>O1849+1</f>
        <v>16</v>
      </c>
    </row>
    <row r="1856" spans="1:15" x14ac:dyDescent="0.25">
      <c r="A1856" s="86"/>
      <c r="M1856" s="87"/>
    </row>
    <row r="1857" spans="1:15" x14ac:dyDescent="0.25">
      <c r="A1857" s="86"/>
      <c r="B1857" s="30" t="s">
        <v>474</v>
      </c>
      <c r="M1857" s="87"/>
    </row>
    <row r="1858" spans="1:15" x14ac:dyDescent="0.25">
      <c r="A1858" s="86"/>
      <c r="M1858" s="87"/>
    </row>
    <row r="1859" spans="1:15" ht="15.75" x14ac:dyDescent="0.25">
      <c r="A1859" s="86"/>
      <c r="B1859" s="46" t="s">
        <v>109</v>
      </c>
      <c r="C1859" s="46">
        <v>1</v>
      </c>
      <c r="D1859" s="46" t="s">
        <v>110</v>
      </c>
      <c r="M1859" s="87"/>
    </row>
    <row r="1860" spans="1:15" x14ac:dyDescent="0.25">
      <c r="A1860" s="86"/>
      <c r="M1860" s="87"/>
    </row>
    <row r="1861" spans="1:15" x14ac:dyDescent="0.25">
      <c r="A1861" s="107" t="str">
        <f>_xlfn.CONCAT("13.9.",O1861)</f>
        <v>13.9.17</v>
      </c>
      <c r="B1861" s="47" t="str">
        <f>VLOOKUP('IV-MEMORIAL'!A1861,'II-PO'!$A$19:$M$295,5,0)</f>
        <v>LUVA DE CORRER, PVC, SOLDÁVEL, DN 25MM, INSTALADO EM RAMAL DE DISTRIBUIÇÃO DE ÁGUA - FORNECIMENTO E INSTALAÇÃO. AF_06/2022</v>
      </c>
      <c r="C1861" s="47"/>
      <c r="D1861" s="47"/>
      <c r="E1861" s="48"/>
      <c r="F1861" s="48"/>
      <c r="G1861" s="48"/>
      <c r="H1861" s="48"/>
      <c r="I1861" s="48"/>
      <c r="J1861" s="48"/>
      <c r="K1861" s="48"/>
      <c r="L1861" s="48"/>
      <c r="M1861" s="108"/>
      <c r="N1861" s="3">
        <f>C1865</f>
        <v>1</v>
      </c>
      <c r="O1861" s="1">
        <f>O1855+1</f>
        <v>17</v>
      </c>
    </row>
    <row r="1862" spans="1:15" x14ac:dyDescent="0.25">
      <c r="A1862" s="86"/>
      <c r="M1862" s="87"/>
    </row>
    <row r="1863" spans="1:15" x14ac:dyDescent="0.25">
      <c r="A1863" s="86"/>
      <c r="B1863" s="30" t="s">
        <v>474</v>
      </c>
      <c r="M1863" s="87"/>
    </row>
    <row r="1864" spans="1:15" x14ac:dyDescent="0.25">
      <c r="A1864" s="86"/>
      <c r="M1864" s="87"/>
    </row>
    <row r="1865" spans="1:15" ht="15.75" x14ac:dyDescent="0.25">
      <c r="A1865" s="86"/>
      <c r="B1865" s="46" t="s">
        <v>109</v>
      </c>
      <c r="C1865" s="46">
        <v>1</v>
      </c>
      <c r="D1865" s="46" t="s">
        <v>110</v>
      </c>
      <c r="M1865" s="87"/>
    </row>
    <row r="1866" spans="1:15" x14ac:dyDescent="0.25">
      <c r="A1866" s="86"/>
      <c r="M1866" s="87"/>
    </row>
    <row r="1867" spans="1:15" x14ac:dyDescent="0.25">
      <c r="A1867" s="107" t="str">
        <f>_xlfn.CONCAT("13.9.",O1867)</f>
        <v>13.9.18</v>
      </c>
      <c r="B1867" s="47" t="str">
        <f>VLOOKUP('IV-MEMORIAL'!A1867,'II-PO'!$A$19:$M$295,5,0)</f>
        <v>LUVA, PVC, SOLDÁVEL, DN 40MM, INSTALADO EM RAMAL DE DISTRIBUIÇÃO DE ÁGUA - FORNECIMENTO E INSTALAÇÃO. AF_06/2022</v>
      </c>
      <c r="C1867" s="47"/>
      <c r="D1867" s="47"/>
      <c r="E1867" s="48"/>
      <c r="F1867" s="48"/>
      <c r="G1867" s="48"/>
      <c r="H1867" s="48"/>
      <c r="I1867" s="48"/>
      <c r="J1867" s="48"/>
      <c r="K1867" s="48"/>
      <c r="L1867" s="48"/>
      <c r="M1867" s="108"/>
      <c r="N1867" s="3">
        <f>C1871</f>
        <v>9</v>
      </c>
      <c r="O1867" s="1">
        <f>O1861+1</f>
        <v>18</v>
      </c>
    </row>
    <row r="1868" spans="1:15" x14ac:dyDescent="0.25">
      <c r="A1868" s="86"/>
      <c r="M1868" s="87"/>
    </row>
    <row r="1869" spans="1:15" x14ac:dyDescent="0.25">
      <c r="A1869" s="86"/>
      <c r="B1869" s="30" t="s">
        <v>474</v>
      </c>
      <c r="M1869" s="87"/>
    </row>
    <row r="1870" spans="1:15" x14ac:dyDescent="0.25">
      <c r="A1870" s="86"/>
      <c r="M1870" s="87"/>
    </row>
    <row r="1871" spans="1:15" ht="15.75" x14ac:dyDescent="0.25">
      <c r="A1871" s="86"/>
      <c r="B1871" s="46" t="s">
        <v>109</v>
      </c>
      <c r="C1871" s="46">
        <v>9</v>
      </c>
      <c r="D1871" s="46" t="s">
        <v>110</v>
      </c>
      <c r="M1871" s="87"/>
    </row>
    <row r="1872" spans="1:15" x14ac:dyDescent="0.25">
      <c r="A1872" s="86"/>
      <c r="M1872" s="87"/>
    </row>
    <row r="1873" spans="1:15" x14ac:dyDescent="0.25">
      <c r="A1873" s="107" t="str">
        <f>_xlfn.CONCAT("13.9.",O1873)</f>
        <v>13.9.19</v>
      </c>
      <c r="B1873" s="47" t="str">
        <f>VLOOKUP('IV-MEMORIAL'!A1873,'II-PO'!$A$19:$M$295,5,0)</f>
        <v>TE, PVC, SOLDÁVEL, DN 25MM, INSTALADO EM RAMAL DE DISTRIBUIÇÃO DE ÁGUA - FORNECIMENTO E INSTALAÇÃO. AF_06/2022</v>
      </c>
      <c r="C1873" s="47"/>
      <c r="D1873" s="47"/>
      <c r="E1873" s="48"/>
      <c r="F1873" s="48"/>
      <c r="G1873" s="48"/>
      <c r="H1873" s="48"/>
      <c r="I1873" s="48"/>
      <c r="J1873" s="48"/>
      <c r="K1873" s="48"/>
      <c r="L1873" s="48"/>
      <c r="M1873" s="108"/>
      <c r="N1873" s="3">
        <f>C1877</f>
        <v>4</v>
      </c>
      <c r="O1873" s="1">
        <f>O1867+1</f>
        <v>19</v>
      </c>
    </row>
    <row r="1874" spans="1:15" x14ac:dyDescent="0.25">
      <c r="A1874" s="86"/>
      <c r="M1874" s="87"/>
    </row>
    <row r="1875" spans="1:15" x14ac:dyDescent="0.25">
      <c r="A1875" s="86"/>
      <c r="B1875" s="30" t="s">
        <v>474</v>
      </c>
      <c r="M1875" s="87"/>
    </row>
    <row r="1876" spans="1:15" x14ac:dyDescent="0.25">
      <c r="A1876" s="86"/>
      <c r="M1876" s="87"/>
    </row>
    <row r="1877" spans="1:15" ht="15.75" x14ac:dyDescent="0.25">
      <c r="A1877" s="86"/>
      <c r="B1877" s="46" t="s">
        <v>109</v>
      </c>
      <c r="C1877" s="46">
        <v>4</v>
      </c>
      <c r="D1877" s="46" t="s">
        <v>110</v>
      </c>
      <c r="M1877" s="87"/>
    </row>
    <row r="1878" spans="1:15" x14ac:dyDescent="0.25">
      <c r="A1878" s="86"/>
      <c r="M1878" s="87"/>
    </row>
    <row r="1879" spans="1:15" x14ac:dyDescent="0.25">
      <c r="A1879" s="107" t="str">
        <f>_xlfn.CONCAT("13.9.",O1879)</f>
        <v>13.9.20</v>
      </c>
      <c r="B1879" s="47" t="str">
        <f>VLOOKUP('IV-MEMORIAL'!A1879,'II-PO'!$A$19:$M$295,5,0)</f>
        <v>TE, PVC, SOLDÁVEL, DN 32MM, INSTALADO EM RAMAL DE DISTRIBUIÇÃO DE ÁGUA - FORNECIMENTO E INSTALAÇÃO. AF_06/2022</v>
      </c>
      <c r="C1879" s="47"/>
      <c r="D1879" s="47"/>
      <c r="E1879" s="48"/>
      <c r="F1879" s="48"/>
      <c r="G1879" s="48"/>
      <c r="H1879" s="48"/>
      <c r="I1879" s="48"/>
      <c r="J1879" s="48"/>
      <c r="K1879" s="48"/>
      <c r="L1879" s="48"/>
      <c r="M1879" s="108"/>
      <c r="N1879" s="3">
        <f>C1883</f>
        <v>1</v>
      </c>
      <c r="O1879" s="1">
        <f>O1873+1</f>
        <v>20</v>
      </c>
    </row>
    <row r="1880" spans="1:15" x14ac:dyDescent="0.25">
      <c r="A1880" s="86"/>
      <c r="M1880" s="87"/>
    </row>
    <row r="1881" spans="1:15" x14ac:dyDescent="0.25">
      <c r="A1881" s="86"/>
      <c r="B1881" s="30" t="s">
        <v>474</v>
      </c>
      <c r="M1881" s="87"/>
    </row>
    <row r="1882" spans="1:15" x14ac:dyDescent="0.25">
      <c r="A1882" s="86"/>
      <c r="M1882" s="87"/>
    </row>
    <row r="1883" spans="1:15" ht="15.75" x14ac:dyDescent="0.25">
      <c r="A1883" s="86"/>
      <c r="B1883" s="46" t="s">
        <v>109</v>
      </c>
      <c r="C1883" s="46">
        <v>1</v>
      </c>
      <c r="D1883" s="46" t="s">
        <v>110</v>
      </c>
      <c r="M1883" s="87"/>
    </row>
    <row r="1884" spans="1:15" x14ac:dyDescent="0.25">
      <c r="A1884" s="86"/>
      <c r="M1884" s="87"/>
    </row>
    <row r="1885" spans="1:15" x14ac:dyDescent="0.25">
      <c r="A1885" s="107" t="str">
        <f>_xlfn.CONCAT("13.9.",O1885)</f>
        <v>13.9.21</v>
      </c>
      <c r="B1885" s="47" t="str">
        <f>VLOOKUP('IV-MEMORIAL'!A1885,'II-PO'!$A$19:$M$295,5,0)</f>
        <v>TE, PVC, SOLDÁVEL, DN 40MM, INSTALADO EM RAMAL DE DISTRIBUIÇÃO DE ÁGUA - FORNECIMENTO E INSTALAÇÃO. AF_06/2022</v>
      </c>
      <c r="C1885" s="47"/>
      <c r="D1885" s="47"/>
      <c r="E1885" s="48"/>
      <c r="F1885" s="48"/>
      <c r="G1885" s="48"/>
      <c r="H1885" s="48"/>
      <c r="I1885" s="48"/>
      <c r="J1885" s="48"/>
      <c r="K1885" s="48"/>
      <c r="L1885" s="48"/>
      <c r="M1885" s="108"/>
      <c r="N1885" s="3">
        <f>C1889</f>
        <v>9</v>
      </c>
      <c r="O1885" s="1">
        <f>O1879+1</f>
        <v>21</v>
      </c>
    </row>
    <row r="1886" spans="1:15" x14ac:dyDescent="0.25">
      <c r="A1886" s="86"/>
      <c r="M1886" s="87"/>
    </row>
    <row r="1887" spans="1:15" x14ac:dyDescent="0.25">
      <c r="A1887" s="86"/>
      <c r="B1887" s="30" t="s">
        <v>474</v>
      </c>
      <c r="M1887" s="87"/>
    </row>
    <row r="1888" spans="1:15" x14ac:dyDescent="0.25">
      <c r="A1888" s="86"/>
      <c r="M1888" s="87"/>
    </row>
    <row r="1889" spans="1:15" ht="15.75" x14ac:dyDescent="0.25">
      <c r="A1889" s="86"/>
      <c r="B1889" s="46" t="s">
        <v>109</v>
      </c>
      <c r="C1889" s="46">
        <v>9</v>
      </c>
      <c r="D1889" s="46" t="s">
        <v>110</v>
      </c>
      <c r="M1889" s="87"/>
    </row>
    <row r="1890" spans="1:15" x14ac:dyDescent="0.25">
      <c r="A1890" s="86"/>
      <c r="M1890" s="87"/>
    </row>
    <row r="1891" spans="1:15" x14ac:dyDescent="0.25">
      <c r="A1891" s="107" t="str">
        <f>_xlfn.CONCAT("13.9.",O1891)</f>
        <v>13.9.22</v>
      </c>
      <c r="B1891" s="47" t="str">
        <f>VLOOKUP('IV-MEMORIAL'!A1891,'II-PO'!$A$19:$M$295,5,0)</f>
        <v>CAIXA D'AGUA POLIETILENO 500 LTS. COM TAMPA</v>
      </c>
      <c r="C1891" s="47"/>
      <c r="D1891" s="47"/>
      <c r="E1891" s="48"/>
      <c r="F1891" s="48"/>
      <c r="G1891" s="48"/>
      <c r="H1891" s="48"/>
      <c r="I1891" s="48"/>
      <c r="J1891" s="48"/>
      <c r="K1891" s="48"/>
      <c r="L1891" s="48"/>
      <c r="M1891" s="108"/>
      <c r="N1891" s="3">
        <f>C1895</f>
        <v>1</v>
      </c>
      <c r="O1891" s="1">
        <f>O1885+1</f>
        <v>22</v>
      </c>
    </row>
    <row r="1892" spans="1:15" x14ac:dyDescent="0.25">
      <c r="A1892" s="86"/>
      <c r="M1892" s="87"/>
    </row>
    <row r="1893" spans="1:15" x14ac:dyDescent="0.25">
      <c r="A1893" s="86"/>
      <c r="B1893" s="30" t="s">
        <v>474</v>
      </c>
      <c r="M1893" s="87"/>
    </row>
    <row r="1894" spans="1:15" x14ac:dyDescent="0.25">
      <c r="A1894" s="86"/>
      <c r="M1894" s="87"/>
    </row>
    <row r="1895" spans="1:15" ht="15.75" x14ac:dyDescent="0.25">
      <c r="A1895" s="86"/>
      <c r="B1895" s="46" t="s">
        <v>109</v>
      </c>
      <c r="C1895" s="46">
        <v>1</v>
      </c>
      <c r="D1895" s="46" t="s">
        <v>110</v>
      </c>
      <c r="M1895" s="87"/>
    </row>
    <row r="1896" spans="1:15" x14ac:dyDescent="0.25">
      <c r="A1896" s="86"/>
      <c r="M1896" s="87"/>
    </row>
    <row r="1897" spans="1:15" ht="15.75" x14ac:dyDescent="0.25">
      <c r="A1897" s="151" t="s">
        <v>570</v>
      </c>
      <c r="B1897" s="152" t="s">
        <v>568</v>
      </c>
      <c r="C1897" s="153"/>
      <c r="D1897" s="153"/>
      <c r="E1897" s="154"/>
      <c r="F1897" s="154"/>
      <c r="G1897" s="154"/>
      <c r="H1897" s="154"/>
      <c r="I1897" s="154"/>
      <c r="J1897" s="154"/>
      <c r="K1897" s="154"/>
      <c r="L1897" s="154"/>
      <c r="M1897" s="155"/>
    </row>
    <row r="1898" spans="1:15" x14ac:dyDescent="0.25">
      <c r="A1898" s="86"/>
      <c r="M1898" s="87"/>
    </row>
    <row r="1899" spans="1:15" x14ac:dyDescent="0.25">
      <c r="A1899" s="107" t="s">
        <v>571</v>
      </c>
      <c r="B1899" s="47" t="str">
        <f>VLOOKUP('IV-MEMORIAL'!A1899,'II-PO'!$A$19:$M$295,5,0)</f>
        <v>LAVATÓRIO COM COLUNA SUSPENSA - 45X35 CM (MEDIDAS APROXIMADAS)</v>
      </c>
      <c r="C1899" s="47"/>
      <c r="D1899" s="47"/>
      <c r="E1899" s="48"/>
      <c r="F1899" s="48"/>
      <c r="G1899" s="48"/>
      <c r="H1899" s="48"/>
      <c r="I1899" s="48"/>
      <c r="J1899" s="48"/>
      <c r="K1899" s="48"/>
      <c r="L1899" s="48"/>
      <c r="M1899" s="108"/>
      <c r="N1899" s="3">
        <f>C1903</f>
        <v>4</v>
      </c>
      <c r="O1899" s="1">
        <v>1</v>
      </c>
    </row>
    <row r="1900" spans="1:15" x14ac:dyDescent="0.25">
      <c r="A1900" s="86"/>
      <c r="M1900" s="87"/>
    </row>
    <row r="1901" spans="1:15" x14ac:dyDescent="0.25">
      <c r="A1901" s="86"/>
      <c r="B1901" s="30" t="s">
        <v>474</v>
      </c>
      <c r="M1901" s="87"/>
    </row>
    <row r="1902" spans="1:15" x14ac:dyDescent="0.25">
      <c r="A1902" s="86"/>
      <c r="M1902" s="87"/>
    </row>
    <row r="1903" spans="1:15" ht="15.75" x14ac:dyDescent="0.25">
      <c r="A1903" s="86"/>
      <c r="B1903" s="46" t="s">
        <v>109</v>
      </c>
      <c r="C1903" s="46">
        <v>4</v>
      </c>
      <c r="D1903" s="46" t="s">
        <v>110</v>
      </c>
      <c r="M1903" s="87"/>
    </row>
    <row r="1904" spans="1:15" x14ac:dyDescent="0.25">
      <c r="A1904" s="86"/>
      <c r="M1904" s="87"/>
    </row>
    <row r="1905" spans="1:15" x14ac:dyDescent="0.25">
      <c r="A1905" s="107" t="str">
        <f>_xlfn.CONCAT("13.10.",O1905)</f>
        <v>13.10.2</v>
      </c>
      <c r="B1905" s="47" t="str">
        <f>VLOOKUP('IV-MEMORIAL'!A1905,'II-PO'!$A$19:$M$295,5,0)</f>
        <v>PIA MÁRMORE/GRANITO SINTÉTICO 2,00 X 0,54 M</v>
      </c>
      <c r="C1905" s="47"/>
      <c r="D1905" s="47"/>
      <c r="E1905" s="48"/>
      <c r="F1905" s="48"/>
      <c r="G1905" s="48"/>
      <c r="H1905" s="48"/>
      <c r="I1905" s="48"/>
      <c r="J1905" s="48"/>
      <c r="K1905" s="48"/>
      <c r="L1905" s="48"/>
      <c r="M1905" s="108"/>
      <c r="N1905" s="3">
        <f>C1909</f>
        <v>1</v>
      </c>
      <c r="O1905" s="1">
        <f>O1899+1</f>
        <v>2</v>
      </c>
    </row>
    <row r="1906" spans="1:15" x14ac:dyDescent="0.25">
      <c r="A1906" s="86"/>
      <c r="M1906" s="87"/>
    </row>
    <row r="1907" spans="1:15" x14ac:dyDescent="0.25">
      <c r="A1907" s="86"/>
      <c r="B1907" s="30" t="s">
        <v>474</v>
      </c>
      <c r="M1907" s="87"/>
    </row>
    <row r="1908" spans="1:15" x14ac:dyDescent="0.25">
      <c r="A1908" s="86"/>
      <c r="M1908" s="87"/>
    </row>
    <row r="1909" spans="1:15" ht="15.75" x14ac:dyDescent="0.25">
      <c r="A1909" s="86"/>
      <c r="B1909" s="46" t="s">
        <v>109</v>
      </c>
      <c r="C1909" s="46">
        <v>1</v>
      </c>
      <c r="D1909" s="46" t="s">
        <v>110</v>
      </c>
      <c r="M1909" s="87"/>
    </row>
    <row r="1910" spans="1:15" x14ac:dyDescent="0.25">
      <c r="A1910" s="86"/>
      <c r="M1910" s="87"/>
    </row>
    <row r="1911" spans="1:15" x14ac:dyDescent="0.25">
      <c r="A1911" s="107" t="str">
        <f>_xlfn.CONCAT("13.10.",O1911)</f>
        <v>13.10.3</v>
      </c>
      <c r="B1911" s="47" t="str">
        <f>VLOOKUP('IV-MEMORIAL'!A1911,'II-PO'!$A$19:$M$295,5,0)</f>
        <v>TANQUE DE AÇO INOX - CHAPA 0,7MM - MEDIDAS APROXIMADAS 50 X 40 X 22 CM (C X L X A)</v>
      </c>
      <c r="C1911" s="47"/>
      <c r="D1911" s="47"/>
      <c r="E1911" s="48"/>
      <c r="F1911" s="48"/>
      <c r="G1911" s="48"/>
      <c r="H1911" s="48"/>
      <c r="I1911" s="48"/>
      <c r="J1911" s="48"/>
      <c r="K1911" s="48"/>
      <c r="L1911" s="48"/>
      <c r="M1911" s="108"/>
      <c r="N1911" s="3">
        <f>C1915</f>
        <v>1</v>
      </c>
      <c r="O1911" s="1">
        <f>O1905+1</f>
        <v>3</v>
      </c>
    </row>
    <row r="1912" spans="1:15" x14ac:dyDescent="0.25">
      <c r="A1912" s="86"/>
      <c r="M1912" s="87"/>
    </row>
    <row r="1913" spans="1:15" x14ac:dyDescent="0.25">
      <c r="A1913" s="86"/>
      <c r="B1913" s="30" t="s">
        <v>474</v>
      </c>
      <c r="M1913" s="87"/>
    </row>
    <row r="1914" spans="1:15" x14ac:dyDescent="0.25">
      <c r="A1914" s="86"/>
      <c r="M1914" s="87"/>
    </row>
    <row r="1915" spans="1:15" ht="15.75" x14ac:dyDescent="0.25">
      <c r="A1915" s="86"/>
      <c r="B1915" s="46" t="s">
        <v>109</v>
      </c>
      <c r="C1915" s="46">
        <v>1</v>
      </c>
      <c r="D1915" s="46" t="s">
        <v>110</v>
      </c>
      <c r="M1915" s="87"/>
    </row>
    <row r="1916" spans="1:15" x14ac:dyDescent="0.25">
      <c r="A1916" s="86"/>
      <c r="M1916" s="87"/>
    </row>
    <row r="1917" spans="1:15" ht="15.75" x14ac:dyDescent="0.25">
      <c r="A1917" s="105">
        <v>14</v>
      </c>
      <c r="B1917" s="43" t="s">
        <v>222</v>
      </c>
      <c r="C1917" s="44"/>
      <c r="D1917" s="44"/>
      <c r="E1917" s="45"/>
      <c r="F1917" s="45"/>
      <c r="G1917" s="45"/>
      <c r="H1917" s="45"/>
      <c r="I1917" s="45"/>
      <c r="J1917" s="45"/>
      <c r="K1917" s="45"/>
      <c r="L1917" s="45"/>
      <c r="M1917" s="106"/>
    </row>
    <row r="1918" spans="1:15" x14ac:dyDescent="0.25">
      <c r="A1918" s="86"/>
      <c r="M1918" s="87"/>
    </row>
    <row r="1919" spans="1:15" ht="15.75" x14ac:dyDescent="0.25">
      <c r="A1919" s="151" t="s">
        <v>464</v>
      </c>
      <c r="B1919" s="152" t="s">
        <v>448</v>
      </c>
      <c r="C1919" s="153"/>
      <c r="D1919" s="153"/>
      <c r="E1919" s="154"/>
      <c r="F1919" s="154"/>
      <c r="G1919" s="154"/>
      <c r="H1919" s="154"/>
      <c r="I1919" s="154"/>
      <c r="J1919" s="154"/>
      <c r="K1919" s="154"/>
      <c r="L1919" s="154"/>
      <c r="M1919" s="155"/>
    </row>
    <row r="1920" spans="1:15" x14ac:dyDescent="0.25">
      <c r="A1920" s="86"/>
      <c r="M1920" s="87"/>
    </row>
    <row r="1921" spans="1:14" x14ac:dyDescent="0.25">
      <c r="A1921" s="107" t="s">
        <v>465</v>
      </c>
      <c r="B1921" s="47" t="str">
        <f>VLOOKUP('IV-MEMORIAL'!A1921,'II-PO'!$A$19:$M$295,5,0)</f>
        <v>CAIXA RETANGULAR 4" X 2" MÉDIA (1,30 M DO PISO), PVC, INSTALADA EM PAREDE - FORNECIMENTO E INSTALAÇÃO. AF_03/2023</v>
      </c>
      <c r="C1921" s="47"/>
      <c r="D1921" s="47"/>
      <c r="E1921" s="48"/>
      <c r="F1921" s="48"/>
      <c r="G1921" s="48"/>
      <c r="H1921" s="48"/>
      <c r="I1921" s="48"/>
      <c r="J1921" s="48"/>
      <c r="K1921" s="48"/>
      <c r="L1921" s="48"/>
      <c r="M1921" s="108"/>
      <c r="N1921" s="3">
        <f>C1925</f>
        <v>129</v>
      </c>
    </row>
    <row r="1922" spans="1:14" x14ac:dyDescent="0.25">
      <c r="A1922" s="86"/>
      <c r="M1922" s="87"/>
    </row>
    <row r="1923" spans="1:14" x14ac:dyDescent="0.25">
      <c r="A1923" s="86"/>
      <c r="B1923" s="30" t="s">
        <v>449</v>
      </c>
      <c r="M1923" s="87"/>
    </row>
    <row r="1924" spans="1:14" x14ac:dyDescent="0.25">
      <c r="A1924" s="86"/>
      <c r="M1924" s="87"/>
    </row>
    <row r="1925" spans="1:14" ht="15.75" x14ac:dyDescent="0.25">
      <c r="A1925" s="86"/>
      <c r="B1925" s="46" t="s">
        <v>109</v>
      </c>
      <c r="C1925" s="46">
        <v>129</v>
      </c>
      <c r="D1925" s="46" t="s">
        <v>110</v>
      </c>
      <c r="M1925" s="87"/>
    </row>
    <row r="1926" spans="1:14" x14ac:dyDescent="0.25">
      <c r="A1926" s="86"/>
      <c r="M1926" s="87"/>
    </row>
    <row r="1927" spans="1:14" x14ac:dyDescent="0.25">
      <c r="A1927" s="107" t="s">
        <v>466</v>
      </c>
      <c r="B1927" s="47" t="str">
        <f>VLOOKUP('IV-MEMORIAL'!A1927,'II-PO'!$A$19:$M$295,5,0)</f>
        <v>CAIXA OCTOGONAL 3" X 3", PVC, INSTALADA EM LAJE - FORNECIMENTO E INSTALAÇÃO. AF_03/2023</v>
      </c>
      <c r="C1927" s="47"/>
      <c r="D1927" s="47"/>
      <c r="E1927" s="48"/>
      <c r="F1927" s="48"/>
      <c r="G1927" s="48"/>
      <c r="H1927" s="48"/>
      <c r="I1927" s="48"/>
      <c r="J1927" s="48"/>
      <c r="K1927" s="48"/>
      <c r="L1927" s="48"/>
      <c r="M1927" s="108"/>
      <c r="N1927" s="3">
        <f>C1931</f>
        <v>32</v>
      </c>
    </row>
    <row r="1928" spans="1:14" x14ac:dyDescent="0.25">
      <c r="A1928" s="86"/>
      <c r="M1928" s="87"/>
    </row>
    <row r="1929" spans="1:14" x14ac:dyDescent="0.25">
      <c r="A1929" s="86"/>
      <c r="B1929" s="30" t="s">
        <v>449</v>
      </c>
      <c r="M1929" s="87"/>
    </row>
    <row r="1930" spans="1:14" x14ac:dyDescent="0.25">
      <c r="A1930" s="86"/>
      <c r="M1930" s="87"/>
    </row>
    <row r="1931" spans="1:14" ht="15.75" x14ac:dyDescent="0.25">
      <c r="A1931" s="86"/>
      <c r="B1931" s="46" t="s">
        <v>109</v>
      </c>
      <c r="C1931" s="46">
        <v>32</v>
      </c>
      <c r="D1931" s="46" t="s">
        <v>110</v>
      </c>
      <c r="M1931" s="87"/>
    </row>
    <row r="1932" spans="1:14" x14ac:dyDescent="0.25">
      <c r="A1932" s="86"/>
      <c r="M1932" s="87"/>
    </row>
    <row r="1933" spans="1:14" ht="15.75" x14ac:dyDescent="0.25">
      <c r="A1933" s="151" t="s">
        <v>467</v>
      </c>
      <c r="B1933" s="152" t="s">
        <v>452</v>
      </c>
      <c r="C1933" s="153"/>
      <c r="D1933" s="153"/>
      <c r="E1933" s="154"/>
      <c r="F1933" s="154"/>
      <c r="G1933" s="154"/>
      <c r="H1933" s="154"/>
      <c r="I1933" s="154"/>
      <c r="J1933" s="154"/>
      <c r="K1933" s="154"/>
      <c r="L1933" s="154"/>
      <c r="M1933" s="155"/>
    </row>
    <row r="1934" spans="1:14" x14ac:dyDescent="0.25">
      <c r="A1934" s="86"/>
      <c r="M1934" s="87"/>
    </row>
    <row r="1935" spans="1:14" ht="15.75" x14ac:dyDescent="0.25">
      <c r="A1935" s="86"/>
      <c r="B1935" s="4" t="s">
        <v>453</v>
      </c>
      <c r="C1935" s="4" t="s">
        <v>454</v>
      </c>
      <c r="D1935" s="4" t="s">
        <v>455</v>
      </c>
      <c r="M1935" s="87"/>
    </row>
    <row r="1936" spans="1:14" x14ac:dyDescent="0.25">
      <c r="A1936" s="86"/>
      <c r="B1936" s="2">
        <v>1.5</v>
      </c>
      <c r="C1936" s="2" t="s">
        <v>456</v>
      </c>
      <c r="D1936" s="2">
        <v>316</v>
      </c>
      <c r="M1936" s="87"/>
    </row>
    <row r="1937" spans="1:13" x14ac:dyDescent="0.25">
      <c r="A1937" s="86"/>
      <c r="B1937" s="2">
        <v>1.5</v>
      </c>
      <c r="C1937" s="2" t="s">
        <v>457</v>
      </c>
      <c r="D1937" s="2">
        <v>223.75</v>
      </c>
      <c r="M1937" s="87"/>
    </row>
    <row r="1938" spans="1:13" x14ac:dyDescent="0.25">
      <c r="A1938" s="86"/>
      <c r="B1938" s="2">
        <v>1.5</v>
      </c>
      <c r="C1938" s="2" t="s">
        <v>458</v>
      </c>
      <c r="D1938" s="2">
        <v>192.72</v>
      </c>
      <c r="M1938" s="87"/>
    </row>
    <row r="1939" spans="1:13" x14ac:dyDescent="0.25">
      <c r="A1939" s="86"/>
      <c r="B1939" s="2">
        <v>1.5</v>
      </c>
      <c r="C1939" s="2" t="s">
        <v>459</v>
      </c>
      <c r="D1939" s="2">
        <v>49.85</v>
      </c>
      <c r="M1939" s="87"/>
    </row>
    <row r="1940" spans="1:13" x14ac:dyDescent="0.25">
      <c r="A1940" s="86"/>
      <c r="B1940" s="2">
        <v>1.5</v>
      </c>
      <c r="C1940" s="2" t="s">
        <v>460</v>
      </c>
      <c r="D1940" s="2">
        <v>80.83</v>
      </c>
      <c r="M1940" s="87"/>
    </row>
    <row r="1941" spans="1:13" x14ac:dyDescent="0.25">
      <c r="A1941" s="86"/>
      <c r="B1941" s="2">
        <v>10</v>
      </c>
      <c r="C1941" s="2" t="s">
        <v>457</v>
      </c>
      <c r="D1941" s="2">
        <v>8.0500000000000007</v>
      </c>
      <c r="M1941" s="87"/>
    </row>
    <row r="1942" spans="1:13" x14ac:dyDescent="0.25">
      <c r="A1942" s="86"/>
      <c r="B1942" s="2">
        <v>10</v>
      </c>
      <c r="C1942" s="2" t="s">
        <v>458</v>
      </c>
      <c r="D1942" s="2">
        <v>8.0500000000000007</v>
      </c>
      <c r="M1942" s="87"/>
    </row>
    <row r="1943" spans="1:13" x14ac:dyDescent="0.25">
      <c r="A1943" s="86"/>
      <c r="B1943" s="2">
        <v>10</v>
      </c>
      <c r="C1943" s="2" t="s">
        <v>461</v>
      </c>
      <c r="D1943" s="2">
        <v>8.0500000000000007</v>
      </c>
      <c r="M1943" s="87"/>
    </row>
    <row r="1944" spans="1:13" x14ac:dyDescent="0.25">
      <c r="A1944" s="86"/>
      <c r="B1944" s="2">
        <v>10</v>
      </c>
      <c r="C1944" s="2" t="s">
        <v>459</v>
      </c>
      <c r="D1944" s="2">
        <v>8.0500000000000007</v>
      </c>
      <c r="M1944" s="87"/>
    </row>
    <row r="1945" spans="1:13" x14ac:dyDescent="0.25">
      <c r="A1945" s="86"/>
      <c r="B1945" s="2">
        <v>10</v>
      </c>
      <c r="C1945" s="2" t="s">
        <v>460</v>
      </c>
      <c r="D1945" s="2">
        <v>8.0500000000000007</v>
      </c>
      <c r="M1945" s="87"/>
    </row>
    <row r="1946" spans="1:13" x14ac:dyDescent="0.25">
      <c r="A1946" s="86"/>
      <c r="B1946" s="2">
        <v>2.5</v>
      </c>
      <c r="C1946" s="2" t="s">
        <v>457</v>
      </c>
      <c r="D1946" s="2">
        <v>551.17999999999995</v>
      </c>
      <c r="M1946" s="87"/>
    </row>
    <row r="1947" spans="1:13" x14ac:dyDescent="0.25">
      <c r="A1947" s="86"/>
      <c r="B1947" s="2">
        <v>2.5</v>
      </c>
      <c r="C1947" s="2" t="s">
        <v>458</v>
      </c>
      <c r="D1947" s="2">
        <v>177.17</v>
      </c>
      <c r="M1947" s="87"/>
    </row>
    <row r="1948" spans="1:13" x14ac:dyDescent="0.25">
      <c r="A1948" s="86"/>
      <c r="B1948" s="2">
        <v>2.5</v>
      </c>
      <c r="C1948" s="2" t="s">
        <v>461</v>
      </c>
      <c r="D1948" s="2">
        <v>177.5</v>
      </c>
      <c r="M1948" s="87"/>
    </row>
    <row r="1949" spans="1:13" x14ac:dyDescent="0.25">
      <c r="A1949" s="86"/>
      <c r="B1949" s="2">
        <v>2.5</v>
      </c>
      <c r="C1949" s="2" t="s">
        <v>459</v>
      </c>
      <c r="D1949" s="2">
        <v>453</v>
      </c>
      <c r="M1949" s="87"/>
    </row>
    <row r="1950" spans="1:13" x14ac:dyDescent="0.25">
      <c r="A1950" s="86"/>
      <c r="B1950" s="2">
        <v>2.5</v>
      </c>
      <c r="C1950" s="2" t="s">
        <v>460</v>
      </c>
      <c r="D1950" s="2">
        <v>196.51</v>
      </c>
      <c r="M1950" s="87"/>
    </row>
    <row r="1951" spans="1:13" x14ac:dyDescent="0.25">
      <c r="A1951" s="86"/>
      <c r="B1951" s="2">
        <v>25</v>
      </c>
      <c r="C1951" s="2" t="s">
        <v>457</v>
      </c>
      <c r="D1951" s="2">
        <v>3.5</v>
      </c>
      <c r="M1951" s="87"/>
    </row>
    <row r="1952" spans="1:13" x14ac:dyDescent="0.25">
      <c r="A1952" s="86"/>
      <c r="B1952" s="2">
        <v>25</v>
      </c>
      <c r="C1952" s="2" t="s">
        <v>458</v>
      </c>
      <c r="D1952" s="2">
        <v>3.5</v>
      </c>
      <c r="M1952" s="87"/>
    </row>
    <row r="1953" spans="1:14" x14ac:dyDescent="0.25">
      <c r="A1953" s="86"/>
      <c r="B1953" s="2">
        <v>25</v>
      </c>
      <c r="C1953" s="2" t="s">
        <v>461</v>
      </c>
      <c r="D1953" s="2">
        <v>3.5</v>
      </c>
      <c r="M1953" s="87"/>
    </row>
    <row r="1954" spans="1:14" x14ac:dyDescent="0.25">
      <c r="A1954" s="86"/>
      <c r="B1954" s="2">
        <v>25</v>
      </c>
      <c r="C1954" s="2" t="s">
        <v>460</v>
      </c>
      <c r="D1954" s="2">
        <v>3.5</v>
      </c>
      <c r="M1954" s="87"/>
    </row>
    <row r="1955" spans="1:14" x14ac:dyDescent="0.25">
      <c r="A1955" s="86"/>
      <c r="M1955" s="87"/>
    </row>
    <row r="1956" spans="1:14" ht="15.75" x14ac:dyDescent="0.25">
      <c r="A1956" s="86"/>
      <c r="B1956" s="4" t="s">
        <v>453</v>
      </c>
      <c r="C1956" s="4" t="s">
        <v>455</v>
      </c>
      <c r="M1956" s="87"/>
    </row>
    <row r="1957" spans="1:14" x14ac:dyDescent="0.25">
      <c r="A1957" s="86"/>
      <c r="B1957" s="2">
        <v>1.5</v>
      </c>
      <c r="C1957" s="2">
        <f>SUMIF($B$1936:$B$1954,B1957,$D$1936:$D$1954)</f>
        <v>863.15000000000009</v>
      </c>
      <c r="M1957" s="87"/>
    </row>
    <row r="1958" spans="1:14" x14ac:dyDescent="0.25">
      <c r="A1958" s="86"/>
      <c r="B1958" s="2">
        <v>2.5</v>
      </c>
      <c r="C1958" s="2">
        <f t="shared" ref="C1958:C1960" si="80">SUMIF($B$1936:$B$1954,B1958,$D$1936:$D$1954)</f>
        <v>1555.36</v>
      </c>
      <c r="M1958" s="87"/>
    </row>
    <row r="1959" spans="1:14" x14ac:dyDescent="0.25">
      <c r="A1959" s="86"/>
      <c r="B1959" s="2">
        <v>10</v>
      </c>
      <c r="C1959" s="2">
        <f t="shared" si="80"/>
        <v>40.25</v>
      </c>
      <c r="M1959" s="87"/>
    </row>
    <row r="1960" spans="1:14" x14ac:dyDescent="0.25">
      <c r="A1960" s="86"/>
      <c r="B1960" s="2">
        <v>25</v>
      </c>
      <c r="C1960" s="2">
        <f t="shared" si="80"/>
        <v>14</v>
      </c>
      <c r="M1960" s="87"/>
    </row>
    <row r="1961" spans="1:14" x14ac:dyDescent="0.25">
      <c r="A1961" s="86"/>
      <c r="M1961" s="87"/>
    </row>
    <row r="1962" spans="1:14" x14ac:dyDescent="0.25">
      <c r="A1962" s="107" t="s">
        <v>468</v>
      </c>
      <c r="B1962" s="47" t="str">
        <f>VLOOKUP('IV-MEMORIAL'!A1962,'II-PO'!$A$19:$M$295,5,0)</f>
        <v>CABO DE COBRE FLEXÍVEL ISOLADO, 1,5 MM², ANTI-CHAMA 450/750 V, PARA CIRCUITOS TERMINAIS - FORNECIMENTO E INSTALAÇÃO. AF_03/2023</v>
      </c>
      <c r="C1962" s="47"/>
      <c r="D1962" s="47"/>
      <c r="E1962" s="48"/>
      <c r="F1962" s="48"/>
      <c r="G1962" s="48"/>
      <c r="H1962" s="48"/>
      <c r="I1962" s="48"/>
      <c r="J1962" s="48"/>
      <c r="K1962" s="48"/>
      <c r="L1962" s="48"/>
      <c r="M1962" s="108"/>
      <c r="N1962" s="3">
        <f>C1966</f>
        <v>863.15000000000009</v>
      </c>
    </row>
    <row r="1963" spans="1:14" x14ac:dyDescent="0.25">
      <c r="A1963" s="86"/>
      <c r="M1963" s="87"/>
    </row>
    <row r="1964" spans="1:14" x14ac:dyDescent="0.25">
      <c r="A1964" s="86"/>
      <c r="B1964" s="30" t="s">
        <v>449</v>
      </c>
      <c r="M1964" s="87"/>
    </row>
    <row r="1965" spans="1:14" x14ac:dyDescent="0.25">
      <c r="A1965" s="86"/>
      <c r="M1965" s="87"/>
    </row>
    <row r="1966" spans="1:14" ht="15.75" x14ac:dyDescent="0.25">
      <c r="A1966" s="86"/>
      <c r="B1966" s="46" t="s">
        <v>109</v>
      </c>
      <c r="C1966" s="46">
        <f>C1957</f>
        <v>863.15000000000009</v>
      </c>
      <c r="D1966" s="46" t="s">
        <v>116</v>
      </c>
      <c r="M1966" s="87"/>
    </row>
    <row r="1967" spans="1:14" x14ac:dyDescent="0.25">
      <c r="A1967" s="86"/>
      <c r="M1967" s="87"/>
    </row>
    <row r="1968" spans="1:14" x14ac:dyDescent="0.25">
      <c r="A1968" s="107" t="s">
        <v>469</v>
      </c>
      <c r="B1968" s="47" t="str">
        <f>VLOOKUP('IV-MEMORIAL'!A1968,'II-PO'!$A$19:$M$295,5,0)</f>
        <v>CABO DE COBRE FLEXÍVEL ISOLADO, 2,5 MM², ANTI-CHAMA 450/750 V, PARA CIRCUITOS TERMINAIS - FORNECIMENTO E INSTALAÇÃO. AF_03/2023</v>
      </c>
      <c r="C1968" s="47"/>
      <c r="D1968" s="47"/>
      <c r="E1968" s="48"/>
      <c r="F1968" s="48"/>
      <c r="G1968" s="48"/>
      <c r="H1968" s="48"/>
      <c r="I1968" s="48"/>
      <c r="J1968" s="48"/>
      <c r="K1968" s="48"/>
      <c r="L1968" s="48"/>
      <c r="M1968" s="108"/>
      <c r="N1968" s="3">
        <f>C1972</f>
        <v>1555.36</v>
      </c>
    </row>
    <row r="1969" spans="1:14" x14ac:dyDescent="0.25">
      <c r="A1969" s="86"/>
      <c r="M1969" s="87"/>
    </row>
    <row r="1970" spans="1:14" x14ac:dyDescent="0.25">
      <c r="A1970" s="86"/>
      <c r="B1970" s="30" t="s">
        <v>449</v>
      </c>
      <c r="M1970" s="87"/>
    </row>
    <row r="1971" spans="1:14" x14ac:dyDescent="0.25">
      <c r="A1971" s="86"/>
      <c r="M1971" s="87"/>
    </row>
    <row r="1972" spans="1:14" ht="15.75" x14ac:dyDescent="0.25">
      <c r="A1972" s="86"/>
      <c r="B1972" s="46" t="s">
        <v>109</v>
      </c>
      <c r="C1972" s="46">
        <f>C1958</f>
        <v>1555.36</v>
      </c>
      <c r="D1972" s="46" t="s">
        <v>116</v>
      </c>
      <c r="M1972" s="87"/>
    </row>
    <row r="1973" spans="1:14" x14ac:dyDescent="0.25">
      <c r="A1973" s="86"/>
      <c r="M1973" s="87"/>
    </row>
    <row r="1974" spans="1:14" x14ac:dyDescent="0.25">
      <c r="A1974" s="107" t="s">
        <v>470</v>
      </c>
      <c r="B1974" s="47" t="str">
        <f>VLOOKUP('IV-MEMORIAL'!A1974,'II-PO'!$A$19:$M$295,5,0)</f>
        <v>CABO DE COBRE FLEXÍVEL ISOLADO, 10 MM², ANTI-CHAMA 450/750 V, PARA CIRCUITOS TERMINAIS - FORNECIMENTO E INSTALAÇÃO. AF_03/2023</v>
      </c>
      <c r="C1974" s="47"/>
      <c r="D1974" s="47"/>
      <c r="E1974" s="48"/>
      <c r="F1974" s="48"/>
      <c r="G1974" s="48"/>
      <c r="H1974" s="48"/>
      <c r="I1974" s="48"/>
      <c r="J1974" s="48"/>
      <c r="K1974" s="48"/>
      <c r="L1974" s="48"/>
      <c r="M1974" s="108"/>
      <c r="N1974" s="3">
        <f>C1978</f>
        <v>40.25</v>
      </c>
    </row>
    <row r="1975" spans="1:14" x14ac:dyDescent="0.25">
      <c r="A1975" s="86"/>
      <c r="M1975" s="87"/>
    </row>
    <row r="1976" spans="1:14" x14ac:dyDescent="0.25">
      <c r="A1976" s="86"/>
      <c r="B1976" s="30" t="s">
        <v>449</v>
      </c>
      <c r="M1976" s="87"/>
    </row>
    <row r="1977" spans="1:14" x14ac:dyDescent="0.25">
      <c r="A1977" s="86"/>
      <c r="M1977" s="87"/>
    </row>
    <row r="1978" spans="1:14" ht="15.75" x14ac:dyDescent="0.25">
      <c r="A1978" s="86"/>
      <c r="B1978" s="46" t="s">
        <v>109</v>
      </c>
      <c r="C1978" s="46">
        <f>C1959</f>
        <v>40.25</v>
      </c>
      <c r="D1978" s="46" t="s">
        <v>116</v>
      </c>
      <c r="M1978" s="87"/>
    </row>
    <row r="1979" spans="1:14" x14ac:dyDescent="0.25">
      <c r="A1979" s="86"/>
      <c r="M1979" s="87"/>
    </row>
    <row r="1980" spans="1:14" x14ac:dyDescent="0.25">
      <c r="A1980" s="107" t="s">
        <v>471</v>
      </c>
      <c r="B1980" s="47" t="str">
        <f>VLOOKUP('IV-MEMORIAL'!A1980,'II-PO'!$A$19:$M$295,5,0)</f>
        <v>CABO DE COBRE FLEXÍVEL ISOLADO, 25 MM², ANTI-CHAMA 0,6/1,0 KV, PARA REDE ENTERRADA DE DISTRIBUIÇÃO DE ENERGIA ELÉTRICA - FORNECIMENTO E INSTALAÇÃO. AF_12/2021</v>
      </c>
      <c r="C1980" s="47"/>
      <c r="D1980" s="47"/>
      <c r="E1980" s="48"/>
      <c r="F1980" s="48"/>
      <c r="G1980" s="48"/>
      <c r="H1980" s="48"/>
      <c r="I1980" s="48"/>
      <c r="J1980" s="48"/>
      <c r="K1980" s="48"/>
      <c r="L1980" s="48"/>
      <c r="M1980" s="108"/>
      <c r="N1980" s="3">
        <f>C1984</f>
        <v>14</v>
      </c>
    </row>
    <row r="1981" spans="1:14" x14ac:dyDescent="0.25">
      <c r="A1981" s="86"/>
      <c r="M1981" s="87"/>
    </row>
    <row r="1982" spans="1:14" x14ac:dyDescent="0.25">
      <c r="A1982" s="86"/>
      <c r="B1982" s="30" t="s">
        <v>449</v>
      </c>
      <c r="M1982" s="87"/>
    </row>
    <row r="1983" spans="1:14" x14ac:dyDescent="0.25">
      <c r="A1983" s="86"/>
      <c r="M1983" s="87"/>
    </row>
    <row r="1984" spans="1:14" ht="15.75" x14ac:dyDescent="0.25">
      <c r="A1984" s="86"/>
      <c r="B1984" s="46" t="s">
        <v>109</v>
      </c>
      <c r="C1984" s="46">
        <f>C1960</f>
        <v>14</v>
      </c>
      <c r="D1984" s="46" t="s">
        <v>116</v>
      </c>
      <c r="M1984" s="87"/>
    </row>
    <row r="1985" spans="1:15" x14ac:dyDescent="0.25">
      <c r="A1985" s="86"/>
      <c r="M1985" s="87"/>
    </row>
    <row r="1986" spans="1:15" ht="15.75" x14ac:dyDescent="0.25">
      <c r="A1986" s="151" t="s">
        <v>472</v>
      </c>
      <c r="B1986" s="152" t="s">
        <v>463</v>
      </c>
      <c r="C1986" s="153"/>
      <c r="D1986" s="153"/>
      <c r="E1986" s="154"/>
      <c r="F1986" s="154"/>
      <c r="G1986" s="154"/>
      <c r="H1986" s="154"/>
      <c r="I1986" s="154"/>
      <c r="J1986" s="154"/>
      <c r="K1986" s="154"/>
      <c r="L1986" s="154"/>
      <c r="M1986" s="155"/>
    </row>
    <row r="1987" spans="1:15" x14ac:dyDescent="0.25">
      <c r="A1987" s="86"/>
      <c r="M1987" s="87"/>
    </row>
    <row r="1988" spans="1:15" x14ac:dyDescent="0.25">
      <c r="A1988" s="107" t="s">
        <v>572</v>
      </c>
      <c r="B1988" s="47" t="str">
        <f>VLOOKUP('IV-MEMORIAL'!A1988,'II-PO'!$A$19:$M$295,5,0)</f>
        <v>DISJUNTOR MONOPOLAR TIPO DIN, CORRENTE NOMINAL DE 16A - FORNECIMENTO E INSTALAÇÃO. AF_07/2025</v>
      </c>
      <c r="C1988" s="47"/>
      <c r="D1988" s="47"/>
      <c r="E1988" s="48"/>
      <c r="F1988" s="48"/>
      <c r="G1988" s="48"/>
      <c r="H1988" s="48"/>
      <c r="I1988" s="48"/>
      <c r="J1988" s="48"/>
      <c r="K1988" s="48"/>
      <c r="L1988" s="48"/>
      <c r="M1988" s="108"/>
      <c r="N1988" s="3">
        <f>C1992</f>
        <v>32</v>
      </c>
      <c r="O1988" s="1">
        <v>1</v>
      </c>
    </row>
    <row r="1989" spans="1:15" x14ac:dyDescent="0.25">
      <c r="A1989" s="86"/>
      <c r="M1989" s="87"/>
    </row>
    <row r="1990" spans="1:15" x14ac:dyDescent="0.25">
      <c r="A1990" s="86"/>
      <c r="B1990" s="30" t="s">
        <v>449</v>
      </c>
      <c r="M1990" s="87"/>
    </row>
    <row r="1991" spans="1:15" x14ac:dyDescent="0.25">
      <c r="A1991" s="86"/>
      <c r="M1991" s="87"/>
    </row>
    <row r="1992" spans="1:15" ht="15.75" x14ac:dyDescent="0.25">
      <c r="A1992" s="86"/>
      <c r="B1992" s="46" t="s">
        <v>109</v>
      </c>
      <c r="C1992" s="46">
        <v>32</v>
      </c>
      <c r="D1992" s="46" t="s">
        <v>110</v>
      </c>
      <c r="M1992" s="87"/>
    </row>
    <row r="1993" spans="1:15" x14ac:dyDescent="0.25">
      <c r="A1993" s="86"/>
      <c r="M1993" s="87"/>
    </row>
    <row r="1994" spans="1:15" x14ac:dyDescent="0.25">
      <c r="A1994" s="107" t="str">
        <f>_xlfn.CONCAT("14.3.",O1994)</f>
        <v>14.3.2</v>
      </c>
      <c r="B1994" s="47" t="str">
        <f>VLOOKUP('IV-MEMORIAL'!A1994,'II-PO'!$A$19:$M$295,5,0)</f>
        <v>DISJUNTOR TRIPOLAR TIPO DIN, CORRENTE NOMINAL DE 50A - FORNECIMENTO E INSTALAÇÃO. AF_07/2025</v>
      </c>
      <c r="C1994" s="47"/>
      <c r="D1994" s="47"/>
      <c r="E1994" s="48"/>
      <c r="F1994" s="48"/>
      <c r="G1994" s="48"/>
      <c r="H1994" s="48"/>
      <c r="I1994" s="48"/>
      <c r="J1994" s="48"/>
      <c r="K1994" s="48"/>
      <c r="L1994" s="48"/>
      <c r="M1994" s="108"/>
      <c r="N1994" s="3">
        <f>C1998</f>
        <v>1</v>
      </c>
      <c r="O1994" s="1">
        <f>O1988+1</f>
        <v>2</v>
      </c>
    </row>
    <row r="1995" spans="1:15" x14ac:dyDescent="0.25">
      <c r="A1995" s="86"/>
      <c r="M1995" s="87"/>
    </row>
    <row r="1996" spans="1:15" x14ac:dyDescent="0.25">
      <c r="A1996" s="86"/>
      <c r="B1996" s="30" t="s">
        <v>449</v>
      </c>
      <c r="M1996" s="87"/>
    </row>
    <row r="1997" spans="1:15" x14ac:dyDescent="0.25">
      <c r="A1997" s="86"/>
      <c r="M1997" s="87"/>
    </row>
    <row r="1998" spans="1:15" ht="15.75" x14ac:dyDescent="0.25">
      <c r="A1998" s="86"/>
      <c r="B1998" s="46" t="s">
        <v>109</v>
      </c>
      <c r="C1998" s="46">
        <v>1</v>
      </c>
      <c r="D1998" s="46" t="s">
        <v>110</v>
      </c>
      <c r="M1998" s="87"/>
    </row>
    <row r="1999" spans="1:15" x14ac:dyDescent="0.25">
      <c r="A1999" s="86"/>
      <c r="M1999" s="87"/>
    </row>
    <row r="2000" spans="1:15" x14ac:dyDescent="0.25">
      <c r="A2000" s="107" t="str">
        <f>_xlfn.CONCAT("14.3.",O2000)</f>
        <v>14.3.3</v>
      </c>
      <c r="B2000" s="47" t="str">
        <f>VLOOKUP('IV-MEMORIAL'!A2000,'II-PO'!$A$19:$M$295,5,0)</f>
        <v>DISPOSITIVO DPS 20KA-175V OU 275V - FORNECIMENTO E INSTALAÇÃO. AF_07/2025</v>
      </c>
      <c r="C2000" s="47"/>
      <c r="D2000" s="47"/>
      <c r="E2000" s="48"/>
      <c r="F2000" s="48"/>
      <c r="G2000" s="48"/>
      <c r="H2000" s="48"/>
      <c r="I2000" s="48"/>
      <c r="J2000" s="48"/>
      <c r="K2000" s="48"/>
      <c r="L2000" s="48"/>
      <c r="M2000" s="108"/>
      <c r="N2000" s="3">
        <f>C2004</f>
        <v>4</v>
      </c>
      <c r="O2000" s="1">
        <f>O1994+1</f>
        <v>3</v>
      </c>
    </row>
    <row r="2001" spans="1:15" x14ac:dyDescent="0.25">
      <c r="A2001" s="86"/>
      <c r="M2001" s="87"/>
    </row>
    <row r="2002" spans="1:15" x14ac:dyDescent="0.25">
      <c r="A2002" s="86"/>
      <c r="B2002" s="30" t="s">
        <v>449</v>
      </c>
      <c r="M2002" s="87"/>
    </row>
    <row r="2003" spans="1:15" x14ac:dyDescent="0.25">
      <c r="A2003" s="86"/>
      <c r="M2003" s="87"/>
    </row>
    <row r="2004" spans="1:15" ht="15.75" x14ac:dyDescent="0.25">
      <c r="A2004" s="86"/>
      <c r="B2004" s="46" t="s">
        <v>109</v>
      </c>
      <c r="C2004" s="46">
        <v>4</v>
      </c>
      <c r="D2004" s="46" t="s">
        <v>110</v>
      </c>
      <c r="M2004" s="87"/>
    </row>
    <row r="2005" spans="1:15" x14ac:dyDescent="0.25">
      <c r="A2005" s="86"/>
      <c r="M2005" s="87"/>
    </row>
    <row r="2006" spans="1:15" x14ac:dyDescent="0.25">
      <c r="A2006" s="107" t="str">
        <f>_xlfn.CONCAT("14.3.",O2006)</f>
        <v>14.3.4</v>
      </c>
      <c r="B2006" s="47" t="str">
        <f>VLOOKUP('IV-MEMORIAL'!A2006,'II-PO'!$A$19:$M$295,5,0)</f>
        <v>DISJUNTOR TRIPOLAR DIN 63A - FORNECIMENTO E INSTALAÇÃO. AF_07/2025</v>
      </c>
      <c r="C2006" s="47"/>
      <c r="D2006" s="47"/>
      <c r="E2006" s="48"/>
      <c r="F2006" s="48"/>
      <c r="G2006" s="48"/>
      <c r="H2006" s="48"/>
      <c r="I2006" s="48"/>
      <c r="J2006" s="48"/>
      <c r="K2006" s="48"/>
      <c r="L2006" s="48"/>
      <c r="M2006" s="108"/>
      <c r="N2006" s="3">
        <f>C2010</f>
        <v>2</v>
      </c>
      <c r="O2006" s="1">
        <f>O2000+1</f>
        <v>4</v>
      </c>
    </row>
    <row r="2007" spans="1:15" x14ac:dyDescent="0.25">
      <c r="A2007" s="86"/>
      <c r="M2007" s="87"/>
    </row>
    <row r="2008" spans="1:15" x14ac:dyDescent="0.25">
      <c r="A2008" s="86"/>
      <c r="B2008" s="30" t="s">
        <v>449</v>
      </c>
      <c r="M2008" s="87"/>
    </row>
    <row r="2009" spans="1:15" x14ac:dyDescent="0.25">
      <c r="A2009" s="86"/>
      <c r="M2009" s="87"/>
    </row>
    <row r="2010" spans="1:15" ht="15.75" x14ac:dyDescent="0.25">
      <c r="A2010" s="86"/>
      <c r="B2010" s="46" t="s">
        <v>109</v>
      </c>
      <c r="C2010" s="46">
        <v>2</v>
      </c>
      <c r="D2010" s="46" t="s">
        <v>110</v>
      </c>
      <c r="M2010" s="87"/>
    </row>
    <row r="2011" spans="1:15" x14ac:dyDescent="0.25">
      <c r="A2011" s="86"/>
      <c r="M2011" s="87"/>
    </row>
    <row r="2012" spans="1:15" x14ac:dyDescent="0.25">
      <c r="A2012" s="107" t="str">
        <f>_xlfn.CONCAT("14.3.",O2012)</f>
        <v>14.3.5</v>
      </c>
      <c r="B2012" s="47" t="str">
        <f>VLOOKUP('IV-MEMORIAL'!A2012,'II-PO'!$A$19:$M$295,5,0)</f>
        <v>CAIXA DE PASSAGEM PARA TELEFONE 15X15X10CM (SOBREPOR) - FORNECIMENTO E INSTALAÇÃO. AF_08/2025</v>
      </c>
      <c r="C2012" s="47"/>
      <c r="D2012" s="47"/>
      <c r="E2012" s="48"/>
      <c r="F2012" s="48"/>
      <c r="G2012" s="48"/>
      <c r="H2012" s="48"/>
      <c r="I2012" s="48"/>
      <c r="J2012" s="48"/>
      <c r="K2012" s="48"/>
      <c r="L2012" s="48"/>
      <c r="M2012" s="108"/>
      <c r="N2012" s="3">
        <f>C2016</f>
        <v>2</v>
      </c>
      <c r="O2012" s="1">
        <f>O2006+1</f>
        <v>5</v>
      </c>
    </row>
    <row r="2013" spans="1:15" x14ac:dyDescent="0.25">
      <c r="A2013" s="86"/>
      <c r="M2013" s="87"/>
    </row>
    <row r="2014" spans="1:15" x14ac:dyDescent="0.25">
      <c r="A2014" s="86"/>
      <c r="B2014" s="30" t="s">
        <v>449</v>
      </c>
      <c r="M2014" s="87"/>
    </row>
    <row r="2015" spans="1:15" x14ac:dyDescent="0.25">
      <c r="A2015" s="86"/>
      <c r="M2015" s="87"/>
    </row>
    <row r="2016" spans="1:15" ht="15.75" x14ac:dyDescent="0.25">
      <c r="A2016" s="86"/>
      <c r="B2016" s="46" t="s">
        <v>109</v>
      </c>
      <c r="C2016" s="46">
        <v>2</v>
      </c>
      <c r="D2016" s="46" t="s">
        <v>110</v>
      </c>
      <c r="M2016" s="87"/>
    </row>
    <row r="2017" spans="1:15" x14ac:dyDescent="0.25">
      <c r="A2017" s="86"/>
      <c r="M2017" s="87"/>
    </row>
    <row r="2018" spans="1:15" x14ac:dyDescent="0.25">
      <c r="A2018" s="107" t="str">
        <f>_xlfn.CONCAT("14.3.",O2018)</f>
        <v>14.3.6</v>
      </c>
      <c r="B2018" s="47" t="str">
        <f>VLOOKUP('IV-MEMORIAL'!A2018,'II-PO'!$A$19:$M$295,5,0)</f>
        <v>CAIXA DE PASSAGEM PARA TELEFONE 80X80X15CM (SOBREPOR) - FORNECIMENTO E INSTALAÇÃO. AF_08/2025</v>
      </c>
      <c r="C2018" s="47"/>
      <c r="D2018" s="47"/>
      <c r="E2018" s="48"/>
      <c r="F2018" s="48"/>
      <c r="G2018" s="48"/>
      <c r="H2018" s="48"/>
      <c r="I2018" s="48"/>
      <c r="J2018" s="48"/>
      <c r="K2018" s="48"/>
      <c r="L2018" s="48"/>
      <c r="M2018" s="108"/>
      <c r="N2018" s="3">
        <f>C2022</f>
        <v>2</v>
      </c>
      <c r="O2018" s="1">
        <f>O2012+1</f>
        <v>6</v>
      </c>
    </row>
    <row r="2019" spans="1:15" x14ac:dyDescent="0.25">
      <c r="A2019" s="86"/>
      <c r="M2019" s="87"/>
    </row>
    <row r="2020" spans="1:15" x14ac:dyDescent="0.25">
      <c r="A2020" s="86"/>
      <c r="B2020" s="30" t="s">
        <v>449</v>
      </c>
      <c r="M2020" s="87"/>
    </row>
    <row r="2021" spans="1:15" x14ac:dyDescent="0.25">
      <c r="A2021" s="86"/>
      <c r="M2021" s="87"/>
    </row>
    <row r="2022" spans="1:15" ht="15.75" x14ac:dyDescent="0.25">
      <c r="A2022" s="86"/>
      <c r="B2022" s="46" t="s">
        <v>109</v>
      </c>
      <c r="C2022" s="46">
        <v>2</v>
      </c>
      <c r="D2022" s="46" t="s">
        <v>110</v>
      </c>
      <c r="M2022" s="87"/>
    </row>
    <row r="2023" spans="1:15" x14ac:dyDescent="0.25">
      <c r="A2023" s="86"/>
      <c r="M2023" s="87"/>
    </row>
    <row r="2024" spans="1:15" ht="15.75" x14ac:dyDescent="0.25">
      <c r="A2024" s="151" t="s">
        <v>575</v>
      </c>
      <c r="B2024" s="152" t="s">
        <v>573</v>
      </c>
      <c r="C2024" s="153"/>
      <c r="D2024" s="153"/>
      <c r="E2024" s="154"/>
      <c r="F2024" s="154"/>
      <c r="G2024" s="154"/>
      <c r="H2024" s="154"/>
      <c r="I2024" s="154"/>
      <c r="J2024" s="154"/>
      <c r="K2024" s="154"/>
      <c r="L2024" s="154"/>
      <c r="M2024" s="155"/>
    </row>
    <row r="2025" spans="1:15" x14ac:dyDescent="0.25">
      <c r="A2025" s="86"/>
      <c r="M2025" s="87"/>
    </row>
    <row r="2026" spans="1:15" x14ac:dyDescent="0.25">
      <c r="A2026" s="107" t="s">
        <v>574</v>
      </c>
      <c r="B2026" s="47" t="str">
        <f>VLOOKUP('IV-MEMORIAL'!A2026,'II-PO'!$A$19:$M$295,5,0)</f>
        <v>ELETRODUTO FLEXÍVEL CORRUGADO REFORÇADO, PVC, DN 32 MM (1"), PARA CIRCUITOS TERMINAIS, INSTALADO EM FORRO - FORNECIMENTO E INSTALAÇÃO. AF_03/2023</v>
      </c>
      <c r="C2026" s="47"/>
      <c r="D2026" s="47"/>
      <c r="E2026" s="48"/>
      <c r="F2026" s="48"/>
      <c r="G2026" s="48"/>
      <c r="H2026" s="48"/>
      <c r="I2026" s="48"/>
      <c r="J2026" s="48"/>
      <c r="K2026" s="48"/>
      <c r="L2026" s="48"/>
      <c r="M2026" s="108"/>
      <c r="N2026" s="3">
        <f>C2030</f>
        <v>63.61</v>
      </c>
      <c r="O2026" s="1">
        <v>1</v>
      </c>
    </row>
    <row r="2027" spans="1:15" x14ac:dyDescent="0.25">
      <c r="A2027" s="86"/>
      <c r="M2027" s="87"/>
    </row>
    <row r="2028" spans="1:15" x14ac:dyDescent="0.25">
      <c r="A2028" s="86"/>
      <c r="B2028" s="30" t="s">
        <v>449</v>
      </c>
      <c r="M2028" s="87"/>
    </row>
    <row r="2029" spans="1:15" x14ac:dyDescent="0.25">
      <c r="A2029" s="86"/>
      <c r="M2029" s="87"/>
    </row>
    <row r="2030" spans="1:15" ht="15.75" x14ac:dyDescent="0.25">
      <c r="A2030" s="86"/>
      <c r="B2030" s="46" t="s">
        <v>109</v>
      </c>
      <c r="C2030" s="46">
        <v>63.61</v>
      </c>
      <c r="D2030" s="46" t="s">
        <v>116</v>
      </c>
      <c r="M2030" s="87"/>
    </row>
    <row r="2031" spans="1:15" x14ac:dyDescent="0.25">
      <c r="A2031" s="86"/>
      <c r="M2031" s="87"/>
    </row>
    <row r="2032" spans="1:15" x14ac:dyDescent="0.25">
      <c r="A2032" s="107" t="str">
        <f>_xlfn.CONCAT("14.4.",O2032)</f>
        <v>14.4.2</v>
      </c>
      <c r="B2032" s="47" t="str">
        <f>VLOOKUP('IV-MEMORIAL'!A2032,'II-PO'!$A$19:$M$295,5,0)</f>
        <v>ELETRODUTO FLEXÍVEL CORRUGADO REFORÇADO, PVC, DN 25 MM (3/4"), PARA CIRCUITOS TERMINAIS, INSTALADO EM PAREDE - FORNECIMENTO E INSTALAÇÃO. AF_03/2023</v>
      </c>
      <c r="C2032" s="47"/>
      <c r="D2032" s="47"/>
      <c r="E2032" s="48"/>
      <c r="F2032" s="48"/>
      <c r="G2032" s="48"/>
      <c r="H2032" s="48"/>
      <c r="I2032" s="48"/>
      <c r="J2032" s="48"/>
      <c r="K2032" s="48"/>
      <c r="L2032" s="48"/>
      <c r="M2032" s="108"/>
      <c r="N2032" s="3">
        <f>C2036</f>
        <v>705.54</v>
      </c>
      <c r="O2032" s="1">
        <f>O2026+1</f>
        <v>2</v>
      </c>
    </row>
    <row r="2033" spans="1:15" x14ac:dyDescent="0.25">
      <c r="A2033" s="86"/>
      <c r="M2033" s="87"/>
    </row>
    <row r="2034" spans="1:15" x14ac:dyDescent="0.25">
      <c r="A2034" s="86"/>
      <c r="B2034" s="30" t="s">
        <v>449</v>
      </c>
      <c r="M2034" s="87"/>
    </row>
    <row r="2035" spans="1:15" x14ac:dyDescent="0.25">
      <c r="A2035" s="86"/>
      <c r="M2035" s="87"/>
    </row>
    <row r="2036" spans="1:15" ht="15.75" x14ac:dyDescent="0.25">
      <c r="A2036" s="86"/>
      <c r="B2036" s="46" t="s">
        <v>109</v>
      </c>
      <c r="C2036" s="46">
        <v>705.54</v>
      </c>
      <c r="D2036" s="46" t="s">
        <v>116</v>
      </c>
      <c r="M2036" s="87"/>
    </row>
    <row r="2037" spans="1:15" x14ac:dyDescent="0.25">
      <c r="A2037" s="86"/>
      <c r="M2037" s="87"/>
    </row>
    <row r="2038" spans="1:15" x14ac:dyDescent="0.25">
      <c r="A2038" s="107" t="str">
        <f>_xlfn.CONCAT("14.4.",O2038)</f>
        <v>14.4.3</v>
      </c>
      <c r="B2038" s="47" t="str">
        <f>VLOOKUP('IV-MEMORIAL'!A2038,'II-PO'!$A$19:$M$295,5,0)</f>
        <v>ELETRODUTO RÍGIDO ROSCÁVEL, PVC, DN 40 MM (1 1/4"), PARA CIRCUITOS TERMINAIS, INSTALADO EM PAREDE - FORNECIMENTO E INSTALAÇÃO. AF_03/2023</v>
      </c>
      <c r="C2038" s="47"/>
      <c r="D2038" s="47"/>
      <c r="E2038" s="48"/>
      <c r="F2038" s="48"/>
      <c r="G2038" s="48"/>
      <c r="H2038" s="48"/>
      <c r="I2038" s="48"/>
      <c r="J2038" s="48"/>
      <c r="K2038" s="48"/>
      <c r="L2038" s="48"/>
      <c r="M2038" s="108"/>
      <c r="N2038" s="3">
        <f>C2042</f>
        <v>16.64</v>
      </c>
      <c r="O2038" s="1">
        <f>O2032+1</f>
        <v>3</v>
      </c>
    </row>
    <row r="2039" spans="1:15" x14ac:dyDescent="0.25">
      <c r="A2039" s="86"/>
      <c r="M2039" s="87"/>
    </row>
    <row r="2040" spans="1:15" x14ac:dyDescent="0.25">
      <c r="A2040" s="86"/>
      <c r="B2040" s="30" t="s">
        <v>449</v>
      </c>
      <c r="M2040" s="87"/>
    </row>
    <row r="2041" spans="1:15" x14ac:dyDescent="0.25">
      <c r="A2041" s="86"/>
      <c r="M2041" s="87"/>
    </row>
    <row r="2042" spans="1:15" ht="15.75" x14ac:dyDescent="0.25">
      <c r="A2042" s="86"/>
      <c r="B2042" s="46" t="s">
        <v>109</v>
      </c>
      <c r="C2042" s="46">
        <v>16.64</v>
      </c>
      <c r="D2042" s="46" t="s">
        <v>116</v>
      </c>
      <c r="M2042" s="87"/>
    </row>
    <row r="2043" spans="1:15" x14ac:dyDescent="0.25">
      <c r="A2043" s="86"/>
      <c r="M2043" s="87"/>
    </row>
    <row r="2044" spans="1:15" ht="15.75" x14ac:dyDescent="0.25">
      <c r="A2044" s="151" t="s">
        <v>576</v>
      </c>
      <c r="B2044" s="152" t="s">
        <v>577</v>
      </c>
      <c r="C2044" s="153"/>
      <c r="D2044" s="153"/>
      <c r="E2044" s="154"/>
      <c r="F2044" s="154"/>
      <c r="G2044" s="154"/>
      <c r="H2044" s="154"/>
      <c r="I2044" s="154"/>
      <c r="J2044" s="154"/>
      <c r="K2044" s="154"/>
      <c r="L2044" s="154"/>
      <c r="M2044" s="155"/>
    </row>
    <row r="2045" spans="1:15" x14ac:dyDescent="0.25">
      <c r="A2045" s="86"/>
      <c r="M2045" s="87"/>
    </row>
    <row r="2046" spans="1:15" x14ac:dyDescent="0.25">
      <c r="A2046" s="107" t="s">
        <v>578</v>
      </c>
      <c r="B2046" s="47" t="str">
        <f>VLOOKUP('IV-MEMORIAL'!A2046,'II-PO'!$A$19:$M$295,5,0)</f>
        <v>INTERRUPTOR INTERMEDIÁRIO (1 MÓDULO), 10A/250V, INCLUINDO SUPORTE E PLACA - FORNECIMENTO E INSTALAÇÃO. AF_03/2023</v>
      </c>
      <c r="C2046" s="47"/>
      <c r="D2046" s="47"/>
      <c r="E2046" s="48"/>
      <c r="F2046" s="48"/>
      <c r="G2046" s="48"/>
      <c r="H2046" s="48"/>
      <c r="I2046" s="48"/>
      <c r="J2046" s="48"/>
      <c r="K2046" s="48"/>
      <c r="L2046" s="48"/>
      <c r="M2046" s="108"/>
      <c r="N2046" s="3">
        <f>C2050</f>
        <v>1</v>
      </c>
      <c r="O2046" s="1">
        <v>1</v>
      </c>
    </row>
    <row r="2047" spans="1:15" x14ac:dyDescent="0.25">
      <c r="A2047" s="86"/>
      <c r="M2047" s="87"/>
    </row>
    <row r="2048" spans="1:15" x14ac:dyDescent="0.25">
      <c r="A2048" s="86"/>
      <c r="B2048" s="30" t="s">
        <v>449</v>
      </c>
      <c r="M2048" s="87"/>
    </row>
    <row r="2049" spans="1:15" x14ac:dyDescent="0.25">
      <c r="A2049" s="86"/>
      <c r="M2049" s="87"/>
    </row>
    <row r="2050" spans="1:15" ht="15.75" x14ac:dyDescent="0.25">
      <c r="A2050" s="86"/>
      <c r="B2050" s="46" t="s">
        <v>109</v>
      </c>
      <c r="C2050" s="46">
        <v>1</v>
      </c>
      <c r="D2050" s="46" t="s">
        <v>110</v>
      </c>
      <c r="M2050" s="87"/>
    </row>
    <row r="2051" spans="1:15" x14ac:dyDescent="0.25">
      <c r="A2051" s="86"/>
      <c r="M2051" s="87"/>
    </row>
    <row r="2052" spans="1:15" x14ac:dyDescent="0.25">
      <c r="A2052" s="107" t="str">
        <f>_xlfn.CONCAT("14.5.",O2052)</f>
        <v>14.5.2</v>
      </c>
      <c r="B2052" s="47" t="str">
        <f>VLOOKUP('IV-MEMORIAL'!A2052,'II-PO'!$A$19:$M$295,5,0)</f>
        <v>INTERRUPTOR PARALELO (1 MÓDULO), 10A/250V, INCLUINDO SUPORTE E PLACA - FORNECIMENTO E INSTALAÇÃO. AF_03/2023</v>
      </c>
      <c r="C2052" s="47"/>
      <c r="D2052" s="47"/>
      <c r="E2052" s="48"/>
      <c r="F2052" s="48"/>
      <c r="G2052" s="48"/>
      <c r="H2052" s="48"/>
      <c r="I2052" s="48"/>
      <c r="J2052" s="48"/>
      <c r="K2052" s="48"/>
      <c r="L2052" s="48"/>
      <c r="M2052" s="108"/>
      <c r="N2052" s="3">
        <f>C2056</f>
        <v>4</v>
      </c>
      <c r="O2052" s="1">
        <f>O2046+1</f>
        <v>2</v>
      </c>
    </row>
    <row r="2053" spans="1:15" x14ac:dyDescent="0.25">
      <c r="A2053" s="86"/>
      <c r="M2053" s="87"/>
    </row>
    <row r="2054" spans="1:15" x14ac:dyDescent="0.25">
      <c r="A2054" s="86"/>
      <c r="B2054" s="30" t="s">
        <v>449</v>
      </c>
      <c r="M2054" s="87"/>
    </row>
    <row r="2055" spans="1:15" x14ac:dyDescent="0.25">
      <c r="A2055" s="86"/>
      <c r="M2055" s="87"/>
    </row>
    <row r="2056" spans="1:15" ht="15.75" x14ac:dyDescent="0.25">
      <c r="A2056" s="86"/>
      <c r="B2056" s="46" t="s">
        <v>109</v>
      </c>
      <c r="C2056" s="46">
        <v>4</v>
      </c>
      <c r="D2056" s="46" t="s">
        <v>110</v>
      </c>
      <c r="M2056" s="87"/>
    </row>
    <row r="2057" spans="1:15" x14ac:dyDescent="0.25">
      <c r="A2057" s="86"/>
      <c r="M2057" s="87"/>
    </row>
    <row r="2058" spans="1:15" x14ac:dyDescent="0.25">
      <c r="A2058" s="107" t="str">
        <f>_xlfn.CONCAT("14.5.",O2058)</f>
        <v>14.5.3</v>
      </c>
      <c r="B2058" s="47" t="str">
        <f>VLOOKUP('IV-MEMORIAL'!A2058,'II-PO'!$A$19:$M$295,5,0)</f>
        <v>INTERRUPTOR SIMPLES (1 MÓDULO), 10A/250V, INCLUINDO SUPORTE E PLACA - FORNECIMENTO E INSTALAÇÃO. AF_03/2023</v>
      </c>
      <c r="C2058" s="47"/>
      <c r="D2058" s="47"/>
      <c r="E2058" s="48"/>
      <c r="F2058" s="48"/>
      <c r="G2058" s="48"/>
      <c r="H2058" s="48"/>
      <c r="I2058" s="48"/>
      <c r="J2058" s="48"/>
      <c r="K2058" s="48"/>
      <c r="L2058" s="48"/>
      <c r="M2058" s="108"/>
      <c r="N2058" s="3">
        <f>C2062</f>
        <v>30</v>
      </c>
      <c r="O2058" s="1">
        <f>O2052+1</f>
        <v>3</v>
      </c>
    </row>
    <row r="2059" spans="1:15" x14ac:dyDescent="0.25">
      <c r="A2059" s="86"/>
      <c r="M2059" s="87"/>
    </row>
    <row r="2060" spans="1:15" x14ac:dyDescent="0.25">
      <c r="A2060" s="86"/>
      <c r="B2060" s="30" t="s">
        <v>449</v>
      </c>
      <c r="M2060" s="87"/>
    </row>
    <row r="2061" spans="1:15" x14ac:dyDescent="0.25">
      <c r="A2061" s="86"/>
      <c r="M2061" s="87"/>
    </row>
    <row r="2062" spans="1:15" ht="15.75" x14ac:dyDescent="0.25">
      <c r="A2062" s="86"/>
      <c r="B2062" s="46" t="s">
        <v>109</v>
      </c>
      <c r="C2062" s="46">
        <v>30</v>
      </c>
      <c r="D2062" s="46" t="s">
        <v>110</v>
      </c>
      <c r="M2062" s="87"/>
    </row>
    <row r="2063" spans="1:15" x14ac:dyDescent="0.25">
      <c r="A2063" s="86"/>
      <c r="M2063" s="87"/>
    </row>
    <row r="2064" spans="1:15" x14ac:dyDescent="0.25">
      <c r="A2064" s="107" t="str">
        <f>_xlfn.CONCAT("14.5.",O2064)</f>
        <v>14.5.4</v>
      </c>
      <c r="B2064" s="47" t="str">
        <f>VLOOKUP('IV-MEMORIAL'!A2064,'II-PO'!$A$19:$M$295,5,0)</f>
        <v>TOMADA MÉDIA DE EMBUTIR (1 MÓDULO), 2P+T 10 A, INCLUINDO SUPORTE E PLACA - FORNECIMENTO E INSTALAÇÃO. AF_03/2023</v>
      </c>
      <c r="C2064" s="47"/>
      <c r="D2064" s="47"/>
      <c r="E2064" s="48"/>
      <c r="F2064" s="48"/>
      <c r="G2064" s="48"/>
      <c r="H2064" s="48"/>
      <c r="I2064" s="48"/>
      <c r="J2064" s="48"/>
      <c r="K2064" s="48"/>
      <c r="L2064" s="48"/>
      <c r="M2064" s="108"/>
      <c r="N2064" s="3">
        <f>C2068</f>
        <v>20</v>
      </c>
      <c r="O2064" s="1">
        <f>O2058+1</f>
        <v>4</v>
      </c>
    </row>
    <row r="2065" spans="1:15" x14ac:dyDescent="0.25">
      <c r="A2065" s="86"/>
      <c r="M2065" s="87"/>
    </row>
    <row r="2066" spans="1:15" x14ac:dyDescent="0.25">
      <c r="A2066" s="86"/>
      <c r="B2066" s="30" t="s">
        <v>449</v>
      </c>
      <c r="M2066" s="87"/>
    </row>
    <row r="2067" spans="1:15" x14ac:dyDescent="0.25">
      <c r="A2067" s="86"/>
      <c r="M2067" s="87"/>
    </row>
    <row r="2068" spans="1:15" ht="15.75" x14ac:dyDescent="0.25">
      <c r="A2068" s="86"/>
      <c r="B2068" s="46" t="s">
        <v>109</v>
      </c>
      <c r="C2068" s="46">
        <v>20</v>
      </c>
      <c r="D2068" s="46" t="s">
        <v>110</v>
      </c>
      <c r="M2068" s="87"/>
    </row>
    <row r="2069" spans="1:15" x14ac:dyDescent="0.25">
      <c r="A2069" s="86"/>
      <c r="M2069" s="87"/>
    </row>
    <row r="2070" spans="1:15" x14ac:dyDescent="0.25">
      <c r="A2070" s="107" t="str">
        <f>_xlfn.CONCAT("14.5.",O2070)</f>
        <v>14.5.5</v>
      </c>
      <c r="B2070" s="47" t="str">
        <f>VLOOKUP('IV-MEMORIAL'!A2070,'II-PO'!$A$19:$M$295,5,0)</f>
        <v>TOMADA MÉDIA DE EMBUTIR (3 MÓDULOS), 2P+T 20 A, INCLUINDO SUPORTE E PLACA - FORNECIMENTO E INSTALAÇÃO. AF_03/2023</v>
      </c>
      <c r="C2070" s="47"/>
      <c r="D2070" s="47"/>
      <c r="E2070" s="48"/>
      <c r="F2070" s="48"/>
      <c r="G2070" s="48"/>
      <c r="H2070" s="48"/>
      <c r="I2070" s="48"/>
      <c r="J2070" s="48"/>
      <c r="K2070" s="48"/>
      <c r="L2070" s="48"/>
      <c r="M2070" s="108"/>
      <c r="N2070" s="3">
        <f>C2074</f>
        <v>54</v>
      </c>
      <c r="O2070" s="1">
        <f>O2064+1</f>
        <v>5</v>
      </c>
    </row>
    <row r="2071" spans="1:15" x14ac:dyDescent="0.25">
      <c r="A2071" s="86"/>
      <c r="M2071" s="87"/>
    </row>
    <row r="2072" spans="1:15" x14ac:dyDescent="0.25">
      <c r="A2072" s="86"/>
      <c r="B2072" s="30" t="s">
        <v>449</v>
      </c>
      <c r="M2072" s="87"/>
    </row>
    <row r="2073" spans="1:15" x14ac:dyDescent="0.25">
      <c r="A2073" s="86"/>
      <c r="M2073" s="87"/>
    </row>
    <row r="2074" spans="1:15" ht="15.75" x14ac:dyDescent="0.25">
      <c r="A2074" s="86"/>
      <c r="B2074" s="46" t="s">
        <v>109</v>
      </c>
      <c r="C2074" s="46">
        <v>54</v>
      </c>
      <c r="D2074" s="46" t="s">
        <v>110</v>
      </c>
      <c r="M2074" s="87"/>
    </row>
    <row r="2075" spans="1:15" x14ac:dyDescent="0.25">
      <c r="A2075" s="86"/>
      <c r="M2075" s="87"/>
    </row>
    <row r="2076" spans="1:15" x14ac:dyDescent="0.25">
      <c r="A2076" s="107" t="str">
        <f>_xlfn.CONCAT("14.5.",O2076)</f>
        <v>14.5.6</v>
      </c>
      <c r="B2076" s="47" t="str">
        <f>VLOOKUP('IV-MEMORIAL'!A2076,'II-PO'!$A$19:$M$295,5,0)</f>
        <v>TOMADA MÉDIA DE EMBUTIR (1 MÓDULO), 2P+T 20 A, INCLUINDO SUPORTE E PLACA - FORNECIMENTO E INSTALAÇÃO. AF_03/2023</v>
      </c>
      <c r="C2076" s="47"/>
      <c r="D2076" s="47"/>
      <c r="E2076" s="48"/>
      <c r="F2076" s="48"/>
      <c r="G2076" s="48"/>
      <c r="H2076" s="48"/>
      <c r="I2076" s="48"/>
      <c r="J2076" s="48"/>
      <c r="K2076" s="48"/>
      <c r="L2076" s="48"/>
      <c r="M2076" s="108"/>
      <c r="N2076" s="3">
        <f>C2080</f>
        <v>8</v>
      </c>
      <c r="O2076" s="1">
        <f>O2070+1</f>
        <v>6</v>
      </c>
    </row>
    <row r="2077" spans="1:15" x14ac:dyDescent="0.25">
      <c r="A2077" s="86"/>
      <c r="M2077" s="87"/>
    </row>
    <row r="2078" spans="1:15" x14ac:dyDescent="0.25">
      <c r="A2078" s="86"/>
      <c r="B2078" s="30" t="s">
        <v>449</v>
      </c>
      <c r="M2078" s="87"/>
    </row>
    <row r="2079" spans="1:15" x14ac:dyDescent="0.25">
      <c r="A2079" s="86"/>
      <c r="M2079" s="87"/>
    </row>
    <row r="2080" spans="1:15" ht="15.75" x14ac:dyDescent="0.25">
      <c r="A2080" s="86"/>
      <c r="B2080" s="46" t="s">
        <v>109</v>
      </c>
      <c r="C2080" s="46">
        <v>8</v>
      </c>
      <c r="D2080" s="46" t="s">
        <v>110</v>
      </c>
      <c r="M2080" s="87"/>
    </row>
    <row r="2081" spans="1:15" x14ac:dyDescent="0.25">
      <c r="A2081" s="86"/>
      <c r="M2081" s="87"/>
    </row>
    <row r="2082" spans="1:15" ht="15.75" x14ac:dyDescent="0.25">
      <c r="A2082" s="151" t="s">
        <v>579</v>
      </c>
      <c r="B2082" s="152" t="s">
        <v>581</v>
      </c>
      <c r="C2082" s="153"/>
      <c r="D2082" s="153"/>
      <c r="E2082" s="154"/>
      <c r="F2082" s="154"/>
      <c r="G2082" s="154"/>
      <c r="H2082" s="154"/>
      <c r="I2082" s="154"/>
      <c r="J2082" s="154"/>
      <c r="K2082" s="154"/>
      <c r="L2082" s="154"/>
      <c r="M2082" s="155"/>
    </row>
    <row r="2083" spans="1:15" x14ac:dyDescent="0.25">
      <c r="A2083" s="86"/>
      <c r="M2083" s="87"/>
    </row>
    <row r="2084" spans="1:15" x14ac:dyDescent="0.25">
      <c r="A2084" s="107" t="s">
        <v>580</v>
      </c>
      <c r="B2084" s="47" t="str">
        <f>VLOOKUP('IV-MEMORIAL'!A2084,'II-PO'!$A$19:$M$295,5,0)</f>
        <v>LÂMPADA COMPACTA DE LED 10 W, BASE E27 - FORNECIMENTO E INSTALAÇÃO. AF_09/2024</v>
      </c>
      <c r="C2084" s="47"/>
      <c r="D2084" s="47"/>
      <c r="E2084" s="48"/>
      <c r="F2084" s="48"/>
      <c r="G2084" s="48"/>
      <c r="H2084" s="48"/>
      <c r="I2084" s="48"/>
      <c r="J2084" s="48"/>
      <c r="K2084" s="48"/>
      <c r="L2084" s="48"/>
      <c r="M2084" s="108"/>
      <c r="N2084" s="3">
        <f>C2088</f>
        <v>2</v>
      </c>
      <c r="O2084" s="1">
        <v>1</v>
      </c>
    </row>
    <row r="2085" spans="1:15" x14ac:dyDescent="0.25">
      <c r="A2085" s="86"/>
      <c r="M2085" s="87"/>
    </row>
    <row r="2086" spans="1:15" x14ac:dyDescent="0.25">
      <c r="A2086" s="86"/>
      <c r="B2086" s="30" t="s">
        <v>449</v>
      </c>
      <c r="M2086" s="87"/>
    </row>
    <row r="2087" spans="1:15" x14ac:dyDescent="0.25">
      <c r="A2087" s="86"/>
      <c r="M2087" s="87"/>
    </row>
    <row r="2088" spans="1:15" ht="15.75" x14ac:dyDescent="0.25">
      <c r="A2088" s="86"/>
      <c r="B2088" s="46" t="s">
        <v>109</v>
      </c>
      <c r="C2088" s="46">
        <v>2</v>
      </c>
      <c r="D2088" s="46" t="s">
        <v>110</v>
      </c>
      <c r="M2088" s="87"/>
    </row>
    <row r="2089" spans="1:15" x14ac:dyDescent="0.25">
      <c r="A2089" s="86"/>
      <c r="M2089" s="87"/>
    </row>
    <row r="2090" spans="1:15" x14ac:dyDescent="0.25">
      <c r="A2090" s="107" t="str">
        <f>_xlfn.CONCAT("14.6.",O2090)</f>
        <v>14.6.2</v>
      </c>
      <c r="B2090" s="47" t="str">
        <f>VLOOKUP('IV-MEMORIAL'!A2090,'II-PO'!$A$19:$M$295,5,0)</f>
        <v>LUMINÁRIA TIPO PLAFON CIRCULAR, DE SOBREPOR, COM LED DE 12/13 W - FORNECIMENTO E INSTALAÇÃO. AF_09/2024</v>
      </c>
      <c r="C2090" s="47"/>
      <c r="D2090" s="47"/>
      <c r="E2090" s="48"/>
      <c r="F2090" s="48"/>
      <c r="G2090" s="48"/>
      <c r="H2090" s="48"/>
      <c r="I2090" s="48"/>
      <c r="J2090" s="48"/>
      <c r="K2090" s="48"/>
      <c r="L2090" s="48"/>
      <c r="M2090" s="108"/>
      <c r="N2090" s="3">
        <f>C2094</f>
        <v>3</v>
      </c>
      <c r="O2090" s="1">
        <f>O2084+1</f>
        <v>2</v>
      </c>
    </row>
    <row r="2091" spans="1:15" x14ac:dyDescent="0.25">
      <c r="A2091" s="86"/>
      <c r="M2091" s="87"/>
    </row>
    <row r="2092" spans="1:15" x14ac:dyDescent="0.25">
      <c r="A2092" s="86"/>
      <c r="B2092" s="30" t="s">
        <v>449</v>
      </c>
      <c r="M2092" s="87"/>
    </row>
    <row r="2093" spans="1:15" x14ac:dyDescent="0.25">
      <c r="A2093" s="86"/>
      <c r="M2093" s="87"/>
    </row>
    <row r="2094" spans="1:15" ht="15.75" x14ac:dyDescent="0.25">
      <c r="A2094" s="86"/>
      <c r="B2094" s="46" t="s">
        <v>109</v>
      </c>
      <c r="C2094" s="46">
        <v>3</v>
      </c>
      <c r="D2094" s="46" t="s">
        <v>110</v>
      </c>
      <c r="M2094" s="87"/>
    </row>
    <row r="2095" spans="1:15" x14ac:dyDescent="0.25">
      <c r="A2095" s="86"/>
      <c r="M2095" s="87"/>
    </row>
    <row r="2096" spans="1:15" x14ac:dyDescent="0.25">
      <c r="A2096" s="107" t="str">
        <f>_xlfn.CONCAT("14.6.",O2096)</f>
        <v>14.6.3</v>
      </c>
      <c r="B2096" s="47" t="str">
        <f>VLOOKUP('IV-MEMORIAL'!A2096,'II-PO'!$A$19:$M$295,5,0)</f>
        <v>LÂMPADA COMPACTA DE LED 6 W, BASE E27 - FORNECIMENTO E INSTALAÇÃO. AF_09/2024</v>
      </c>
      <c r="C2096" s="47"/>
      <c r="D2096" s="47"/>
      <c r="E2096" s="48"/>
      <c r="F2096" s="48"/>
      <c r="G2096" s="48"/>
      <c r="H2096" s="48"/>
      <c r="I2096" s="48"/>
      <c r="J2096" s="48"/>
      <c r="K2096" s="48"/>
      <c r="L2096" s="48"/>
      <c r="M2096" s="108"/>
      <c r="N2096" s="3">
        <f>C2100</f>
        <v>67</v>
      </c>
      <c r="O2096" s="1">
        <f>O2090+1</f>
        <v>3</v>
      </c>
    </row>
    <row r="2097" spans="1:15" x14ac:dyDescent="0.25">
      <c r="A2097" s="86"/>
      <c r="M2097" s="87"/>
    </row>
    <row r="2098" spans="1:15" x14ac:dyDescent="0.25">
      <c r="A2098" s="86"/>
      <c r="B2098" s="30" t="s">
        <v>449</v>
      </c>
      <c r="M2098" s="87"/>
    </row>
    <row r="2099" spans="1:15" x14ac:dyDescent="0.25">
      <c r="A2099" s="86"/>
      <c r="M2099" s="87"/>
    </row>
    <row r="2100" spans="1:15" ht="15.75" x14ac:dyDescent="0.25">
      <c r="A2100" s="86"/>
      <c r="B2100" s="46" t="s">
        <v>109</v>
      </c>
      <c r="C2100" s="46">
        <v>67</v>
      </c>
      <c r="D2100" s="46" t="s">
        <v>110</v>
      </c>
      <c r="M2100" s="87"/>
    </row>
    <row r="2101" spans="1:15" x14ac:dyDescent="0.25">
      <c r="A2101" s="86"/>
      <c r="M2101" s="87"/>
    </row>
    <row r="2102" spans="1:15" x14ac:dyDescent="0.25">
      <c r="A2102" s="107" t="str">
        <f>_xlfn.CONCAT("14.6.",O2102)</f>
        <v>14.6.4</v>
      </c>
      <c r="B2102" s="47" t="str">
        <f>VLOOKUP('IV-MEMORIAL'!A2102,'II-PO'!$A$19:$M$295,5,0)</f>
        <v>LÂMPADA TUBULAR LED DE 18/20 W, COM SOQUETE, BASE G13 - FORNECIMENTO E INSTALAÇÃO. AF_09/2024_PS</v>
      </c>
      <c r="C2102" s="47"/>
      <c r="D2102" s="47"/>
      <c r="E2102" s="48"/>
      <c r="F2102" s="48"/>
      <c r="G2102" s="48"/>
      <c r="H2102" s="48"/>
      <c r="I2102" s="48"/>
      <c r="J2102" s="48"/>
      <c r="K2102" s="48"/>
      <c r="L2102" s="48"/>
      <c r="M2102" s="108"/>
      <c r="N2102" s="3">
        <f>C2106</f>
        <v>32</v>
      </c>
      <c r="O2102" s="1">
        <f>O2096+1</f>
        <v>4</v>
      </c>
    </row>
    <row r="2103" spans="1:15" x14ac:dyDescent="0.25">
      <c r="A2103" s="86"/>
      <c r="M2103" s="87"/>
    </row>
    <row r="2104" spans="1:15" x14ac:dyDescent="0.25">
      <c r="A2104" s="86"/>
      <c r="B2104" s="30" t="s">
        <v>449</v>
      </c>
      <c r="M2104" s="87"/>
    </row>
    <row r="2105" spans="1:15" x14ac:dyDescent="0.25">
      <c r="A2105" s="86"/>
      <c r="M2105" s="87"/>
    </row>
    <row r="2106" spans="1:15" ht="15.75" x14ac:dyDescent="0.25">
      <c r="A2106" s="86"/>
      <c r="B2106" s="46" t="s">
        <v>109</v>
      </c>
      <c r="C2106" s="46">
        <v>32</v>
      </c>
      <c r="D2106" s="46" t="s">
        <v>110</v>
      </c>
      <c r="M2106" s="87"/>
    </row>
    <row r="2107" spans="1:15" x14ac:dyDescent="0.25">
      <c r="A2107" s="86"/>
      <c r="M2107" s="87"/>
    </row>
    <row r="2108" spans="1:15" x14ac:dyDescent="0.25">
      <c r="A2108" s="107" t="str">
        <f>_xlfn.CONCAT("14.6.",O2108)</f>
        <v>14.6.5</v>
      </c>
      <c r="B2108" s="47" t="str">
        <f>VLOOKUP('IV-MEMORIAL'!A2108,'II-PO'!$A$19:$M$295,5,0)</f>
        <v>LÂMPADA TUBULAR LED DE 9/10 W, COM SOQUETE, BASE G13 - FORNECIMENTO E INSTALAÇÃO. AF_09/2024_PS</v>
      </c>
      <c r="C2108" s="47"/>
      <c r="D2108" s="47"/>
      <c r="E2108" s="48"/>
      <c r="F2108" s="48"/>
      <c r="G2108" s="48"/>
      <c r="H2108" s="48"/>
      <c r="I2108" s="48"/>
      <c r="J2108" s="48"/>
      <c r="K2108" s="48"/>
      <c r="L2108" s="48"/>
      <c r="M2108" s="108"/>
      <c r="N2108" s="3">
        <f>C2112</f>
        <v>12</v>
      </c>
      <c r="O2108" s="1">
        <f>O2102+1</f>
        <v>5</v>
      </c>
    </row>
    <row r="2109" spans="1:15" x14ac:dyDescent="0.25">
      <c r="A2109" s="86"/>
      <c r="M2109" s="87"/>
    </row>
    <row r="2110" spans="1:15" x14ac:dyDescent="0.25">
      <c r="A2110" s="86"/>
      <c r="B2110" s="30" t="s">
        <v>449</v>
      </c>
      <c r="M2110" s="87"/>
    </row>
    <row r="2111" spans="1:15" x14ac:dyDescent="0.25">
      <c r="A2111" s="86"/>
      <c r="M2111" s="87"/>
    </row>
    <row r="2112" spans="1:15" ht="15.75" x14ac:dyDescent="0.25">
      <c r="A2112" s="86"/>
      <c r="B2112" s="46" t="s">
        <v>109</v>
      </c>
      <c r="C2112" s="46">
        <v>12</v>
      </c>
      <c r="D2112" s="46" t="s">
        <v>110</v>
      </c>
      <c r="M2112" s="87"/>
    </row>
    <row r="2113" spans="1:15" x14ac:dyDescent="0.25">
      <c r="A2113" s="86"/>
      <c r="M2113" s="87"/>
    </row>
    <row r="2114" spans="1:15" ht="15.75" x14ac:dyDescent="0.25">
      <c r="A2114" s="151" t="s">
        <v>582</v>
      </c>
      <c r="B2114" s="152" t="s">
        <v>584</v>
      </c>
      <c r="C2114" s="153"/>
      <c r="D2114" s="153"/>
      <c r="E2114" s="154"/>
      <c r="F2114" s="154"/>
      <c r="G2114" s="154"/>
      <c r="H2114" s="154"/>
      <c r="I2114" s="154"/>
      <c r="J2114" s="154"/>
      <c r="K2114" s="154"/>
      <c r="L2114" s="154"/>
      <c r="M2114" s="155"/>
    </row>
    <row r="2115" spans="1:15" x14ac:dyDescent="0.25">
      <c r="A2115" s="86"/>
      <c r="M2115" s="87"/>
    </row>
    <row r="2116" spans="1:15" x14ac:dyDescent="0.25">
      <c r="A2116" s="107" t="s">
        <v>583</v>
      </c>
      <c r="B2116" s="47" t="str">
        <f>VLOOKUP('IV-MEMORIAL'!A2116,'II-PO'!$A$19:$M$295,5,0)</f>
        <v>ENTRADA DE ENERGIA ELÉTRICA, AÉREA, TRIFÁSICA, COM CAIXA DE SOBREPOR, CABO DE 25 MM2 E DISJUNTOR DIN 63A. AF_07/2020_PS (REF. SINAPI 101507)</v>
      </c>
      <c r="C2116" s="47"/>
      <c r="D2116" s="47"/>
      <c r="E2116" s="48"/>
      <c r="F2116" s="48"/>
      <c r="G2116" s="48"/>
      <c r="H2116" s="48"/>
      <c r="I2116" s="48"/>
      <c r="J2116" s="48"/>
      <c r="K2116" s="48"/>
      <c r="L2116" s="48"/>
      <c r="M2116" s="108"/>
      <c r="N2116" s="3">
        <f>C2120</f>
        <v>1</v>
      </c>
      <c r="O2116" s="1">
        <v>1</v>
      </c>
    </row>
    <row r="2117" spans="1:15" x14ac:dyDescent="0.25">
      <c r="A2117" s="86"/>
      <c r="M2117" s="87"/>
    </row>
    <row r="2118" spans="1:15" x14ac:dyDescent="0.25">
      <c r="A2118" s="86"/>
      <c r="B2118" s="30" t="s">
        <v>449</v>
      </c>
      <c r="M2118" s="87"/>
    </row>
    <row r="2119" spans="1:15" x14ac:dyDescent="0.25">
      <c r="A2119" s="86"/>
      <c r="M2119" s="87"/>
    </row>
    <row r="2120" spans="1:15" ht="15.75" x14ac:dyDescent="0.25">
      <c r="A2120" s="86"/>
      <c r="B2120" s="46" t="s">
        <v>109</v>
      </c>
      <c r="C2120" s="46">
        <v>1</v>
      </c>
      <c r="D2120" s="46" t="s">
        <v>110</v>
      </c>
      <c r="M2120" s="87"/>
    </row>
    <row r="2121" spans="1:15" x14ac:dyDescent="0.25">
      <c r="A2121" s="86"/>
      <c r="M2121" s="87"/>
    </row>
    <row r="2122" spans="1:15" x14ac:dyDescent="0.25">
      <c r="A2122" s="107" t="str">
        <f>_xlfn.CONCAT("14.7.",O2122)</f>
        <v>14.7.2</v>
      </c>
      <c r="B2122" s="47" t="str">
        <f>VLOOKUP('IV-MEMORIAL'!A2122,'II-PO'!$A$19:$M$295,5,0)</f>
        <v>HASTE DE ATERRAMENTO, DIÂMETRO 3/4", COM 3 METROS - FORNECIMENTO E INSTALAÇÃO. AF_08/2023</v>
      </c>
      <c r="C2122" s="47"/>
      <c r="D2122" s="47"/>
      <c r="E2122" s="48"/>
      <c r="F2122" s="48"/>
      <c r="G2122" s="48"/>
      <c r="H2122" s="48"/>
      <c r="I2122" s="48"/>
      <c r="J2122" s="48"/>
      <c r="K2122" s="48"/>
      <c r="L2122" s="48"/>
      <c r="M2122" s="108"/>
      <c r="N2122" s="3">
        <f>C2126</f>
        <v>3</v>
      </c>
      <c r="O2122" s="1">
        <f>O2116+1</f>
        <v>2</v>
      </c>
    </row>
    <row r="2123" spans="1:15" x14ac:dyDescent="0.25">
      <c r="A2123" s="86"/>
      <c r="M2123" s="87"/>
    </row>
    <row r="2124" spans="1:15" x14ac:dyDescent="0.25">
      <c r="A2124" s="86"/>
      <c r="B2124" s="30" t="s">
        <v>449</v>
      </c>
      <c r="M2124" s="87"/>
    </row>
    <row r="2125" spans="1:15" x14ac:dyDescent="0.25">
      <c r="A2125" s="86"/>
      <c r="M2125" s="87"/>
    </row>
    <row r="2126" spans="1:15" ht="15.75" x14ac:dyDescent="0.25">
      <c r="A2126" s="86"/>
      <c r="B2126" s="46" t="s">
        <v>109</v>
      </c>
      <c r="C2126" s="46">
        <v>3</v>
      </c>
      <c r="D2126" s="46" t="s">
        <v>110</v>
      </c>
      <c r="M2126" s="87"/>
    </row>
    <row r="2127" spans="1:15" x14ac:dyDescent="0.25">
      <c r="A2127" s="86"/>
      <c r="M2127" s="87"/>
    </row>
    <row r="2128" spans="1:15" ht="15.75" x14ac:dyDescent="0.25">
      <c r="A2128" s="105">
        <v>15</v>
      </c>
      <c r="B2128" s="43" t="s">
        <v>694</v>
      </c>
      <c r="C2128" s="44"/>
      <c r="D2128" s="44"/>
      <c r="E2128" s="45"/>
      <c r="F2128" s="45"/>
      <c r="G2128" s="45"/>
      <c r="H2128" s="45"/>
      <c r="I2128" s="45"/>
      <c r="J2128" s="45"/>
      <c r="K2128" s="45"/>
      <c r="L2128" s="45"/>
      <c r="M2128" s="106"/>
    </row>
    <row r="2129" spans="1:14" x14ac:dyDescent="0.25">
      <c r="A2129" s="86"/>
      <c r="M2129" s="87"/>
    </row>
    <row r="2130" spans="1:14" x14ac:dyDescent="0.25">
      <c r="A2130" s="107" t="s">
        <v>508</v>
      </c>
      <c r="B2130" s="47" t="str">
        <f>VLOOKUP('IV-MEMORIAL'!A2130,'II-PO'!$A$19:$M$295,5,0)</f>
        <v>PAINEL EM ACM - ESTRUTURADO (FACHADAS) (REF.: SEDOP 061458)</v>
      </c>
      <c r="C2130" s="47"/>
      <c r="D2130" s="47"/>
      <c r="E2130" s="48"/>
      <c r="F2130" s="48"/>
      <c r="G2130" s="48"/>
      <c r="H2130" s="48"/>
      <c r="I2130" s="48"/>
      <c r="J2130" s="48"/>
      <c r="K2130" s="48"/>
      <c r="L2130" s="48"/>
      <c r="M2130" s="108"/>
      <c r="N2130" s="3">
        <f>C2151</f>
        <v>119.31</v>
      </c>
    </row>
    <row r="2131" spans="1:14" x14ac:dyDescent="0.25">
      <c r="A2131" s="86"/>
      <c r="M2131" s="87"/>
    </row>
    <row r="2132" spans="1:14" ht="15.75" x14ac:dyDescent="0.25">
      <c r="A2132" s="86"/>
      <c r="B2132" s="4" t="s">
        <v>163</v>
      </c>
      <c r="C2132" s="4" t="s">
        <v>151</v>
      </c>
      <c r="D2132" s="4" t="s">
        <v>321</v>
      </c>
      <c r="E2132" s="4" t="s">
        <v>320</v>
      </c>
      <c r="M2132" s="87"/>
    </row>
    <row r="2133" spans="1:14" x14ac:dyDescent="0.25">
      <c r="A2133" s="86"/>
      <c r="B2133" s="2">
        <v>10.16</v>
      </c>
      <c r="C2133" s="2">
        <v>2</v>
      </c>
      <c r="D2133" s="2">
        <f>B2133*C2133</f>
        <v>20.32</v>
      </c>
      <c r="E2133" s="342" t="s">
        <v>695</v>
      </c>
      <c r="M2133" s="87"/>
    </row>
    <row r="2134" spans="1:14" x14ac:dyDescent="0.25">
      <c r="A2134" s="86"/>
      <c r="B2134" s="2">
        <v>9.0500000000000007</v>
      </c>
      <c r="C2134" s="2">
        <v>2</v>
      </c>
      <c r="D2134" s="2">
        <f t="shared" ref="D2134:D2145" si="81">B2134*C2134</f>
        <v>18.100000000000001</v>
      </c>
      <c r="E2134" s="344"/>
      <c r="M2134" s="87"/>
    </row>
    <row r="2135" spans="1:14" x14ac:dyDescent="0.25">
      <c r="A2135" s="86"/>
      <c r="B2135" s="2">
        <v>9.76</v>
      </c>
      <c r="C2135" s="2">
        <v>2</v>
      </c>
      <c r="D2135" s="2">
        <f t="shared" si="81"/>
        <v>19.52</v>
      </c>
      <c r="E2135" s="344"/>
      <c r="M2135" s="87"/>
    </row>
    <row r="2136" spans="1:14" x14ac:dyDescent="0.25">
      <c r="A2136" s="86"/>
      <c r="B2136" s="2">
        <v>8.6300000000000008</v>
      </c>
      <c r="C2136" s="2">
        <v>2</v>
      </c>
      <c r="D2136" s="2">
        <f t="shared" si="81"/>
        <v>17.260000000000002</v>
      </c>
      <c r="E2136" s="344"/>
      <c r="M2136" s="87"/>
    </row>
    <row r="2137" spans="1:14" x14ac:dyDescent="0.25">
      <c r="A2137" s="86"/>
      <c r="B2137" s="2">
        <f>(B2133+B2135)/2</f>
        <v>9.9600000000000009</v>
      </c>
      <c r="C2137" s="2">
        <v>0.25</v>
      </c>
      <c r="D2137" s="2">
        <f t="shared" si="81"/>
        <v>2.4900000000000002</v>
      </c>
      <c r="E2137" s="344"/>
      <c r="M2137" s="87"/>
    </row>
    <row r="2138" spans="1:14" x14ac:dyDescent="0.25">
      <c r="A2138" s="86"/>
      <c r="B2138" s="2">
        <f>(B2134+B2136)/2</f>
        <v>8.84</v>
      </c>
      <c r="C2138" s="2">
        <v>0.25</v>
      </c>
      <c r="D2138" s="2">
        <f t="shared" si="81"/>
        <v>2.21</v>
      </c>
      <c r="E2138" s="344"/>
      <c r="M2138" s="87"/>
    </row>
    <row r="2139" spans="1:14" x14ac:dyDescent="0.25">
      <c r="A2139" s="86"/>
      <c r="B2139" s="2">
        <v>0.25</v>
      </c>
      <c r="C2139" s="2">
        <v>2</v>
      </c>
      <c r="D2139" s="2">
        <f t="shared" si="81"/>
        <v>0.5</v>
      </c>
      <c r="E2139" s="344"/>
      <c r="M2139" s="87"/>
    </row>
    <row r="2140" spans="1:14" x14ac:dyDescent="0.25">
      <c r="A2140" s="86"/>
      <c r="B2140" s="2">
        <v>0.25</v>
      </c>
      <c r="C2140" s="2">
        <v>2</v>
      </c>
      <c r="D2140" s="2">
        <f t="shared" si="81"/>
        <v>0.5</v>
      </c>
      <c r="E2140" s="344"/>
      <c r="M2140" s="87"/>
    </row>
    <row r="2141" spans="1:14" x14ac:dyDescent="0.25">
      <c r="A2141" s="86"/>
      <c r="B2141" s="2">
        <v>0.25</v>
      </c>
      <c r="C2141" s="2">
        <v>2</v>
      </c>
      <c r="D2141" s="2">
        <f t="shared" si="81"/>
        <v>0.5</v>
      </c>
      <c r="E2141" s="344"/>
      <c r="M2141" s="87"/>
    </row>
    <row r="2142" spans="1:14" x14ac:dyDescent="0.25">
      <c r="A2142" s="86"/>
      <c r="B2142" s="2">
        <v>0.25</v>
      </c>
      <c r="C2142" s="2">
        <v>2</v>
      </c>
      <c r="D2142" s="2">
        <f t="shared" si="81"/>
        <v>0.5</v>
      </c>
      <c r="E2142" s="343"/>
      <c r="M2142" s="87"/>
    </row>
    <row r="2143" spans="1:14" x14ac:dyDescent="0.25">
      <c r="A2143" s="86"/>
      <c r="B2143" s="2">
        <v>6.41</v>
      </c>
      <c r="C2143" s="2">
        <v>2</v>
      </c>
      <c r="D2143" s="2">
        <f t="shared" si="81"/>
        <v>12.82</v>
      </c>
      <c r="E2143" s="342" t="s">
        <v>696</v>
      </c>
      <c r="M2143" s="87"/>
    </row>
    <row r="2144" spans="1:14" x14ac:dyDescent="0.25">
      <c r="A2144" s="86"/>
      <c r="B2144" s="2">
        <v>7.32</v>
      </c>
      <c r="C2144" s="2">
        <v>2</v>
      </c>
      <c r="D2144" s="2">
        <f t="shared" si="81"/>
        <v>14.64</v>
      </c>
      <c r="E2144" s="344"/>
      <c r="M2144" s="87"/>
    </row>
    <row r="2145" spans="1:14" x14ac:dyDescent="0.25">
      <c r="A2145" s="86"/>
      <c r="B2145" s="2">
        <v>0.8</v>
      </c>
      <c r="C2145" s="2">
        <v>2</v>
      </c>
      <c r="D2145" s="2">
        <f t="shared" si="81"/>
        <v>1.6</v>
      </c>
      <c r="E2145" s="344"/>
      <c r="M2145" s="87"/>
    </row>
    <row r="2146" spans="1:14" x14ac:dyDescent="0.25">
      <c r="A2146" s="86"/>
      <c r="B2146" s="2">
        <v>6.8650000000000002</v>
      </c>
      <c r="C2146" s="2">
        <v>0.8</v>
      </c>
      <c r="D2146" s="2">
        <f t="shared" ref="D2146:D2149" si="82">B2146*C2146</f>
        <v>5.4920000000000009</v>
      </c>
      <c r="E2146" s="343"/>
      <c r="M2146" s="87"/>
    </row>
    <row r="2147" spans="1:14" x14ac:dyDescent="0.25">
      <c r="A2147" s="86"/>
      <c r="B2147" s="2">
        <v>3.16</v>
      </c>
      <c r="C2147" s="2">
        <v>0.4</v>
      </c>
      <c r="D2147" s="2">
        <f t="shared" si="82"/>
        <v>1.2640000000000002</v>
      </c>
      <c r="E2147" s="342" t="s">
        <v>697</v>
      </c>
      <c r="M2147" s="87"/>
    </row>
    <row r="2148" spans="1:14" x14ac:dyDescent="0.25">
      <c r="A2148" s="86"/>
      <c r="B2148" s="2">
        <v>2</v>
      </c>
      <c r="C2148" s="2">
        <v>0.4</v>
      </c>
      <c r="D2148" s="2">
        <f t="shared" si="82"/>
        <v>0.8</v>
      </c>
      <c r="E2148" s="344"/>
      <c r="M2148" s="87"/>
    </row>
    <row r="2149" spans="1:14" x14ac:dyDescent="0.25">
      <c r="A2149" s="86"/>
      <c r="B2149" s="2">
        <v>2</v>
      </c>
      <c r="C2149" s="2">
        <v>0.4</v>
      </c>
      <c r="D2149" s="2">
        <f t="shared" si="82"/>
        <v>0.8</v>
      </c>
      <c r="E2149" s="343"/>
      <c r="M2149" s="87"/>
    </row>
    <row r="2150" spans="1:14" x14ac:dyDescent="0.25">
      <c r="A2150" s="86"/>
      <c r="M2150" s="87"/>
    </row>
    <row r="2151" spans="1:14" ht="15.75" x14ac:dyDescent="0.25">
      <c r="A2151" s="86"/>
      <c r="B2151" s="46" t="s">
        <v>109</v>
      </c>
      <c r="C2151" s="46">
        <f>TRUNC(SUM(D2133:D2149),2)</f>
        <v>119.31</v>
      </c>
      <c r="D2151" s="46" t="s">
        <v>167</v>
      </c>
      <c r="M2151" s="87"/>
    </row>
    <row r="2152" spans="1:14" x14ac:dyDescent="0.25">
      <c r="A2152" s="86"/>
      <c r="M2152" s="87"/>
    </row>
    <row r="2153" spans="1:14" x14ac:dyDescent="0.25">
      <c r="A2153" s="107" t="s">
        <v>509</v>
      </c>
      <c r="B2153" s="47" t="str">
        <f>VLOOKUP('IV-MEMORIAL'!A2153,'II-PO'!$A$19:$M$295,5,0)</f>
        <v>LETRAS EM ACM (REF.: SEDOP 061458)</v>
      </c>
      <c r="C2153" s="47"/>
      <c r="D2153" s="47"/>
      <c r="E2153" s="48"/>
      <c r="F2153" s="48"/>
      <c r="G2153" s="48"/>
      <c r="H2153" s="48"/>
      <c r="I2153" s="48"/>
      <c r="J2153" s="48"/>
      <c r="K2153" s="48"/>
      <c r="L2153" s="48"/>
      <c r="M2153" s="108"/>
      <c r="N2153" s="3">
        <f>C2171</f>
        <v>7.71</v>
      </c>
    </row>
    <row r="2154" spans="1:14" x14ac:dyDescent="0.25">
      <c r="A2154" s="86"/>
      <c r="M2154" s="87"/>
    </row>
    <row r="2155" spans="1:14" x14ac:dyDescent="0.25">
      <c r="A2155" s="86"/>
      <c r="B2155" s="2" t="s">
        <v>742</v>
      </c>
      <c r="C2155" s="2">
        <v>22</v>
      </c>
      <c r="D2155" s="2" t="s">
        <v>510</v>
      </c>
      <c r="M2155" s="87"/>
    </row>
    <row r="2156" spans="1:14" x14ac:dyDescent="0.25">
      <c r="A2156" s="86"/>
      <c r="M2156" s="87"/>
    </row>
    <row r="2157" spans="1:14" ht="15.75" x14ac:dyDescent="0.25">
      <c r="A2157" s="86"/>
      <c r="B2157" s="4" t="s">
        <v>730</v>
      </c>
      <c r="C2157" s="4" t="s">
        <v>163</v>
      </c>
      <c r="D2157" s="4" t="s">
        <v>731</v>
      </c>
      <c r="E2157" s="149" t="s">
        <v>732</v>
      </c>
      <c r="F2157" s="149" t="s">
        <v>734</v>
      </c>
      <c r="G2157" s="149" t="s">
        <v>109</v>
      </c>
      <c r="H2157" s="149" t="s">
        <v>733</v>
      </c>
      <c r="M2157" s="87"/>
    </row>
    <row r="2158" spans="1:14" x14ac:dyDescent="0.25">
      <c r="A2158" s="86"/>
      <c r="B2158" s="2" t="s">
        <v>735</v>
      </c>
      <c r="C2158" s="2">
        <v>1.7838000000000001</v>
      </c>
      <c r="D2158" s="2">
        <v>0.2</v>
      </c>
      <c r="E2158" s="2">
        <v>3.15E-2</v>
      </c>
      <c r="F2158" s="2">
        <f>C2158*D2158+E2158</f>
        <v>0.38826000000000005</v>
      </c>
      <c r="G2158" s="180">
        <v>1</v>
      </c>
      <c r="H2158" s="2">
        <f>F2158*G2158</f>
        <v>0.38826000000000005</v>
      </c>
      <c r="M2158" s="87"/>
    </row>
    <row r="2159" spans="1:14" x14ac:dyDescent="0.25">
      <c r="A2159" s="86"/>
      <c r="B2159" s="2" t="s">
        <v>192</v>
      </c>
      <c r="C2159" s="2">
        <f>1.1436+0.4282</f>
        <v>1.5718000000000001</v>
      </c>
      <c r="D2159" s="2">
        <v>0.2</v>
      </c>
      <c r="E2159" s="2">
        <v>2.5999999999999999E-2</v>
      </c>
      <c r="F2159" s="2">
        <f t="shared" ref="F2159:F2169" si="83">C2159*D2159+E2159</f>
        <v>0.34036000000000005</v>
      </c>
      <c r="G2159" s="180">
        <v>2</v>
      </c>
      <c r="H2159" s="2">
        <f t="shared" ref="H2159:H2169" si="84">F2159*G2159</f>
        <v>0.6807200000000001</v>
      </c>
      <c r="M2159" s="87"/>
    </row>
    <row r="2160" spans="1:14" x14ac:dyDescent="0.25">
      <c r="A2160" s="86"/>
      <c r="B2160" s="2" t="s">
        <v>193</v>
      </c>
      <c r="C2160" s="2">
        <f>1.0127+0.3928+0.4367</f>
        <v>1.8422000000000001</v>
      </c>
      <c r="D2160" s="2">
        <v>0.2</v>
      </c>
      <c r="E2160" s="2">
        <v>3.4599999999999999E-2</v>
      </c>
      <c r="F2160" s="2">
        <f t="shared" si="83"/>
        <v>0.40304000000000006</v>
      </c>
      <c r="G2160" s="180">
        <v>1</v>
      </c>
      <c r="H2160" s="2">
        <f t="shared" si="84"/>
        <v>0.40304000000000006</v>
      </c>
      <c r="M2160" s="87"/>
    </row>
    <row r="2161" spans="1:14" x14ac:dyDescent="0.25">
      <c r="A2161" s="86"/>
      <c r="B2161" s="2" t="s">
        <v>736</v>
      </c>
      <c r="C2161" s="2">
        <v>0.75109999999999999</v>
      </c>
      <c r="D2161" s="2">
        <v>0.2</v>
      </c>
      <c r="E2161" s="2">
        <v>1.15E-2</v>
      </c>
      <c r="F2161" s="2">
        <f t="shared" si="83"/>
        <v>0.16172000000000003</v>
      </c>
      <c r="G2161" s="180">
        <v>1</v>
      </c>
      <c r="H2161" s="2">
        <f t="shared" si="84"/>
        <v>0.16172000000000003</v>
      </c>
      <c r="M2161" s="87"/>
    </row>
    <row r="2162" spans="1:14" x14ac:dyDescent="0.25">
      <c r="A2162" s="86"/>
      <c r="B2162" s="2" t="s">
        <v>737</v>
      </c>
      <c r="C2162" s="2">
        <v>1.9539</v>
      </c>
      <c r="D2162" s="2">
        <v>0.2</v>
      </c>
      <c r="E2162" s="2">
        <v>3.2500000000000001E-2</v>
      </c>
      <c r="F2162" s="2">
        <f t="shared" si="83"/>
        <v>0.42327999999999999</v>
      </c>
      <c r="G2162" s="180">
        <v>1</v>
      </c>
      <c r="H2162" s="2">
        <f t="shared" si="84"/>
        <v>0.42327999999999999</v>
      </c>
      <c r="M2162" s="87"/>
    </row>
    <row r="2163" spans="1:14" x14ac:dyDescent="0.25">
      <c r="A2163" s="86"/>
      <c r="B2163" s="2" t="s">
        <v>176</v>
      </c>
      <c r="C2163" s="2">
        <v>1.6409</v>
      </c>
      <c r="D2163" s="2">
        <v>0.2</v>
      </c>
      <c r="E2163" s="2">
        <v>2.9399999999999999E-2</v>
      </c>
      <c r="F2163" s="2">
        <f t="shared" si="83"/>
        <v>0.35758000000000001</v>
      </c>
      <c r="G2163" s="180">
        <v>5</v>
      </c>
      <c r="H2163" s="2">
        <f t="shared" si="84"/>
        <v>1.7879</v>
      </c>
      <c r="M2163" s="87"/>
    </row>
    <row r="2164" spans="1:14" x14ac:dyDescent="0.25">
      <c r="A2164" s="86"/>
      <c r="B2164" s="2" t="s">
        <v>209</v>
      </c>
      <c r="C2164" s="2">
        <v>1.0852999999999999</v>
      </c>
      <c r="D2164" s="2">
        <v>0.2</v>
      </c>
      <c r="E2164" s="2">
        <v>1.8200000000000001E-2</v>
      </c>
      <c r="F2164" s="2">
        <f t="shared" si="83"/>
        <v>0.23526</v>
      </c>
      <c r="G2164" s="180">
        <v>1</v>
      </c>
      <c r="H2164" s="2">
        <f t="shared" si="84"/>
        <v>0.23526</v>
      </c>
      <c r="M2164" s="87"/>
    </row>
    <row r="2165" spans="1:14" x14ac:dyDescent="0.25">
      <c r="A2165" s="86"/>
      <c r="B2165" s="2" t="s">
        <v>194</v>
      </c>
      <c r="C2165" s="2">
        <f>0.9964+0.73</f>
        <v>1.7263999999999999</v>
      </c>
      <c r="D2165" s="2">
        <v>0.2</v>
      </c>
      <c r="E2165" s="2">
        <v>3.1300000000000001E-2</v>
      </c>
      <c r="F2165" s="2">
        <f t="shared" si="83"/>
        <v>0.37658000000000003</v>
      </c>
      <c r="G2165" s="180">
        <v>2</v>
      </c>
      <c r="H2165" s="2">
        <f t="shared" si="84"/>
        <v>0.75316000000000005</v>
      </c>
      <c r="M2165" s="87"/>
    </row>
    <row r="2166" spans="1:14" x14ac:dyDescent="0.25">
      <c r="A2166" s="86"/>
      <c r="B2166" s="2" t="s">
        <v>738</v>
      </c>
      <c r="C2166" s="2">
        <f>0.9544+0.7249</f>
        <v>1.6793</v>
      </c>
      <c r="D2166" s="2">
        <v>0.2</v>
      </c>
      <c r="E2166" s="2">
        <v>3.0099999999999998E-2</v>
      </c>
      <c r="F2166" s="2">
        <f t="shared" si="83"/>
        <v>0.36596000000000006</v>
      </c>
      <c r="G2166" s="180">
        <v>2</v>
      </c>
      <c r="H2166" s="2">
        <f t="shared" si="84"/>
        <v>0.73192000000000013</v>
      </c>
      <c r="M2166" s="87"/>
    </row>
    <row r="2167" spans="1:14" x14ac:dyDescent="0.25">
      <c r="A2167" s="86"/>
      <c r="B2167" s="2" t="s">
        <v>739</v>
      </c>
      <c r="C2167" s="2">
        <v>1.6004</v>
      </c>
      <c r="D2167" s="2">
        <v>0.2</v>
      </c>
      <c r="E2167" s="2">
        <v>2.87E-2</v>
      </c>
      <c r="F2167" s="2">
        <f t="shared" si="83"/>
        <v>0.34878000000000003</v>
      </c>
      <c r="G2167" s="180">
        <v>3</v>
      </c>
      <c r="H2167" s="2">
        <f t="shared" si="84"/>
        <v>1.04634</v>
      </c>
      <c r="M2167" s="87"/>
    </row>
    <row r="2168" spans="1:14" x14ac:dyDescent="0.25">
      <c r="A2168" s="86"/>
      <c r="B2168" s="2" t="s">
        <v>740</v>
      </c>
      <c r="C2168" s="2">
        <v>1.4467000000000001</v>
      </c>
      <c r="D2168" s="2">
        <v>0.2</v>
      </c>
      <c r="E2168" s="2">
        <v>2.1399999999999999E-2</v>
      </c>
      <c r="F2168" s="2">
        <f t="shared" si="83"/>
        <v>0.31074000000000002</v>
      </c>
      <c r="G2168" s="180">
        <v>1</v>
      </c>
      <c r="H2168" s="2">
        <f t="shared" si="84"/>
        <v>0.31074000000000002</v>
      </c>
      <c r="M2168" s="87"/>
    </row>
    <row r="2169" spans="1:14" x14ac:dyDescent="0.25">
      <c r="A2169" s="86"/>
      <c r="B2169" s="2" t="s">
        <v>741</v>
      </c>
      <c r="C2169" s="2">
        <f>1.3781+0.4504</f>
        <v>1.8285</v>
      </c>
      <c r="D2169" s="2">
        <v>0.2</v>
      </c>
      <c r="E2169" s="2">
        <v>3.2800000000000003E-2</v>
      </c>
      <c r="F2169" s="2">
        <f t="shared" si="83"/>
        <v>0.39850000000000002</v>
      </c>
      <c r="G2169" s="180">
        <v>2</v>
      </c>
      <c r="H2169" s="2">
        <f t="shared" si="84"/>
        <v>0.79700000000000004</v>
      </c>
      <c r="M2169" s="87"/>
    </row>
    <row r="2170" spans="1:14" x14ac:dyDescent="0.25">
      <c r="A2170" s="86"/>
      <c r="M2170" s="87"/>
    </row>
    <row r="2171" spans="1:14" ht="15.75" x14ac:dyDescent="0.25">
      <c r="A2171" s="86"/>
      <c r="B2171" s="46" t="s">
        <v>109</v>
      </c>
      <c r="C2171" s="46">
        <f>TRUNC(SUM(H2158:H2169),2)</f>
        <v>7.71</v>
      </c>
      <c r="D2171" s="46" t="s">
        <v>167</v>
      </c>
      <c r="M2171" s="87"/>
    </row>
    <row r="2172" spans="1:14" x14ac:dyDescent="0.25">
      <c r="A2172" s="86"/>
      <c r="M2172" s="87"/>
    </row>
    <row r="2173" spans="1:14" ht="15.75" x14ac:dyDescent="0.25">
      <c r="A2173" s="105">
        <v>16</v>
      </c>
      <c r="B2173" s="43" t="s">
        <v>515</v>
      </c>
      <c r="C2173" s="44"/>
      <c r="D2173" s="44"/>
      <c r="E2173" s="45"/>
      <c r="F2173" s="45"/>
      <c r="G2173" s="45"/>
      <c r="H2173" s="45"/>
      <c r="I2173" s="45"/>
      <c r="J2173" s="45"/>
      <c r="K2173" s="45"/>
      <c r="L2173" s="45"/>
      <c r="M2173" s="106"/>
    </row>
    <row r="2174" spans="1:14" x14ac:dyDescent="0.25">
      <c r="A2174" s="86"/>
      <c r="M2174" s="87"/>
    </row>
    <row r="2175" spans="1:14" x14ac:dyDescent="0.25">
      <c r="A2175" s="107" t="s">
        <v>692</v>
      </c>
      <c r="B2175" s="47" t="str">
        <f>VLOOKUP('IV-MEMORIAL'!A2175,'II-PO'!$A$19:$M$295,5,0)</f>
        <v>MUDA DE ARBUSTO FLORIFERO, CLUSIA/GARDENIA/MOREIA BRANCA/ AZALEIA OU EQUIVALENTE DA REGIAO, H= *50 A 70* CM</v>
      </c>
      <c r="C2175" s="47"/>
      <c r="D2175" s="47"/>
      <c r="E2175" s="48"/>
      <c r="F2175" s="48"/>
      <c r="G2175" s="48"/>
      <c r="H2175" s="48"/>
      <c r="I2175" s="48"/>
      <c r="J2175" s="48"/>
      <c r="K2175" s="48"/>
      <c r="L2175" s="48"/>
      <c r="M2175" s="108"/>
      <c r="N2175" s="3">
        <f>C2177</f>
        <v>74</v>
      </c>
    </row>
    <row r="2176" spans="1:14" x14ac:dyDescent="0.25">
      <c r="A2176" s="86"/>
      <c r="M2176" s="87"/>
    </row>
    <row r="2177" spans="1:14" ht="15.75" x14ac:dyDescent="0.25">
      <c r="A2177" s="86"/>
      <c r="B2177" s="46" t="s">
        <v>109</v>
      </c>
      <c r="C2177" s="46">
        <f>56+18</f>
        <v>74</v>
      </c>
      <c r="D2177" s="46" t="s">
        <v>110</v>
      </c>
      <c r="M2177" s="87"/>
    </row>
    <row r="2178" spans="1:14" x14ac:dyDescent="0.25">
      <c r="A2178" s="86"/>
      <c r="M2178" s="87"/>
    </row>
    <row r="2179" spans="1:14" x14ac:dyDescent="0.25">
      <c r="A2179" s="107" t="s">
        <v>693</v>
      </c>
      <c r="B2179" s="47" t="str">
        <f>VLOOKUP('IV-MEMORIAL'!A2179,'II-PO'!$A$19:$M$295,5,0)</f>
        <v>PISO EM CONCRETO DESEMPENADO ESPESSURA = 7 CM  1</v>
      </c>
      <c r="C2179" s="47"/>
      <c r="D2179" s="47"/>
      <c r="E2179" s="48"/>
      <c r="F2179" s="48"/>
      <c r="G2179" s="48"/>
      <c r="H2179" s="48"/>
      <c r="I2179" s="48"/>
      <c r="J2179" s="48"/>
      <c r="K2179" s="48"/>
      <c r="L2179" s="48"/>
      <c r="M2179" s="108"/>
      <c r="N2179" s="3">
        <f>C2181</f>
        <v>20.69</v>
      </c>
    </row>
    <row r="2180" spans="1:14" x14ac:dyDescent="0.25">
      <c r="A2180" s="86"/>
      <c r="M2180" s="87"/>
    </row>
    <row r="2181" spans="1:14" ht="15.75" x14ac:dyDescent="0.25">
      <c r="A2181" s="86"/>
      <c r="B2181" s="46" t="s">
        <v>109</v>
      </c>
      <c r="C2181" s="46">
        <v>20.69</v>
      </c>
      <c r="D2181" s="46" t="s">
        <v>167</v>
      </c>
      <c r="M2181" s="87"/>
    </row>
    <row r="2182" spans="1:14" x14ac:dyDescent="0.25">
      <c r="A2182" s="86"/>
      <c r="M2182" s="87"/>
    </row>
    <row r="2183" spans="1:14" ht="15.75" x14ac:dyDescent="0.25">
      <c r="A2183" s="105">
        <v>17</v>
      </c>
      <c r="B2183" s="43" t="s">
        <v>223</v>
      </c>
      <c r="C2183" s="44"/>
      <c r="D2183" s="44"/>
      <c r="E2183" s="45"/>
      <c r="F2183" s="45"/>
      <c r="G2183" s="45"/>
      <c r="H2183" s="45"/>
      <c r="I2183" s="45"/>
      <c r="J2183" s="45"/>
      <c r="K2183" s="45"/>
      <c r="L2183" s="45"/>
      <c r="M2183" s="106"/>
    </row>
    <row r="2184" spans="1:14" x14ac:dyDescent="0.25">
      <c r="A2184" s="86"/>
      <c r="M2184" s="87"/>
    </row>
    <row r="2185" spans="1:14" x14ac:dyDescent="0.25">
      <c r="A2185" s="107" t="s">
        <v>516</v>
      </c>
      <c r="B2185" s="47" t="str">
        <f>VLOOKUP('IV-MEMORIAL'!A2185,'II-PO'!$A$19:$M$295,5,0)</f>
        <v>LIMPEZA DE SUPERFÍCIE COM JATO DE ALTA PRESSÃO. AF_04/2019</v>
      </c>
      <c r="C2185" s="47"/>
      <c r="D2185" s="47"/>
      <c r="E2185" s="48"/>
      <c r="F2185" s="48"/>
      <c r="G2185" s="48"/>
      <c r="H2185" s="48"/>
      <c r="I2185" s="48"/>
      <c r="J2185" s="48"/>
      <c r="K2185" s="48"/>
      <c r="L2185" s="48"/>
      <c r="M2185" s="108"/>
      <c r="N2185" s="3">
        <f>C2194</f>
        <v>2501.4100000000003</v>
      </c>
    </row>
    <row r="2186" spans="1:14" x14ac:dyDescent="0.25">
      <c r="A2186" s="86"/>
      <c r="M2186" s="87"/>
    </row>
    <row r="2187" spans="1:14" ht="15.75" x14ac:dyDescent="0.25">
      <c r="A2187" s="86"/>
      <c r="B2187" s="4" t="s">
        <v>320</v>
      </c>
      <c r="C2187" s="4" t="s">
        <v>321</v>
      </c>
      <c r="M2187" s="87"/>
    </row>
    <row r="2188" spans="1:14" x14ac:dyDescent="0.25">
      <c r="A2188" s="86"/>
      <c r="B2188" s="2" t="s">
        <v>512</v>
      </c>
      <c r="C2188" s="2">
        <f>TRUNC(SUMPRODUCT(C547:C645,D547:D645)+G533*2+G540*2,2)</f>
        <v>1224.21</v>
      </c>
      <c r="M2188" s="87"/>
    </row>
    <row r="2189" spans="1:14" x14ac:dyDescent="0.25">
      <c r="A2189" s="86"/>
      <c r="B2189" s="2" t="s">
        <v>511</v>
      </c>
      <c r="C2189" s="2">
        <f>TRUNC(SUM(C1163),2)</f>
        <v>442.82</v>
      </c>
      <c r="M2189" s="87"/>
    </row>
    <row r="2190" spans="1:14" x14ac:dyDescent="0.25">
      <c r="A2190" s="86"/>
      <c r="B2190" s="2" t="s">
        <v>513</v>
      </c>
      <c r="C2190" s="2">
        <f>TRUNC(SUMPRODUCT(C653:C673,D653:D673),2)</f>
        <v>391.56</v>
      </c>
      <c r="M2190" s="87"/>
    </row>
    <row r="2191" spans="1:14" x14ac:dyDescent="0.25">
      <c r="A2191" s="86"/>
      <c r="B2191" s="2" t="s">
        <v>514</v>
      </c>
      <c r="C2191" s="2">
        <f>TRUNC(SUM($C$705:$C$725),2)</f>
        <v>442.82</v>
      </c>
      <c r="M2191" s="87"/>
    </row>
    <row r="2192" spans="1:14" ht="15.75" x14ac:dyDescent="0.25">
      <c r="A2192" s="86"/>
      <c r="B2192" s="4" t="s">
        <v>0</v>
      </c>
      <c r="C2192" s="4">
        <f>SUM(C2188:C2191)</f>
        <v>2501.4100000000003</v>
      </c>
      <c r="M2192" s="87"/>
    </row>
    <row r="2193" spans="1:14" x14ac:dyDescent="0.25">
      <c r="A2193" s="86"/>
      <c r="M2193" s="87"/>
    </row>
    <row r="2194" spans="1:14" ht="15.75" x14ac:dyDescent="0.25">
      <c r="A2194" s="86"/>
      <c r="B2194" s="46" t="s">
        <v>109</v>
      </c>
      <c r="C2194" s="46">
        <f>C2192</f>
        <v>2501.4100000000003</v>
      </c>
      <c r="D2194" s="46" t="s">
        <v>167</v>
      </c>
      <c r="M2194" s="87"/>
    </row>
    <row r="2195" spans="1:14" x14ac:dyDescent="0.25">
      <c r="A2195" s="86"/>
      <c r="M2195" s="87"/>
    </row>
    <row r="2196" spans="1:14" x14ac:dyDescent="0.25">
      <c r="A2196" s="107" t="s">
        <v>517</v>
      </c>
      <c r="B2196" s="47" t="str">
        <f>VLOOKUP('IV-MEMORIAL'!A2196,'II-PO'!$A$19:$M$295,5,0)</f>
        <v>OBELISCO PARA PLACA DE INAUGURAÇÃO - PADRÃO GOINFRA</v>
      </c>
      <c r="C2196" s="47"/>
      <c r="D2196" s="47"/>
      <c r="E2196" s="48"/>
      <c r="F2196" s="48"/>
      <c r="G2196" s="48"/>
      <c r="H2196" s="48"/>
      <c r="I2196" s="48"/>
      <c r="J2196" s="48"/>
      <c r="K2196" s="48"/>
      <c r="L2196" s="48"/>
      <c r="M2196" s="108"/>
      <c r="N2196" s="3">
        <f>C2198</f>
        <v>1</v>
      </c>
    </row>
    <row r="2197" spans="1:14" x14ac:dyDescent="0.25">
      <c r="A2197" s="86"/>
      <c r="M2197" s="87"/>
    </row>
    <row r="2198" spans="1:14" ht="15.75" x14ac:dyDescent="0.25">
      <c r="A2198" s="86"/>
      <c r="B2198" s="46" t="s">
        <v>109</v>
      </c>
      <c r="C2198" s="46">
        <v>1</v>
      </c>
      <c r="D2198" s="46" t="s">
        <v>110</v>
      </c>
      <c r="M2198" s="87"/>
    </row>
    <row r="2199" spans="1:14" x14ac:dyDescent="0.25">
      <c r="A2199" s="86"/>
      <c r="M2199" s="87"/>
    </row>
    <row r="2200" spans="1:14" x14ac:dyDescent="0.25">
      <c r="A2200" s="107" t="s">
        <v>518</v>
      </c>
      <c r="B2200" s="47" t="str">
        <f>VLOOKUP('IV-MEMORIAL'!A2200,'II-PO'!$A$19:$M$295,5,0)</f>
        <v>PLACA DE INAUGURACAO ACO ESCOVADO 42X60 CM</v>
      </c>
      <c r="C2200" s="47"/>
      <c r="D2200" s="47"/>
      <c r="E2200" s="48"/>
      <c r="F2200" s="48"/>
      <c r="G2200" s="48"/>
      <c r="H2200" s="48"/>
      <c r="I2200" s="48"/>
      <c r="J2200" s="48"/>
      <c r="K2200" s="48"/>
      <c r="L2200" s="48"/>
      <c r="M2200" s="108"/>
      <c r="N2200" s="3">
        <f>C2202</f>
        <v>1</v>
      </c>
    </row>
    <row r="2201" spans="1:14" x14ac:dyDescent="0.25">
      <c r="A2201" s="86"/>
      <c r="M2201" s="87"/>
    </row>
    <row r="2202" spans="1:14" ht="15.75" x14ac:dyDescent="0.25">
      <c r="A2202" s="86"/>
      <c r="B2202" s="46" t="s">
        <v>109</v>
      </c>
      <c r="C2202" s="46">
        <v>1</v>
      </c>
      <c r="D2202" s="46" t="s">
        <v>110</v>
      </c>
      <c r="M2202" s="87"/>
    </row>
    <row r="2203" spans="1:14" ht="15.75" thickBot="1" x14ac:dyDescent="0.3">
      <c r="A2203" s="83"/>
      <c r="B2203" s="109"/>
      <c r="C2203" s="109"/>
      <c r="D2203" s="109"/>
      <c r="E2203" s="84"/>
      <c r="F2203" s="84"/>
      <c r="G2203" s="84"/>
      <c r="H2203" s="84"/>
      <c r="I2203" s="84"/>
      <c r="J2203" s="84"/>
      <c r="K2203" s="84"/>
      <c r="L2203" s="84"/>
      <c r="M2203" s="85"/>
    </row>
    <row r="2211" spans="12:13" ht="15.75" x14ac:dyDescent="0.25">
      <c r="L2211" s="297" t="s">
        <v>2256</v>
      </c>
      <c r="M2211" s="298"/>
    </row>
  </sheetData>
  <mergeCells count="126">
    <mergeCell ref="L2211:M2211"/>
    <mergeCell ref="B575:B578"/>
    <mergeCell ref="B579:B588"/>
    <mergeCell ref="B589:B592"/>
    <mergeCell ref="B547:B550"/>
    <mergeCell ref="B551:B554"/>
    <mergeCell ref="B555:B558"/>
    <mergeCell ref="B559:B562"/>
    <mergeCell ref="B563:B566"/>
    <mergeCell ref="E2133:E2142"/>
    <mergeCell ref="B593:B596"/>
    <mergeCell ref="B597:B600"/>
    <mergeCell ref="B601:B604"/>
    <mergeCell ref="B605:B608"/>
    <mergeCell ref="B609:B612"/>
    <mergeCell ref="B805:B808"/>
    <mergeCell ref="B809:B812"/>
    <mergeCell ref="B813:B816"/>
    <mergeCell ref="B817:B820"/>
    <mergeCell ref="B821:B824"/>
    <mergeCell ref="B779:B782"/>
    <mergeCell ref="B783:B786"/>
    <mergeCell ref="B787:B790"/>
    <mergeCell ref="B801:B804"/>
    <mergeCell ref="B903:B906"/>
    <mergeCell ref="E2143:E2146"/>
    <mergeCell ref="E2147:E2149"/>
    <mergeCell ref="A15:M15"/>
    <mergeCell ref="B99:B100"/>
    <mergeCell ref="B101:B103"/>
    <mergeCell ref="B123:B124"/>
    <mergeCell ref="B143:B144"/>
    <mergeCell ref="B376:B377"/>
    <mergeCell ref="B337:B339"/>
    <mergeCell ref="B340:B342"/>
    <mergeCell ref="B335:B336"/>
    <mergeCell ref="B288:B289"/>
    <mergeCell ref="B290:B291"/>
    <mergeCell ref="B292:B294"/>
    <mergeCell ref="B295:B297"/>
    <mergeCell ref="B298:B300"/>
    <mergeCell ref="B301:B307"/>
    <mergeCell ref="B461:B464"/>
    <mergeCell ref="K9:K11"/>
    <mergeCell ref="L9:M9"/>
    <mergeCell ref="L11:M11"/>
    <mergeCell ref="L12:M12"/>
    <mergeCell ref="L13:M13"/>
    <mergeCell ref="L10:M10"/>
    <mergeCell ref="F1224:F1225"/>
    <mergeCell ref="B486:B488"/>
    <mergeCell ref="B489:B491"/>
    <mergeCell ref="B492:B494"/>
    <mergeCell ref="B495:B497"/>
    <mergeCell ref="B516:B517"/>
    <mergeCell ref="B526:F526"/>
    <mergeCell ref="B498:B501"/>
    <mergeCell ref="B502:B504"/>
    <mergeCell ref="B505:B507"/>
    <mergeCell ref="B508:B511"/>
    <mergeCell ref="B512:B515"/>
    <mergeCell ref="B518:B521"/>
    <mergeCell ref="B522:B525"/>
    <mergeCell ref="B567:B570"/>
    <mergeCell ref="B571:B574"/>
    <mergeCell ref="B791:B800"/>
    <mergeCell ref="B97:B98"/>
    <mergeCell ref="B190:B192"/>
    <mergeCell ref="B422:B424"/>
    <mergeCell ref="B378:B384"/>
    <mergeCell ref="B1082:E1082"/>
    <mergeCell ref="B1013:E1013"/>
    <mergeCell ref="B1031:E1031"/>
    <mergeCell ref="B1021:E1021"/>
    <mergeCell ref="B1058:E1058"/>
    <mergeCell ref="B998:F998"/>
    <mergeCell ref="B873:G873"/>
    <mergeCell ref="B974:F974"/>
    <mergeCell ref="B977:B997"/>
    <mergeCell ref="B970:B973"/>
    <mergeCell ref="B875:B878"/>
    <mergeCell ref="B879:B882"/>
    <mergeCell ref="B883:B886"/>
    <mergeCell ref="B933:B936"/>
    <mergeCell ref="B937:B940"/>
    <mergeCell ref="B941:B944"/>
    <mergeCell ref="B929:B932"/>
    <mergeCell ref="B887:B890"/>
    <mergeCell ref="B891:B894"/>
    <mergeCell ref="B895:B898"/>
    <mergeCell ref="B899:B902"/>
    <mergeCell ref="B858:E858"/>
    <mergeCell ref="B864:C864"/>
    <mergeCell ref="B825:B828"/>
    <mergeCell ref="B829:B836"/>
    <mergeCell ref="B837:B853"/>
    <mergeCell ref="B854:B857"/>
    <mergeCell ref="B465:B467"/>
    <mergeCell ref="B468:B470"/>
    <mergeCell ref="B471:B473"/>
    <mergeCell ref="B474:B476"/>
    <mergeCell ref="B477:B485"/>
    <mergeCell ref="A1:M8"/>
    <mergeCell ref="B1066:E1066"/>
    <mergeCell ref="B1074:E1074"/>
    <mergeCell ref="B452:B453"/>
    <mergeCell ref="B759:B762"/>
    <mergeCell ref="B763:B766"/>
    <mergeCell ref="B767:B770"/>
    <mergeCell ref="B771:B774"/>
    <mergeCell ref="B775:B778"/>
    <mergeCell ref="B653:B673"/>
    <mergeCell ref="B674:F674"/>
    <mergeCell ref="B613:B616"/>
    <mergeCell ref="B617:B624"/>
    <mergeCell ref="B625:B641"/>
    <mergeCell ref="B642:B645"/>
    <mergeCell ref="B646:F646"/>
    <mergeCell ref="B454:B457"/>
    <mergeCell ref="B458:B460"/>
    <mergeCell ref="B945:B952"/>
    <mergeCell ref="B953:B969"/>
    <mergeCell ref="B907:B916"/>
    <mergeCell ref="B917:B920"/>
    <mergeCell ref="B921:B924"/>
    <mergeCell ref="B925:B928"/>
  </mergeCells>
  <phoneticPr fontId="13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38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2137-9A24-4143-9605-14B9DCBFBBE3}">
  <sheetPr>
    <pageSetUpPr fitToPage="1"/>
  </sheetPr>
  <dimension ref="A1:M108"/>
  <sheetViews>
    <sheetView showGridLines="0" topLeftCell="A79" zoomScale="85" zoomScaleNormal="85" zoomScaleSheetLayoutView="85" workbookViewId="0">
      <selection activeCell="E13" sqref="E13"/>
    </sheetView>
  </sheetViews>
  <sheetFormatPr defaultColWidth="9.140625" defaultRowHeight="15" x14ac:dyDescent="0.2"/>
  <cols>
    <col min="1" max="1" width="10" style="20" bestFit="1" customWidth="1"/>
    <col min="2" max="2" width="25.42578125" style="20" customWidth="1"/>
    <col min="3" max="4" width="21.28515625" style="20" bestFit="1" customWidth="1"/>
    <col min="5" max="5" width="68.28515625" style="20" bestFit="1" customWidth="1"/>
    <col min="6" max="6" width="44.140625" style="20" customWidth="1"/>
    <col min="7" max="7" width="15" style="20" customWidth="1"/>
    <col min="8" max="8" width="15.7109375" style="20" bestFit="1" customWidth="1"/>
    <col min="9" max="9" width="27.7109375" style="20" bestFit="1" customWidth="1"/>
    <col min="10" max="10" width="20" style="20" bestFit="1" customWidth="1"/>
    <col min="11" max="11" width="19.42578125" style="20" customWidth="1"/>
    <col min="12" max="12" width="18.42578125" style="20" bestFit="1" customWidth="1"/>
    <col min="13" max="13" width="17.28515625" style="20" bestFit="1" customWidth="1"/>
    <col min="14" max="16384" width="9.140625" style="20"/>
  </cols>
  <sheetData>
    <row r="1" spans="1:13" ht="16.5" customHeight="1" x14ac:dyDescent="0.2">
      <c r="A1" s="361" t="str">
        <f>'III-PA'!A1</f>
        <v>GABINETES DOS VEREADORES DE ARAGARÇAS - GO</v>
      </c>
      <c r="B1" s="362"/>
      <c r="C1" s="362"/>
      <c r="D1" s="362"/>
      <c r="E1" s="362"/>
      <c r="F1" s="362"/>
      <c r="G1" s="362"/>
      <c r="H1" s="362"/>
      <c r="I1" s="362"/>
      <c r="J1" s="362"/>
      <c r="K1" s="363"/>
    </row>
    <row r="2" spans="1:13" ht="15" customHeight="1" x14ac:dyDescent="0.2">
      <c r="A2" s="364"/>
      <c r="B2" s="365"/>
      <c r="C2" s="365"/>
      <c r="D2" s="365"/>
      <c r="E2" s="365"/>
      <c r="F2" s="365"/>
      <c r="G2" s="365"/>
      <c r="H2" s="365"/>
      <c r="I2" s="365"/>
      <c r="J2" s="365"/>
      <c r="K2" s="366"/>
    </row>
    <row r="3" spans="1:13" ht="15" customHeight="1" x14ac:dyDescent="0.2">
      <c r="A3" s="364"/>
      <c r="B3" s="365"/>
      <c r="C3" s="365"/>
      <c r="D3" s="365"/>
      <c r="E3" s="365"/>
      <c r="F3" s="365"/>
      <c r="G3" s="365"/>
      <c r="H3" s="365"/>
      <c r="I3" s="365"/>
      <c r="J3" s="365"/>
      <c r="K3" s="366"/>
    </row>
    <row r="4" spans="1:13" ht="15" customHeight="1" x14ac:dyDescent="0.2">
      <c r="A4" s="364"/>
      <c r="B4" s="365"/>
      <c r="C4" s="365"/>
      <c r="D4" s="365"/>
      <c r="E4" s="365"/>
      <c r="F4" s="365"/>
      <c r="G4" s="365"/>
      <c r="H4" s="365"/>
      <c r="I4" s="365"/>
      <c r="J4" s="365"/>
      <c r="K4" s="366"/>
    </row>
    <row r="5" spans="1:13" ht="15" customHeight="1" x14ac:dyDescent="0.2">
      <c r="A5" s="364"/>
      <c r="B5" s="365"/>
      <c r="C5" s="365"/>
      <c r="D5" s="365"/>
      <c r="E5" s="365"/>
      <c r="F5" s="365"/>
      <c r="G5" s="365"/>
      <c r="H5" s="365"/>
      <c r="I5" s="365"/>
      <c r="J5" s="365"/>
      <c r="K5" s="366"/>
    </row>
    <row r="6" spans="1:13" ht="15" customHeight="1" x14ac:dyDescent="0.2">
      <c r="A6" s="364"/>
      <c r="B6" s="365"/>
      <c r="C6" s="365"/>
      <c r="D6" s="365"/>
      <c r="E6" s="365"/>
      <c r="F6" s="365"/>
      <c r="G6" s="365"/>
      <c r="H6" s="365"/>
      <c r="I6" s="365"/>
      <c r="J6" s="365"/>
      <c r="K6" s="366"/>
    </row>
    <row r="7" spans="1:13" ht="15" customHeight="1" x14ac:dyDescent="0.2">
      <c r="A7" s="364"/>
      <c r="B7" s="365"/>
      <c r="C7" s="365"/>
      <c r="D7" s="365"/>
      <c r="E7" s="365"/>
      <c r="F7" s="365"/>
      <c r="G7" s="365"/>
      <c r="H7" s="365"/>
      <c r="I7" s="365"/>
      <c r="J7" s="365"/>
      <c r="K7" s="366"/>
    </row>
    <row r="8" spans="1:13" ht="15" customHeight="1" x14ac:dyDescent="0.2">
      <c r="A8" s="364"/>
      <c r="B8" s="365"/>
      <c r="C8" s="365"/>
      <c r="D8" s="365"/>
      <c r="E8" s="365"/>
      <c r="F8" s="365"/>
      <c r="G8" s="365"/>
      <c r="H8" s="365"/>
      <c r="I8" s="365"/>
      <c r="J8" s="365"/>
      <c r="K8" s="366"/>
    </row>
    <row r="9" spans="1:13" ht="15.75" customHeight="1" thickBot="1" x14ac:dyDescent="0.25">
      <c r="A9" s="367"/>
      <c r="B9" s="368"/>
      <c r="C9" s="368"/>
      <c r="D9" s="368"/>
      <c r="E9" s="368"/>
      <c r="F9" s="368"/>
      <c r="G9" s="368"/>
      <c r="H9" s="368"/>
      <c r="I9" s="368"/>
      <c r="J9" s="368"/>
      <c r="K9" s="369"/>
    </row>
    <row r="10" spans="1:13" ht="15.75" x14ac:dyDescent="0.2">
      <c r="A10" s="110" t="s">
        <v>7</v>
      </c>
      <c r="B10" s="30" t="str">
        <f>'I-RESUMO'!$B$6</f>
        <v>GABINETES DOS VEREADORES DE ARAGARÇAS - GO</v>
      </c>
      <c r="C10" s="30"/>
      <c r="D10" s="30"/>
      <c r="E10" s="30"/>
      <c r="F10" s="21"/>
      <c r="G10" s="195"/>
      <c r="H10" s="21"/>
      <c r="I10" s="373" t="s">
        <v>8</v>
      </c>
      <c r="J10" s="307" t="str">
        <f>'IV-MEMORIAL'!L9</f>
        <v>SINAPI GO 9/2025</v>
      </c>
      <c r="K10" s="308"/>
      <c r="M10" s="20">
        <f>COUNTIF($M$17:$M$69,L10)</f>
        <v>0</v>
      </c>
    </row>
    <row r="11" spans="1:13" ht="15.75" x14ac:dyDescent="0.2">
      <c r="A11" s="110" t="s">
        <v>11</v>
      </c>
      <c r="B11" s="30" t="str">
        <f>'I-RESUMO'!$B$7</f>
        <v>Rua José de Barros Souza, 09. Setor Centro Administrativo, Aragarças-GO.</v>
      </c>
      <c r="C11" s="30"/>
      <c r="D11" s="30"/>
      <c r="E11" s="30"/>
      <c r="F11" s="21"/>
      <c r="G11" s="195"/>
      <c r="H11" s="21"/>
      <c r="I11" s="374"/>
      <c r="J11" s="309" t="str">
        <f>'IV-MEMORIAL'!L10</f>
        <v>GOINFRA CIVIL (AGETOP) 8/2025</v>
      </c>
      <c r="K11" s="310"/>
    </row>
    <row r="12" spans="1:13" ht="15.75" x14ac:dyDescent="0.2">
      <c r="A12" s="110" t="s">
        <v>16</v>
      </c>
      <c r="B12" s="246">
        <f ca="1">TODAY()</f>
        <v>46071</v>
      </c>
      <c r="C12" s="30"/>
      <c r="D12" s="30"/>
      <c r="E12" s="30"/>
      <c r="G12" s="195"/>
      <c r="H12" s="21"/>
      <c r="I12" s="374"/>
      <c r="J12" s="309" t="str">
        <f>'IV-MEMORIAL'!L11</f>
        <v>SICRO3 GO 7/2025</v>
      </c>
      <c r="K12" s="354"/>
      <c r="M12" s="20">
        <f>COUNTIF($M$17:$M$69,L12)</f>
        <v>0</v>
      </c>
    </row>
    <row r="13" spans="1:13" ht="15.75" x14ac:dyDescent="0.2">
      <c r="A13" s="98"/>
      <c r="C13" s="247"/>
      <c r="D13" s="21"/>
      <c r="E13" s="248"/>
      <c r="G13" s="195"/>
      <c r="H13" s="21"/>
      <c r="I13" s="249" t="s">
        <v>18</v>
      </c>
      <c r="J13" s="317" t="str">
        <f>'I-RESUMO'!$F$9</f>
        <v>NÃO DESONERADO</v>
      </c>
      <c r="K13" s="318"/>
      <c r="M13" s="20">
        <f>M10+M12</f>
        <v>0</v>
      </c>
    </row>
    <row r="14" spans="1:13" ht="15.75" x14ac:dyDescent="0.2">
      <c r="A14" s="110"/>
      <c r="B14" s="246"/>
      <c r="C14" s="247"/>
      <c r="D14" s="21"/>
      <c r="E14" s="248"/>
      <c r="G14" s="195"/>
      <c r="H14" s="21"/>
      <c r="I14" s="249" t="s">
        <v>55</v>
      </c>
      <c r="J14" s="355">
        <f>'I-RESUMO'!$F$10</f>
        <v>0.252</v>
      </c>
      <c r="K14" s="356"/>
    </row>
    <row r="15" spans="1:13" ht="16.5" thickBot="1" x14ac:dyDescent="0.25">
      <c r="A15" s="122"/>
      <c r="B15" s="129"/>
      <c r="C15" s="130"/>
      <c r="D15" s="130"/>
      <c r="E15" s="114"/>
      <c r="F15" s="113"/>
      <c r="G15" s="125"/>
      <c r="H15" s="113"/>
      <c r="I15" s="100"/>
      <c r="J15" s="131"/>
      <c r="K15" s="132"/>
    </row>
    <row r="16" spans="1:13" ht="16.5" thickBot="1" x14ac:dyDescent="0.25">
      <c r="A16" s="370" t="str">
        <f>CAPA!A16</f>
        <v>ANEXO V - COMPOSIÇÕES PRÓPRIAS</v>
      </c>
      <c r="B16" s="371"/>
      <c r="C16" s="371"/>
      <c r="D16" s="371"/>
      <c r="E16" s="371"/>
      <c r="F16" s="371"/>
      <c r="G16" s="371"/>
      <c r="H16" s="371"/>
      <c r="I16" s="371"/>
      <c r="J16" s="371"/>
      <c r="K16" s="372"/>
    </row>
    <row r="17" spans="1:13" ht="16.5" thickBot="1" x14ac:dyDescent="0.25">
      <c r="A17" s="62" t="s">
        <v>97</v>
      </c>
      <c r="B17" s="23"/>
      <c r="C17" s="22"/>
      <c r="D17" s="22"/>
      <c r="E17" s="23" t="s">
        <v>96</v>
      </c>
      <c r="F17" s="23"/>
      <c r="G17" s="22"/>
      <c r="H17" s="22" t="s">
        <v>57</v>
      </c>
      <c r="I17" s="23">
        <v>1</v>
      </c>
      <c r="J17" s="24"/>
      <c r="K17" s="25">
        <f>SUM(K18:K19)</f>
        <v>66474.149999999994</v>
      </c>
      <c r="L17" s="5">
        <f>VLOOKUP(A17,'II-PO'!$A$19:$M$295,9,0)</f>
        <v>66474.149999999994</v>
      </c>
      <c r="M17" s="1" t="b">
        <f>L17=K17</f>
        <v>1</v>
      </c>
    </row>
    <row r="18" spans="1:13" ht="30" x14ac:dyDescent="0.2">
      <c r="A18" s="111"/>
      <c r="B18" s="196" t="s">
        <v>58</v>
      </c>
      <c r="C18" s="197" t="s">
        <v>59</v>
      </c>
      <c r="D18" s="196">
        <v>100306</v>
      </c>
      <c r="E18" s="196" t="s">
        <v>750</v>
      </c>
      <c r="F18" s="198" t="s">
        <v>56</v>
      </c>
      <c r="G18" s="21"/>
      <c r="H18" s="199" t="s">
        <v>60</v>
      </c>
      <c r="I18" s="200">
        <f>F22</f>
        <v>165</v>
      </c>
      <c r="J18" s="26">
        <v>133.19999999999999</v>
      </c>
      <c r="K18" s="112">
        <f>TRUNC(I18*J18,2)</f>
        <v>21978</v>
      </c>
    </row>
    <row r="19" spans="1:13" ht="30" x14ac:dyDescent="0.2">
      <c r="A19" s="111"/>
      <c r="B19" s="196" t="s">
        <v>58</v>
      </c>
      <c r="C19" s="197" t="s">
        <v>59</v>
      </c>
      <c r="D19" s="196">
        <v>94295</v>
      </c>
      <c r="E19" s="196" t="s">
        <v>168</v>
      </c>
      <c r="F19" s="198" t="s">
        <v>56</v>
      </c>
      <c r="G19" s="21"/>
      <c r="H19" s="199" t="s">
        <v>75</v>
      </c>
      <c r="I19" s="200">
        <v>5</v>
      </c>
      <c r="J19" s="26">
        <v>8899.23</v>
      </c>
      <c r="K19" s="112">
        <f t="shared" ref="K19" si="0">TRUNC(I19*J19,2)</f>
        <v>44496.15</v>
      </c>
    </row>
    <row r="20" spans="1:13" x14ac:dyDescent="0.2">
      <c r="A20" s="111"/>
      <c r="B20" s="250"/>
      <c r="C20" s="21"/>
      <c r="D20" s="251"/>
      <c r="E20" s="248"/>
      <c r="F20" s="251"/>
      <c r="G20" s="21"/>
      <c r="H20" s="21"/>
      <c r="I20" s="21"/>
      <c r="J20" s="26"/>
      <c r="K20" s="112"/>
    </row>
    <row r="21" spans="1:13" x14ac:dyDescent="0.2">
      <c r="A21" s="111"/>
      <c r="B21" s="360" t="s">
        <v>166</v>
      </c>
      <c r="C21" s="78" t="s">
        <v>159</v>
      </c>
      <c r="D21" s="79" t="s">
        <v>161</v>
      </c>
      <c r="E21" s="80" t="s">
        <v>160</v>
      </c>
      <c r="F21" s="81" t="s">
        <v>162</v>
      </c>
      <c r="G21" s="21"/>
      <c r="H21" s="21"/>
      <c r="I21" s="21"/>
      <c r="J21" s="26"/>
      <c r="K21" s="112"/>
    </row>
    <row r="22" spans="1:13" x14ac:dyDescent="0.2">
      <c r="A22" s="111"/>
      <c r="B22" s="360"/>
      <c r="C22" s="78">
        <v>5</v>
      </c>
      <c r="D22" s="79">
        <v>22</v>
      </c>
      <c r="E22" s="80">
        <v>1.5</v>
      </c>
      <c r="F22" s="81">
        <f>C22*D22*E22</f>
        <v>165</v>
      </c>
      <c r="G22" s="21"/>
      <c r="H22" s="21"/>
      <c r="I22" s="21"/>
      <c r="J22" s="26"/>
      <c r="K22" s="112"/>
    </row>
    <row r="23" spans="1:13" ht="15.75" thickBot="1" x14ac:dyDescent="0.25">
      <c r="A23" s="252"/>
      <c r="B23" s="84"/>
      <c r="C23" s="253"/>
      <c r="D23" s="113"/>
      <c r="E23" s="254"/>
      <c r="F23" s="114"/>
      <c r="G23" s="113"/>
      <c r="H23" s="113"/>
      <c r="I23" s="113"/>
      <c r="J23" s="255"/>
      <c r="K23" s="256"/>
    </row>
    <row r="24" spans="1:13" ht="63.75" thickBot="1" x14ac:dyDescent="0.25">
      <c r="A24" s="62" t="s">
        <v>251</v>
      </c>
      <c r="B24" s="23"/>
      <c r="C24" s="22"/>
      <c r="D24" s="22"/>
      <c r="E24" s="23" t="s">
        <v>891</v>
      </c>
      <c r="F24" s="23"/>
      <c r="G24" s="22"/>
      <c r="H24" s="22" t="s">
        <v>116</v>
      </c>
      <c r="I24" s="23">
        <v>1</v>
      </c>
      <c r="J24" s="24"/>
      <c r="K24" s="25">
        <f>SUM(K25:K27)</f>
        <v>110.56</v>
      </c>
      <c r="L24" s="5">
        <f>VLOOKUP(A24,'II-PO'!$A$19:$M$295,9,0)</f>
        <v>110.56</v>
      </c>
      <c r="M24" s="1" t="b">
        <f>L24=K24</f>
        <v>1</v>
      </c>
    </row>
    <row r="25" spans="1:13" ht="45" x14ac:dyDescent="0.2">
      <c r="A25" s="111"/>
      <c r="B25" s="225" t="s">
        <v>58</v>
      </c>
      <c r="C25" s="225" t="s">
        <v>59</v>
      </c>
      <c r="D25" s="225">
        <v>94971</v>
      </c>
      <c r="E25" s="225" t="s">
        <v>195</v>
      </c>
      <c r="F25" s="225"/>
      <c r="G25" s="225"/>
      <c r="H25" s="225" t="s">
        <v>123</v>
      </c>
      <c r="I25" s="209">
        <v>8.5999999999999993E-2</v>
      </c>
      <c r="J25" s="226">
        <v>526.74</v>
      </c>
      <c r="K25" s="226">
        <f t="shared" ref="K25:K27" si="1">TRUNC(I25*J25,2)</f>
        <v>45.29</v>
      </c>
    </row>
    <row r="26" spans="1:13" x14ac:dyDescent="0.2">
      <c r="A26" s="111"/>
      <c r="B26" s="196" t="s">
        <v>58</v>
      </c>
      <c r="C26" s="197" t="s">
        <v>59</v>
      </c>
      <c r="D26" s="196">
        <v>88309</v>
      </c>
      <c r="E26" s="196" t="s">
        <v>126</v>
      </c>
      <c r="F26" s="198"/>
      <c r="G26" s="21"/>
      <c r="H26" s="199" t="s">
        <v>60</v>
      </c>
      <c r="I26" s="200">
        <v>1.103</v>
      </c>
      <c r="J26" s="26">
        <v>32.15</v>
      </c>
      <c r="K26" s="112">
        <f t="shared" si="1"/>
        <v>35.46</v>
      </c>
    </row>
    <row r="27" spans="1:13" x14ac:dyDescent="0.2">
      <c r="A27" s="111"/>
      <c r="B27" s="196" t="s">
        <v>58</v>
      </c>
      <c r="C27" s="197" t="s">
        <v>59</v>
      </c>
      <c r="D27" s="196">
        <v>88316</v>
      </c>
      <c r="E27" s="196" t="s">
        <v>115</v>
      </c>
      <c r="F27" s="198"/>
      <c r="G27" s="21"/>
      <c r="H27" s="199" t="s">
        <v>60</v>
      </c>
      <c r="I27" s="200">
        <v>1.33</v>
      </c>
      <c r="J27" s="26">
        <v>22.42</v>
      </c>
      <c r="K27" s="112">
        <f t="shared" si="1"/>
        <v>29.81</v>
      </c>
    </row>
    <row r="28" spans="1:13" x14ac:dyDescent="0.2">
      <c r="A28" s="86"/>
      <c r="B28" s="1"/>
      <c r="C28" s="1"/>
      <c r="D28" s="1"/>
      <c r="E28" s="1"/>
      <c r="F28" s="1"/>
      <c r="G28" s="1"/>
      <c r="H28" s="1"/>
      <c r="I28" s="1"/>
      <c r="J28" s="1"/>
      <c r="K28" s="87"/>
    </row>
    <row r="29" spans="1:13" ht="15.75" x14ac:dyDescent="0.2">
      <c r="A29" s="86"/>
      <c r="B29" s="376" t="s">
        <v>63</v>
      </c>
      <c r="C29" s="376"/>
      <c r="D29" s="376"/>
      <c r="E29" s="376"/>
      <c r="F29" s="376"/>
      <c r="G29" s="376"/>
      <c r="H29" s="376"/>
      <c r="I29" s="376"/>
      <c r="J29" s="1"/>
      <c r="K29" s="87"/>
    </row>
    <row r="30" spans="1:13" ht="15.75" x14ac:dyDescent="0.2">
      <c r="A30" s="86"/>
      <c r="B30" s="201" t="s">
        <v>2253</v>
      </c>
      <c r="C30" s="202"/>
      <c r="D30" s="202"/>
      <c r="E30" s="202"/>
      <c r="F30" s="202"/>
      <c r="G30" s="202"/>
      <c r="H30" s="202"/>
      <c r="I30" s="202"/>
      <c r="J30" s="1"/>
      <c r="K30" s="87"/>
    </row>
    <row r="31" spans="1:13" x14ac:dyDescent="0.2">
      <c r="A31" s="86"/>
      <c r="B31" s="203" t="s">
        <v>64</v>
      </c>
      <c r="C31" s="204" t="s">
        <v>65</v>
      </c>
      <c r="D31" s="204" t="s">
        <v>66</v>
      </c>
      <c r="E31" s="203" t="s">
        <v>67</v>
      </c>
      <c r="F31" s="204" t="s">
        <v>68</v>
      </c>
      <c r="G31" s="205" t="s">
        <v>69</v>
      </c>
      <c r="H31" s="204" t="s">
        <v>70</v>
      </c>
      <c r="I31" s="204" t="s">
        <v>71</v>
      </c>
      <c r="J31" s="1"/>
      <c r="K31" s="87"/>
    </row>
    <row r="32" spans="1:13" ht="45" x14ac:dyDescent="0.2">
      <c r="A32" s="86"/>
      <c r="B32" s="225" t="s">
        <v>59</v>
      </c>
      <c r="C32" s="207" t="s">
        <v>58</v>
      </c>
      <c r="D32" s="206">
        <v>94970</v>
      </c>
      <c r="E32" s="206" t="s">
        <v>169</v>
      </c>
      <c r="F32" s="208" t="s">
        <v>123</v>
      </c>
      <c r="G32" s="209">
        <v>8.5999999999999993E-2</v>
      </c>
      <c r="H32" s="75">
        <v>503.29</v>
      </c>
      <c r="I32" s="76">
        <v>43.28</v>
      </c>
      <c r="J32" s="1"/>
      <c r="K32" s="87"/>
    </row>
    <row r="33" spans="1:13" ht="30" x14ac:dyDescent="0.2">
      <c r="A33" s="86"/>
      <c r="B33" s="210" t="s">
        <v>59</v>
      </c>
      <c r="C33" s="211" t="s">
        <v>58</v>
      </c>
      <c r="D33" s="210">
        <v>92804</v>
      </c>
      <c r="E33" s="210" t="s">
        <v>998</v>
      </c>
      <c r="F33" s="212" t="s">
        <v>121</v>
      </c>
      <c r="G33" s="213">
        <v>2.1230000000000002</v>
      </c>
      <c r="H33" s="172">
        <v>6.59</v>
      </c>
      <c r="I33" s="173">
        <v>13.99</v>
      </c>
      <c r="J33" s="1"/>
      <c r="K33" s="87"/>
    </row>
    <row r="34" spans="1:13" x14ac:dyDescent="0.2">
      <c r="A34" s="86"/>
      <c r="B34" s="214" t="s">
        <v>59</v>
      </c>
      <c r="C34" s="215" t="s">
        <v>58</v>
      </c>
      <c r="D34" s="214">
        <v>88316</v>
      </c>
      <c r="E34" s="214" t="s">
        <v>115</v>
      </c>
      <c r="F34" s="216" t="s">
        <v>60</v>
      </c>
      <c r="G34" s="217">
        <v>1.33</v>
      </c>
      <c r="H34" s="170">
        <v>22.42</v>
      </c>
      <c r="I34" s="171">
        <v>29.81</v>
      </c>
      <c r="J34" s="1"/>
      <c r="K34" s="87"/>
    </row>
    <row r="35" spans="1:13" x14ac:dyDescent="0.2">
      <c r="A35" s="86"/>
      <c r="B35" s="214" t="s">
        <v>59</v>
      </c>
      <c r="C35" s="215" t="s">
        <v>58</v>
      </c>
      <c r="D35" s="214">
        <v>88309</v>
      </c>
      <c r="E35" s="214" t="s">
        <v>126</v>
      </c>
      <c r="F35" s="216" t="s">
        <v>60</v>
      </c>
      <c r="G35" s="217">
        <v>1.103</v>
      </c>
      <c r="H35" s="170">
        <v>33.15</v>
      </c>
      <c r="I35" s="171">
        <v>35.46</v>
      </c>
      <c r="J35" s="1"/>
      <c r="K35" s="87"/>
    </row>
    <row r="36" spans="1:13" ht="15.75" x14ac:dyDescent="0.2">
      <c r="A36" s="86"/>
      <c r="B36" s="214"/>
      <c r="C36" s="215"/>
      <c r="D36" s="218"/>
      <c r="E36" s="218"/>
      <c r="F36" s="219"/>
      <c r="G36" s="220"/>
      <c r="H36" s="221"/>
      <c r="I36" s="222"/>
      <c r="J36" s="1"/>
      <c r="K36" s="87"/>
    </row>
    <row r="37" spans="1:13" ht="15.75" x14ac:dyDescent="0.2">
      <c r="A37" s="86"/>
      <c r="B37" s="377" t="s">
        <v>2254</v>
      </c>
      <c r="C37" s="377"/>
      <c r="D37" s="377"/>
      <c r="E37" s="377"/>
      <c r="F37" s="21"/>
      <c r="G37" s="195"/>
      <c r="H37" s="21"/>
      <c r="I37" s="223"/>
      <c r="J37" s="1"/>
      <c r="K37" s="87"/>
    </row>
    <row r="38" spans="1:13" ht="15.75" x14ac:dyDescent="0.2">
      <c r="A38" s="86"/>
      <c r="B38" s="375" t="s">
        <v>2255</v>
      </c>
      <c r="C38" s="375"/>
      <c r="D38" s="375"/>
      <c r="E38" s="375"/>
      <c r="F38" s="21"/>
      <c r="G38" s="195"/>
      <c r="H38" s="21"/>
      <c r="I38" s="21"/>
      <c r="J38" s="1"/>
      <c r="K38" s="87"/>
    </row>
    <row r="39" spans="1:13" ht="15.75" thickBot="1" x14ac:dyDescent="0.25">
      <c r="A39" s="83"/>
      <c r="B39" s="113"/>
      <c r="C39" s="113"/>
      <c r="D39" s="124"/>
      <c r="E39" s="113"/>
      <c r="F39" s="113"/>
      <c r="G39" s="125"/>
      <c r="H39" s="113"/>
      <c r="I39" s="113"/>
      <c r="J39" s="84"/>
      <c r="K39" s="85"/>
    </row>
    <row r="40" spans="1:13" ht="32.25" thickBot="1" x14ac:dyDescent="0.25">
      <c r="A40" s="62" t="s">
        <v>508</v>
      </c>
      <c r="B40" s="23"/>
      <c r="C40" s="22"/>
      <c r="D40" s="22"/>
      <c r="E40" s="23" t="s">
        <v>704</v>
      </c>
      <c r="F40" s="23"/>
      <c r="G40" s="22"/>
      <c r="H40" s="22" t="s">
        <v>118</v>
      </c>
      <c r="I40" s="23">
        <v>1</v>
      </c>
      <c r="J40" s="24"/>
      <c r="K40" s="25">
        <f>SUM(K41:K45)</f>
        <v>413.78999999999996</v>
      </c>
      <c r="L40" s="5">
        <f>VLOOKUP(A40,'II-PO'!$A$19:$M$295,9,0)</f>
        <v>413.79</v>
      </c>
      <c r="M40" s="1" t="b">
        <f>L40=K40</f>
        <v>1</v>
      </c>
    </row>
    <row r="41" spans="1:13" ht="30" x14ac:dyDescent="0.2">
      <c r="A41" s="111"/>
      <c r="B41" s="196" t="s">
        <v>58</v>
      </c>
      <c r="C41" s="197" t="s">
        <v>59</v>
      </c>
      <c r="D41" s="196">
        <v>2692</v>
      </c>
      <c r="E41" s="196" t="s">
        <v>698</v>
      </c>
      <c r="F41" s="198"/>
      <c r="G41" s="21"/>
      <c r="H41" s="199" t="s">
        <v>60</v>
      </c>
      <c r="I41" s="200">
        <v>4</v>
      </c>
      <c r="J41" s="26">
        <v>21.52</v>
      </c>
      <c r="K41" s="112">
        <f t="shared" ref="K41:K45" si="2">TRUNC(I41*J41,2)</f>
        <v>86.08</v>
      </c>
    </row>
    <row r="42" spans="1:13" ht="30" x14ac:dyDescent="0.2">
      <c r="A42" s="111"/>
      <c r="B42" s="196" t="s">
        <v>58</v>
      </c>
      <c r="C42" s="197" t="s">
        <v>59</v>
      </c>
      <c r="D42" s="196">
        <v>5069</v>
      </c>
      <c r="E42" s="196" t="s">
        <v>699</v>
      </c>
      <c r="F42" s="198"/>
      <c r="G42" s="21"/>
      <c r="H42" s="199" t="s">
        <v>60</v>
      </c>
      <c r="I42" s="200">
        <v>4</v>
      </c>
      <c r="J42" s="26">
        <v>23.81</v>
      </c>
      <c r="K42" s="112">
        <f t="shared" si="2"/>
        <v>95.24</v>
      </c>
    </row>
    <row r="43" spans="1:13" x14ac:dyDescent="0.2">
      <c r="A43" s="111"/>
      <c r="B43" s="196" t="s">
        <v>62</v>
      </c>
      <c r="C43" s="197" t="s">
        <v>703</v>
      </c>
      <c r="D43" s="196">
        <v>97738</v>
      </c>
      <c r="E43" s="196" t="s">
        <v>700</v>
      </c>
      <c r="F43" s="198"/>
      <c r="G43" s="21"/>
      <c r="H43" s="199" t="s">
        <v>118</v>
      </c>
      <c r="I43" s="200">
        <v>1</v>
      </c>
      <c r="J43" s="26">
        <v>145.1</v>
      </c>
      <c r="K43" s="112">
        <f t="shared" si="2"/>
        <v>145.1</v>
      </c>
    </row>
    <row r="44" spans="1:13" ht="15" customHeight="1" x14ac:dyDescent="0.2">
      <c r="A44" s="111"/>
      <c r="B44" s="196" t="s">
        <v>62</v>
      </c>
      <c r="C44" s="197" t="s">
        <v>180</v>
      </c>
      <c r="D44" s="196">
        <v>1326</v>
      </c>
      <c r="E44" s="196" t="s">
        <v>701</v>
      </c>
      <c r="F44" s="198"/>
      <c r="G44" s="21"/>
      <c r="H44" s="199" t="s">
        <v>121</v>
      </c>
      <c r="I44" s="200">
        <f>ROUND(C68,4)</f>
        <v>5.1516000000000002</v>
      </c>
      <c r="J44" s="26">
        <v>16.149999999999999</v>
      </c>
      <c r="K44" s="112">
        <f t="shared" si="2"/>
        <v>83.19</v>
      </c>
    </row>
    <row r="45" spans="1:13" x14ac:dyDescent="0.2">
      <c r="A45" s="111"/>
      <c r="B45" s="196" t="s">
        <v>62</v>
      </c>
      <c r="C45" s="197" t="s">
        <v>706</v>
      </c>
      <c r="D45" s="196" t="s">
        <v>707</v>
      </c>
      <c r="E45" s="196" t="s">
        <v>702</v>
      </c>
      <c r="F45" s="198"/>
      <c r="G45" s="21"/>
      <c r="H45" s="199" t="s">
        <v>705</v>
      </c>
      <c r="I45" s="200">
        <v>1</v>
      </c>
      <c r="J45" s="26">
        <v>4.18</v>
      </c>
      <c r="K45" s="112">
        <f t="shared" si="2"/>
        <v>4.18</v>
      </c>
    </row>
    <row r="46" spans="1:13" x14ac:dyDescent="0.2">
      <c r="A46" s="86"/>
      <c r="B46" s="1"/>
      <c r="C46" s="1"/>
      <c r="D46" s="1"/>
      <c r="E46" s="1"/>
      <c r="F46" s="1"/>
      <c r="G46" s="1"/>
      <c r="H46" s="1"/>
      <c r="I46" s="1"/>
      <c r="J46" s="1"/>
      <c r="K46" s="87"/>
    </row>
    <row r="47" spans="1:13" ht="15.75" x14ac:dyDescent="0.2">
      <c r="A47" s="86"/>
      <c r="B47" s="376" t="s">
        <v>63</v>
      </c>
      <c r="C47" s="376"/>
      <c r="D47" s="376"/>
      <c r="E47" s="376"/>
      <c r="F47" s="376"/>
      <c r="G47" s="376"/>
      <c r="H47" s="376"/>
      <c r="I47" s="376"/>
      <c r="J47" s="1"/>
      <c r="K47" s="87"/>
    </row>
    <row r="48" spans="1:13" ht="15.75" x14ac:dyDescent="0.2">
      <c r="A48" s="86"/>
      <c r="B48" s="201" t="s">
        <v>708</v>
      </c>
      <c r="C48" s="202"/>
      <c r="D48" s="202"/>
      <c r="E48" s="202"/>
      <c r="F48" s="202"/>
      <c r="G48" s="202"/>
      <c r="H48" s="202"/>
      <c r="I48" s="202"/>
      <c r="J48" s="1"/>
      <c r="K48" s="87"/>
    </row>
    <row r="49" spans="1:11" x14ac:dyDescent="0.2">
      <c r="A49" s="86"/>
      <c r="B49" s="203" t="s">
        <v>64</v>
      </c>
      <c r="C49" s="204" t="s">
        <v>65</v>
      </c>
      <c r="D49" s="204" t="s">
        <v>66</v>
      </c>
      <c r="E49" s="203" t="s">
        <v>67</v>
      </c>
      <c r="F49" s="204" t="s">
        <v>68</v>
      </c>
      <c r="G49" s="205" t="s">
        <v>69</v>
      </c>
      <c r="H49" s="204" t="s">
        <v>70</v>
      </c>
      <c r="I49" s="204" t="s">
        <v>71</v>
      </c>
      <c r="J49" s="1"/>
      <c r="K49" s="87"/>
    </row>
    <row r="50" spans="1:11" x14ac:dyDescent="0.2">
      <c r="A50" s="86"/>
      <c r="B50" s="206" t="s">
        <v>706</v>
      </c>
      <c r="C50" s="207" t="s">
        <v>58</v>
      </c>
      <c r="D50" s="206">
        <v>280020</v>
      </c>
      <c r="E50" s="206" t="s">
        <v>709</v>
      </c>
      <c r="F50" s="208" t="s">
        <v>60</v>
      </c>
      <c r="G50" s="209">
        <v>4</v>
      </c>
      <c r="H50" s="75">
        <v>29.35</v>
      </c>
      <c r="I50" s="76">
        <v>117.4</v>
      </c>
      <c r="J50" s="1"/>
      <c r="K50" s="87"/>
    </row>
    <row r="51" spans="1:11" ht="30" x14ac:dyDescent="0.2">
      <c r="A51" s="86"/>
      <c r="B51" s="206" t="s">
        <v>706</v>
      </c>
      <c r="C51" s="207" t="s">
        <v>58</v>
      </c>
      <c r="D51" s="206">
        <v>280003</v>
      </c>
      <c r="E51" s="206" t="s">
        <v>710</v>
      </c>
      <c r="F51" s="208" t="s">
        <v>60</v>
      </c>
      <c r="G51" s="209">
        <v>4</v>
      </c>
      <c r="H51" s="75">
        <v>23.63</v>
      </c>
      <c r="I51" s="76">
        <v>94.52</v>
      </c>
      <c r="J51" s="1"/>
      <c r="K51" s="87"/>
    </row>
    <row r="52" spans="1:11" x14ac:dyDescent="0.2">
      <c r="A52" s="86"/>
      <c r="B52" s="214" t="s">
        <v>706</v>
      </c>
      <c r="C52" s="215" t="s">
        <v>62</v>
      </c>
      <c r="D52" s="214" t="s">
        <v>707</v>
      </c>
      <c r="E52" s="214" t="s">
        <v>702</v>
      </c>
      <c r="F52" s="216" t="s">
        <v>705</v>
      </c>
      <c r="G52" s="217">
        <v>1</v>
      </c>
      <c r="H52" s="170">
        <v>4.18</v>
      </c>
      <c r="I52" s="171">
        <v>4.18</v>
      </c>
      <c r="J52" s="1"/>
      <c r="K52" s="87"/>
    </row>
    <row r="53" spans="1:11" x14ac:dyDescent="0.2">
      <c r="A53" s="86"/>
      <c r="B53" s="210" t="s">
        <v>706</v>
      </c>
      <c r="C53" s="211" t="s">
        <v>62</v>
      </c>
      <c r="D53" s="210" t="s">
        <v>713</v>
      </c>
      <c r="E53" s="210" t="s">
        <v>711</v>
      </c>
      <c r="F53" s="212" t="s">
        <v>118</v>
      </c>
      <c r="G53" s="213">
        <v>1</v>
      </c>
      <c r="H53" s="172">
        <v>72.72</v>
      </c>
      <c r="I53" s="173">
        <v>79.72</v>
      </c>
      <c r="J53" s="1"/>
      <c r="K53" s="87"/>
    </row>
    <row r="54" spans="1:11" x14ac:dyDescent="0.2">
      <c r="A54" s="86"/>
      <c r="B54" s="206" t="s">
        <v>706</v>
      </c>
      <c r="C54" s="207" t="s">
        <v>62</v>
      </c>
      <c r="D54" s="206" t="s">
        <v>714</v>
      </c>
      <c r="E54" s="206" t="s">
        <v>712</v>
      </c>
      <c r="F54" s="208" t="s">
        <v>118</v>
      </c>
      <c r="G54" s="209">
        <v>1</v>
      </c>
      <c r="H54" s="75">
        <v>288</v>
      </c>
      <c r="I54" s="76">
        <v>288</v>
      </c>
      <c r="J54" s="1"/>
      <c r="K54" s="87"/>
    </row>
    <row r="55" spans="1:11" ht="15.75" x14ac:dyDescent="0.2">
      <c r="A55" s="86"/>
      <c r="B55" s="214"/>
      <c r="C55" s="215"/>
      <c r="D55" s="218"/>
      <c r="E55" s="218"/>
      <c r="F55" s="219"/>
      <c r="G55" s="220"/>
      <c r="H55" s="221"/>
      <c r="I55" s="222"/>
      <c r="J55" s="1"/>
      <c r="K55" s="87"/>
    </row>
    <row r="56" spans="1:11" ht="15.75" x14ac:dyDescent="0.2">
      <c r="A56" s="86"/>
      <c r="B56" s="377" t="s">
        <v>726</v>
      </c>
      <c r="C56" s="377"/>
      <c r="D56" s="377"/>
      <c r="E56" s="377"/>
      <c r="F56" s="21"/>
      <c r="G56" s="195"/>
      <c r="H56" s="21"/>
      <c r="I56" s="223"/>
      <c r="J56" s="1"/>
      <c r="K56" s="87"/>
    </row>
    <row r="57" spans="1:11" ht="15.75" x14ac:dyDescent="0.2">
      <c r="A57" s="86"/>
      <c r="B57" s="375" t="s">
        <v>725</v>
      </c>
      <c r="C57" s="375"/>
      <c r="D57" s="375"/>
      <c r="E57" s="375"/>
      <c r="F57" s="21"/>
      <c r="G57" s="195"/>
      <c r="H57" s="21"/>
      <c r="I57" s="21"/>
      <c r="J57" s="1"/>
      <c r="K57" s="87"/>
    </row>
    <row r="58" spans="1:11" x14ac:dyDescent="0.2">
      <c r="A58" s="86"/>
      <c r="B58" s="21"/>
      <c r="C58" s="21"/>
      <c r="D58" s="21"/>
      <c r="E58" s="21"/>
      <c r="F58" s="21"/>
      <c r="G58" s="195"/>
      <c r="H58" s="21"/>
      <c r="I58" s="21"/>
      <c r="J58" s="1"/>
      <c r="K58" s="87"/>
    </row>
    <row r="59" spans="1:11" x14ac:dyDescent="0.2">
      <c r="A59" s="86"/>
      <c r="B59" s="79" t="s">
        <v>715</v>
      </c>
      <c r="C59" s="168">
        <v>3.75</v>
      </c>
      <c r="D59" s="79" t="s">
        <v>718</v>
      </c>
      <c r="E59" s="21"/>
      <c r="F59" s="21"/>
      <c r="G59" s="195"/>
      <c r="H59" s="21"/>
      <c r="I59" s="21"/>
      <c r="J59" s="1"/>
      <c r="K59" s="87"/>
    </row>
    <row r="60" spans="1:11" x14ac:dyDescent="0.2">
      <c r="A60" s="86"/>
      <c r="B60" s="79" t="s">
        <v>717</v>
      </c>
      <c r="C60" s="168">
        <v>30</v>
      </c>
      <c r="D60" s="79" t="s">
        <v>718</v>
      </c>
      <c r="E60" s="21"/>
      <c r="F60" s="21"/>
      <c r="G60" s="195"/>
      <c r="H60" s="21"/>
      <c r="I60" s="21"/>
      <c r="J60" s="1"/>
      <c r="K60" s="87"/>
    </row>
    <row r="61" spans="1:11" x14ac:dyDescent="0.2">
      <c r="A61" s="86"/>
      <c r="B61" s="79" t="s">
        <v>149</v>
      </c>
      <c r="C61" s="168">
        <f>C60*C60-(C60-C59*2)*(C60-C59*2)</f>
        <v>393.75</v>
      </c>
      <c r="D61" s="79" t="s">
        <v>719</v>
      </c>
      <c r="E61" s="21"/>
      <c r="F61" s="21"/>
      <c r="G61" s="195"/>
      <c r="H61" s="21"/>
      <c r="I61" s="21"/>
      <c r="J61" s="1"/>
      <c r="K61" s="87"/>
    </row>
    <row r="62" spans="1:11" x14ac:dyDescent="0.2">
      <c r="A62" s="86"/>
      <c r="B62" s="79" t="s">
        <v>716</v>
      </c>
      <c r="C62" s="168">
        <f>C61/1000^2*7850</f>
        <v>3.0909374999999999</v>
      </c>
      <c r="D62" s="79" t="s">
        <v>720</v>
      </c>
      <c r="E62" s="21"/>
      <c r="F62" s="21"/>
      <c r="G62" s="195"/>
      <c r="H62" s="21"/>
      <c r="I62" s="21"/>
      <c r="J62" s="1"/>
      <c r="K62" s="87"/>
    </row>
    <row r="63" spans="1:11" x14ac:dyDescent="0.2">
      <c r="A63" s="86"/>
      <c r="B63" s="21"/>
      <c r="C63" s="224"/>
      <c r="D63" s="21"/>
      <c r="E63" s="21"/>
      <c r="F63" s="21"/>
      <c r="G63" s="195"/>
      <c r="H63" s="21"/>
      <c r="I63" s="21"/>
      <c r="J63" s="1"/>
      <c r="K63" s="87"/>
    </row>
    <row r="64" spans="1:11" x14ac:dyDescent="0.2">
      <c r="A64" s="86"/>
      <c r="B64" s="79" t="s">
        <v>721</v>
      </c>
      <c r="C64" s="168">
        <v>0.6</v>
      </c>
      <c r="D64" s="79" t="s">
        <v>113</v>
      </c>
      <c r="E64" s="21"/>
      <c r="F64" s="21"/>
      <c r="G64" s="195"/>
      <c r="H64" s="21"/>
      <c r="I64" s="21"/>
      <c r="J64" s="1"/>
      <c r="K64" s="87"/>
    </row>
    <row r="65" spans="1:13" x14ac:dyDescent="0.2">
      <c r="A65" s="86"/>
      <c r="B65" s="21"/>
      <c r="C65" s="21"/>
      <c r="D65" s="21"/>
      <c r="E65" s="21"/>
      <c r="F65" s="21"/>
      <c r="G65" s="195"/>
      <c r="H65" s="21"/>
      <c r="I65" s="21"/>
      <c r="J65" s="1"/>
      <c r="K65" s="87"/>
    </row>
    <row r="66" spans="1:13" x14ac:dyDescent="0.2">
      <c r="A66" s="86"/>
      <c r="B66" s="79" t="s">
        <v>722</v>
      </c>
      <c r="C66" s="168">
        <f>1/C64</f>
        <v>1.6666666666666667</v>
      </c>
      <c r="D66" s="169" t="s">
        <v>113</v>
      </c>
      <c r="E66" s="21"/>
      <c r="F66" s="21"/>
      <c r="G66" s="195"/>
      <c r="H66" s="21"/>
      <c r="I66" s="21"/>
      <c r="J66" s="1"/>
      <c r="K66" s="87"/>
    </row>
    <row r="67" spans="1:13" x14ac:dyDescent="0.2">
      <c r="A67" s="86"/>
      <c r="B67" s="21"/>
      <c r="C67" s="21"/>
      <c r="D67" s="21"/>
      <c r="E67" s="21"/>
      <c r="F67" s="21"/>
      <c r="G67" s="195"/>
      <c r="H67" s="21"/>
      <c r="I67" s="21"/>
      <c r="J67" s="1"/>
      <c r="K67" s="87"/>
    </row>
    <row r="68" spans="1:13" x14ac:dyDescent="0.2">
      <c r="A68" s="86"/>
      <c r="B68" s="79" t="s">
        <v>723</v>
      </c>
      <c r="C68" s="123">
        <f>C66*C62</f>
        <v>5.1515624999999998</v>
      </c>
      <c r="D68" s="169" t="s">
        <v>724</v>
      </c>
      <c r="E68" s="21"/>
      <c r="F68" s="21"/>
      <c r="G68" s="195"/>
      <c r="H68" s="21"/>
      <c r="I68" s="21"/>
      <c r="J68" s="1"/>
      <c r="K68" s="87"/>
    </row>
    <row r="69" spans="1:13" ht="15.75" thickBot="1" x14ac:dyDescent="0.25">
      <c r="A69" s="83"/>
      <c r="B69" s="113"/>
      <c r="C69" s="113"/>
      <c r="D69" s="124"/>
      <c r="E69" s="113"/>
      <c r="F69" s="113"/>
      <c r="G69" s="125"/>
      <c r="H69" s="113"/>
      <c r="I69" s="113"/>
      <c r="J69" s="84"/>
      <c r="K69" s="85"/>
    </row>
    <row r="70" spans="1:13" ht="16.5" thickBot="1" x14ac:dyDescent="0.25">
      <c r="A70" s="62" t="s">
        <v>509</v>
      </c>
      <c r="B70" s="23"/>
      <c r="C70" s="22"/>
      <c r="D70" s="22"/>
      <c r="E70" s="23" t="s">
        <v>728</v>
      </c>
      <c r="F70" s="23"/>
      <c r="G70" s="22"/>
      <c r="H70" s="22" t="s">
        <v>118</v>
      </c>
      <c r="I70" s="23">
        <v>1</v>
      </c>
      <c r="J70" s="24"/>
      <c r="K70" s="25">
        <f>SUM(K71:K74)</f>
        <v>330.59999999999997</v>
      </c>
      <c r="L70" s="5">
        <f>VLOOKUP(A70,'II-PO'!$A$19:$M$295,9,0)</f>
        <v>330.6</v>
      </c>
      <c r="M70" s="1" t="b">
        <f>L70=K70</f>
        <v>1</v>
      </c>
    </row>
    <row r="71" spans="1:13" ht="30" x14ac:dyDescent="0.2">
      <c r="A71" s="111"/>
      <c r="B71" s="196" t="s">
        <v>58</v>
      </c>
      <c r="C71" s="197" t="s">
        <v>59</v>
      </c>
      <c r="D71" s="196">
        <v>2692</v>
      </c>
      <c r="E71" s="196" t="s">
        <v>698</v>
      </c>
      <c r="F71" s="198"/>
      <c r="G71" s="21"/>
      <c r="H71" s="199" t="s">
        <v>60</v>
      </c>
      <c r="I71" s="200">
        <v>4</v>
      </c>
      <c r="J71" s="26">
        <v>21.52</v>
      </c>
      <c r="K71" s="112">
        <f t="shared" ref="K71:K74" si="3">TRUNC(I71*J71,2)</f>
        <v>86.08</v>
      </c>
    </row>
    <row r="72" spans="1:13" ht="30" x14ac:dyDescent="0.2">
      <c r="A72" s="111"/>
      <c r="B72" s="196" t="s">
        <v>58</v>
      </c>
      <c r="C72" s="197" t="s">
        <v>59</v>
      </c>
      <c r="D72" s="196">
        <v>5069</v>
      </c>
      <c r="E72" s="196" t="s">
        <v>699</v>
      </c>
      <c r="F72" s="198"/>
      <c r="G72" s="21"/>
      <c r="H72" s="199" t="s">
        <v>60</v>
      </c>
      <c r="I72" s="200">
        <v>4</v>
      </c>
      <c r="J72" s="26">
        <v>23.81</v>
      </c>
      <c r="K72" s="112">
        <f t="shared" si="3"/>
        <v>95.24</v>
      </c>
    </row>
    <row r="73" spans="1:13" x14ac:dyDescent="0.2">
      <c r="A73" s="111"/>
      <c r="B73" s="196" t="s">
        <v>62</v>
      </c>
      <c r="C73" s="197" t="s">
        <v>703</v>
      </c>
      <c r="D73" s="196">
        <v>97738</v>
      </c>
      <c r="E73" s="196" t="s">
        <v>700</v>
      </c>
      <c r="F73" s="198"/>
      <c r="G73" s="21"/>
      <c r="H73" s="199" t="s">
        <v>118</v>
      </c>
      <c r="I73" s="200">
        <v>1</v>
      </c>
      <c r="J73" s="26">
        <v>145.1</v>
      </c>
      <c r="K73" s="112">
        <f t="shared" si="3"/>
        <v>145.1</v>
      </c>
    </row>
    <row r="74" spans="1:13" x14ac:dyDescent="0.2">
      <c r="A74" s="111"/>
      <c r="B74" s="196" t="s">
        <v>62</v>
      </c>
      <c r="C74" s="197" t="s">
        <v>706</v>
      </c>
      <c r="D74" s="196" t="s">
        <v>707</v>
      </c>
      <c r="E74" s="196" t="s">
        <v>702</v>
      </c>
      <c r="F74" s="198"/>
      <c r="G74" s="21"/>
      <c r="H74" s="199" t="s">
        <v>705</v>
      </c>
      <c r="I74" s="200">
        <v>1</v>
      </c>
      <c r="J74" s="26">
        <v>4.18</v>
      </c>
      <c r="K74" s="112">
        <f t="shared" si="3"/>
        <v>4.18</v>
      </c>
    </row>
    <row r="75" spans="1:13" x14ac:dyDescent="0.2">
      <c r="A75" s="86"/>
      <c r="B75" s="1"/>
      <c r="C75" s="1"/>
      <c r="D75" s="1"/>
      <c r="E75" s="1"/>
      <c r="F75" s="1"/>
      <c r="G75" s="1"/>
      <c r="H75" s="1"/>
      <c r="I75" s="1"/>
      <c r="J75" s="1"/>
      <c r="K75" s="87"/>
    </row>
    <row r="76" spans="1:13" ht="15.75" x14ac:dyDescent="0.2">
      <c r="A76" s="86"/>
      <c r="B76" s="376" t="s">
        <v>63</v>
      </c>
      <c r="C76" s="376"/>
      <c r="D76" s="376"/>
      <c r="E76" s="376"/>
      <c r="F76" s="376"/>
      <c r="G76" s="376"/>
      <c r="H76" s="376"/>
      <c r="I76" s="376"/>
      <c r="J76" s="1"/>
      <c r="K76" s="87"/>
    </row>
    <row r="77" spans="1:13" ht="15.75" x14ac:dyDescent="0.2">
      <c r="A77" s="86"/>
      <c r="B77" s="201" t="s">
        <v>708</v>
      </c>
      <c r="C77" s="202"/>
      <c r="D77" s="202"/>
      <c r="E77" s="202"/>
      <c r="F77" s="202"/>
      <c r="G77" s="202"/>
      <c r="H77" s="202"/>
      <c r="I77" s="202"/>
      <c r="J77" s="1"/>
      <c r="K77" s="87"/>
    </row>
    <row r="78" spans="1:13" x14ac:dyDescent="0.2">
      <c r="A78" s="86"/>
      <c r="B78" s="203" t="s">
        <v>64</v>
      </c>
      <c r="C78" s="204" t="s">
        <v>65</v>
      </c>
      <c r="D78" s="204" t="s">
        <v>66</v>
      </c>
      <c r="E78" s="203" t="s">
        <v>67</v>
      </c>
      <c r="F78" s="204" t="s">
        <v>68</v>
      </c>
      <c r="G78" s="205" t="s">
        <v>69</v>
      </c>
      <c r="H78" s="204" t="s">
        <v>70</v>
      </c>
      <c r="I78" s="204" t="s">
        <v>71</v>
      </c>
      <c r="J78" s="1"/>
      <c r="K78" s="87"/>
    </row>
    <row r="79" spans="1:13" x14ac:dyDescent="0.2">
      <c r="A79" s="86"/>
      <c r="B79" s="206" t="s">
        <v>706</v>
      </c>
      <c r="C79" s="207" t="s">
        <v>58</v>
      </c>
      <c r="D79" s="206">
        <v>280020</v>
      </c>
      <c r="E79" s="206" t="s">
        <v>709</v>
      </c>
      <c r="F79" s="208" t="s">
        <v>60</v>
      </c>
      <c r="G79" s="209">
        <v>4</v>
      </c>
      <c r="H79" s="75">
        <v>29.35</v>
      </c>
      <c r="I79" s="76">
        <v>117.4</v>
      </c>
      <c r="J79" s="1"/>
      <c r="K79" s="87"/>
    </row>
    <row r="80" spans="1:13" ht="30" x14ac:dyDescent="0.2">
      <c r="A80" s="86"/>
      <c r="B80" s="206" t="s">
        <v>706</v>
      </c>
      <c r="C80" s="207" t="s">
        <v>58</v>
      </c>
      <c r="D80" s="206">
        <v>280003</v>
      </c>
      <c r="E80" s="206" t="s">
        <v>710</v>
      </c>
      <c r="F80" s="208" t="s">
        <v>60</v>
      </c>
      <c r="G80" s="209">
        <v>4</v>
      </c>
      <c r="H80" s="75">
        <v>23.63</v>
      </c>
      <c r="I80" s="76">
        <v>94.52</v>
      </c>
      <c r="J80" s="1"/>
      <c r="K80" s="87"/>
    </row>
    <row r="81" spans="1:11" x14ac:dyDescent="0.2">
      <c r="A81" s="86"/>
      <c r="B81" s="214" t="s">
        <v>706</v>
      </c>
      <c r="C81" s="215" t="s">
        <v>62</v>
      </c>
      <c r="D81" s="214" t="s">
        <v>707</v>
      </c>
      <c r="E81" s="214" t="s">
        <v>702</v>
      </c>
      <c r="F81" s="216" t="s">
        <v>705</v>
      </c>
      <c r="G81" s="217">
        <v>1</v>
      </c>
      <c r="H81" s="170">
        <v>4.18</v>
      </c>
      <c r="I81" s="171">
        <v>4.18</v>
      </c>
      <c r="J81" s="1"/>
      <c r="K81" s="87"/>
    </row>
    <row r="82" spans="1:11" x14ac:dyDescent="0.2">
      <c r="A82" s="86"/>
      <c r="B82" s="210" t="s">
        <v>706</v>
      </c>
      <c r="C82" s="211" t="s">
        <v>62</v>
      </c>
      <c r="D82" s="210" t="s">
        <v>713</v>
      </c>
      <c r="E82" s="210" t="s">
        <v>711</v>
      </c>
      <c r="F82" s="212" t="s">
        <v>118</v>
      </c>
      <c r="G82" s="213">
        <v>1</v>
      </c>
      <c r="H82" s="172">
        <v>72.72</v>
      </c>
      <c r="I82" s="173">
        <v>79.72</v>
      </c>
      <c r="J82" s="1"/>
      <c r="K82" s="87"/>
    </row>
    <row r="83" spans="1:11" x14ac:dyDescent="0.2">
      <c r="A83" s="86"/>
      <c r="B83" s="206" t="s">
        <v>706</v>
      </c>
      <c r="C83" s="207" t="s">
        <v>62</v>
      </c>
      <c r="D83" s="206" t="s">
        <v>714</v>
      </c>
      <c r="E83" s="206" t="s">
        <v>712</v>
      </c>
      <c r="F83" s="208" t="s">
        <v>118</v>
      </c>
      <c r="G83" s="209">
        <v>1</v>
      </c>
      <c r="H83" s="75">
        <v>288</v>
      </c>
      <c r="I83" s="76">
        <v>288</v>
      </c>
      <c r="J83" s="1"/>
      <c r="K83" s="87"/>
    </row>
    <row r="84" spans="1:11" ht="15.75" x14ac:dyDescent="0.2">
      <c r="A84" s="86"/>
      <c r="B84" s="214"/>
      <c r="C84" s="215"/>
      <c r="D84" s="218"/>
      <c r="E84" s="218"/>
      <c r="F84" s="219"/>
      <c r="G84" s="220"/>
      <c r="H84" s="221"/>
      <c r="I84" s="222"/>
      <c r="J84" s="1"/>
      <c r="K84" s="87"/>
    </row>
    <row r="85" spans="1:11" ht="15.75" x14ac:dyDescent="0.2">
      <c r="A85" s="86"/>
      <c r="B85" s="377" t="s">
        <v>726</v>
      </c>
      <c r="C85" s="377"/>
      <c r="D85" s="377"/>
      <c r="E85" s="377"/>
      <c r="F85" s="21"/>
      <c r="G85" s="195"/>
      <c r="H85" s="21"/>
      <c r="I85" s="223"/>
      <c r="J85" s="1"/>
      <c r="K85" s="87"/>
    </row>
    <row r="86" spans="1:11" ht="15.75" x14ac:dyDescent="0.2">
      <c r="A86" s="86"/>
      <c r="B86" s="375" t="s">
        <v>729</v>
      </c>
      <c r="C86" s="375"/>
      <c r="D86" s="375"/>
      <c r="E86" s="375"/>
      <c r="F86" s="21"/>
      <c r="G86" s="195"/>
      <c r="H86" s="21"/>
      <c r="I86" s="21"/>
      <c r="J86" s="1"/>
      <c r="K86" s="87"/>
    </row>
    <row r="87" spans="1:11" x14ac:dyDescent="0.2">
      <c r="A87" s="86"/>
      <c r="B87" s="21"/>
      <c r="C87" s="21"/>
      <c r="D87" s="21"/>
      <c r="E87" s="21"/>
      <c r="F87" s="21"/>
      <c r="G87" s="195"/>
      <c r="H87" s="21"/>
      <c r="I87" s="21"/>
      <c r="J87" s="1"/>
      <c r="K87" s="87"/>
    </row>
    <row r="88" spans="1:11" x14ac:dyDescent="0.2">
      <c r="A88" s="86"/>
      <c r="B88" s="79" t="s">
        <v>715</v>
      </c>
      <c r="C88" s="168">
        <v>3.75</v>
      </c>
      <c r="D88" s="79" t="s">
        <v>718</v>
      </c>
      <c r="E88" s="21"/>
      <c r="F88" s="21"/>
      <c r="G88" s="195"/>
      <c r="H88" s="21"/>
      <c r="I88" s="21"/>
      <c r="J88" s="1"/>
      <c r="K88" s="87"/>
    </row>
    <row r="89" spans="1:11" x14ac:dyDescent="0.2">
      <c r="A89" s="86"/>
      <c r="B89" s="79" t="s">
        <v>717</v>
      </c>
      <c r="C89" s="168">
        <v>30</v>
      </c>
      <c r="D89" s="79" t="s">
        <v>718</v>
      </c>
      <c r="E89" s="21"/>
      <c r="F89" s="21"/>
      <c r="G89" s="195"/>
      <c r="H89" s="21"/>
      <c r="I89" s="21"/>
      <c r="J89" s="1"/>
      <c r="K89" s="87"/>
    </row>
    <row r="90" spans="1:11" x14ac:dyDescent="0.2">
      <c r="A90" s="86"/>
      <c r="B90" s="79" t="s">
        <v>149</v>
      </c>
      <c r="C90" s="168">
        <f>C89*C89-(C89-C88*2)*(C89-C88*2)</f>
        <v>393.75</v>
      </c>
      <c r="D90" s="79" t="s">
        <v>719</v>
      </c>
      <c r="E90" s="21"/>
      <c r="F90" s="21"/>
      <c r="G90" s="195"/>
      <c r="H90" s="21"/>
      <c r="I90" s="21"/>
      <c r="J90" s="1"/>
      <c r="K90" s="87"/>
    </row>
    <row r="91" spans="1:11" x14ac:dyDescent="0.2">
      <c r="A91" s="86"/>
      <c r="B91" s="79" t="s">
        <v>716</v>
      </c>
      <c r="C91" s="168">
        <f>C90/1000^2*7850</f>
        <v>3.0909374999999999</v>
      </c>
      <c r="D91" s="79" t="s">
        <v>720</v>
      </c>
      <c r="E91" s="21"/>
      <c r="F91" s="21"/>
      <c r="G91" s="195"/>
      <c r="H91" s="21"/>
      <c r="I91" s="21"/>
      <c r="J91" s="1"/>
      <c r="K91" s="87"/>
    </row>
    <row r="92" spans="1:11" x14ac:dyDescent="0.2">
      <c r="A92" s="86"/>
      <c r="B92" s="21"/>
      <c r="C92" s="224"/>
      <c r="D92" s="21"/>
      <c r="E92" s="21"/>
      <c r="F92" s="21"/>
      <c r="G92" s="195"/>
      <c r="H92" s="21"/>
      <c r="I92" s="21"/>
      <c r="J92" s="1"/>
      <c r="K92" s="87"/>
    </row>
    <row r="93" spans="1:11" x14ac:dyDescent="0.2">
      <c r="A93" s="86"/>
      <c r="B93" s="79" t="s">
        <v>721</v>
      </c>
      <c r="C93" s="168">
        <v>0.6</v>
      </c>
      <c r="D93" s="79" t="s">
        <v>113</v>
      </c>
      <c r="E93" s="21"/>
      <c r="F93" s="21"/>
      <c r="G93" s="195"/>
      <c r="H93" s="21"/>
      <c r="I93" s="21"/>
      <c r="J93" s="1"/>
      <c r="K93" s="87"/>
    </row>
    <row r="94" spans="1:11" x14ac:dyDescent="0.2">
      <c r="A94" s="86"/>
      <c r="B94" s="21"/>
      <c r="C94" s="21"/>
      <c r="D94" s="21"/>
      <c r="E94" s="21"/>
      <c r="F94" s="21"/>
      <c r="G94" s="195"/>
      <c r="H94" s="21"/>
      <c r="I94" s="21"/>
      <c r="J94" s="1"/>
      <c r="K94" s="87"/>
    </row>
    <row r="95" spans="1:11" x14ac:dyDescent="0.2">
      <c r="A95" s="86"/>
      <c r="B95" s="79" t="s">
        <v>722</v>
      </c>
      <c r="C95" s="168">
        <f>1/C93</f>
        <v>1.6666666666666667</v>
      </c>
      <c r="D95" s="169" t="s">
        <v>113</v>
      </c>
      <c r="E95" s="21"/>
      <c r="F95" s="21"/>
      <c r="G95" s="195"/>
      <c r="H95" s="21"/>
      <c r="I95" s="21"/>
      <c r="J95" s="1"/>
      <c r="K95" s="87"/>
    </row>
    <row r="96" spans="1:11" x14ac:dyDescent="0.2">
      <c r="A96" s="86"/>
      <c r="B96" s="21"/>
      <c r="C96" s="21"/>
      <c r="D96" s="21"/>
      <c r="E96" s="21"/>
      <c r="F96" s="21"/>
      <c r="G96" s="195"/>
      <c r="H96" s="21"/>
      <c r="I96" s="21"/>
      <c r="J96" s="1"/>
      <c r="K96" s="87"/>
    </row>
    <row r="97" spans="1:11" x14ac:dyDescent="0.2">
      <c r="A97" s="86"/>
      <c r="B97" s="79" t="s">
        <v>723</v>
      </c>
      <c r="C97" s="123">
        <f>C95*C91</f>
        <v>5.1515624999999998</v>
      </c>
      <c r="D97" s="169" t="s">
        <v>724</v>
      </c>
      <c r="E97" s="21"/>
      <c r="F97" s="21"/>
      <c r="G97" s="195"/>
      <c r="H97" s="21"/>
      <c r="I97" s="21"/>
      <c r="J97" s="1"/>
      <c r="K97" s="87"/>
    </row>
    <row r="98" spans="1:11" ht="15.75" thickBot="1" x14ac:dyDescent="0.25">
      <c r="A98" s="83"/>
      <c r="B98" s="113"/>
      <c r="C98" s="113"/>
      <c r="D98" s="124"/>
      <c r="E98" s="113"/>
      <c r="F98" s="113"/>
      <c r="G98" s="125"/>
      <c r="H98" s="113"/>
      <c r="I98" s="113"/>
      <c r="J98" s="84"/>
      <c r="K98" s="85"/>
    </row>
    <row r="108" spans="1:11" ht="15.75" x14ac:dyDescent="0.2">
      <c r="J108" s="297" t="s">
        <v>2256</v>
      </c>
      <c r="K108" s="298"/>
    </row>
  </sheetData>
  <mergeCells count="19">
    <mergeCell ref="J108:K108"/>
    <mergeCell ref="B86:E86"/>
    <mergeCell ref="B29:I29"/>
    <mergeCell ref="B37:E37"/>
    <mergeCell ref="B38:E38"/>
    <mergeCell ref="B76:I76"/>
    <mergeCell ref="B85:E85"/>
    <mergeCell ref="B57:E57"/>
    <mergeCell ref="B47:I47"/>
    <mergeCell ref="B56:E56"/>
    <mergeCell ref="B21:B22"/>
    <mergeCell ref="A1:K9"/>
    <mergeCell ref="J11:K11"/>
    <mergeCell ref="A16:K16"/>
    <mergeCell ref="J10:K10"/>
    <mergeCell ref="J12:K12"/>
    <mergeCell ref="J13:K13"/>
    <mergeCell ref="I10:I12"/>
    <mergeCell ref="J14:K14"/>
  </mergeCells>
  <pageMargins left="0.51181102362204722" right="0.51181102362204722" top="0.78740157480314965" bottom="0.78740157480314965" header="0.39370078740157483" footer="0.39370078740157483"/>
  <pageSetup paperSize="9" scale="47" fitToHeight="0" orientation="landscape" r:id="rId1"/>
  <rowBreaks count="3" manualBreakCount="3">
    <brk id="23" max="16383" man="1"/>
    <brk id="39" max="16383" man="1"/>
    <brk id="69" max="1638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7843B-0C23-4465-B4D3-955F6F839908}">
  <sheetPr>
    <pageSetUpPr fitToPage="1"/>
  </sheetPr>
  <dimension ref="A1:S273"/>
  <sheetViews>
    <sheetView showGridLines="0" topLeftCell="A19" zoomScale="70" zoomScaleNormal="70" zoomScaleSheetLayoutView="85" workbookViewId="0">
      <selection activeCell="K19" sqref="K19"/>
    </sheetView>
  </sheetViews>
  <sheetFormatPr defaultColWidth="10.140625" defaultRowHeight="15" x14ac:dyDescent="0.2"/>
  <cols>
    <col min="1" max="1" width="16.28515625" style="20" bestFit="1" customWidth="1"/>
    <col min="2" max="2" width="66.28515625" style="20" customWidth="1"/>
    <col min="3" max="3" width="22.140625" style="20" bestFit="1" customWidth="1"/>
    <col min="4" max="4" width="23.28515625" style="20" bestFit="1" customWidth="1"/>
    <col min="5" max="5" width="20.140625" style="20" bestFit="1" customWidth="1"/>
    <col min="6" max="6" width="27.28515625" style="20" bestFit="1" customWidth="1"/>
    <col min="7" max="7" width="23.5703125" style="20" bestFit="1" customWidth="1"/>
    <col min="8" max="8" width="25" style="20" bestFit="1" customWidth="1"/>
    <col min="9" max="9" width="20.42578125" style="20" bestFit="1" customWidth="1"/>
    <col min="10" max="10" width="22" style="20" bestFit="1" customWidth="1"/>
    <col min="11" max="11" width="23.42578125" style="20" bestFit="1" customWidth="1"/>
    <col min="12" max="12" width="19.7109375" style="20" bestFit="1" customWidth="1"/>
    <col min="13" max="14" width="7.85546875" style="20" bestFit="1" customWidth="1"/>
    <col min="15" max="15" width="10.140625" style="20"/>
    <col min="16" max="16" width="16.42578125" style="1" bestFit="1" customWidth="1"/>
    <col min="17" max="18" width="10.140625" style="1"/>
    <col min="19" max="19" width="18.28515625" style="1" bestFit="1" customWidth="1"/>
    <col min="20" max="16384" width="10.140625" style="20"/>
  </cols>
  <sheetData>
    <row r="1" spans="1:19" ht="16.5" customHeight="1" x14ac:dyDescent="0.2">
      <c r="A1" s="291" t="str">
        <f>'VI-BDI CONSTRUÇÃO'!A1</f>
        <v>GABINETES DOS VEREADORES DE ARAGARÇAS - GO</v>
      </c>
      <c r="B1" s="292"/>
      <c r="C1" s="292"/>
      <c r="D1" s="292"/>
      <c r="E1" s="292"/>
      <c r="F1" s="292"/>
      <c r="G1" s="292"/>
      <c r="H1" s="293"/>
      <c r="I1" s="1"/>
      <c r="J1" s="1"/>
      <c r="K1" s="1"/>
      <c r="L1" s="1"/>
      <c r="S1" s="1" t="s">
        <v>130</v>
      </c>
    </row>
    <row r="2" spans="1:19" ht="15" customHeight="1" x14ac:dyDescent="0.2">
      <c r="A2" s="294"/>
      <c r="B2" s="295"/>
      <c r="C2" s="295"/>
      <c r="D2" s="295"/>
      <c r="E2" s="295"/>
      <c r="F2" s="295"/>
      <c r="G2" s="295"/>
      <c r="H2" s="296"/>
      <c r="I2" s="1"/>
      <c r="J2" s="1"/>
      <c r="K2" s="1"/>
      <c r="L2" s="1"/>
      <c r="S2" s="1" t="s">
        <v>131</v>
      </c>
    </row>
    <row r="3" spans="1:19" ht="15" customHeight="1" x14ac:dyDescent="0.2">
      <c r="A3" s="294"/>
      <c r="B3" s="295"/>
      <c r="C3" s="295"/>
      <c r="D3" s="295"/>
      <c r="E3" s="295"/>
      <c r="F3" s="295"/>
      <c r="G3" s="295"/>
      <c r="H3" s="296"/>
      <c r="I3" s="1"/>
      <c r="J3" s="1"/>
      <c r="K3" s="1"/>
      <c r="L3" s="1"/>
    </row>
    <row r="4" spans="1:19" ht="15" customHeight="1" x14ac:dyDescent="0.2">
      <c r="A4" s="294"/>
      <c r="B4" s="295"/>
      <c r="C4" s="295"/>
      <c r="D4" s="295"/>
      <c r="E4" s="295"/>
      <c r="F4" s="295"/>
      <c r="G4" s="295"/>
      <c r="H4" s="296"/>
      <c r="I4" s="1"/>
      <c r="J4" s="1"/>
      <c r="K4" s="1"/>
      <c r="L4" s="1"/>
    </row>
    <row r="5" spans="1:19" ht="15" customHeight="1" x14ac:dyDescent="0.2">
      <c r="A5" s="294"/>
      <c r="B5" s="295"/>
      <c r="C5" s="295"/>
      <c r="D5" s="295"/>
      <c r="E5" s="295"/>
      <c r="F5" s="295"/>
      <c r="G5" s="295"/>
      <c r="H5" s="296"/>
      <c r="I5" s="1"/>
      <c r="J5" s="1"/>
      <c r="K5" s="1"/>
      <c r="L5" s="1"/>
    </row>
    <row r="6" spans="1:19" ht="15" customHeight="1" x14ac:dyDescent="0.2">
      <c r="A6" s="294"/>
      <c r="B6" s="295"/>
      <c r="C6" s="295"/>
      <c r="D6" s="295"/>
      <c r="E6" s="295"/>
      <c r="F6" s="295"/>
      <c r="G6" s="295"/>
      <c r="H6" s="296"/>
      <c r="I6" s="1"/>
      <c r="J6" s="1"/>
      <c r="K6" s="1"/>
      <c r="L6" s="1"/>
    </row>
    <row r="7" spans="1:19" ht="15" customHeight="1" x14ac:dyDescent="0.2">
      <c r="A7" s="294"/>
      <c r="B7" s="295"/>
      <c r="C7" s="295"/>
      <c r="D7" s="295"/>
      <c r="E7" s="295"/>
      <c r="F7" s="295"/>
      <c r="G7" s="295"/>
      <c r="H7" s="296"/>
      <c r="I7" s="1"/>
      <c r="J7" s="1"/>
      <c r="K7" s="1"/>
      <c r="L7" s="1"/>
    </row>
    <row r="8" spans="1:19" ht="15" customHeight="1" x14ac:dyDescent="0.2">
      <c r="A8" s="294"/>
      <c r="B8" s="295"/>
      <c r="C8" s="295"/>
      <c r="D8" s="295"/>
      <c r="E8" s="295"/>
      <c r="F8" s="295"/>
      <c r="G8" s="295"/>
      <c r="H8" s="296"/>
      <c r="I8" s="1"/>
      <c r="J8" s="1"/>
      <c r="K8" s="1"/>
      <c r="L8" s="1"/>
    </row>
    <row r="9" spans="1:19" ht="15.75" customHeight="1" thickBot="1" x14ac:dyDescent="0.25">
      <c r="A9" s="312"/>
      <c r="B9" s="313"/>
      <c r="C9" s="313"/>
      <c r="D9" s="313"/>
      <c r="E9" s="313"/>
      <c r="F9" s="313"/>
      <c r="G9" s="313"/>
      <c r="H9" s="314"/>
      <c r="I9" s="1"/>
      <c r="J9" s="1"/>
      <c r="K9" s="1"/>
      <c r="L9" s="1"/>
    </row>
    <row r="10" spans="1:19" ht="15.75" x14ac:dyDescent="0.2">
      <c r="A10" s="88" t="s">
        <v>7</v>
      </c>
      <c r="B10" s="30" t="str">
        <f>'I-RESUMO'!$B$6</f>
        <v>GABINETES DOS VEREADORES DE ARAGARÇAS - GO</v>
      </c>
      <c r="C10" s="28"/>
      <c r="D10" s="1"/>
      <c r="E10" s="1"/>
      <c r="F10" s="373" t="s">
        <v>8</v>
      </c>
      <c r="G10" s="307" t="str">
        <f>'VI-BDI CONSTRUÇÃO'!M10</f>
        <v>SINAPI GO 9/2025</v>
      </c>
      <c r="H10" s="308"/>
      <c r="I10" s="1"/>
      <c r="J10" s="1"/>
      <c r="K10" s="1"/>
      <c r="L10" s="1"/>
    </row>
    <row r="11" spans="1:19" ht="15.75" x14ac:dyDescent="0.2">
      <c r="A11" s="88" t="s">
        <v>11</v>
      </c>
      <c r="B11" s="30" t="str">
        <f>'I-RESUMO'!$B$7</f>
        <v>Rua José de Barros Souza, 09. Setor Centro Administrativo, Aragarças-GO.</v>
      </c>
      <c r="C11" s="28"/>
      <c r="D11" s="1"/>
      <c r="E11" s="1"/>
      <c r="F11" s="374"/>
      <c r="G11" s="309" t="str">
        <f>'VI-BDI CONSTRUÇÃO'!M11</f>
        <v>GOINFRA CIVIL (AGETOP) 8/2025</v>
      </c>
      <c r="H11" s="310"/>
      <c r="I11" s="1"/>
      <c r="J11" s="1"/>
      <c r="K11" s="1"/>
      <c r="L11" s="1"/>
    </row>
    <row r="12" spans="1:19" ht="15.75" x14ac:dyDescent="0.2">
      <c r="A12" s="88" t="s">
        <v>16</v>
      </c>
      <c r="B12" s="246">
        <f ca="1">TODAY()</f>
        <v>46071</v>
      </c>
      <c r="C12" s="28"/>
      <c r="D12" s="1"/>
      <c r="E12" s="1"/>
      <c r="F12" s="374"/>
      <c r="G12" s="309" t="str">
        <f>'VI-BDI CONSTRUÇÃO'!M12</f>
        <v>SICRO3 GO 7/2025</v>
      </c>
      <c r="H12" s="354"/>
      <c r="I12" s="1"/>
      <c r="J12" s="1"/>
      <c r="K12" s="1"/>
      <c r="L12" s="1"/>
    </row>
    <row r="13" spans="1:19" ht="15.75" x14ac:dyDescent="0.2">
      <c r="A13" s="98"/>
      <c r="C13" s="104"/>
      <c r="D13" s="1"/>
      <c r="E13" s="1"/>
      <c r="F13" s="249" t="s">
        <v>18</v>
      </c>
      <c r="G13" s="317" t="str">
        <f>'I-RESUMO'!$F$9</f>
        <v>NÃO DESONERADO</v>
      </c>
      <c r="H13" s="318"/>
      <c r="I13" s="1"/>
      <c r="J13" s="1"/>
      <c r="K13" s="1"/>
      <c r="L13" s="1"/>
    </row>
    <row r="14" spans="1:19" ht="15.75" x14ac:dyDescent="0.2">
      <c r="A14" s="115"/>
      <c r="B14" s="1"/>
      <c r="C14" s="104"/>
      <c r="D14" s="1"/>
      <c r="E14" s="1"/>
      <c r="F14" s="249" t="s">
        <v>55</v>
      </c>
      <c r="G14" s="355">
        <f>'I-RESUMO'!$F$10</f>
        <v>0.252</v>
      </c>
      <c r="H14" s="356"/>
      <c r="I14" s="1"/>
      <c r="J14" s="1"/>
      <c r="K14" s="1"/>
      <c r="L14" s="5"/>
    </row>
    <row r="15" spans="1:19" ht="16.5" thickBot="1" x14ac:dyDescent="0.25">
      <c r="A15" s="86"/>
      <c r="B15" s="1"/>
      <c r="C15" s="228"/>
      <c r="D15" s="1"/>
      <c r="E15" s="1"/>
      <c r="F15" s="1"/>
      <c r="G15" s="89"/>
      <c r="H15" s="87"/>
      <c r="I15" s="1"/>
      <c r="J15" s="1"/>
      <c r="K15" s="1"/>
      <c r="L15" s="5"/>
      <c r="M15" s="1"/>
      <c r="N15" s="1"/>
      <c r="O15" s="1"/>
    </row>
    <row r="16" spans="1:19" ht="16.5" thickBot="1" x14ac:dyDescent="0.25">
      <c r="A16" s="378" t="str">
        <f>CAPA!A18</f>
        <v>ANEXO VII - CURVA ABC</v>
      </c>
      <c r="B16" s="379"/>
      <c r="C16" s="379"/>
      <c r="D16" s="379"/>
      <c r="E16" s="379"/>
      <c r="F16" s="379"/>
      <c r="G16" s="379"/>
      <c r="H16" s="380"/>
      <c r="I16" s="1"/>
      <c r="J16" s="1"/>
      <c r="K16" s="1"/>
      <c r="L16" s="5"/>
      <c r="M16" s="1"/>
      <c r="N16" s="1"/>
      <c r="O16" s="1"/>
    </row>
    <row r="17" spans="1:19" ht="15.75" x14ac:dyDescent="0.2">
      <c r="A17" s="116" t="s">
        <v>86</v>
      </c>
      <c r="B17" s="57" t="s">
        <v>67</v>
      </c>
      <c r="C17" s="57" t="s">
        <v>93</v>
      </c>
      <c r="D17" s="57" t="s">
        <v>94</v>
      </c>
      <c r="E17" s="57" t="s">
        <v>95</v>
      </c>
      <c r="F17" s="54" t="s">
        <v>132</v>
      </c>
      <c r="G17" s="54" t="s">
        <v>133</v>
      </c>
      <c r="H17" s="93" t="s">
        <v>134</v>
      </c>
      <c r="I17" s="1"/>
      <c r="J17" s="1"/>
      <c r="K17" s="1"/>
      <c r="L17" s="5"/>
      <c r="M17" s="1"/>
      <c r="N17" s="1"/>
      <c r="O17" s="1"/>
      <c r="Q17" s="20"/>
      <c r="R17" s="20"/>
      <c r="S17" s="20"/>
    </row>
    <row r="18" spans="1:19" s="1" customFormat="1" ht="45" x14ac:dyDescent="0.2">
      <c r="A18" s="96" t="s">
        <v>426</v>
      </c>
      <c r="B18" s="35" t="str">
        <f>VLOOKUP(A18,'II-PO'!$A$18:$M$295,5,0)</f>
        <v>TELHAMENTO COM TELHA METÁLICA TERMOACÚSTICA E = 30 MM, COM ATÉ 2 ÁGUAS, INCLUSO IÇAMENTO. AF_07/2019</v>
      </c>
      <c r="C18" s="36">
        <f>VLOOKUP(A18,'II-PO'!$A$18:$M$295,11,0)</f>
        <v>70080.399999999994</v>
      </c>
      <c r="D18" s="36">
        <f>VLOOKUP(A18,'II-PO'!$A$18:$M$295,12,0)</f>
        <v>17659.410000000003</v>
      </c>
      <c r="E18" s="36">
        <f>VLOOKUP(A18,'II-PO'!$A$18:$M$295,13,0)</f>
        <v>87739.81</v>
      </c>
      <c r="F18" s="58">
        <f t="shared" ref="F18:F81" si="0">E18/$H$257</f>
        <v>7.2869985528790038E-2</v>
      </c>
      <c r="G18" s="59">
        <f>F18</f>
        <v>7.2869985528790038E-2</v>
      </c>
      <c r="H18" s="117" t="str">
        <f>IF(G18&lt;=70%,"A",IF(G18&lt;=90%,"B","C"))</f>
        <v>A</v>
      </c>
      <c r="Q18" s="20"/>
    </row>
    <row r="19" spans="1:19" s="1" customFormat="1" x14ac:dyDescent="0.2">
      <c r="A19" s="96" t="s">
        <v>97</v>
      </c>
      <c r="B19" s="35" t="str">
        <f>VLOOKUP(A19,'II-PO'!$A$18:$M$295,5,0)</f>
        <v>ADMINISTRAÇÃO LOCAL DA OBRA</v>
      </c>
      <c r="C19" s="36">
        <f>VLOOKUP(A19,'II-PO'!$A$18:$M$295,11,0)</f>
        <v>66474.149999999994</v>
      </c>
      <c r="D19" s="36">
        <f>VLOOKUP(A19,'II-PO'!$A$18:$M$295,12,0)</f>
        <v>16751.48000000001</v>
      </c>
      <c r="E19" s="36">
        <f>VLOOKUP(A19,'II-PO'!$A$18:$M$295,13,0)</f>
        <v>83225.63</v>
      </c>
      <c r="F19" s="58">
        <f t="shared" si="0"/>
        <v>6.9120852367066152E-2</v>
      </c>
      <c r="G19" s="59">
        <f>G18+F19</f>
        <v>0.1419908378958562</v>
      </c>
      <c r="H19" s="117" t="str">
        <f>IF(G19&lt;=70%,"A",IF(G19&lt;=90%,"B","C"))</f>
        <v>A</v>
      </c>
      <c r="Q19" s="20"/>
    </row>
    <row r="20" spans="1:19" s="1" customFormat="1" ht="60" x14ac:dyDescent="0.2">
      <c r="A20" s="96" t="s">
        <v>601</v>
      </c>
      <c r="B20" s="35" t="str">
        <f>VLOOKUP(A20,'II-PO'!$A$18:$M$295,5,0)</f>
        <v>LAJE PRÉ-MOLDADA UNIDIRECIONAL, BIAPOIADA, PARA FORRO, ENCHIMENTO EM EPS, VIGOTA TRELIÇADA, ALTURA TOTAL DA LAJE "LT" = 12 CM (ENCHIMENTO+CAPA) = (8+4). AF_08/2025</v>
      </c>
      <c r="C20" s="36">
        <f>VLOOKUP(A20,'II-PO'!$A$18:$M$295,11,0)</f>
        <v>60436.05</v>
      </c>
      <c r="D20" s="36">
        <f>VLOOKUP(A20,'II-PO'!$A$18:$M$295,12,0)</f>
        <v>15228.679999999993</v>
      </c>
      <c r="E20" s="36">
        <f>VLOOKUP(A20,'II-PO'!$A$18:$M$295,13,0)</f>
        <v>75664.73</v>
      </c>
      <c r="F20" s="58">
        <f t="shared" si="0"/>
        <v>6.28413462502347E-2</v>
      </c>
      <c r="G20" s="59">
        <f t="shared" ref="G20:G83" si="1">G19+F20</f>
        <v>0.20483218414609089</v>
      </c>
      <c r="H20" s="117" t="str">
        <f t="shared" ref="H20:H83" si="2">IF(G20&lt;=70%,"A",IF(G20&lt;=90%,"B","C"))</f>
        <v>A</v>
      </c>
      <c r="Q20" s="20"/>
    </row>
    <row r="21" spans="1:19" s="1" customFormat="1" ht="30" x14ac:dyDescent="0.2">
      <c r="A21" s="96" t="s">
        <v>508</v>
      </c>
      <c r="B21" s="35" t="str">
        <f>VLOOKUP(A21,'II-PO'!$A$18:$M$295,5,0)</f>
        <v>PAINEL EM ACM - ESTRUTURADO (FACHADAS) (REF.: SEDOP 061458)</v>
      </c>
      <c r="C21" s="36">
        <f>VLOOKUP(A21,'II-PO'!$A$18:$M$295,11,0)</f>
        <v>49369.279999999999</v>
      </c>
      <c r="D21" s="36">
        <f>VLOOKUP(A21,'II-PO'!$A$18:$M$295,12,0)</f>
        <v>12440.450000000004</v>
      </c>
      <c r="E21" s="36">
        <f>VLOOKUP(A21,'II-PO'!$A$18:$M$295,13,0)</f>
        <v>61809.73</v>
      </c>
      <c r="F21" s="58">
        <f t="shared" si="0"/>
        <v>5.1334441351518996E-2</v>
      </c>
      <c r="G21" s="59">
        <f t="shared" si="1"/>
        <v>0.25616662549760988</v>
      </c>
      <c r="H21" s="117" t="str">
        <f t="shared" si="2"/>
        <v>A</v>
      </c>
      <c r="Q21" s="20"/>
    </row>
    <row r="22" spans="1:19" s="1" customFormat="1" ht="60" x14ac:dyDescent="0.2">
      <c r="A22" s="96" t="s">
        <v>353</v>
      </c>
      <c r="B22" s="35" t="str">
        <f>VLOOKUP(A22,'II-PO'!$A$18:$M$295,5,0)</f>
        <v>REVESTIMENTO CERÂMICO PARA PISO COM PLACAS TIPO PORCELANATO DE DIMENSÕES 60X60 CM APLICADA EM AMBIENTES DE ÁREA MAIOR QUE 10 M². AF_02/2023_PE</v>
      </c>
      <c r="C22" s="36">
        <f>VLOOKUP(A22,'II-PO'!$A$18:$M$295,11,0)</f>
        <v>47538.81</v>
      </c>
      <c r="D22" s="36">
        <f>VLOOKUP(A22,'II-PO'!$A$18:$M$295,12,0)</f>
        <v>11979.18</v>
      </c>
      <c r="E22" s="36">
        <f>VLOOKUP(A22,'II-PO'!$A$18:$M$295,13,0)</f>
        <v>59517.99</v>
      </c>
      <c r="F22" s="58">
        <f t="shared" si="0"/>
        <v>4.9431097126864873E-2</v>
      </c>
      <c r="G22" s="59">
        <f t="shared" si="1"/>
        <v>0.30559772262447477</v>
      </c>
      <c r="H22" s="117" t="str">
        <f t="shared" si="2"/>
        <v>A</v>
      </c>
      <c r="Q22" s="20"/>
    </row>
    <row r="23" spans="1:19" s="1" customFormat="1" ht="60" x14ac:dyDescent="0.2">
      <c r="A23" s="96" t="s">
        <v>107</v>
      </c>
      <c r="B23" s="35" t="str">
        <f>VLOOKUP(A23,'II-PO'!$A$18:$M$295,5,0)</f>
        <v>ALVENARIA DE VEDAÇÃO DE BLOCOS CERÂMICOS FURADOS NA HORIZONTAL DE 9X19X29 CM (ESPESSURA 9 CM) E ARGAMASSA DE ASSENTAMENTO COM PREPARO EM BETONEIRA. AF_12/2021</v>
      </c>
      <c r="C23" s="36">
        <f>VLOOKUP(A23,'II-PO'!$A$18:$M$295,11,0)</f>
        <v>42011.85</v>
      </c>
      <c r="D23" s="36">
        <f>VLOOKUP(A23,'II-PO'!$A$18:$M$295,12,0)</f>
        <v>10586.739999999998</v>
      </c>
      <c r="E23" s="36">
        <f>VLOOKUP(A23,'II-PO'!$A$18:$M$295,13,0)</f>
        <v>52598.59</v>
      </c>
      <c r="F23" s="58">
        <f t="shared" si="0"/>
        <v>4.368437191891298E-2</v>
      </c>
      <c r="G23" s="59">
        <f t="shared" si="1"/>
        <v>0.34928209454338777</v>
      </c>
      <c r="H23" s="117" t="str">
        <f t="shared" si="2"/>
        <v>A</v>
      </c>
      <c r="Q23" s="20"/>
    </row>
    <row r="24" spans="1:19" s="1" customFormat="1" ht="75" x14ac:dyDescent="0.2">
      <c r="A24" s="96" t="s">
        <v>444</v>
      </c>
      <c r="B24" s="35" t="str">
        <f>VLOOKUP(A24,'II-PO'!$A$18:$M$295,5,0)</f>
        <v>FABRICAÇÃO E INSTALAÇÃO DE MEIA TESOURA DE MADEIRA NÃO APARELHADA, COM VÃO DE 12 M, PARA TELHA ONDULADA DE FIBROCIMENTO, ALUMÍNIO, PLÁSTICA OU TERMOACÚSTICA, INCLUSO IÇAMENTO. AF_07/2019</v>
      </c>
      <c r="C24" s="36">
        <f>VLOOKUP(A24,'II-PO'!$A$18:$M$295,11,0)</f>
        <v>38838.67</v>
      </c>
      <c r="D24" s="36">
        <f>VLOOKUP(A24,'II-PO'!$A$18:$M$295,12,0)</f>
        <v>9787.3100000000049</v>
      </c>
      <c r="E24" s="36">
        <f>VLOOKUP(A24,'II-PO'!$A$18:$M$295,13,0)</f>
        <v>48625.98</v>
      </c>
      <c r="F24" s="58">
        <f t="shared" si="0"/>
        <v>4.0385025439686202E-2</v>
      </c>
      <c r="G24" s="59">
        <f t="shared" si="1"/>
        <v>0.38966711998307396</v>
      </c>
      <c r="H24" s="117" t="str">
        <f t="shared" si="2"/>
        <v>A</v>
      </c>
      <c r="Q24" s="20"/>
    </row>
    <row r="25" spans="1:19" s="1" customFormat="1" ht="45" x14ac:dyDescent="0.2">
      <c r="A25" s="96" t="s">
        <v>429</v>
      </c>
      <c r="B25" s="35" t="str">
        <f>VLOOKUP(A25,'II-PO'!$A$18:$M$295,5,0)</f>
        <v>FORRO EM DRYWALL, PARA AMBIENTES COMERCIAIS, INCLUSIVE ESTRUTURA BIRECIONAL DE FIXAÇÃO. AF_08/2023_PS</v>
      </c>
      <c r="C25" s="36">
        <f>VLOOKUP(A25,'II-PO'!$A$18:$M$295,11,0)</f>
        <v>31502.21</v>
      </c>
      <c r="D25" s="36">
        <f>VLOOKUP(A25,'II-PO'!$A$18:$M$295,12,0)</f>
        <v>7935.3300000000017</v>
      </c>
      <c r="E25" s="36">
        <f>VLOOKUP(A25,'II-PO'!$A$18:$M$295,13,0)</f>
        <v>39437.54</v>
      </c>
      <c r="F25" s="58">
        <f t="shared" si="0"/>
        <v>3.2753808893489493E-2</v>
      </c>
      <c r="G25" s="59">
        <f t="shared" si="1"/>
        <v>0.42242092887656346</v>
      </c>
      <c r="H25" s="117" t="str">
        <f t="shared" si="2"/>
        <v>A</v>
      </c>
      <c r="Q25" s="20"/>
    </row>
    <row r="26" spans="1:19" s="1" customFormat="1" ht="60" x14ac:dyDescent="0.2">
      <c r="A26" s="96" t="s">
        <v>251</v>
      </c>
      <c r="B26" s="35" t="str">
        <f>VLOOKUP(A26,'II-PO'!$A$18:$M$295,5,0)</f>
        <v>ESTACA BROCA DE CONCRETO, DIÂMETRO DE 30CM, ESCAVAÇÃO MANUAL COM TRADO CONCHA, SEM ARMADURA DE ARRANQUE. AF_05/2020 (REF.: SINAPI 101175)</v>
      </c>
      <c r="C26" s="36">
        <f>VLOOKUP(A26,'II-PO'!$A$18:$M$295,11,0)</f>
        <v>27861.119999999999</v>
      </c>
      <c r="D26" s="36">
        <f>VLOOKUP(A26,'II-PO'!$A$18:$M$295,12,0)</f>
        <v>7020.7199999999975</v>
      </c>
      <c r="E26" s="36">
        <f>VLOOKUP(A26,'II-PO'!$A$18:$M$295,13,0)</f>
        <v>34881.839999999997</v>
      </c>
      <c r="F26" s="58">
        <f t="shared" si="0"/>
        <v>2.8970192390632817E-2</v>
      </c>
      <c r="G26" s="59">
        <f t="shared" si="1"/>
        <v>0.45139112126719627</v>
      </c>
      <c r="H26" s="117" t="str">
        <f t="shared" si="2"/>
        <v>A</v>
      </c>
      <c r="Q26" s="20"/>
    </row>
    <row r="27" spans="1:19" s="1" customFormat="1" ht="45" x14ac:dyDescent="0.2">
      <c r="A27" s="96" t="s">
        <v>423</v>
      </c>
      <c r="B27" s="35" t="str">
        <f>VLOOKUP(A27,'II-PO'!$A$18:$M$295,5,0)</f>
        <v>EMASSAMENTO COM MASSA LÁTEX, APLICAÇÃO EM PAREDE, DUAS DEMÃOS, LIXAMENTO MANUAL. AF_04/2023</v>
      </c>
      <c r="C27" s="36">
        <f>VLOOKUP(A27,'II-PO'!$A$18:$M$295,11,0)</f>
        <v>26466.37</v>
      </c>
      <c r="D27" s="36">
        <f>VLOOKUP(A27,'II-PO'!$A$18:$M$295,12,0)</f>
        <v>6659.66</v>
      </c>
      <c r="E27" s="36">
        <f>VLOOKUP(A27,'II-PO'!$A$18:$M$295,13,0)</f>
        <v>33126.03</v>
      </c>
      <c r="F27" s="58">
        <f t="shared" si="0"/>
        <v>2.7511950695200554E-2</v>
      </c>
      <c r="G27" s="59">
        <f t="shared" si="1"/>
        <v>0.47890307196239684</v>
      </c>
      <c r="H27" s="117" t="str">
        <f t="shared" si="2"/>
        <v>A</v>
      </c>
      <c r="Q27" s="20"/>
    </row>
    <row r="28" spans="1:19" s="1" customFormat="1" ht="45" x14ac:dyDescent="0.2">
      <c r="A28" s="96" t="s">
        <v>347</v>
      </c>
      <c r="B28" s="35" t="str">
        <f>VLOOKUP(A28,'II-PO'!$A$18:$M$295,5,0)</f>
        <v>PISO CIMENTADO, TRAÇO 1:3 (CIMENTO E AREIA), ACABAMENTO LISO, ESPESSURA 4,0 CM, PREPARO MECÂNICO DA ARGAMASSA. AF_09/2020</v>
      </c>
      <c r="C28" s="36">
        <f>VLOOKUP(A28,'II-PO'!$A$18:$M$295,11,0)</f>
        <v>25838.54</v>
      </c>
      <c r="D28" s="36">
        <f>VLOOKUP(A28,'II-PO'!$A$18:$M$295,12,0)</f>
        <v>6509.4599999999991</v>
      </c>
      <c r="E28" s="36">
        <f>VLOOKUP(A28,'II-PO'!$A$18:$M$295,13,0)</f>
        <v>32348</v>
      </c>
      <c r="F28" s="58">
        <f t="shared" si="0"/>
        <v>2.6865778395067191E-2</v>
      </c>
      <c r="G28" s="59">
        <f t="shared" si="1"/>
        <v>0.50576885035746399</v>
      </c>
      <c r="H28" s="117" t="str">
        <f t="shared" si="2"/>
        <v>A</v>
      </c>
      <c r="Q28" s="20"/>
    </row>
    <row r="29" spans="1:19" s="1" customFormat="1" ht="60" x14ac:dyDescent="0.2">
      <c r="A29" s="96" t="s">
        <v>397</v>
      </c>
      <c r="B29" s="35" t="str">
        <f>VLOOKUP(A29,'II-PO'!$A$18:$M$295,5,0)</f>
        <v>EMBOÇO, EM ARGAMASSA TRAÇO 1:2:8, PREPARO MECÂNICO, APLICADO MANUALMENTE EM PAREDES INTERNAS DE AMBIENTES COM ÁREA MAIOR QUE 10M², E = 17,5MM, COM TALISCAS. AF_03/2024</v>
      </c>
      <c r="C29" s="36">
        <f>VLOOKUP(A29,'II-PO'!$A$18:$M$295,11,0)</f>
        <v>25835.97</v>
      </c>
      <c r="D29" s="36">
        <f>VLOOKUP(A29,'II-PO'!$A$18:$M$295,12,0)</f>
        <v>6503.5599999999977</v>
      </c>
      <c r="E29" s="36">
        <f>VLOOKUP(A29,'II-PO'!$A$18:$M$295,13,0)</f>
        <v>32339.53</v>
      </c>
      <c r="F29" s="58">
        <f t="shared" si="0"/>
        <v>2.6858743859917992E-2</v>
      </c>
      <c r="G29" s="59">
        <f t="shared" si="1"/>
        <v>0.53262759421738204</v>
      </c>
      <c r="H29" s="117" t="str">
        <f t="shared" si="2"/>
        <v>A</v>
      </c>
      <c r="Q29" s="20"/>
    </row>
    <row r="30" spans="1:19" s="1" customFormat="1" ht="60" x14ac:dyDescent="0.2">
      <c r="A30" s="96" t="s">
        <v>599</v>
      </c>
      <c r="B30" s="35" t="str">
        <f>VLOOKUP(A30,'II-PO'!$A$18:$M$295,5,0)</f>
        <v>MONTAGEM E DESMONTAGEM DE FÔRMA DE VIGA, ESCORAMENTO COM GARFO DE MADEIRA, PÉ-DIREITO SIMPLES, EM CHAPA DE MADEIRA PLASTIFICADA, 18 UTILIZAÇÕES. AF_09/2020</v>
      </c>
      <c r="C30" s="36">
        <f>VLOOKUP(A30,'II-PO'!$A$18:$M$295,11,0)</f>
        <v>22752.16</v>
      </c>
      <c r="D30" s="36">
        <f>VLOOKUP(A30,'II-PO'!$A$18:$M$295,12,0)</f>
        <v>5733.5099999999984</v>
      </c>
      <c r="E30" s="36">
        <f>VLOOKUP(A30,'II-PO'!$A$18:$M$295,13,0)</f>
        <v>28485.67</v>
      </c>
      <c r="F30" s="58">
        <f t="shared" si="0"/>
        <v>2.3658022061797131E-2</v>
      </c>
      <c r="G30" s="59">
        <f t="shared" si="1"/>
        <v>0.55628561627917916</v>
      </c>
      <c r="H30" s="117" t="str">
        <f t="shared" si="2"/>
        <v>A</v>
      </c>
      <c r="Q30" s="20"/>
    </row>
    <row r="31" spans="1:19" s="1" customFormat="1" ht="75" x14ac:dyDescent="0.2">
      <c r="A31" s="96" t="s">
        <v>399</v>
      </c>
      <c r="B31" s="35" t="str">
        <f>VLOOKUP(A31,'II-PO'!$A$18:$M$295,5,0)</f>
        <v>EMBOÇO OU MASSA ÚNICA EM ARGAMASSA TRAÇO 1:2:8, PREPARO MECÂNICA COM BETONEIRA 400 L, APLICADA MANUALMENTE EM PANOS DE FACHADA COM PRESENÇA DE VÃOS, ESPESSURA DE 35 MM, ACESSO POR ANDAIME. AF_08/2022</v>
      </c>
      <c r="C31" s="36">
        <f>VLOOKUP(A31,'II-PO'!$A$18:$M$295,11,0)</f>
        <v>21650.98</v>
      </c>
      <c r="D31" s="36">
        <f>VLOOKUP(A31,'II-PO'!$A$18:$M$295,12,0)</f>
        <v>5454.25</v>
      </c>
      <c r="E31" s="36">
        <f>VLOOKUP(A31,'II-PO'!$A$18:$M$295,13,0)</f>
        <v>27105.23</v>
      </c>
      <c r="F31" s="58">
        <f t="shared" si="0"/>
        <v>2.2511534021495208E-2</v>
      </c>
      <c r="G31" s="59">
        <f t="shared" si="1"/>
        <v>0.57879715030067436</v>
      </c>
      <c r="H31" s="117" t="str">
        <f t="shared" si="2"/>
        <v>A</v>
      </c>
      <c r="Q31" s="20"/>
    </row>
    <row r="32" spans="1:19" s="1" customFormat="1" ht="30" x14ac:dyDescent="0.2">
      <c r="A32" s="96" t="s">
        <v>425</v>
      </c>
      <c r="B32" s="35" t="str">
        <f>VLOOKUP(A32,'II-PO'!$A$18:$M$295,5,0)</f>
        <v>PINTURA LÁTEX ACRÍLICA PREMIUM, APLICAÇÃO MANUAL EM PAREDES, DUAS DEMÃOS. AF_04/2023</v>
      </c>
      <c r="C32" s="36">
        <f>VLOOKUP(A32,'II-PO'!$A$18:$M$295,11,0)</f>
        <v>20179.89</v>
      </c>
      <c r="D32" s="36">
        <f>VLOOKUP(A32,'II-PO'!$A$18:$M$295,12,0)</f>
        <v>5080.8600000000006</v>
      </c>
      <c r="E32" s="36">
        <f>VLOOKUP(A32,'II-PO'!$A$18:$M$295,13,0)</f>
        <v>25260.75</v>
      </c>
      <c r="F32" s="58">
        <f t="shared" si="0"/>
        <v>2.0979649795758424E-2</v>
      </c>
      <c r="G32" s="59">
        <f t="shared" si="1"/>
        <v>0.59977680009643275</v>
      </c>
      <c r="H32" s="117" t="str">
        <f t="shared" si="2"/>
        <v>A</v>
      </c>
      <c r="Q32" s="20"/>
    </row>
    <row r="33" spans="1:17" s="1" customFormat="1" ht="75" x14ac:dyDescent="0.2">
      <c r="A33" s="96" t="s">
        <v>427</v>
      </c>
      <c r="B33" s="35" t="str">
        <f>VLOOKUP(A33,'II-PO'!$A$18:$M$295,5,0)</f>
        <v>TRAMA DE AÇO COMPOSTA POR TERÇAS PARA TELHADOS DE ATÉ 2 ÁGUAS PARA TELHA ONDULADA DE FIBROCIMENTO, METÁLICA, PLÁSTICA OU TERMOACÚSTICA, INCLUSO TRANSPORTE VERTICAL. AF_07/2019</v>
      </c>
      <c r="C33" s="36">
        <f>VLOOKUP(A33,'II-PO'!$A$18:$M$295,11,0)</f>
        <v>17735.740000000002</v>
      </c>
      <c r="D33" s="36">
        <f>VLOOKUP(A33,'II-PO'!$A$18:$M$295,12,0)</f>
        <v>4469.2299999999996</v>
      </c>
      <c r="E33" s="36">
        <f>VLOOKUP(A33,'II-PO'!$A$18:$M$295,13,0)</f>
        <v>22204.97</v>
      </c>
      <c r="F33" s="58">
        <f t="shared" si="0"/>
        <v>1.8441752296559762E-2</v>
      </c>
      <c r="G33" s="59">
        <f t="shared" si="1"/>
        <v>0.6182185523929925</v>
      </c>
      <c r="H33" s="117" t="str">
        <f t="shared" si="2"/>
        <v>A</v>
      </c>
      <c r="Q33" s="20"/>
    </row>
    <row r="34" spans="1:17" s="1" customFormat="1" ht="90" x14ac:dyDescent="0.2">
      <c r="A34" s="96" t="s">
        <v>413</v>
      </c>
      <c r="B34" s="35" t="str">
        <f>VLOOKUP(A34,'II-PO'!$A$18:$M$295,5,0)</f>
        <v>KIT DE PORTA DE MADEIRA PARA PINTURA, SEMI-OCA (LEVE OU MÉDIA), PADRÃO MÉDIO, 90X210CM, ESPESSURA DE 3,5CM, ITENS INCLUSOS: DOBRADIÇAS, MONTAGEM E INSTALAÇÃO DO BATENTE, FECHADURA COM EXECUÇÃO DO FURO - FORNECIMENTO E INSTALAÇÃO. AF_12/2019</v>
      </c>
      <c r="C34" s="36">
        <f>VLOOKUP(A34,'II-PO'!$A$18:$M$295,11,0)</f>
        <v>14248.68</v>
      </c>
      <c r="D34" s="36">
        <f>VLOOKUP(A34,'II-PO'!$A$18:$M$295,12,0)</f>
        <v>3590.6399999999994</v>
      </c>
      <c r="E34" s="36">
        <f>VLOOKUP(A34,'II-PO'!$A$18:$M$295,13,0)</f>
        <v>17839.32</v>
      </c>
      <c r="F34" s="58">
        <f t="shared" si="0"/>
        <v>1.4815976809654074E-2</v>
      </c>
      <c r="G34" s="59">
        <f t="shared" si="1"/>
        <v>0.63303452920264658</v>
      </c>
      <c r="H34" s="117" t="str">
        <f t="shared" si="2"/>
        <v>A</v>
      </c>
      <c r="Q34" s="20"/>
    </row>
    <row r="35" spans="1:17" s="1" customFormat="1" ht="90" x14ac:dyDescent="0.2">
      <c r="A35" s="96" t="s">
        <v>410</v>
      </c>
      <c r="B35" s="35" t="str">
        <f>VLOOKUP(A35,'II-PO'!$A$18:$M$295,5,0)</f>
        <v>JANELA DE AÇO DE CORRER COM 4 FOLHAS PARA VIDRO (VIDROS NÃO INCLUSOS), BATENTE/ REQUADRO INCLUSO (6 A 14 CM), FIXAÇÃO COM ARGAMASSA, COM PINTURA ANTICORROSIVA, COM FERRAGENS, FIXAÇÃO COM ARGAMASSA, EXCLUSIVE CONTRAMARCO - FORNECIMENTO E INSTALAÇÃO. AF_11/2024</v>
      </c>
      <c r="C35" s="36">
        <f>VLOOKUP(A35,'II-PO'!$A$18:$M$295,11,0)</f>
        <v>12801.44</v>
      </c>
      <c r="D35" s="36">
        <f>VLOOKUP(A35,'II-PO'!$A$18:$M$295,12,0)</f>
        <v>3225.8199999999997</v>
      </c>
      <c r="E35" s="36">
        <f>VLOOKUP(A35,'II-PO'!$A$18:$M$295,13,0)</f>
        <v>16027.26</v>
      </c>
      <c r="F35" s="58">
        <f t="shared" si="0"/>
        <v>1.3311018160013743E-2</v>
      </c>
      <c r="G35" s="59">
        <f t="shared" si="1"/>
        <v>0.64634554736266037</v>
      </c>
      <c r="H35" s="117" t="str">
        <f t="shared" si="2"/>
        <v>A</v>
      </c>
      <c r="Q35" s="20"/>
    </row>
    <row r="36" spans="1:17" s="1" customFormat="1" ht="75" x14ac:dyDescent="0.2">
      <c r="A36" s="96" t="s">
        <v>99</v>
      </c>
      <c r="B36" s="35" t="str">
        <f>VLOOKUP(A36,'II-PO'!$A$18:$M$295,5,0)</f>
        <v>LOCAÇÃO DE CONTAINER COM REVESTIMENTO INTERNO, PARA ESCRITÓRIO SEM SANITÁRIOS 6,00 X 2,40 M, INCLUSIVE APARELHO DE AR CONDICIONADO E MOBILIÁRIO (EXCLUSO MOBILIZAÇÃO / DESMOBILIZAÇÃO)</v>
      </c>
      <c r="C36" s="36">
        <f>VLOOKUP(A36,'II-PO'!$A$18:$M$295,11,0)</f>
        <v>11822.95</v>
      </c>
      <c r="D36" s="36">
        <f>VLOOKUP(A36,'II-PO'!$A$18:$M$295,12,0)</f>
        <v>2979.3499999999985</v>
      </c>
      <c r="E36" s="36">
        <f>VLOOKUP(A36,'II-PO'!$A$18:$M$295,13,0)</f>
        <v>14802.3</v>
      </c>
      <c r="F36" s="58">
        <f t="shared" si="0"/>
        <v>1.2293659933761069E-2</v>
      </c>
      <c r="G36" s="59">
        <f t="shared" si="1"/>
        <v>0.65863920729642145</v>
      </c>
      <c r="H36" s="117" t="str">
        <f t="shared" si="2"/>
        <v>A</v>
      </c>
      <c r="Q36" s="20"/>
    </row>
    <row r="37" spans="1:17" s="1" customFormat="1" ht="60" x14ac:dyDescent="0.2">
      <c r="A37" s="96" t="s">
        <v>592</v>
      </c>
      <c r="B37" s="35" t="str">
        <f>VLOOKUP(A37,'II-PO'!$A$18:$M$295,5,0)</f>
        <v>MONTAGEM E DESMONTAGEM DE FÔRMA DE PILARES RETANGULARES E ESTRUTURAS SIMILARES, PÉ-DIREITO SIMPLES, EM CHAPA DE MADEIRA COMPENSADA RESINADA, 8 UTILIZAÇÕES. AF_09/2020</v>
      </c>
      <c r="C37" s="36">
        <f>VLOOKUP(A37,'II-PO'!$A$18:$M$295,11,0)</f>
        <v>11122.69</v>
      </c>
      <c r="D37" s="36">
        <f>VLOOKUP(A37,'II-PO'!$A$18:$M$295,12,0)</f>
        <v>2801.6899999999987</v>
      </c>
      <c r="E37" s="36">
        <f>VLOOKUP(A37,'II-PO'!$A$18:$M$295,13,0)</f>
        <v>13924.38</v>
      </c>
      <c r="F37" s="58">
        <f t="shared" si="0"/>
        <v>1.1564526628190481E-2</v>
      </c>
      <c r="G37" s="59">
        <f t="shared" si="1"/>
        <v>0.67020373392461197</v>
      </c>
      <c r="H37" s="117" t="str">
        <f t="shared" si="2"/>
        <v>A</v>
      </c>
      <c r="Q37" s="20"/>
    </row>
    <row r="38" spans="1:17" s="1" customFormat="1" ht="30" x14ac:dyDescent="0.2">
      <c r="A38" s="96" t="s">
        <v>403</v>
      </c>
      <c r="B38" s="35" t="str">
        <f>VLOOKUP(A38,'II-PO'!$A$18:$M$295,5,0)</f>
        <v>IMPERMEABILIZAÇÃO DE SUPERFÍCIE COM EMULSÃO ASFÁLTICA, 2 DEMÃOS. AF_09/2023</v>
      </c>
      <c r="C38" s="36">
        <f>VLOOKUP(A38,'II-PO'!$A$18:$M$295,11,0)</f>
        <v>11059.03</v>
      </c>
      <c r="D38" s="36">
        <f>VLOOKUP(A38,'II-PO'!$A$18:$M$295,12,0)</f>
        <v>2786.5299999999988</v>
      </c>
      <c r="E38" s="36">
        <f>VLOOKUP(A38,'II-PO'!$A$18:$M$295,13,0)</f>
        <v>13845.56</v>
      </c>
      <c r="F38" s="58">
        <f t="shared" si="0"/>
        <v>1.1499064755645062E-2</v>
      </c>
      <c r="G38" s="59">
        <f t="shared" si="1"/>
        <v>0.68170279868025707</v>
      </c>
      <c r="H38" s="117" t="str">
        <f t="shared" si="2"/>
        <v>A</v>
      </c>
      <c r="Q38" s="20"/>
    </row>
    <row r="39" spans="1:17" s="1" customFormat="1" ht="45" x14ac:dyDescent="0.2">
      <c r="A39" s="96" t="s">
        <v>317</v>
      </c>
      <c r="B39" s="35" t="str">
        <f>VLOOKUP(A39,'II-PO'!$A$18:$M$295,5,0)</f>
        <v>FABRICAÇÃO, MONTAGEM E DESMONTAGEM DE FÔRMA PARA VIGA BALDRAME, EM MADEIRA SERRADA, E=25 MM, 4 UTILIZAÇÕES. AF_01/2024</v>
      </c>
      <c r="C39" s="36">
        <f>VLOOKUP(A39,'II-PO'!$A$18:$M$295,11,0)</f>
        <v>11047.55</v>
      </c>
      <c r="D39" s="36">
        <f>VLOOKUP(A39,'II-PO'!$A$18:$M$295,12,0)</f>
        <v>2782.5500000000011</v>
      </c>
      <c r="E39" s="36">
        <f>VLOOKUP(A39,'II-PO'!$A$18:$M$295,13,0)</f>
        <v>13830.1</v>
      </c>
      <c r="F39" s="58">
        <f t="shared" si="0"/>
        <v>1.148622486031961E-2</v>
      </c>
      <c r="G39" s="59">
        <f t="shared" si="1"/>
        <v>0.69318902354057665</v>
      </c>
      <c r="H39" s="117" t="str">
        <f t="shared" si="2"/>
        <v>A</v>
      </c>
      <c r="Q39" s="20"/>
    </row>
    <row r="40" spans="1:17" s="1" customFormat="1" ht="30" x14ac:dyDescent="0.2">
      <c r="A40" s="96" t="s">
        <v>434</v>
      </c>
      <c r="B40" s="35" t="str">
        <f>VLOOKUP(A40,'II-PO'!$A$18:$M$295,5,0)</f>
        <v>ACABAMENTOS PARA FORRO (MOLDURA EM DRYWALL, COM LARGURA DE 15 CM). AF_08/2023_PS</v>
      </c>
      <c r="C40" s="36">
        <f>VLOOKUP(A40,'II-PO'!$A$18:$M$295,11,0)</f>
        <v>10924.25</v>
      </c>
      <c r="D40" s="36">
        <f>VLOOKUP(A40,'II-PO'!$A$18:$M$295,12,0)</f>
        <v>2750.1000000000004</v>
      </c>
      <c r="E40" s="36">
        <f>VLOOKUP(A40,'II-PO'!$A$18:$M$295,13,0)</f>
        <v>13674.35</v>
      </c>
      <c r="F40" s="58">
        <f t="shared" si="0"/>
        <v>1.1356870804890165E-2</v>
      </c>
      <c r="G40" s="59">
        <f t="shared" si="1"/>
        <v>0.70454589434546677</v>
      </c>
      <c r="H40" s="117" t="str">
        <f t="shared" si="2"/>
        <v>B</v>
      </c>
      <c r="Q40" s="20"/>
    </row>
    <row r="41" spans="1:17" s="1" customFormat="1" ht="45" x14ac:dyDescent="0.2">
      <c r="A41" s="96" t="s">
        <v>597</v>
      </c>
      <c r="B41" s="35" t="str">
        <f>VLOOKUP(A41,'II-PO'!$A$18:$M$295,5,0)</f>
        <v>CONCRETO FCK = 25MPA, TRAÇO 1:2,3:2,7 (EM MASSA SECA DE CIMENTO/ AREIA MÉDIA/ BRITA 1) - PREPARO MECÂNICO COM BETONEIRA 600 L. AF_05/2021</v>
      </c>
      <c r="C41" s="36">
        <f>VLOOKUP(A41,'II-PO'!$A$18:$M$295,11,0)</f>
        <v>10782.36</v>
      </c>
      <c r="D41" s="36">
        <f>VLOOKUP(A41,'II-PO'!$A$18:$M$295,12,0)</f>
        <v>2716.99</v>
      </c>
      <c r="E41" s="36">
        <f>VLOOKUP(A41,'II-PO'!$A$18:$M$295,13,0)</f>
        <v>13499.35</v>
      </c>
      <c r="F41" s="58">
        <f t="shared" si="0"/>
        <v>1.1211529169576181E-2</v>
      </c>
      <c r="G41" s="59">
        <f t="shared" si="1"/>
        <v>0.7157574235150429</v>
      </c>
      <c r="H41" s="117" t="str">
        <f t="shared" si="2"/>
        <v>B</v>
      </c>
      <c r="Q41" s="20"/>
    </row>
    <row r="42" spans="1:17" s="1" customFormat="1" ht="60" x14ac:dyDescent="0.2">
      <c r="A42" s="96" t="s">
        <v>396</v>
      </c>
      <c r="B42" s="35" t="str">
        <f>VLOOKUP(A42,'II-PO'!$A$18:$M$295,5,0)</f>
        <v>EMBOÇO, EM ARGAMASSA TRAÇO 1:2:8, PREPARO MECÂNICO, APLICADO MANUALMENTE EM PAREDES INTERNAS DE AMBIENTES COM ÁREA ENTRE 5M² E 10M², E = 17,5MM, COM TALISCAS. AF_03/2024</v>
      </c>
      <c r="C42" s="36">
        <f>VLOOKUP(A42,'II-PO'!$A$18:$M$295,11,0)</f>
        <v>10189.85</v>
      </c>
      <c r="D42" s="36">
        <f>VLOOKUP(A42,'II-PO'!$A$18:$M$295,12,0)</f>
        <v>2567</v>
      </c>
      <c r="E42" s="36">
        <f>VLOOKUP(A42,'II-PO'!$A$18:$M$295,13,0)</f>
        <v>12756.85</v>
      </c>
      <c r="F42" s="58">
        <f t="shared" si="0"/>
        <v>1.0594865374029705E-2</v>
      </c>
      <c r="G42" s="59">
        <f t="shared" si="1"/>
        <v>0.72635228888907255</v>
      </c>
      <c r="H42" s="117" t="str">
        <f t="shared" si="2"/>
        <v>B</v>
      </c>
      <c r="Q42" s="20"/>
    </row>
    <row r="43" spans="1:17" s="1" customFormat="1" ht="30" x14ac:dyDescent="0.2">
      <c r="A43" s="96" t="s">
        <v>430</v>
      </c>
      <c r="B43" s="35" t="str">
        <f>VLOOKUP(A43,'II-PO'!$A$18:$M$295,5,0)</f>
        <v>EMASSAMENTO COM MASSA LÁTEX, APLICAÇÃO EM TETO, UMA DEMÃO, LIXAMENTO MANUAL. AF_04/2023</v>
      </c>
      <c r="C43" s="36">
        <f>VLOOKUP(A43,'II-PO'!$A$18:$M$295,11,0)</f>
        <v>10083.01</v>
      </c>
      <c r="D43" s="36">
        <f>VLOOKUP(A43,'II-PO'!$A$18:$M$295,12,0)</f>
        <v>2537.3600000000006</v>
      </c>
      <c r="E43" s="36">
        <f>VLOOKUP(A43,'II-PO'!$A$18:$M$295,13,0)</f>
        <v>12620.37</v>
      </c>
      <c r="F43" s="58">
        <f t="shared" si="0"/>
        <v>1.0481515508957404E-2</v>
      </c>
      <c r="G43" s="59">
        <f t="shared" si="1"/>
        <v>0.73683380439802992</v>
      </c>
      <c r="H43" s="117" t="str">
        <f t="shared" si="2"/>
        <v>B</v>
      </c>
      <c r="Q43" s="20"/>
    </row>
    <row r="44" spans="1:17" s="1" customFormat="1" ht="45" x14ac:dyDescent="0.2">
      <c r="A44" s="96" t="s">
        <v>345</v>
      </c>
      <c r="B44" s="35" t="str">
        <f>VLOOKUP(A44,'II-PO'!$A$18:$M$295,5,0)</f>
        <v>LASTRO DE CONCRETO MAGRO, APLICADO EM PISOS, LAJES SOBRE SOLO OU RADIERS, ESPESSURA DE 3 CM. AF_01/2024</v>
      </c>
      <c r="C44" s="36">
        <f>VLOOKUP(A44,'II-PO'!$A$18:$M$295,11,0)</f>
        <v>9263.7900000000009</v>
      </c>
      <c r="D44" s="36">
        <f>VLOOKUP(A44,'II-PO'!$A$18:$M$295,12,0)</f>
        <v>2333.66</v>
      </c>
      <c r="E44" s="36">
        <f>VLOOKUP(A44,'II-PO'!$A$18:$M$295,13,0)</f>
        <v>11597.45</v>
      </c>
      <c r="F44" s="58">
        <f t="shared" si="0"/>
        <v>9.631956276983801E-3</v>
      </c>
      <c r="G44" s="59">
        <f t="shared" si="1"/>
        <v>0.74646576067501369</v>
      </c>
      <c r="H44" s="117" t="str">
        <f t="shared" si="2"/>
        <v>B</v>
      </c>
      <c r="Q44" s="20"/>
    </row>
    <row r="45" spans="1:17" s="1" customFormat="1" ht="30" x14ac:dyDescent="0.2">
      <c r="A45" s="96" t="s">
        <v>431</v>
      </c>
      <c r="B45" s="35" t="str">
        <f>VLOOKUP(A45,'II-PO'!$A$18:$M$295,5,0)</f>
        <v>PINTURA LÁTEX ACRÍLICA PREMIUM, APLICAÇÃO MANUAL EM TETO, DUAS DEMÃOS. AF_04/2023</v>
      </c>
      <c r="C45" s="36">
        <f>VLOOKUP(A45,'II-PO'!$A$18:$M$295,11,0)</f>
        <v>7395.09</v>
      </c>
      <c r="D45" s="36">
        <f>VLOOKUP(A45,'II-PO'!$A$18:$M$295,12,0)</f>
        <v>1859.8400000000001</v>
      </c>
      <c r="E45" s="36">
        <f>VLOOKUP(A45,'II-PO'!$A$18:$M$295,13,0)</f>
        <v>9254.93</v>
      </c>
      <c r="F45" s="58">
        <f t="shared" si="0"/>
        <v>7.6864380623797206E-3</v>
      </c>
      <c r="G45" s="59">
        <f t="shared" si="1"/>
        <v>0.75415219873739336</v>
      </c>
      <c r="H45" s="117" t="str">
        <f t="shared" si="2"/>
        <v>B</v>
      </c>
      <c r="Q45" s="20"/>
    </row>
    <row r="46" spans="1:17" s="1" customFormat="1" ht="60" x14ac:dyDescent="0.2">
      <c r="A46" s="96" t="s">
        <v>680</v>
      </c>
      <c r="B46" s="35" t="str">
        <f>VLOOKUP(A46,'II-PO'!$A$18:$M$295,5,0)</f>
        <v>ELETRODUTO FLEXÍVEL CORRUGADO REFORÇADO, PVC, DN 25 MM (3/4"), PARA CIRCUITOS TERMINAIS, INSTALADO EM PAREDE - FORNECIMENTO E INSTALAÇÃO. AF_03/2023</v>
      </c>
      <c r="C46" s="36">
        <f>VLOOKUP(A46,'II-PO'!$A$18:$M$295,11,0)</f>
        <v>7245.89</v>
      </c>
      <c r="D46" s="36">
        <f>VLOOKUP(A46,'II-PO'!$A$18:$M$295,12,0)</f>
        <v>1820.29</v>
      </c>
      <c r="E46" s="36">
        <f>VLOOKUP(A46,'II-PO'!$A$18:$M$295,13,0)</f>
        <v>9066.18</v>
      </c>
      <c r="F46" s="58">
        <f t="shared" si="0"/>
        <v>7.5296767271482087E-3</v>
      </c>
      <c r="G46" s="59">
        <f t="shared" si="1"/>
        <v>0.76168187546454158</v>
      </c>
      <c r="H46" s="117" t="str">
        <f t="shared" si="2"/>
        <v>B</v>
      </c>
      <c r="Q46" s="20"/>
    </row>
    <row r="47" spans="1:17" s="1" customFormat="1" ht="45" x14ac:dyDescent="0.2">
      <c r="A47" s="96" t="s">
        <v>469</v>
      </c>
      <c r="B47" s="35" t="str">
        <f>VLOOKUP(A47,'II-PO'!$A$18:$M$295,5,0)</f>
        <v>CABO DE COBRE FLEXÍVEL ISOLADO, 2,5 MM², ANTI-CHAMA 450/750 V, PARA CIRCUITOS TERMINAIS - FORNECIMENTO E INSTALAÇÃO. AF_03/2023</v>
      </c>
      <c r="C47" s="36">
        <f>VLOOKUP(A47,'II-PO'!$A$18:$M$295,11,0)</f>
        <v>7123.54</v>
      </c>
      <c r="D47" s="36">
        <f>VLOOKUP(A47,'II-PO'!$A$18:$M$295,12,0)</f>
        <v>1788.6699999999992</v>
      </c>
      <c r="E47" s="36">
        <f>VLOOKUP(A47,'II-PO'!$A$18:$M$295,13,0)</f>
        <v>8912.2099999999991</v>
      </c>
      <c r="F47" s="58">
        <f t="shared" si="0"/>
        <v>7.4018010037808129E-3</v>
      </c>
      <c r="G47" s="59">
        <f t="shared" si="1"/>
        <v>0.76908367646832243</v>
      </c>
      <c r="H47" s="117" t="str">
        <f t="shared" si="2"/>
        <v>B</v>
      </c>
      <c r="Q47" s="20"/>
    </row>
    <row r="48" spans="1:17" s="1" customFormat="1" ht="30" x14ac:dyDescent="0.2">
      <c r="A48" s="96" t="s">
        <v>412</v>
      </c>
      <c r="B48" s="35" t="str">
        <f>VLOOKUP(A48,'II-PO'!$A$18:$M$295,5,0)</f>
        <v>INSTALAÇÃO DE VIDRO TEMPERADO, E = 10 MM, ENCAIXADO EM PERFIL U. AF_01/2021_PS</v>
      </c>
      <c r="C48" s="36">
        <f>VLOOKUP(A48,'II-PO'!$A$18:$M$295,11,0)</f>
        <v>6846.28</v>
      </c>
      <c r="D48" s="36">
        <f>VLOOKUP(A48,'II-PO'!$A$18:$M$295,12,0)</f>
        <v>1725.1999999999998</v>
      </c>
      <c r="E48" s="36">
        <f>VLOOKUP(A48,'II-PO'!$A$18:$M$295,13,0)</f>
        <v>8571.48</v>
      </c>
      <c r="F48" s="58">
        <f t="shared" si="0"/>
        <v>7.1188166872063344E-3</v>
      </c>
      <c r="G48" s="59">
        <f t="shared" si="1"/>
        <v>0.77620249315552881</v>
      </c>
      <c r="H48" s="117" t="str">
        <f t="shared" si="2"/>
        <v>B</v>
      </c>
      <c r="Q48" s="20"/>
    </row>
    <row r="49" spans="1:17" s="1" customFormat="1" ht="45" x14ac:dyDescent="0.2">
      <c r="A49" s="96" t="s">
        <v>598</v>
      </c>
      <c r="B49" s="35" t="str">
        <f>VLOOKUP(A49,'II-PO'!$A$18:$M$295,5,0)</f>
        <v>LANÇAMENTO COM USO DE BALDES, ADENSAMENTO E ACABAMENTO DE CONCRETO EM ESTRUTURAS. AF_02/2022</v>
      </c>
      <c r="C49" s="36">
        <f>VLOOKUP(A49,'II-PO'!$A$18:$M$295,11,0)</f>
        <v>6646.19</v>
      </c>
      <c r="D49" s="36">
        <f>VLOOKUP(A49,'II-PO'!$A$18:$M$295,12,0)</f>
        <v>1674.6600000000008</v>
      </c>
      <c r="E49" s="36">
        <f>VLOOKUP(A49,'II-PO'!$A$18:$M$295,13,0)</f>
        <v>8320.85</v>
      </c>
      <c r="F49" s="58">
        <f t="shared" si="0"/>
        <v>6.9106625497277986E-3</v>
      </c>
      <c r="G49" s="59">
        <f t="shared" si="1"/>
        <v>0.78311315570525664</v>
      </c>
      <c r="H49" s="117" t="str">
        <f t="shared" si="2"/>
        <v>B</v>
      </c>
      <c r="Q49" s="20"/>
    </row>
    <row r="50" spans="1:17" s="1" customFormat="1" ht="45" x14ac:dyDescent="0.2">
      <c r="A50" s="96" t="s">
        <v>100</v>
      </c>
      <c r="B50" s="35" t="str">
        <f>VLOOKUP(A50,'II-PO'!$A$18:$M$295,5,0)</f>
        <v>LOCAÇÃO DE CONTAINER SANITÁRIO MISTO 6,00 X 2,40 M, COM 3 VASOS, 6 CHUVEIROS, LAVATÓRIO E MICTÓRIO (EXCLUSO MOBILIZAÇÃO / DESMOBILIZAÇÃO)</v>
      </c>
      <c r="C50" s="36">
        <f>VLOOKUP(A50,'II-PO'!$A$18:$M$295,11,0)</f>
        <v>6629.75</v>
      </c>
      <c r="D50" s="36">
        <f>VLOOKUP(A50,'II-PO'!$A$18:$M$295,12,0)</f>
        <v>1670.6499999999996</v>
      </c>
      <c r="E50" s="36">
        <f>VLOOKUP(A50,'II-PO'!$A$18:$M$295,13,0)</f>
        <v>8300.4</v>
      </c>
      <c r="F50" s="58">
        <f t="shared" si="0"/>
        <v>6.8936783414868209E-3</v>
      </c>
      <c r="G50" s="59">
        <f t="shared" si="1"/>
        <v>0.79000683404674343</v>
      </c>
      <c r="H50" s="117" t="str">
        <f t="shared" si="2"/>
        <v>B</v>
      </c>
      <c r="Q50" s="20"/>
    </row>
    <row r="51" spans="1:17" s="1" customFormat="1" ht="45" x14ac:dyDescent="0.2">
      <c r="A51" s="96" t="s">
        <v>588</v>
      </c>
      <c r="B51" s="35" t="str">
        <f>VLOOKUP(A51,'II-PO'!$A$18:$M$295,5,0)</f>
        <v>ARMAÇÃO DE PILAR OU VIGA DE ESTRUTURA CONVENCIONAL DE CONCRETO ARMADO UTILIZANDO AÇO CA-50 DE 10,0 MM - MONTAGEM. AF_06/2022</v>
      </c>
      <c r="C51" s="36">
        <f>VLOOKUP(A51,'II-PO'!$A$18:$M$295,11,0)</f>
        <v>6120.25</v>
      </c>
      <c r="D51" s="36">
        <f>VLOOKUP(A51,'II-PO'!$A$18:$M$295,12,0)</f>
        <v>1539.3000000000002</v>
      </c>
      <c r="E51" s="36">
        <f>VLOOKUP(A51,'II-PO'!$A$18:$M$295,13,0)</f>
        <v>7659.55</v>
      </c>
      <c r="F51" s="58">
        <f t="shared" si="0"/>
        <v>6.361437272967012E-3</v>
      </c>
      <c r="G51" s="59">
        <f t="shared" si="1"/>
        <v>0.79636827131971044</v>
      </c>
      <c r="H51" s="117" t="str">
        <f t="shared" si="2"/>
        <v>B</v>
      </c>
      <c r="Q51" s="20"/>
    </row>
    <row r="52" spans="1:17" s="1" customFormat="1" ht="45" x14ac:dyDescent="0.2">
      <c r="A52" s="96" t="s">
        <v>283</v>
      </c>
      <c r="B52" s="35" t="str">
        <f>VLOOKUP(A52,'II-PO'!$A$18:$M$295,5,0)</f>
        <v>CONCRETO FCK = 25MPA, TRAÇO 1:2,3:2,7 (EM MASSA SECA DE CIMENTO/ AREIA MÉDIA/ BRITA 1) - PREPARO MECÂNICO COM BETONEIRA 600 L. AF_05/2021</v>
      </c>
      <c r="C52" s="36">
        <f>VLOOKUP(A52,'II-PO'!$A$18:$M$295,11,0)</f>
        <v>5820.47</v>
      </c>
      <c r="D52" s="36">
        <f>VLOOKUP(A52,'II-PO'!$A$18:$M$295,12,0)</f>
        <v>1466.67</v>
      </c>
      <c r="E52" s="36">
        <f>VLOOKUP(A52,'II-PO'!$A$18:$M$295,13,0)</f>
        <v>7287.14</v>
      </c>
      <c r="F52" s="58">
        <f t="shared" si="0"/>
        <v>6.0521419677825499E-3</v>
      </c>
      <c r="G52" s="59">
        <f t="shared" si="1"/>
        <v>0.80242041328749303</v>
      </c>
      <c r="H52" s="117" t="str">
        <f t="shared" si="2"/>
        <v>B</v>
      </c>
      <c r="Q52" s="20"/>
    </row>
    <row r="53" spans="1:17" s="1" customFormat="1" ht="60" x14ac:dyDescent="0.2">
      <c r="A53" s="96" t="s">
        <v>262</v>
      </c>
      <c r="B53" s="35" t="str">
        <f>VLOOKUP(A53,'II-PO'!$A$18:$M$295,5,0)</f>
        <v>LOCAÇÃO DE CONTAINER SEM REVESTIMENTO INTERNO PARA ALMOXARIFADO / DEPÓSITO 6,00 X 2,40 M, INCLUSIVE MOBILIÁRIO (EXCLUSO MOBILIZAÇÃO / DESMOBILIZAÇÃO)</v>
      </c>
      <c r="C53" s="36">
        <f>VLOOKUP(A53,'II-PO'!$A$18:$M$295,11,0)</f>
        <v>5676.3</v>
      </c>
      <c r="D53" s="36">
        <f>VLOOKUP(A53,'II-PO'!$A$18:$M$295,12,0)</f>
        <v>1430.3999999999996</v>
      </c>
      <c r="E53" s="36">
        <f>VLOOKUP(A53,'II-PO'!$A$18:$M$295,13,0)</f>
        <v>7106.7</v>
      </c>
      <c r="F53" s="58">
        <f t="shared" si="0"/>
        <v>5.9022822839193767E-3</v>
      </c>
      <c r="G53" s="59">
        <f t="shared" si="1"/>
        <v>0.80832269557141245</v>
      </c>
      <c r="H53" s="117" t="str">
        <f t="shared" si="2"/>
        <v>B</v>
      </c>
      <c r="Q53" s="20"/>
    </row>
    <row r="54" spans="1:17" s="1" customFormat="1" ht="45" x14ac:dyDescent="0.2">
      <c r="A54" s="96" t="s">
        <v>346</v>
      </c>
      <c r="B54" s="35" t="str">
        <f>VLOOKUP(A54,'II-PO'!$A$18:$M$295,5,0)</f>
        <v>LOCAÇÃO CONVENCIONAL DE OBRA, UTILIZANDO GABARITO DE TÁBUAS CORRIDAS PONTALETADAS A CADA 2,00M - 2 UTILIZAÇÕES. AF_03/2024</v>
      </c>
      <c r="C54" s="36">
        <f>VLOOKUP(A54,'II-PO'!$A$18:$M$295,11,0)</f>
        <v>5603.84</v>
      </c>
      <c r="D54" s="36">
        <f>VLOOKUP(A54,'II-PO'!$A$18:$M$295,12,0)</f>
        <v>1411.5199999999995</v>
      </c>
      <c r="E54" s="36">
        <f>VLOOKUP(A54,'II-PO'!$A$18:$M$295,13,0)</f>
        <v>7015.36</v>
      </c>
      <c r="F54" s="58">
        <f t="shared" si="0"/>
        <v>5.8264222555217803E-3</v>
      </c>
      <c r="G54" s="59">
        <f t="shared" si="1"/>
        <v>0.81414911782693422</v>
      </c>
      <c r="H54" s="117" t="str">
        <f t="shared" si="2"/>
        <v>B</v>
      </c>
      <c r="Q54" s="20"/>
    </row>
    <row r="55" spans="1:17" s="1" customFormat="1" ht="45" x14ac:dyDescent="0.2">
      <c r="A55" s="96" t="s">
        <v>692</v>
      </c>
      <c r="B55" s="35" t="str">
        <f>VLOOKUP(A55,'II-PO'!$A$18:$M$295,5,0)</f>
        <v>MUDA DE ARBUSTO FLORIFERO, CLUSIA/GARDENIA/MOREIA BRANCA/ AZALEIA OU EQUIVALENTE DA REGIAO, H= *50 A 70* CM</v>
      </c>
      <c r="C55" s="36">
        <f>VLOOKUP(A55,'II-PO'!$A$18:$M$295,11,0)</f>
        <v>5315.42</v>
      </c>
      <c r="D55" s="36">
        <f>VLOOKUP(A55,'II-PO'!$A$18:$M$295,12,0)</f>
        <v>1339.3999999999996</v>
      </c>
      <c r="E55" s="36">
        <f>VLOOKUP(A55,'II-PO'!$A$18:$M$295,13,0)</f>
        <v>6654.82</v>
      </c>
      <c r="F55" s="58">
        <f t="shared" si="0"/>
        <v>5.5269852658297583E-3</v>
      </c>
      <c r="G55" s="59">
        <f t="shared" si="1"/>
        <v>0.81967610309276395</v>
      </c>
      <c r="H55" s="117" t="str">
        <f t="shared" si="2"/>
        <v>B</v>
      </c>
      <c r="Q55" s="20"/>
    </row>
    <row r="56" spans="1:17" s="1" customFormat="1" ht="30" x14ac:dyDescent="0.2">
      <c r="A56" s="96" t="s">
        <v>516</v>
      </c>
      <c r="B56" s="35" t="str">
        <f>VLOOKUP(A56,'II-PO'!$A$18:$M$295,5,0)</f>
        <v>LIMPEZA DE SUPERFÍCIE COM JATO DE ALTA PRESSÃO. AF_04/2019</v>
      </c>
      <c r="C56" s="36">
        <f>VLOOKUP(A56,'II-PO'!$A$18:$M$295,11,0)</f>
        <v>5152.8999999999996</v>
      </c>
      <c r="D56" s="36">
        <f>VLOOKUP(A56,'II-PO'!$A$18:$M$295,12,0)</f>
        <v>1275.7200000000003</v>
      </c>
      <c r="E56" s="36">
        <f>VLOOKUP(A56,'II-PO'!$A$18:$M$295,13,0)</f>
        <v>6428.62</v>
      </c>
      <c r="F56" s="58">
        <f t="shared" si="0"/>
        <v>5.3391208206410544E-3</v>
      </c>
      <c r="G56" s="59">
        <f t="shared" si="1"/>
        <v>0.82501522391340498</v>
      </c>
      <c r="H56" s="117" t="str">
        <f t="shared" si="2"/>
        <v>B</v>
      </c>
      <c r="Q56" s="20"/>
    </row>
    <row r="57" spans="1:17" s="1" customFormat="1" ht="60" x14ac:dyDescent="0.2">
      <c r="A57" s="96" t="s">
        <v>384</v>
      </c>
      <c r="B57" s="35" t="str">
        <f>VLOOKUP(A57,'II-PO'!$A$18:$M$295,5,0)</f>
        <v>CHAPISCO APLICADO EM ALVENARIAS E ESTRUTURAS DE CONCRETO INTERNAS, COM COLHER DE PEDREIRO. ARGAMASSA TRAÇO 1:3 COM PREPARO EM BETONEIRA 400L. AF_10/2022</v>
      </c>
      <c r="C57" s="36">
        <f>VLOOKUP(A57,'II-PO'!$A$18:$M$295,11,0)</f>
        <v>5077.54</v>
      </c>
      <c r="D57" s="36">
        <f>VLOOKUP(A57,'II-PO'!$A$18:$M$295,12,0)</f>
        <v>1272.0299999999997</v>
      </c>
      <c r="E57" s="36">
        <f>VLOOKUP(A57,'II-PO'!$A$18:$M$295,13,0)</f>
        <v>6349.57</v>
      </c>
      <c r="F57" s="58">
        <f t="shared" si="0"/>
        <v>5.2734679276606519E-3</v>
      </c>
      <c r="G57" s="59">
        <f t="shared" si="1"/>
        <v>0.83028869184106568</v>
      </c>
      <c r="H57" s="117" t="str">
        <f t="shared" si="2"/>
        <v>B</v>
      </c>
      <c r="Q57" s="20"/>
    </row>
    <row r="58" spans="1:17" s="1" customFormat="1" ht="30" x14ac:dyDescent="0.2">
      <c r="A58" s="96" t="s">
        <v>419</v>
      </c>
      <c r="B58" s="35" t="str">
        <f>VLOOKUP(A58,'II-PO'!$A$18:$M$295,5,0)</f>
        <v>FUNDO SELADOR ACRÍLICO, APLICAÇÃO MANUAL EM PAREDE, UMA DEMÃO. AF_04/2023</v>
      </c>
      <c r="C58" s="36">
        <f>VLOOKUP(A58,'II-PO'!$A$18:$M$295,11,0)</f>
        <v>5045.74</v>
      </c>
      <c r="D58" s="36">
        <f>VLOOKUP(A58,'II-PO'!$A$18:$M$295,12,0)</f>
        <v>1261.4300000000003</v>
      </c>
      <c r="E58" s="36">
        <f>VLOOKUP(A58,'II-PO'!$A$18:$M$295,13,0)</f>
        <v>6307.17</v>
      </c>
      <c r="F58" s="58">
        <f t="shared" si="0"/>
        <v>5.2382537257331498E-3</v>
      </c>
      <c r="G58" s="59">
        <f t="shared" si="1"/>
        <v>0.83552694556679885</v>
      </c>
      <c r="H58" s="117" t="str">
        <f t="shared" si="2"/>
        <v>B</v>
      </c>
      <c r="Q58" s="20"/>
    </row>
    <row r="59" spans="1:17" s="1" customFormat="1" ht="45" x14ac:dyDescent="0.2">
      <c r="A59" s="96" t="s">
        <v>477</v>
      </c>
      <c r="B59" s="35" t="str">
        <f>VLOOKUP(A59,'II-PO'!$A$18:$M$295,5,0)</f>
        <v>CAIXA DE AREIA 40X40X80CM (MEDIDAS INTERNAS), FUNDO DE BRITA COM GRELHA METÁLICA FERRO CHATO PADRÃO GOINFRA</v>
      </c>
      <c r="C59" s="36">
        <f>VLOOKUP(A59,'II-PO'!$A$18:$M$295,11,0)</f>
        <v>4945</v>
      </c>
      <c r="D59" s="36">
        <f>VLOOKUP(A59,'II-PO'!$A$18:$M$295,12,0)</f>
        <v>1246.1000000000004</v>
      </c>
      <c r="E59" s="36">
        <f>VLOOKUP(A59,'II-PO'!$A$18:$M$295,13,0)</f>
        <v>6191.1</v>
      </c>
      <c r="F59" s="58">
        <f t="shared" si="0"/>
        <v>5.1418548479566124E-3</v>
      </c>
      <c r="G59" s="59">
        <f t="shared" si="1"/>
        <v>0.84066880041475545</v>
      </c>
      <c r="H59" s="117" t="str">
        <f t="shared" si="2"/>
        <v>B</v>
      </c>
      <c r="Q59" s="20"/>
    </row>
    <row r="60" spans="1:17" s="1" customFormat="1" ht="45" x14ac:dyDescent="0.2">
      <c r="A60" s="96" t="s">
        <v>279</v>
      </c>
      <c r="B60" s="35" t="str">
        <f>VLOOKUP(A60,'II-PO'!$A$18:$M$295,5,0)</f>
        <v>FABRICAÇÃO, MONTAGEM E DESMONTAGEM DE FÔRMA PARA BLOCO DE COROAMENTO, EM MADEIRA SERRADA, E=25 MM, 4 UTILIZAÇÕES. AF_01/2024</v>
      </c>
      <c r="C60" s="36">
        <f>VLOOKUP(A60,'II-PO'!$A$18:$M$295,11,0)</f>
        <v>4915.12</v>
      </c>
      <c r="D60" s="36">
        <f>VLOOKUP(A60,'II-PO'!$A$18:$M$295,12,0)</f>
        <v>1238.1599999999999</v>
      </c>
      <c r="E60" s="36">
        <f>VLOOKUP(A60,'II-PO'!$A$18:$M$295,13,0)</f>
        <v>6153.28</v>
      </c>
      <c r="F60" s="58">
        <f t="shared" si="0"/>
        <v>5.1104444442561835E-3</v>
      </c>
      <c r="G60" s="59">
        <f t="shared" si="1"/>
        <v>0.84577924485901168</v>
      </c>
      <c r="H60" s="117" t="str">
        <f t="shared" si="2"/>
        <v>B</v>
      </c>
      <c r="Q60" s="20"/>
    </row>
    <row r="61" spans="1:17" s="1" customFormat="1" ht="45" x14ac:dyDescent="0.2">
      <c r="A61" s="96" t="s">
        <v>685</v>
      </c>
      <c r="B61" s="35" t="str">
        <f>VLOOKUP(A61,'II-PO'!$A$18:$M$295,5,0)</f>
        <v>TOMADA MÉDIA DE EMBUTIR (3 MÓDULOS), 2P+T 20 A, INCLUINDO SUPORTE E PLACA - FORNECIMENTO E INSTALAÇÃO. AF_03/2023</v>
      </c>
      <c r="C61" s="36">
        <f>VLOOKUP(A61,'II-PO'!$A$18:$M$295,11,0)</f>
        <v>4576.5</v>
      </c>
      <c r="D61" s="36">
        <f>VLOOKUP(A61,'II-PO'!$A$18:$M$295,12,0)</f>
        <v>1152.8999999999996</v>
      </c>
      <c r="E61" s="36">
        <f>VLOOKUP(A61,'II-PO'!$A$18:$M$295,13,0)</f>
        <v>5729.4</v>
      </c>
      <c r="F61" s="58">
        <f t="shared" si="0"/>
        <v>4.7584020878168034E-3</v>
      </c>
      <c r="G61" s="59">
        <f t="shared" si="1"/>
        <v>0.85053764694682843</v>
      </c>
      <c r="H61" s="117" t="str">
        <f t="shared" si="2"/>
        <v>B</v>
      </c>
      <c r="Q61" s="20"/>
    </row>
    <row r="62" spans="1:17" s="1" customFormat="1" ht="30" x14ac:dyDescent="0.2">
      <c r="A62" s="96" t="s">
        <v>415</v>
      </c>
      <c r="B62" s="35" t="str">
        <f>VLOOKUP(A62,'II-PO'!$A$18:$M$295,5,0)</f>
        <v>PORTA DE CORRER DE 04 FOLHAS EM VIDRO (DUAS FIXAS E DUAS MÓVEIS) PF-6 C/ FERRAGENS</v>
      </c>
      <c r="C62" s="36">
        <f>VLOOKUP(A62,'II-PO'!$A$18:$M$295,11,0)</f>
        <v>4312.49</v>
      </c>
      <c r="D62" s="36">
        <f>VLOOKUP(A62,'II-PO'!$A$18:$M$295,12,0)</f>
        <v>1086.7200000000003</v>
      </c>
      <c r="E62" s="36">
        <f>VLOOKUP(A62,'II-PO'!$A$18:$M$295,13,0)</f>
        <v>5399.21</v>
      </c>
      <c r="F62" s="58">
        <f t="shared" si="0"/>
        <v>4.4841714903063783E-3</v>
      </c>
      <c r="G62" s="59">
        <f t="shared" si="1"/>
        <v>0.85502181843713476</v>
      </c>
      <c r="H62" s="117" t="str">
        <f t="shared" si="2"/>
        <v>B</v>
      </c>
      <c r="Q62" s="20"/>
    </row>
    <row r="63" spans="1:17" s="1" customFormat="1" ht="75" x14ac:dyDescent="0.2">
      <c r="A63" s="96" t="s">
        <v>398</v>
      </c>
      <c r="B63" s="35" t="str">
        <f>VLOOKUP(A63,'II-PO'!$A$18:$M$295,5,0)</f>
        <v>EMBOÇO OU MASSA ÚNICA EM ARGAMASSA TRAÇO 1:2:8, PREPARO MECÂNICA COM BETONEIRA 400 L, APLICADA MANUALMENTE EM PANOS DE FACHADA SEM PRESENÇA DE VÃOS, ESPESSURA DE 35 MM, ACESSO POR ANDAIME. AF_08/2022</v>
      </c>
      <c r="C63" s="36">
        <f>VLOOKUP(A63,'II-PO'!$A$18:$M$295,11,0)</f>
        <v>4200.1000000000004</v>
      </c>
      <c r="D63" s="36">
        <f>VLOOKUP(A63,'II-PO'!$A$18:$M$295,12,0)</f>
        <v>1058.29</v>
      </c>
      <c r="E63" s="36">
        <f>VLOOKUP(A63,'II-PO'!$A$18:$M$295,13,0)</f>
        <v>5258.39</v>
      </c>
      <c r="F63" s="58">
        <f t="shared" si="0"/>
        <v>4.3672171526782915E-3</v>
      </c>
      <c r="G63" s="59">
        <f t="shared" si="1"/>
        <v>0.85938903558981306</v>
      </c>
      <c r="H63" s="117" t="str">
        <f t="shared" si="2"/>
        <v>B</v>
      </c>
      <c r="Q63" s="20"/>
    </row>
    <row r="64" spans="1:17" s="1" customFormat="1" ht="45" x14ac:dyDescent="0.2">
      <c r="A64" s="96" t="s">
        <v>255</v>
      </c>
      <c r="B64" s="35" t="str">
        <f>VLOOKUP(A64,'II-PO'!$A$18:$M$295,5,0)</f>
        <v>CONCRETO FCK = 25MPA, TRAÇO 1:2,3:2,7 (EM MASSA SECA DE CIMENTO/ AREIA MÉDIA/ BRITA 1) - PREPARO MECÂNICO COM BETONEIRA 600 L. AF_05/2021</v>
      </c>
      <c r="C64" s="36">
        <f>VLOOKUP(A64,'II-PO'!$A$18:$M$295,11,0)</f>
        <v>4161.24</v>
      </c>
      <c r="D64" s="36">
        <f>VLOOKUP(A64,'II-PO'!$A$18:$M$295,12,0)</f>
        <v>1048.5700000000006</v>
      </c>
      <c r="E64" s="36">
        <f>VLOOKUP(A64,'II-PO'!$A$18:$M$295,13,0)</f>
        <v>5209.8100000000004</v>
      </c>
      <c r="F64" s="58">
        <f t="shared" si="0"/>
        <v>4.326870314715129E-3</v>
      </c>
      <c r="G64" s="59">
        <f t="shared" si="1"/>
        <v>0.86371590590452818</v>
      </c>
      <c r="H64" s="117" t="str">
        <f t="shared" si="2"/>
        <v>B</v>
      </c>
      <c r="Q64" s="20"/>
    </row>
    <row r="65" spans="1:17" s="1" customFormat="1" ht="30" x14ac:dyDescent="0.2">
      <c r="A65" s="96" t="s">
        <v>400</v>
      </c>
      <c r="B65" s="35" t="str">
        <f>VLOOKUP(A65,'II-PO'!$A$18:$M$295,5,0)</f>
        <v>RODAPÉ CERÂMICO DE 7CM DE ALTURA COM PLACAS TIPO ESMALTADA DE DIMENSÕES 60X60CM. AF_02/2023</v>
      </c>
      <c r="C65" s="36">
        <f>VLOOKUP(A65,'II-PO'!$A$18:$M$295,11,0)</f>
        <v>4154.13</v>
      </c>
      <c r="D65" s="36">
        <f>VLOOKUP(A65,'II-PO'!$A$18:$M$295,12,0)</f>
        <v>1044.67</v>
      </c>
      <c r="E65" s="36">
        <f>VLOOKUP(A65,'II-PO'!$A$18:$M$295,13,0)</f>
        <v>5198.8</v>
      </c>
      <c r="F65" s="58">
        <f t="shared" si="0"/>
        <v>4.3177262495448041E-3</v>
      </c>
      <c r="G65" s="59">
        <f t="shared" si="1"/>
        <v>0.86803363215407303</v>
      </c>
      <c r="H65" s="117" t="str">
        <f t="shared" si="2"/>
        <v>B</v>
      </c>
      <c r="Q65" s="20"/>
    </row>
    <row r="66" spans="1:17" s="1" customFormat="1" ht="45" x14ac:dyDescent="0.2">
      <c r="A66" s="96" t="s">
        <v>447</v>
      </c>
      <c r="B66" s="35" t="str">
        <f>VLOOKUP(A66,'II-PO'!$A$18:$M$295,5,0)</f>
        <v>CALHA EM CHAPA DE AÇO GALVANIZADO NÚMERO 24, DESENVOLVIMENTO DE 50 CM, INCLUSO TRANSPORTE VERTICAL. AF_07/2019</v>
      </c>
      <c r="C66" s="36">
        <f>VLOOKUP(A66,'II-PO'!$A$18:$M$295,11,0)</f>
        <v>4149.75</v>
      </c>
      <c r="D66" s="36">
        <f>VLOOKUP(A66,'II-PO'!$A$18:$M$295,12,0)</f>
        <v>1045.5500000000002</v>
      </c>
      <c r="E66" s="36">
        <f>VLOOKUP(A66,'II-PO'!$A$18:$M$295,13,0)</f>
        <v>5195.3</v>
      </c>
      <c r="F66" s="58">
        <f t="shared" si="0"/>
        <v>4.3148194168385239E-3</v>
      </c>
      <c r="G66" s="59">
        <f t="shared" si="1"/>
        <v>0.87234845157091156</v>
      </c>
      <c r="H66" s="117" t="str">
        <f t="shared" si="2"/>
        <v>B</v>
      </c>
      <c r="Q66" s="20"/>
    </row>
    <row r="67" spans="1:17" s="1" customFormat="1" ht="60" x14ac:dyDescent="0.2">
      <c r="A67" s="96" t="s">
        <v>583</v>
      </c>
      <c r="B67" s="35" t="str">
        <f>VLOOKUP(A67,'II-PO'!$A$18:$M$295,5,0)</f>
        <v>ENTRADA DE ENERGIA ELÉTRICA, AÉREA, TRIFÁSICA, COM CAIXA DE SOBREPOR, CABO DE 25 MM2 E DISJUNTOR DIN 63A. AF_07/2020_PS (REF. SINAPI 101507)</v>
      </c>
      <c r="C67" s="36">
        <f>VLOOKUP(A67,'II-PO'!$A$18:$M$295,11,0)</f>
        <v>3823.38</v>
      </c>
      <c r="D67" s="36">
        <f>VLOOKUP(A67,'II-PO'!$A$18:$M$295,12,0)</f>
        <v>963.48999999999978</v>
      </c>
      <c r="E67" s="36">
        <f>VLOOKUP(A67,'II-PO'!$A$18:$M$295,13,0)</f>
        <v>4786.87</v>
      </c>
      <c r="F67" s="58">
        <f t="shared" si="0"/>
        <v>3.975608650488292E-3</v>
      </c>
      <c r="G67" s="59">
        <f t="shared" si="1"/>
        <v>0.87632406022139986</v>
      </c>
      <c r="H67" s="117" t="str">
        <f t="shared" si="2"/>
        <v>B</v>
      </c>
      <c r="Q67" s="20"/>
    </row>
    <row r="68" spans="1:17" s="1" customFormat="1" ht="60" x14ac:dyDescent="0.2">
      <c r="A68" s="96" t="s">
        <v>395</v>
      </c>
      <c r="B68" s="35" t="str">
        <f>VLOOKUP(A68,'II-PO'!$A$18:$M$295,5,0)</f>
        <v>EMBOÇO, EM ARGAMASSA TRAÇO 1:2:8, PREPARO MECÂNICO, APLICADO MANUALMENTE EM PAREDES INTERNAS DE AMBIENTES COM ÁREA MENOR QUE 5M², E =17,5MM, COM TALISCAS. AF_03/2024</v>
      </c>
      <c r="C68" s="36">
        <f>VLOOKUP(A68,'II-PO'!$A$18:$M$295,11,0)</f>
        <v>3790.29</v>
      </c>
      <c r="D68" s="36">
        <f>VLOOKUP(A68,'II-PO'!$A$18:$M$295,12,0)</f>
        <v>954.48000000000047</v>
      </c>
      <c r="E68" s="36">
        <f>VLOOKUP(A68,'II-PO'!$A$18:$M$295,13,0)</f>
        <v>4744.7700000000004</v>
      </c>
      <c r="F68" s="58">
        <f t="shared" si="0"/>
        <v>3.9406436056498998E-3</v>
      </c>
      <c r="G68" s="59">
        <f t="shared" si="1"/>
        <v>0.8802647038270498</v>
      </c>
      <c r="H68" s="117" t="str">
        <f t="shared" si="2"/>
        <v>B</v>
      </c>
      <c r="Q68" s="20"/>
    </row>
    <row r="69" spans="1:17" s="1" customFormat="1" ht="45" x14ac:dyDescent="0.2">
      <c r="A69" s="96" t="s">
        <v>590</v>
      </c>
      <c r="B69" s="35" t="str">
        <f>VLOOKUP(A69,'II-PO'!$A$18:$M$295,5,0)</f>
        <v>CONCRETO FCK = 25MPA, TRAÇO 1:2,3:2,7 (EM MASSA SECA DE CIMENTO/ AREIA MÉDIA/ BRITA 1) - PREPARO MECÂNICO COM BETONEIRA 600 L. AF_05/2021</v>
      </c>
      <c r="C69" s="36">
        <f>VLOOKUP(A69,'II-PO'!$A$18:$M$295,11,0)</f>
        <v>3771.45</v>
      </c>
      <c r="D69" s="36">
        <f>VLOOKUP(A69,'II-PO'!$A$18:$M$295,12,0)</f>
        <v>950.35000000000036</v>
      </c>
      <c r="E69" s="36">
        <f>VLOOKUP(A69,'II-PO'!$A$18:$M$295,13,0)</f>
        <v>4721.8</v>
      </c>
      <c r="F69" s="58">
        <f t="shared" si="0"/>
        <v>3.921566477860401E-3</v>
      </c>
      <c r="G69" s="59">
        <f t="shared" si="1"/>
        <v>0.88418627030491015</v>
      </c>
      <c r="H69" s="117" t="str">
        <f t="shared" si="2"/>
        <v>B</v>
      </c>
      <c r="Q69" s="20"/>
    </row>
    <row r="70" spans="1:17" s="1" customFormat="1" ht="30" x14ac:dyDescent="0.2">
      <c r="A70" s="96" t="s">
        <v>250</v>
      </c>
      <c r="B70" s="35" t="str">
        <f>VLOOKUP(A70,'II-PO'!$A$18:$M$295,5,0)</f>
        <v>MONTAGEM DE ARMADURA DE ESTACAS, DIÂMETRO = 10,0 MM. AF_09/2021_PS</v>
      </c>
      <c r="C70" s="36">
        <f>VLOOKUP(A70,'II-PO'!$A$18:$M$295,11,0)</f>
        <v>3693.77</v>
      </c>
      <c r="D70" s="36">
        <f>VLOOKUP(A70,'II-PO'!$A$18:$M$295,12,0)</f>
        <v>928.29999999999973</v>
      </c>
      <c r="E70" s="36">
        <f>VLOOKUP(A70,'II-PO'!$A$18:$M$295,13,0)</f>
        <v>4622.07</v>
      </c>
      <c r="F70" s="58">
        <f t="shared" si="0"/>
        <v>3.8387383562040371E-3</v>
      </c>
      <c r="G70" s="59">
        <f t="shared" si="1"/>
        <v>0.88802500866111422</v>
      </c>
      <c r="H70" s="117" t="str">
        <f t="shared" si="2"/>
        <v>B</v>
      </c>
      <c r="Q70" s="20"/>
    </row>
    <row r="71" spans="1:17" s="1" customFormat="1" ht="45" x14ac:dyDescent="0.2">
      <c r="A71" s="96" t="s">
        <v>284</v>
      </c>
      <c r="B71" s="35" t="str">
        <f>VLOOKUP(A71,'II-PO'!$A$18:$M$295,5,0)</f>
        <v>LANÇAMENTO COM USO DE BALDES, ADENSAMENTO E ACABAMENTO DE CONCRETO EM ESTRUTURAS. AF_02/2022</v>
      </c>
      <c r="C71" s="36">
        <f>VLOOKUP(A71,'II-PO'!$A$18:$M$295,11,0)</f>
        <v>3587.71</v>
      </c>
      <c r="D71" s="36">
        <f>VLOOKUP(A71,'II-PO'!$A$18:$M$295,12,0)</f>
        <v>904</v>
      </c>
      <c r="E71" s="36">
        <f>VLOOKUP(A71,'II-PO'!$A$18:$M$295,13,0)</f>
        <v>4491.71</v>
      </c>
      <c r="F71" s="58">
        <f t="shared" si="0"/>
        <v>3.730471295749575E-3</v>
      </c>
      <c r="G71" s="59">
        <f t="shared" si="1"/>
        <v>0.89175547995686377</v>
      </c>
      <c r="H71" s="117" t="str">
        <f t="shared" si="2"/>
        <v>B</v>
      </c>
      <c r="Q71" s="20"/>
    </row>
    <row r="72" spans="1:17" s="1" customFormat="1" ht="45" x14ac:dyDescent="0.2">
      <c r="A72" s="96" t="s">
        <v>603</v>
      </c>
      <c r="B72" s="35" t="str">
        <f>VLOOKUP(A72,'II-PO'!$A$18:$M$295,5,0)</f>
        <v>ARMAÇÃO DE LAJE DE ESTRUTURA CONVENCIONAL DE CONCRETO ARMADO UTILIZANDO AÇO CA-50 DE 8,0 MM - MONTAGEM. AF_06/2022</v>
      </c>
      <c r="C72" s="36">
        <f>VLOOKUP(A72,'II-PO'!$A$18:$M$295,11,0)</f>
        <v>3348.72</v>
      </c>
      <c r="D72" s="36">
        <f>VLOOKUP(A72,'II-PO'!$A$18:$M$295,12,0)</f>
        <v>842.63999999999987</v>
      </c>
      <c r="E72" s="36">
        <f>VLOOKUP(A72,'II-PO'!$A$18:$M$295,13,0)</f>
        <v>4191.3599999999997</v>
      </c>
      <c r="F72" s="58">
        <f t="shared" si="0"/>
        <v>3.4810235233692596E-3</v>
      </c>
      <c r="G72" s="59">
        <f t="shared" si="1"/>
        <v>0.89523650348023298</v>
      </c>
      <c r="H72" s="117" t="str">
        <f t="shared" si="2"/>
        <v>B</v>
      </c>
      <c r="Q72" s="20"/>
    </row>
    <row r="73" spans="1:17" s="1" customFormat="1" ht="30" x14ac:dyDescent="0.2">
      <c r="A73" s="96" t="s">
        <v>417</v>
      </c>
      <c r="B73" s="35" t="str">
        <f>VLOOKUP(A73,'II-PO'!$A$18:$M$295,5,0)</f>
        <v>PORTÃO DE ABRIR 01 FOLHA CHAPA 14  PT-4 C/FERRAGENS</v>
      </c>
      <c r="C73" s="36">
        <f>VLOOKUP(A73,'II-PO'!$A$18:$M$295,11,0)</f>
        <v>3328.28</v>
      </c>
      <c r="D73" s="36">
        <f>VLOOKUP(A73,'II-PO'!$A$18:$M$295,12,0)</f>
        <v>838.7199999999998</v>
      </c>
      <c r="E73" s="36">
        <f>VLOOKUP(A73,'II-PO'!$A$18:$M$295,13,0)</f>
        <v>4167</v>
      </c>
      <c r="F73" s="58">
        <f t="shared" si="0"/>
        <v>3.4607919677335534E-3</v>
      </c>
      <c r="G73" s="59">
        <f t="shared" si="1"/>
        <v>0.8986972954479665</v>
      </c>
      <c r="H73" s="117" t="str">
        <f t="shared" si="2"/>
        <v>B</v>
      </c>
      <c r="Q73" s="20"/>
    </row>
    <row r="74" spans="1:17" s="1" customFormat="1" ht="90" x14ac:dyDescent="0.2">
      <c r="A74" s="96" t="s">
        <v>414</v>
      </c>
      <c r="B74" s="35" t="str">
        <f>VLOOKUP(A74,'II-PO'!$A$18:$M$295,5,0)</f>
        <v>KIT DE PORTA DE MADEIRA PARA PINTURA, SEMI-OCA (LEVE OU MÉDIA), PADRÃO MÉDIO, 80X210CM, ESPESSURA DE 3,5CM, ITENS INCLUSOS: DOBRADIÇAS, MONTAGEM E INSTALAÇÃO DO BATENTE, FECHADURA COM EXECUÇÃO DO FURO - FORNECIMENTO E INSTALAÇÃO. AF_12/2019</v>
      </c>
      <c r="C74" s="36">
        <f>VLOOKUP(A74,'II-PO'!$A$18:$M$295,11,0)</f>
        <v>3314.73</v>
      </c>
      <c r="D74" s="36">
        <f>VLOOKUP(A74,'II-PO'!$A$18:$M$295,12,0)</f>
        <v>835.29000000000042</v>
      </c>
      <c r="E74" s="36">
        <f>VLOOKUP(A74,'II-PO'!$A$18:$M$295,13,0)</f>
        <v>4150.0200000000004</v>
      </c>
      <c r="F74" s="58">
        <f t="shared" si="0"/>
        <v>3.4466896764899454E-3</v>
      </c>
      <c r="G74" s="59">
        <f t="shared" si="1"/>
        <v>0.90214398512445648</v>
      </c>
      <c r="H74" s="117" t="str">
        <f t="shared" si="2"/>
        <v>C</v>
      </c>
      <c r="Q74" s="20"/>
    </row>
    <row r="75" spans="1:17" s="1" customFormat="1" ht="45" x14ac:dyDescent="0.2">
      <c r="A75" s="96" t="s">
        <v>594</v>
      </c>
      <c r="B75" s="35" t="str">
        <f>VLOOKUP(A75,'II-PO'!$A$18:$M$295,5,0)</f>
        <v>ARMAÇÃO DE PILAR OU VIGA DE ESTRUTURA CONVENCIONAL DE CONCRETO ARMADO UTILIZANDO AÇO CA-50 DE 8,0 MM - MONTAGEM. AF_06/2022</v>
      </c>
      <c r="C75" s="36">
        <f>VLOOKUP(A75,'II-PO'!$A$18:$M$295,11,0)</f>
        <v>3166.03</v>
      </c>
      <c r="D75" s="36">
        <f>VLOOKUP(A75,'II-PO'!$A$18:$M$295,12,0)</f>
        <v>795.70999999999958</v>
      </c>
      <c r="E75" s="36">
        <f>VLOOKUP(A75,'II-PO'!$A$18:$M$295,13,0)</f>
        <v>3961.74</v>
      </c>
      <c r="F75" s="58">
        <f t="shared" si="0"/>
        <v>3.2903186873647051E-3</v>
      </c>
      <c r="G75" s="59">
        <f t="shared" si="1"/>
        <v>0.90543430381182122</v>
      </c>
      <c r="H75" s="117" t="str">
        <f t="shared" si="2"/>
        <v>C</v>
      </c>
      <c r="Q75" s="20"/>
    </row>
    <row r="76" spans="1:17" s="1" customFormat="1" ht="45" x14ac:dyDescent="0.2">
      <c r="A76" s="96" t="s">
        <v>587</v>
      </c>
      <c r="B76" s="35" t="str">
        <f>VLOOKUP(A76,'II-PO'!$A$18:$M$295,5,0)</f>
        <v>ARMAÇÃO DE PILAR OU VIGA DE ESTRUTURA CONVENCIONAL DE CONCRETO ARMADO UTILIZANDO AÇO CA-60 DE 5,0 MM - MONTAGEM. AF_06/2022</v>
      </c>
      <c r="C76" s="36">
        <f>VLOOKUP(A76,'II-PO'!$A$18:$M$295,11,0)</f>
        <v>2906.86</v>
      </c>
      <c r="D76" s="36">
        <f>VLOOKUP(A76,'II-PO'!$A$18:$M$295,12,0)</f>
        <v>730.98999999999978</v>
      </c>
      <c r="E76" s="36">
        <f>VLOOKUP(A76,'II-PO'!$A$18:$M$295,13,0)</f>
        <v>3637.85</v>
      </c>
      <c r="F76" s="58">
        <f t="shared" si="0"/>
        <v>3.0213203887255835E-3</v>
      </c>
      <c r="G76" s="59">
        <f t="shared" si="1"/>
        <v>0.90845562420054682</v>
      </c>
      <c r="H76" s="117" t="str">
        <f t="shared" si="2"/>
        <v>C</v>
      </c>
      <c r="Q76" s="20"/>
    </row>
    <row r="77" spans="1:17" s="1" customFormat="1" ht="75" x14ac:dyDescent="0.2">
      <c r="A77" s="96" t="s">
        <v>428</v>
      </c>
      <c r="B77" s="35" t="str">
        <f>VLOOKUP(A77,'II-PO'!$A$18:$M$295,5,0)</f>
        <v>FABRICAÇÃO E INSTALAÇÃO DE MEIA TESOURA DE MADEIRA NÃO APARELHADA, COM VÃO DE 3 M, PARA TELHA ONDULADA DE FIBROCIMENTO, ALUMÍNIO, PLÁSTICA OU TERMOACÚSTICA, INCLUSO IÇAMENTO. AF_07/2019</v>
      </c>
      <c r="C77" s="36">
        <f>VLOOKUP(A77,'II-PO'!$A$18:$M$295,11,0)</f>
        <v>2847.93</v>
      </c>
      <c r="D77" s="36">
        <f>VLOOKUP(A77,'II-PO'!$A$18:$M$295,12,0)</f>
        <v>717.66000000000031</v>
      </c>
      <c r="E77" s="36">
        <f>VLOOKUP(A77,'II-PO'!$A$18:$M$295,13,0)</f>
        <v>3565.59</v>
      </c>
      <c r="F77" s="58">
        <f t="shared" si="0"/>
        <v>2.9613067511953636E-3</v>
      </c>
      <c r="G77" s="59">
        <f t="shared" si="1"/>
        <v>0.91141693095174214</v>
      </c>
      <c r="H77" s="117" t="str">
        <f t="shared" si="2"/>
        <v>C</v>
      </c>
      <c r="Q77" s="20"/>
    </row>
    <row r="78" spans="1:17" s="1" customFormat="1" ht="45" x14ac:dyDescent="0.2">
      <c r="A78" s="96" t="s">
        <v>468</v>
      </c>
      <c r="B78" s="35" t="str">
        <f>VLOOKUP(A78,'II-PO'!$A$18:$M$295,5,0)</f>
        <v>CABO DE COBRE FLEXÍVEL ISOLADO, 1,5 MM², ANTI-CHAMA 450/750 V, PARA CIRCUITOS TERMINAIS - FORNECIMENTO E INSTALAÇÃO. AF_03/2023</v>
      </c>
      <c r="C78" s="36">
        <f>VLOOKUP(A78,'II-PO'!$A$18:$M$295,11,0)</f>
        <v>2727.55</v>
      </c>
      <c r="D78" s="36">
        <f>VLOOKUP(A78,'II-PO'!$A$18:$M$295,12,0)</f>
        <v>681.88999999999987</v>
      </c>
      <c r="E78" s="36">
        <f>VLOOKUP(A78,'II-PO'!$A$18:$M$295,13,0)</f>
        <v>3409.44</v>
      </c>
      <c r="F78" s="58">
        <f t="shared" si="0"/>
        <v>2.8316204863137713E-3</v>
      </c>
      <c r="G78" s="59">
        <f t="shared" si="1"/>
        <v>0.91424855143805595</v>
      </c>
      <c r="H78" s="117" t="str">
        <f t="shared" si="2"/>
        <v>C</v>
      </c>
      <c r="Q78" s="20"/>
    </row>
    <row r="79" spans="1:17" s="1" customFormat="1" ht="45" x14ac:dyDescent="0.2">
      <c r="A79" s="96" t="s">
        <v>256</v>
      </c>
      <c r="B79" s="35" t="str">
        <f>VLOOKUP(A79,'II-PO'!$A$18:$M$295,5,0)</f>
        <v>LANÇAMENTO COM USO DE BALDES, ADENSAMENTO E ACABAMENTO DE CONCRETO EM ESTRUTURAS. AF_02/2022</v>
      </c>
      <c r="C79" s="36">
        <f>VLOOKUP(A79,'II-PO'!$A$18:$M$295,11,0)</f>
        <v>2564.9699999999998</v>
      </c>
      <c r="D79" s="36">
        <f>VLOOKUP(A79,'II-PO'!$A$18:$M$295,12,0)</f>
        <v>646.30000000000018</v>
      </c>
      <c r="E79" s="36">
        <f>VLOOKUP(A79,'II-PO'!$A$18:$M$295,13,0)</f>
        <v>3211.27</v>
      </c>
      <c r="F79" s="58">
        <f t="shared" si="0"/>
        <v>2.667035618484216E-3</v>
      </c>
      <c r="G79" s="59">
        <f t="shared" si="1"/>
        <v>0.91691558705654019</v>
      </c>
      <c r="H79" s="117" t="str">
        <f t="shared" si="2"/>
        <v>C</v>
      </c>
      <c r="Q79" s="20"/>
    </row>
    <row r="80" spans="1:17" s="1" customFormat="1" x14ac:dyDescent="0.2">
      <c r="A80" s="96" t="s">
        <v>509</v>
      </c>
      <c r="B80" s="35" t="str">
        <f>VLOOKUP(A80,'II-PO'!$A$18:$M$295,5,0)</f>
        <v>LETRAS EM ACM (REF.: SEDOP 061458)</v>
      </c>
      <c r="C80" s="36">
        <f>VLOOKUP(A80,'II-PO'!$A$18:$M$295,11,0)</f>
        <v>2548.92</v>
      </c>
      <c r="D80" s="36">
        <f>VLOOKUP(A80,'II-PO'!$A$18:$M$295,12,0)</f>
        <v>642.31999999999971</v>
      </c>
      <c r="E80" s="36">
        <f>VLOOKUP(A80,'II-PO'!$A$18:$M$295,13,0)</f>
        <v>3191.24</v>
      </c>
      <c r="F80" s="58">
        <f t="shared" si="0"/>
        <v>2.6504002301679921E-3</v>
      </c>
      <c r="G80" s="59">
        <f t="shared" si="1"/>
        <v>0.91956598728670813</v>
      </c>
      <c r="H80" s="117" t="str">
        <f t="shared" si="2"/>
        <v>C</v>
      </c>
      <c r="Q80" s="20"/>
    </row>
    <row r="81" spans="1:17" s="1" customFormat="1" ht="30" x14ac:dyDescent="0.2">
      <c r="A81" s="96" t="s">
        <v>418</v>
      </c>
      <c r="B81" s="35" t="str">
        <f>VLOOKUP(A81,'II-PO'!$A$18:$M$295,5,0)</f>
        <v>PORTA MADEIRA 1A CORRER GUARNICAO 15CM/ALIZAR (REF.: SINAPI 84876)</v>
      </c>
      <c r="C81" s="36">
        <f>VLOOKUP(A81,'II-PO'!$A$18:$M$295,11,0)</f>
        <v>2528.13</v>
      </c>
      <c r="D81" s="36">
        <f>VLOOKUP(A81,'II-PO'!$A$18:$M$295,12,0)</f>
        <v>637.06999999999971</v>
      </c>
      <c r="E81" s="36">
        <f>VLOOKUP(A81,'II-PO'!$A$18:$M$295,13,0)</f>
        <v>3165.2</v>
      </c>
      <c r="F81" s="58">
        <f t="shared" si="0"/>
        <v>2.6287733948332716E-3</v>
      </c>
      <c r="G81" s="59">
        <f t="shared" si="1"/>
        <v>0.92219476068154138</v>
      </c>
      <c r="H81" s="117" t="str">
        <f t="shared" si="2"/>
        <v>C</v>
      </c>
      <c r="Q81" s="20"/>
    </row>
    <row r="82" spans="1:17" s="1" customFormat="1" ht="45" x14ac:dyDescent="0.2">
      <c r="A82" s="96" t="s">
        <v>281</v>
      </c>
      <c r="B82" s="35" t="str">
        <f>VLOOKUP(A82,'II-PO'!$A$18:$M$295,5,0)</f>
        <v>ARMAÇÃO DE SAPATA ISOLADA, VIGA BALDRAME E SAPATA CORRIDA UTILIZANDO AÇO CA-50 DE 8 MM - MONTAGEM. AF_01/2024</v>
      </c>
      <c r="C82" s="36">
        <f>VLOOKUP(A82,'II-PO'!$A$18:$M$295,11,0)</f>
        <v>2414.48</v>
      </c>
      <c r="D82" s="36">
        <f>VLOOKUP(A82,'II-PO'!$A$18:$M$295,12,0)</f>
        <v>607.67999999999984</v>
      </c>
      <c r="E82" s="36">
        <f>VLOOKUP(A82,'II-PO'!$A$18:$M$295,13,0)</f>
        <v>3022.16</v>
      </c>
      <c r="F82" s="58">
        <f t="shared" ref="F82:F145" si="3">E82/$H$257</f>
        <v>2.5099752947457727E-3</v>
      </c>
      <c r="G82" s="59">
        <f t="shared" si="1"/>
        <v>0.92470473597628711</v>
      </c>
      <c r="H82" s="117" t="str">
        <f t="shared" si="2"/>
        <v>C</v>
      </c>
      <c r="Q82" s="20"/>
    </row>
    <row r="83" spans="1:17" s="1" customFormat="1" ht="45" x14ac:dyDescent="0.2">
      <c r="A83" s="96" t="s">
        <v>465</v>
      </c>
      <c r="B83" s="35" t="str">
        <f>VLOOKUP(A83,'II-PO'!$A$18:$M$295,5,0)</f>
        <v>CAIXA RETANGULAR 4" X 2" MÉDIA (1,30 M DO PISO), PVC, INSTALADA EM PAREDE - FORNECIMENTO E INSTALAÇÃO. AF_03/2023</v>
      </c>
      <c r="C83" s="36">
        <f>VLOOKUP(A83,'II-PO'!$A$18:$M$295,11,0)</f>
        <v>2358.12</v>
      </c>
      <c r="D83" s="36">
        <f>VLOOKUP(A83,'II-PO'!$A$18:$M$295,12,0)</f>
        <v>593.40000000000009</v>
      </c>
      <c r="E83" s="36">
        <f>VLOOKUP(A83,'II-PO'!$A$18:$M$295,13,0)</f>
        <v>2951.52</v>
      </c>
      <c r="F83" s="58">
        <f t="shared" si="3"/>
        <v>2.4513071054967452E-3</v>
      </c>
      <c r="G83" s="59">
        <f t="shared" si="1"/>
        <v>0.9271560430817839</v>
      </c>
      <c r="H83" s="117" t="str">
        <f t="shared" si="2"/>
        <v>C</v>
      </c>
      <c r="Q83" s="20"/>
    </row>
    <row r="84" spans="1:17" s="1" customFormat="1" ht="45" x14ac:dyDescent="0.2">
      <c r="A84" s="96" t="s">
        <v>591</v>
      </c>
      <c r="B84" s="35" t="str">
        <f>VLOOKUP(A84,'II-PO'!$A$18:$M$295,5,0)</f>
        <v>LANÇAMENTO COM USO DE BALDES, ADENSAMENTO E ACABAMENTO DE CONCRETO EM ESTRUTURAS. AF_02/2022</v>
      </c>
      <c r="C84" s="36">
        <f>VLOOKUP(A84,'II-PO'!$A$18:$M$295,11,0)</f>
        <v>2324.6999999999998</v>
      </c>
      <c r="D84" s="36">
        <f>VLOOKUP(A84,'II-PO'!$A$18:$M$295,12,0)</f>
        <v>585.76000000000022</v>
      </c>
      <c r="E84" s="36">
        <f>VLOOKUP(A84,'II-PO'!$A$18:$M$295,13,0)</f>
        <v>2910.46</v>
      </c>
      <c r="F84" s="58">
        <f t="shared" si="3"/>
        <v>2.4172058052339324E-3</v>
      </c>
      <c r="G84" s="59">
        <f t="shared" ref="G84:G147" si="4">G83+F84</f>
        <v>0.92957324888701787</v>
      </c>
      <c r="H84" s="117" t="str">
        <f t="shared" ref="H84:H147" si="5">IF(G84&lt;=70%,"A",IF(G84&lt;=90%,"B","C"))</f>
        <v>C</v>
      </c>
      <c r="Q84" s="20"/>
    </row>
    <row r="85" spans="1:17" s="1" customFormat="1" ht="60" x14ac:dyDescent="0.2">
      <c r="A85" s="96" t="s">
        <v>394</v>
      </c>
      <c r="B85" s="35" t="str">
        <f>VLOOKUP(A85,'II-PO'!$A$18:$M$295,5,0)</f>
        <v>CHAPISCO APLICADO EM ALVENARIA (SEM PRESENÇA DE VÃOS) E ESTRUTURAS DE CONCRETO DE FACHADA, COM COLHER DE PEDREIRO. ARGAMASSA TRAÇO 1:3 COM PREPARO EM BETONEIRA 400L. AF_10/2022</v>
      </c>
      <c r="C85" s="36">
        <f>VLOOKUP(A85,'II-PO'!$A$18:$M$295,11,0)</f>
        <v>2281.91</v>
      </c>
      <c r="D85" s="36">
        <f>VLOOKUP(A85,'II-PO'!$A$18:$M$295,12,0)</f>
        <v>573.49000000000024</v>
      </c>
      <c r="E85" s="36">
        <f>VLOOKUP(A85,'II-PO'!$A$18:$M$295,13,0)</f>
        <v>2855.4</v>
      </c>
      <c r="F85" s="58">
        <f t="shared" si="3"/>
        <v>2.3714771741460013E-3</v>
      </c>
      <c r="G85" s="59">
        <f t="shared" si="4"/>
        <v>0.93194472606116385</v>
      </c>
      <c r="H85" s="117" t="str">
        <f t="shared" si="5"/>
        <v>C</v>
      </c>
      <c r="Q85" s="20"/>
    </row>
    <row r="86" spans="1:17" s="1" customFormat="1" ht="30" x14ac:dyDescent="0.2">
      <c r="A86" s="96" t="s">
        <v>571</v>
      </c>
      <c r="B86" s="35" t="str">
        <f>VLOOKUP(A86,'II-PO'!$A$18:$M$295,5,0)</f>
        <v>LAVATÓRIO COM COLUNA SUSPENSA - 45X35 CM (MEDIDAS APROXIMADAS)</v>
      </c>
      <c r="C86" s="36">
        <f>VLOOKUP(A86,'II-PO'!$A$18:$M$295,11,0)</f>
        <v>2234.16</v>
      </c>
      <c r="D86" s="36">
        <f>VLOOKUP(A86,'II-PO'!$A$18:$M$295,12,0)</f>
        <v>563</v>
      </c>
      <c r="E86" s="36">
        <f>VLOOKUP(A86,'II-PO'!$A$18:$M$295,13,0)</f>
        <v>2797.16</v>
      </c>
      <c r="F86" s="58">
        <f t="shared" si="3"/>
        <v>2.3231074779135074E-3</v>
      </c>
      <c r="G86" s="59">
        <f t="shared" si="4"/>
        <v>0.93426783353907739</v>
      </c>
      <c r="H86" s="117" t="str">
        <f t="shared" si="5"/>
        <v>C</v>
      </c>
      <c r="Q86" s="20"/>
    </row>
    <row r="87" spans="1:17" s="1" customFormat="1" ht="45" x14ac:dyDescent="0.2">
      <c r="A87" s="96" t="s">
        <v>383</v>
      </c>
      <c r="B87" s="35" t="str">
        <f>VLOOKUP(A87,'II-PO'!$A$18:$M$295,5,0)</f>
        <v>DIVISORIA SANITÁRIA, TIPO CABINE, EM PAINEL DE GRANILITE, ESP = 3CM, ASSENTADO COM ARGAMASSA COLANTE AC III-E, EXCLUSIVE FERRAGENS. AF_01/2021</v>
      </c>
      <c r="C87" s="36">
        <f>VLOOKUP(A87,'II-PO'!$A$18:$M$295,11,0)</f>
        <v>2227.33</v>
      </c>
      <c r="D87" s="36">
        <f>VLOOKUP(A87,'II-PO'!$A$18:$M$295,12,0)</f>
        <v>561.27</v>
      </c>
      <c r="E87" s="36">
        <f>VLOOKUP(A87,'II-PO'!$A$18:$M$295,13,0)</f>
        <v>2788.6</v>
      </c>
      <c r="F87" s="58">
        <f t="shared" si="3"/>
        <v>2.3159981956375779E-3</v>
      </c>
      <c r="G87" s="59">
        <f t="shared" si="4"/>
        <v>0.93658383173471493</v>
      </c>
      <c r="H87" s="117" t="str">
        <f t="shared" si="5"/>
        <v>C</v>
      </c>
      <c r="Q87" s="20"/>
    </row>
    <row r="88" spans="1:17" s="1" customFormat="1" ht="45" x14ac:dyDescent="0.2">
      <c r="A88" s="96" t="s">
        <v>277</v>
      </c>
      <c r="B88" s="35" t="str">
        <f>VLOOKUP(A88,'II-PO'!$A$18:$M$295,5,0)</f>
        <v>ARMAÇÃO DE SAPATA ISOLADA, VIGA BALDRAME E SAPATA CORRIDA UTILIZANDO AÇO CA-60 DE 5 MM - MONTAGEM. AF_01/2024</v>
      </c>
      <c r="C88" s="36">
        <f>VLOOKUP(A88,'II-PO'!$A$18:$M$295,11,0)</f>
        <v>2156.42</v>
      </c>
      <c r="D88" s="36">
        <f>VLOOKUP(A88,'II-PO'!$A$18:$M$295,12,0)</f>
        <v>542.38000000000011</v>
      </c>
      <c r="E88" s="36">
        <f>VLOOKUP(A88,'II-PO'!$A$18:$M$295,13,0)</f>
        <v>2698.8</v>
      </c>
      <c r="F88" s="58">
        <f t="shared" si="3"/>
        <v>2.2414171736307451E-3</v>
      </c>
      <c r="G88" s="59">
        <f t="shared" si="4"/>
        <v>0.93882524890834573</v>
      </c>
      <c r="H88" s="117" t="str">
        <f t="shared" si="5"/>
        <v>C</v>
      </c>
      <c r="Q88" s="20"/>
    </row>
    <row r="89" spans="1:17" s="1" customFormat="1" ht="30" x14ac:dyDescent="0.2">
      <c r="A89" s="96" t="s">
        <v>421</v>
      </c>
      <c r="B89" s="35" t="str">
        <f>VLOOKUP(A89,'II-PO'!$A$18:$M$295,5,0)</f>
        <v>APLICAÇÃO MANUAL DE FUNDO SELADOR ACRÍLICO EM PAREDES EXTERNAS DE CASAS. AF_03/2024</v>
      </c>
      <c r="C89" s="36">
        <f>VLOOKUP(A89,'II-PO'!$A$18:$M$295,11,0)</f>
        <v>2135.11</v>
      </c>
      <c r="D89" s="36">
        <f>VLOOKUP(A89,'II-PO'!$A$18:$M$295,12,0)</f>
        <v>536.58999999999969</v>
      </c>
      <c r="E89" s="36">
        <f>VLOOKUP(A89,'II-PO'!$A$18:$M$295,13,0)</f>
        <v>2671.7</v>
      </c>
      <c r="F89" s="58">
        <f t="shared" si="3"/>
        <v>2.2189099832478363E-3</v>
      </c>
      <c r="G89" s="59">
        <f t="shared" si="4"/>
        <v>0.94104415889159354</v>
      </c>
      <c r="H89" s="117" t="str">
        <f t="shared" si="5"/>
        <v>C</v>
      </c>
      <c r="Q89" s="20"/>
    </row>
    <row r="90" spans="1:17" s="1" customFormat="1" ht="45" x14ac:dyDescent="0.2">
      <c r="A90" s="96" t="s">
        <v>98</v>
      </c>
      <c r="B90" s="35" t="str">
        <f>VLOOKUP(A90,'II-PO'!$A$18:$M$295,5,0)</f>
        <v>FORNECIMENTO E INSTALAÇÃO DE PLACA DE OBRA COM CHAPA GALVANIZADA E ESTRUTURA DE MADEIRA. AF_03/2022_PS</v>
      </c>
      <c r="C90" s="36">
        <f>VLOOKUP(A90,'II-PO'!$A$18:$M$295,11,0)</f>
        <v>2095.7800000000002</v>
      </c>
      <c r="D90" s="36">
        <f>VLOOKUP(A90,'II-PO'!$A$18:$M$295,12,0)</f>
        <v>528.11999999999989</v>
      </c>
      <c r="E90" s="36">
        <f>VLOOKUP(A90,'II-PO'!$A$18:$M$295,13,0)</f>
        <v>2623.9</v>
      </c>
      <c r="F90" s="58">
        <f t="shared" si="3"/>
        <v>2.1792109537163598E-3</v>
      </c>
      <c r="G90" s="59">
        <f t="shared" si="4"/>
        <v>0.94322336984530986</v>
      </c>
      <c r="H90" s="117" t="str">
        <f t="shared" si="5"/>
        <v>C</v>
      </c>
      <c r="Q90" s="20"/>
    </row>
    <row r="91" spans="1:17" s="1" customFormat="1" ht="45" x14ac:dyDescent="0.2">
      <c r="A91" s="96" t="s">
        <v>593</v>
      </c>
      <c r="B91" s="35" t="str">
        <f>VLOOKUP(A91,'II-PO'!$A$18:$M$295,5,0)</f>
        <v>ARMAÇÃO DE PILAR OU VIGA DE ESTRUTURA CONVENCIONAL DE CONCRETO ARMADO UTILIZANDO AÇO CA-60 DE 5,0 MM - MONTAGEM. AF_06/2022</v>
      </c>
      <c r="C91" s="36">
        <f>VLOOKUP(A91,'II-PO'!$A$18:$M$295,11,0)</f>
        <v>2092.7600000000002</v>
      </c>
      <c r="D91" s="36">
        <f>VLOOKUP(A91,'II-PO'!$A$18:$M$295,12,0)</f>
        <v>526.27</v>
      </c>
      <c r="E91" s="36">
        <f>VLOOKUP(A91,'II-PO'!$A$18:$M$295,13,0)</f>
        <v>2619.0300000000002</v>
      </c>
      <c r="F91" s="58">
        <f t="shared" si="3"/>
        <v>2.1751663036364793E-3</v>
      </c>
      <c r="G91" s="59">
        <f t="shared" si="4"/>
        <v>0.94539853614894631</v>
      </c>
      <c r="H91" s="117" t="str">
        <f t="shared" si="5"/>
        <v>C</v>
      </c>
      <c r="Q91" s="20"/>
    </row>
    <row r="92" spans="1:17" s="1" customFormat="1" ht="60" x14ac:dyDescent="0.2">
      <c r="A92" s="96" t="s">
        <v>351</v>
      </c>
      <c r="B92" s="35" t="str">
        <f>VLOOKUP(A92,'II-PO'!$A$18:$M$295,5,0)</f>
        <v>REVESTIMENTO CERÂMICO PARA PISO COM PLACAS TIPO PORCELANATO DE DIMENSÕES 60X60 CM APLICADA EM AMBIENTES DE ÁREA MENOR QUE 5 M². AF_02/2023_PE</v>
      </c>
      <c r="C92" s="36">
        <f>VLOOKUP(A92,'II-PO'!$A$18:$M$295,11,0)</f>
        <v>2070.23</v>
      </c>
      <c r="D92" s="36">
        <f>VLOOKUP(A92,'II-PO'!$A$18:$M$295,12,0)</f>
        <v>521.55999999999995</v>
      </c>
      <c r="E92" s="36">
        <f>VLOOKUP(A92,'II-PO'!$A$18:$M$295,13,0)</f>
        <v>2591.79</v>
      </c>
      <c r="F92" s="58">
        <f t="shared" si="3"/>
        <v>2.1525428399453194E-3</v>
      </c>
      <c r="G92" s="59">
        <f t="shared" si="4"/>
        <v>0.94755107898889168</v>
      </c>
      <c r="H92" s="117" t="str">
        <f t="shared" si="5"/>
        <v>C</v>
      </c>
      <c r="Q92" s="20"/>
    </row>
    <row r="93" spans="1:17" s="1" customFormat="1" ht="75" x14ac:dyDescent="0.2">
      <c r="A93" s="96" t="s">
        <v>102</v>
      </c>
      <c r="B93" s="35" t="str">
        <f>VLOOKUP(A93,'II-PO'!$A$18:$M$295,5,0)</f>
        <v>ESCAVAÇÃO HORIZONTAL, INCLUINDO CARGA, DESCARGA E TRANSPORTE EM SOLO DE 1A CATEGORIA COM TRATOR DE ESTEIRAS (170HP/LÂMINA: 5,20M3) E CAMINHÃO BASCULANTE DE 10M3, DMT ATÉ 200M. AF_07/2020</v>
      </c>
      <c r="C93" s="36">
        <f>VLOOKUP(A93,'II-PO'!$A$18:$M$295,11,0)</f>
        <v>1874.09</v>
      </c>
      <c r="D93" s="36">
        <f>VLOOKUP(A93,'II-PO'!$A$18:$M$295,12,0)</f>
        <v>470.94000000000028</v>
      </c>
      <c r="E93" s="36">
        <f>VLOOKUP(A93,'II-PO'!$A$18:$M$295,13,0)</f>
        <v>2345.0300000000002</v>
      </c>
      <c r="F93" s="58">
        <f t="shared" si="3"/>
        <v>1.9476028289162983E-3</v>
      </c>
      <c r="G93" s="59">
        <f t="shared" si="4"/>
        <v>0.94949868181780794</v>
      </c>
      <c r="H93" s="117" t="str">
        <f t="shared" si="5"/>
        <v>C</v>
      </c>
      <c r="Q93" s="20"/>
    </row>
    <row r="94" spans="1:17" s="1" customFormat="1" ht="90" x14ac:dyDescent="0.2">
      <c r="A94" s="96" t="s">
        <v>269</v>
      </c>
      <c r="B94" s="35" t="str">
        <f>VLOOKUP(A94,'II-PO'!$A$18:$M$295,5,0)</f>
        <v>EXECUÇÃO E COMPACTAÇÃO DE CAMADA FINAL DE ATERRO (100% DE ENERGIA DO PROCTOR NORMAL) COM SOLO PREDOMINANTEMENTE ARGILOSO, EM CAMADAS COM ESPESSURA DE 15 CM - EXCLUSIVE ESCAVAÇÃO, CARGA E TRANSPORTE E SOLO. AF_09/2024</v>
      </c>
      <c r="C94" s="36">
        <f>VLOOKUP(A94,'II-PO'!$A$18:$M$295,11,0)</f>
        <v>1853.44</v>
      </c>
      <c r="D94" s="36">
        <f>VLOOKUP(A94,'II-PO'!$A$18:$M$295,12,0)</f>
        <v>466.79999999999973</v>
      </c>
      <c r="E94" s="36">
        <f>VLOOKUP(A94,'II-PO'!$A$18:$M$295,13,0)</f>
        <v>2320.2399999999998</v>
      </c>
      <c r="F94" s="58">
        <f t="shared" si="3"/>
        <v>1.9270141481195341E-3</v>
      </c>
      <c r="G94" s="59">
        <f t="shared" si="4"/>
        <v>0.95142569596592752</v>
      </c>
      <c r="H94" s="117" t="str">
        <f t="shared" si="5"/>
        <v>C</v>
      </c>
      <c r="Q94" s="20"/>
    </row>
    <row r="95" spans="1:17" s="1" customFormat="1" ht="60" x14ac:dyDescent="0.2">
      <c r="A95" s="96" t="s">
        <v>416</v>
      </c>
      <c r="B95" s="35" t="str">
        <f>VLOOKUP(A95,'II-PO'!$A$18:$M$295,5,0)</f>
        <v>PORTA DE CORRER DE ALUMÍNIO, COM FOLHAS MÚLTIPLAS PARA VIDRO, INCLUSO VIDRO LISO INCOLOR, FECHADURA E PUXADOR, SEM ALIZAR. AF_12/2019 (REF.: SINAPI 100702)</v>
      </c>
      <c r="C95" s="36">
        <f>VLOOKUP(A95,'II-PO'!$A$18:$M$295,11,0)</f>
        <v>1576.41</v>
      </c>
      <c r="D95" s="36">
        <f>VLOOKUP(A95,'II-PO'!$A$18:$M$295,12,0)</f>
        <v>397.25</v>
      </c>
      <c r="E95" s="36">
        <f>VLOOKUP(A95,'II-PO'!$A$18:$M$295,13,0)</f>
        <v>1973.66</v>
      </c>
      <c r="F95" s="58">
        <f t="shared" si="3"/>
        <v>1.6391712683074167E-3</v>
      </c>
      <c r="G95" s="59">
        <f t="shared" si="4"/>
        <v>0.95306486723423489</v>
      </c>
      <c r="H95" s="117" t="str">
        <f t="shared" si="5"/>
        <v>C</v>
      </c>
      <c r="Q95" s="20"/>
    </row>
    <row r="96" spans="1:17" s="1" customFormat="1" ht="45" x14ac:dyDescent="0.2">
      <c r="A96" s="96" t="s">
        <v>476</v>
      </c>
      <c r="B96" s="35" t="str">
        <f>VLOOKUP(A96,'II-PO'!$A$18:$M$295,5,0)</f>
        <v>CAIXA DE AREIA 60X60X80CM (MEDIDAS INTERNAS) FUNDO DE BRITA COM GRELHA METÁLICA FERRO CHATO PADRÃO GOINFRA</v>
      </c>
      <c r="C96" s="36">
        <f>VLOOKUP(A96,'II-PO'!$A$18:$M$295,11,0)</f>
        <v>1524.74</v>
      </c>
      <c r="D96" s="36">
        <f>VLOOKUP(A96,'II-PO'!$A$18:$M$295,12,0)</f>
        <v>384.22</v>
      </c>
      <c r="E96" s="36">
        <f>VLOOKUP(A96,'II-PO'!$A$18:$M$295,13,0)</f>
        <v>1908.96</v>
      </c>
      <c r="F96" s="58">
        <f t="shared" si="3"/>
        <v>1.5854363894227607E-3</v>
      </c>
      <c r="G96" s="59">
        <f t="shared" si="4"/>
        <v>0.95465030362365766</v>
      </c>
      <c r="H96" s="117" t="str">
        <f t="shared" si="5"/>
        <v>C</v>
      </c>
      <c r="Q96" s="20"/>
    </row>
    <row r="97" spans="1:17" s="1" customFormat="1" ht="45" x14ac:dyDescent="0.2">
      <c r="A97" s="96" t="s">
        <v>282</v>
      </c>
      <c r="B97" s="35" t="str">
        <f>VLOOKUP(A97,'II-PO'!$A$18:$M$295,5,0)</f>
        <v>ARMAÇÃO DE SAPATA ISOLADA, VIGA BALDRAME E SAPATA CORRIDA UTILIZANDO AÇO CA-50 DE 10 MM - MONTAGEM. AF_01/2024</v>
      </c>
      <c r="C97" s="36">
        <f>VLOOKUP(A97,'II-PO'!$A$18:$M$295,11,0)</f>
        <v>1433.11</v>
      </c>
      <c r="D97" s="36">
        <f>VLOOKUP(A97,'II-PO'!$A$18:$M$295,12,0)</f>
        <v>360.70000000000005</v>
      </c>
      <c r="E97" s="36">
        <f>VLOOKUP(A97,'II-PO'!$A$18:$M$295,13,0)</f>
        <v>1793.81</v>
      </c>
      <c r="F97" s="58">
        <f t="shared" si="3"/>
        <v>1.489801593386159E-3</v>
      </c>
      <c r="G97" s="59">
        <f t="shared" si="4"/>
        <v>0.95614010521704385</v>
      </c>
      <c r="H97" s="117" t="str">
        <f t="shared" si="5"/>
        <v>C</v>
      </c>
      <c r="Q97" s="20"/>
    </row>
    <row r="98" spans="1:17" s="1" customFormat="1" ht="30" x14ac:dyDescent="0.2">
      <c r="A98" s="96" t="s">
        <v>475</v>
      </c>
      <c r="B98" s="35" t="str">
        <f>VLOOKUP(A98,'II-PO'!$A$18:$M$295,5,0)</f>
        <v>CHAPIM (RUFO CAPA) EM AÇO GALVANIZADO, CORTE 33. AF_11/2020</v>
      </c>
      <c r="C98" s="36">
        <f>VLOOKUP(A98,'II-PO'!$A$18:$M$295,11,0)</f>
        <v>1413.72</v>
      </c>
      <c r="D98" s="36">
        <f>VLOOKUP(A98,'II-PO'!$A$18:$M$295,12,0)</f>
        <v>356.03999999999996</v>
      </c>
      <c r="E98" s="36">
        <f>VLOOKUP(A98,'II-PO'!$A$18:$M$295,13,0)</f>
        <v>1769.76</v>
      </c>
      <c r="F98" s="58">
        <f t="shared" si="3"/>
        <v>1.4698275000758659E-3</v>
      </c>
      <c r="G98" s="59">
        <f t="shared" si="4"/>
        <v>0.95760993271711969</v>
      </c>
      <c r="H98" s="117" t="str">
        <f t="shared" si="5"/>
        <v>C</v>
      </c>
      <c r="Q98" s="20"/>
    </row>
    <row r="99" spans="1:17" s="1" customFormat="1" ht="60" x14ac:dyDescent="0.2">
      <c r="A99" s="96" t="s">
        <v>574</v>
      </c>
      <c r="B99" s="35" t="str">
        <f>VLOOKUP(A99,'II-PO'!$A$18:$M$295,5,0)</f>
        <v>ELETRODUTO FLEXÍVEL CORRUGADO REFORÇADO, PVC, DN 32 MM (1"), PARA CIRCUITOS TERMINAIS, INSTALADO EM FORRO - FORNECIMENTO E INSTALAÇÃO. AF_03/2023</v>
      </c>
      <c r="C99" s="36">
        <f>VLOOKUP(A99,'II-PO'!$A$18:$M$295,11,0)</f>
        <v>1382.24</v>
      </c>
      <c r="D99" s="36">
        <f>VLOOKUP(A99,'II-PO'!$A$18:$M$295,12,0)</f>
        <v>347.95000000000005</v>
      </c>
      <c r="E99" s="36">
        <f>VLOOKUP(A99,'II-PO'!$A$18:$M$295,13,0)</f>
        <v>1730.19</v>
      </c>
      <c r="F99" s="58">
        <f t="shared" si="3"/>
        <v>1.4369636800222981E-3</v>
      </c>
      <c r="G99" s="59">
        <f t="shared" si="4"/>
        <v>0.95904689639714202</v>
      </c>
      <c r="H99" s="117" t="str">
        <f t="shared" si="5"/>
        <v>C</v>
      </c>
      <c r="Q99" s="20"/>
    </row>
    <row r="100" spans="1:17" s="1" customFormat="1" ht="60" x14ac:dyDescent="0.2">
      <c r="A100" s="96" t="s">
        <v>260</v>
      </c>
      <c r="B100" s="35" t="str">
        <f>VLOOKUP(A100,'II-PO'!$A$18:$M$295,5,0)</f>
        <v>ESCAVAÇÃO MECANIZADA PARA BLOCO DE COROAMENTO OU SAPATA COM RETROESCAVADEIRA (INCLUINDO ESCAVAÇÃO PARA COLOCAÇÃO DE FÔRMAS). AF_01/2024</v>
      </c>
      <c r="C100" s="36">
        <f>VLOOKUP(A100,'II-PO'!$A$18:$M$295,11,0)</f>
        <v>1377.96</v>
      </c>
      <c r="D100" s="36">
        <f>VLOOKUP(A100,'II-PO'!$A$18:$M$295,12,0)</f>
        <v>347.23</v>
      </c>
      <c r="E100" s="36">
        <f>VLOOKUP(A100,'II-PO'!$A$18:$M$295,13,0)</f>
        <v>1725.19</v>
      </c>
      <c r="F100" s="58">
        <f t="shared" si="3"/>
        <v>1.4328110618704701E-3</v>
      </c>
      <c r="G100" s="59">
        <f t="shared" si="4"/>
        <v>0.96047970745901246</v>
      </c>
      <c r="H100" s="117" t="str">
        <f t="shared" si="5"/>
        <v>C</v>
      </c>
      <c r="Q100" s="20"/>
    </row>
    <row r="101" spans="1:17" s="1" customFormat="1" ht="30" x14ac:dyDescent="0.2">
      <c r="A101" s="96" t="s">
        <v>693</v>
      </c>
      <c r="B101" s="35" t="str">
        <f>VLOOKUP(A101,'II-PO'!$A$18:$M$295,5,0)</f>
        <v>PISO EM CONCRETO DESEMPENADO ESPESSURA = 7 CM  1</v>
      </c>
      <c r="C101" s="36">
        <f>VLOOKUP(A101,'II-PO'!$A$18:$M$295,11,0)</f>
        <v>1172.5</v>
      </c>
      <c r="D101" s="36">
        <f>VLOOKUP(A101,'II-PO'!$A$18:$M$295,12,0)</f>
        <v>295.45000000000005</v>
      </c>
      <c r="E101" s="36">
        <f>VLOOKUP(A101,'II-PO'!$A$18:$M$295,13,0)</f>
        <v>1467.95</v>
      </c>
      <c r="F101" s="58">
        <f t="shared" si="3"/>
        <v>1.2191671631952171E-3</v>
      </c>
      <c r="G101" s="59">
        <f t="shared" si="4"/>
        <v>0.96169887462220771</v>
      </c>
      <c r="H101" s="117" t="str">
        <f t="shared" si="5"/>
        <v>C</v>
      </c>
      <c r="Q101" s="20"/>
    </row>
    <row r="102" spans="1:17" s="1" customFormat="1" ht="30" x14ac:dyDescent="0.2">
      <c r="A102" s="96" t="s">
        <v>253</v>
      </c>
      <c r="B102" s="35" t="str">
        <f>VLOOKUP(A102,'II-PO'!$A$18:$M$295,5,0)</f>
        <v>ARMAÇÃO DE BLOCO UTILIZANDO AÇO CA-50 DE 6,3 MM - MONTAGEM. AF_01/2024</v>
      </c>
      <c r="C102" s="36">
        <f>VLOOKUP(A102,'II-PO'!$A$18:$M$295,11,0)</f>
        <v>1142.49</v>
      </c>
      <c r="D102" s="36">
        <f>VLOOKUP(A102,'II-PO'!$A$18:$M$295,12,0)</f>
        <v>287.57999999999993</v>
      </c>
      <c r="E102" s="36">
        <f>VLOOKUP(A102,'II-PO'!$A$18:$M$295,13,0)</f>
        <v>1430.07</v>
      </c>
      <c r="F102" s="58">
        <f t="shared" si="3"/>
        <v>1.1877069280769672E-3</v>
      </c>
      <c r="G102" s="59">
        <f t="shared" si="4"/>
        <v>0.96288658155028473</v>
      </c>
      <c r="H102" s="117" t="str">
        <f t="shared" si="5"/>
        <v>C</v>
      </c>
      <c r="Q102" s="20"/>
    </row>
    <row r="103" spans="1:17" s="1" customFormat="1" ht="45" x14ac:dyDescent="0.2">
      <c r="A103" s="96" t="s">
        <v>344</v>
      </c>
      <c r="B103" s="35" t="str">
        <f>VLOOKUP(A103,'II-PO'!$A$18:$M$295,5,0)</f>
        <v>CAMADA SEPARADORA PARA EXECUÇÃO DE RADIER, PISO DE CONCRETO OU LAJE SOBRE SOLO, EM LONA PLÁSTICA. AF_09/2021</v>
      </c>
      <c r="C103" s="36">
        <f>VLOOKUP(A103,'II-PO'!$A$18:$M$295,11,0)</f>
        <v>1129.19</v>
      </c>
      <c r="D103" s="36">
        <f>VLOOKUP(A103,'II-PO'!$A$18:$M$295,12,0)</f>
        <v>283.39999999999986</v>
      </c>
      <c r="E103" s="36">
        <f>VLOOKUP(A103,'II-PO'!$A$18:$M$295,13,0)</f>
        <v>1412.59</v>
      </c>
      <c r="F103" s="58">
        <f t="shared" si="3"/>
        <v>1.1731893750181761E-3</v>
      </c>
      <c r="G103" s="59">
        <f t="shared" si="4"/>
        <v>0.96405977092530293</v>
      </c>
      <c r="H103" s="117" t="str">
        <f t="shared" si="5"/>
        <v>C</v>
      </c>
      <c r="Q103" s="20"/>
    </row>
    <row r="104" spans="1:17" s="1" customFormat="1" ht="60" x14ac:dyDescent="0.2">
      <c r="A104" s="96" t="s">
        <v>285</v>
      </c>
      <c r="B104" s="35" t="str">
        <f>VLOOKUP(A104,'II-PO'!$A$18:$M$295,5,0)</f>
        <v>ESCAVAÇÃO MECANIZADA PARA VIGA BALDRAME OU SAPATA CORRIDA COM MINI-ESCAVADEIRA (INCLUINDO ESCAVAÇÃO PARA COLOCAÇÃO DE FÔRMAS). AF_01/2024</v>
      </c>
      <c r="C104" s="36">
        <f>VLOOKUP(A104,'II-PO'!$A$18:$M$295,11,0)</f>
        <v>1035.24</v>
      </c>
      <c r="D104" s="36">
        <f>VLOOKUP(A104,'II-PO'!$A$18:$M$295,12,0)</f>
        <v>260.77</v>
      </c>
      <c r="E104" s="36">
        <f>VLOOKUP(A104,'II-PO'!$A$18:$M$295,13,0)</f>
        <v>1296.01</v>
      </c>
      <c r="F104" s="58">
        <f t="shared" si="3"/>
        <v>1.0763669301901517E-3</v>
      </c>
      <c r="G104" s="59">
        <f t="shared" si="4"/>
        <v>0.96513613785549313</v>
      </c>
      <c r="H104" s="117" t="str">
        <f t="shared" si="5"/>
        <v>C</v>
      </c>
      <c r="Q104" s="20"/>
    </row>
    <row r="105" spans="1:17" s="1" customFormat="1" ht="45" x14ac:dyDescent="0.2">
      <c r="A105" s="96" t="s">
        <v>545</v>
      </c>
      <c r="B105" s="35" t="str">
        <f>VLOOKUP(A105,'II-PO'!$A$18:$M$295,5,0)</f>
        <v>VASO SANITÁRIO SIFONADO COM CAIXA ACOPLADA LOUÇA BRANCA - FORNECIMENTO E INSTALAÇÃO. AF_01/2020</v>
      </c>
      <c r="C105" s="36">
        <f>VLOOKUP(A105,'II-PO'!$A$18:$M$295,11,0)</f>
        <v>1026.9000000000001</v>
      </c>
      <c r="D105" s="36">
        <f>VLOOKUP(A105,'II-PO'!$A$18:$M$295,12,0)</f>
        <v>258.76</v>
      </c>
      <c r="E105" s="36">
        <f>VLOOKUP(A105,'II-PO'!$A$18:$M$295,13,0)</f>
        <v>1285.6600000000001</v>
      </c>
      <c r="F105" s="58">
        <f t="shared" si="3"/>
        <v>1.0677710106158677E-3</v>
      </c>
      <c r="G105" s="59">
        <f t="shared" si="4"/>
        <v>0.96620390886610896</v>
      </c>
      <c r="H105" s="117" t="str">
        <f t="shared" si="5"/>
        <v>C</v>
      </c>
      <c r="Q105" s="20"/>
    </row>
    <row r="106" spans="1:17" s="1" customFormat="1" ht="45" x14ac:dyDescent="0.2">
      <c r="A106" s="96" t="s">
        <v>450</v>
      </c>
      <c r="B106" s="35" t="str">
        <f>VLOOKUP(A106,'II-PO'!$A$18:$M$295,5,0)</f>
        <v>TUBO PVC, SÉRIE R, ÁGUA PLUVIAL, DN 75 MM, FORNECIDO E INSTALADO EM CONDUTORES VERTICAIS DE ÁGUAS PLUVIAIS. AF_06/2022</v>
      </c>
      <c r="C106" s="36">
        <f>VLOOKUP(A106,'II-PO'!$A$18:$M$295,11,0)</f>
        <v>1024.0999999999999</v>
      </c>
      <c r="D106" s="36">
        <f>VLOOKUP(A106,'II-PO'!$A$18:$M$295,12,0)</f>
        <v>257.95000000000005</v>
      </c>
      <c r="E106" s="36">
        <f>VLOOKUP(A106,'II-PO'!$A$18:$M$295,13,0)</f>
        <v>1282.05</v>
      </c>
      <c r="F106" s="58">
        <f t="shared" si="3"/>
        <v>1.0647728203102475E-3</v>
      </c>
      <c r="G106" s="59">
        <f t="shared" si="4"/>
        <v>0.96726868168641922</v>
      </c>
      <c r="H106" s="117" t="str">
        <f t="shared" si="5"/>
        <v>C</v>
      </c>
      <c r="Q106" s="20"/>
    </row>
    <row r="107" spans="1:17" s="1" customFormat="1" ht="60" x14ac:dyDescent="0.2">
      <c r="A107" s="96" t="s">
        <v>352</v>
      </c>
      <c r="B107" s="35" t="str">
        <f>VLOOKUP(A107,'II-PO'!$A$18:$M$295,5,0)</f>
        <v>REVESTIMENTO CERÂMICO PARA PISO COM PLACAS TIPO PORCELANATO DE DIMENSÕES 60X60 CM APLICADA EM AMBIENTES DE ÁREA ENTRE 5 M² E 10 M². AF_02/2023_PE</v>
      </c>
      <c r="C107" s="36">
        <f>VLOOKUP(A107,'II-PO'!$A$18:$M$295,11,0)</f>
        <v>995.92</v>
      </c>
      <c r="D107" s="36">
        <f>VLOOKUP(A107,'II-PO'!$A$18:$M$295,12,0)</f>
        <v>250.96000000000015</v>
      </c>
      <c r="E107" s="36">
        <f>VLOOKUP(A107,'II-PO'!$A$18:$M$295,13,0)</f>
        <v>1246.8800000000001</v>
      </c>
      <c r="F107" s="58">
        <f t="shared" si="3"/>
        <v>1.0355633042302887E-3</v>
      </c>
      <c r="G107" s="59">
        <f t="shared" si="4"/>
        <v>0.96830424499064949</v>
      </c>
      <c r="H107" s="117" t="str">
        <f t="shared" si="5"/>
        <v>C</v>
      </c>
      <c r="Q107" s="20"/>
    </row>
    <row r="108" spans="1:17" s="1" customFormat="1" ht="45" x14ac:dyDescent="0.2">
      <c r="A108" s="96" t="s">
        <v>654</v>
      </c>
      <c r="B108" s="35" t="str">
        <f>VLOOKUP(A108,'II-PO'!$A$18:$M$295,5,0)</f>
        <v>TUBO, PVC, SOLDÁVEL, DE 40MM, INSTALADO EM RAMAL DE DISTRIBUIÇÃO DE ÁGUA - FORNECIMENTO E INSTALAÇÃO. AF_06/2022</v>
      </c>
      <c r="C108" s="36">
        <f>VLOOKUP(A108,'II-PO'!$A$18:$M$295,11,0)</f>
        <v>984.34</v>
      </c>
      <c r="D108" s="36">
        <f>VLOOKUP(A108,'II-PO'!$A$18:$M$295,12,0)</f>
        <v>247.94999999999993</v>
      </c>
      <c r="E108" s="36">
        <f>VLOOKUP(A108,'II-PO'!$A$18:$M$295,13,0)</f>
        <v>1232.29</v>
      </c>
      <c r="F108" s="58">
        <f t="shared" si="3"/>
        <v>1.0234459644632543E-3</v>
      </c>
      <c r="G108" s="59">
        <f t="shared" si="4"/>
        <v>0.96932769095511273</v>
      </c>
      <c r="H108" s="117" t="str">
        <f t="shared" si="5"/>
        <v>C</v>
      </c>
      <c r="Q108" s="20"/>
    </row>
    <row r="109" spans="1:17" s="1" customFormat="1" ht="45" x14ac:dyDescent="0.2">
      <c r="A109" s="96" t="s">
        <v>689</v>
      </c>
      <c r="B109" s="35" t="str">
        <f>VLOOKUP(A109,'II-PO'!$A$18:$M$295,5,0)</f>
        <v>LÂMPADA TUBULAR LED DE 18/20 W, COM SOQUETE, BASE G13 - FORNECIMENTO E INSTALAÇÃO. AF_09/2024_PS</v>
      </c>
      <c r="C109" s="36">
        <f>VLOOKUP(A109,'II-PO'!$A$18:$M$295,11,0)</f>
        <v>929.92</v>
      </c>
      <c r="D109" s="36">
        <f>VLOOKUP(A109,'II-PO'!$A$18:$M$295,12,0)</f>
        <v>234.24000000000012</v>
      </c>
      <c r="E109" s="36">
        <f>VLOOKUP(A109,'II-PO'!$A$18:$M$295,13,0)</f>
        <v>1164.1600000000001</v>
      </c>
      <c r="F109" s="58">
        <f t="shared" si="3"/>
        <v>9.6686238952644438E-4</v>
      </c>
      <c r="G109" s="59">
        <f t="shared" si="4"/>
        <v>0.97029455334463921</v>
      </c>
      <c r="H109" s="117" t="str">
        <f t="shared" si="5"/>
        <v>C</v>
      </c>
      <c r="Q109" s="20"/>
    </row>
    <row r="110" spans="1:17" s="1" customFormat="1" ht="45" x14ac:dyDescent="0.2">
      <c r="A110" s="96" t="s">
        <v>683</v>
      </c>
      <c r="B110" s="35" t="str">
        <f>VLOOKUP(A110,'II-PO'!$A$18:$M$295,5,0)</f>
        <v>INTERRUPTOR SIMPLES (1 MÓDULO), 10A/250V, INCLUINDO SUPORTE E PLACA - FORNECIMENTO E INSTALAÇÃO. AF_03/2023</v>
      </c>
      <c r="C110" s="36">
        <f>VLOOKUP(A110,'II-PO'!$A$18:$M$295,11,0)</f>
        <v>912</v>
      </c>
      <c r="D110" s="36">
        <f>VLOOKUP(A110,'II-PO'!$A$18:$M$295,12,0)</f>
        <v>229.79999999999995</v>
      </c>
      <c r="E110" s="36">
        <f>VLOOKUP(A110,'II-PO'!$A$18:$M$295,13,0)</f>
        <v>1141.8</v>
      </c>
      <c r="F110" s="58">
        <f t="shared" si="3"/>
        <v>9.4829188115146893E-4</v>
      </c>
      <c r="G110" s="59">
        <f t="shared" si="4"/>
        <v>0.97124284522579063</v>
      </c>
      <c r="H110" s="117" t="str">
        <f t="shared" si="5"/>
        <v>C</v>
      </c>
      <c r="Q110" s="20"/>
    </row>
    <row r="111" spans="1:17" s="1" customFormat="1" ht="30" x14ac:dyDescent="0.2">
      <c r="A111" s="96" t="s">
        <v>517</v>
      </c>
      <c r="B111" s="35" t="str">
        <f>VLOOKUP(A111,'II-PO'!$A$18:$M$295,5,0)</f>
        <v>OBELISCO PARA PLACA DE INAUGURAÇÃO - PADRÃO GOINFRA</v>
      </c>
      <c r="C111" s="36">
        <f>VLOOKUP(A111,'II-PO'!$A$18:$M$295,11,0)</f>
        <v>882.51</v>
      </c>
      <c r="D111" s="36">
        <f>VLOOKUP(A111,'II-PO'!$A$18:$M$295,12,0)</f>
        <v>222.3900000000001</v>
      </c>
      <c r="E111" s="36">
        <f>VLOOKUP(A111,'II-PO'!$A$18:$M$295,13,0)</f>
        <v>1104.9000000000001</v>
      </c>
      <c r="F111" s="58">
        <f t="shared" si="3"/>
        <v>9.1764555919097751E-4</v>
      </c>
      <c r="G111" s="59">
        <f t="shared" si="4"/>
        <v>0.97216049078498157</v>
      </c>
      <c r="H111" s="117" t="str">
        <f t="shared" si="5"/>
        <v>C</v>
      </c>
      <c r="Q111" s="20"/>
    </row>
    <row r="112" spans="1:17" s="1" customFormat="1" ht="30" x14ac:dyDescent="0.2">
      <c r="A112" s="96" t="s">
        <v>278</v>
      </c>
      <c r="B112" s="35" t="str">
        <f>VLOOKUP(A112,'II-PO'!$A$18:$M$295,5,0)</f>
        <v>REATERRO COM APILOAMENTO MANUAL (BLOCOS/SAPATAS)</v>
      </c>
      <c r="C112" s="36">
        <f>VLOOKUP(A112,'II-PO'!$A$18:$M$295,11,0)</f>
        <v>857.03</v>
      </c>
      <c r="D112" s="36">
        <f>VLOOKUP(A112,'II-PO'!$A$18:$M$295,12,0)</f>
        <v>215.81999999999994</v>
      </c>
      <c r="E112" s="36">
        <f>VLOOKUP(A112,'II-PO'!$A$18:$M$295,13,0)</f>
        <v>1072.8499999999999</v>
      </c>
      <c r="F112" s="58">
        <f t="shared" si="3"/>
        <v>8.9102727683775917E-4</v>
      </c>
      <c r="G112" s="59">
        <f t="shared" si="4"/>
        <v>0.97305151806181933</v>
      </c>
      <c r="H112" s="117" t="str">
        <f t="shared" si="5"/>
        <v>C</v>
      </c>
      <c r="Q112" s="20"/>
    </row>
    <row r="113" spans="1:17" s="1" customFormat="1" ht="30" x14ac:dyDescent="0.2">
      <c r="A113" s="96" t="s">
        <v>688</v>
      </c>
      <c r="B113" s="35" t="str">
        <f>VLOOKUP(A113,'II-PO'!$A$18:$M$295,5,0)</f>
        <v>LÂMPADA COMPACTA DE LED 6 W, BASE E27 - FORNECIMENTO E INSTALAÇÃO. AF_09/2024</v>
      </c>
      <c r="C113" s="36">
        <f>VLOOKUP(A113,'II-PO'!$A$18:$M$295,11,0)</f>
        <v>846.88</v>
      </c>
      <c r="D113" s="36">
        <f>VLOOKUP(A113,'II-PO'!$A$18:$M$295,12,0)</f>
        <v>213.06000000000006</v>
      </c>
      <c r="E113" s="36">
        <f>VLOOKUP(A113,'II-PO'!$A$18:$M$295,13,0)</f>
        <v>1059.94</v>
      </c>
      <c r="F113" s="58">
        <f t="shared" si="3"/>
        <v>8.8030521676973905E-4</v>
      </c>
      <c r="G113" s="59">
        <f t="shared" si="4"/>
        <v>0.97393182327858907</v>
      </c>
      <c r="H113" s="117" t="str">
        <f t="shared" si="5"/>
        <v>C</v>
      </c>
      <c r="Q113" s="20"/>
    </row>
    <row r="114" spans="1:17" s="1" customFormat="1" ht="45" x14ac:dyDescent="0.2">
      <c r="A114" s="96" t="s">
        <v>679</v>
      </c>
      <c r="B114" s="35" t="str">
        <f>VLOOKUP(A114,'II-PO'!$A$18:$M$295,5,0)</f>
        <v>CAIXA DE PASSAGEM PARA TELEFONE 80X80X15CM (SOBREPOR) - FORNECIMENTO E INSTALAÇÃO. AF_08/2025</v>
      </c>
      <c r="C114" s="36">
        <f>VLOOKUP(A114,'II-PO'!$A$18:$M$295,11,0)</f>
        <v>813.26</v>
      </c>
      <c r="D114" s="36">
        <f>VLOOKUP(A114,'II-PO'!$A$18:$M$295,12,0)</f>
        <v>204.94000000000005</v>
      </c>
      <c r="E114" s="36">
        <f>VLOOKUP(A114,'II-PO'!$A$18:$M$295,13,0)</f>
        <v>1018.2</v>
      </c>
      <c r="F114" s="58">
        <f t="shared" si="3"/>
        <v>8.4563916043827792E-4</v>
      </c>
      <c r="G114" s="59">
        <f t="shared" si="4"/>
        <v>0.9747774624390273</v>
      </c>
      <c r="H114" s="117" t="str">
        <f t="shared" si="5"/>
        <v>C</v>
      </c>
      <c r="Q114" s="20"/>
    </row>
    <row r="115" spans="1:17" s="1" customFormat="1" ht="45" x14ac:dyDescent="0.2">
      <c r="A115" s="96" t="s">
        <v>595</v>
      </c>
      <c r="B115" s="35" t="str">
        <f>VLOOKUP(A115,'II-PO'!$A$18:$M$295,5,0)</f>
        <v>ARMAÇÃO DE PILAR OU VIGA DE ESTRUTURA CONVENCIONAL DE CONCRETO ARMADO UTILIZANDO AÇO CA-50 DE 10,0 MM - MONTAGEM. AF_06/2022</v>
      </c>
      <c r="C115" s="36">
        <f>VLOOKUP(A115,'II-PO'!$A$18:$M$295,11,0)</f>
        <v>723.63</v>
      </c>
      <c r="D115" s="36">
        <f>VLOOKUP(A115,'II-PO'!$A$18:$M$295,12,0)</f>
        <v>182</v>
      </c>
      <c r="E115" s="36">
        <f>VLOOKUP(A115,'II-PO'!$A$18:$M$295,13,0)</f>
        <v>905.63</v>
      </c>
      <c r="F115" s="58">
        <f t="shared" si="3"/>
        <v>7.521471153680196E-4</v>
      </c>
      <c r="G115" s="59">
        <f t="shared" si="4"/>
        <v>0.97552960955439527</v>
      </c>
      <c r="H115" s="117" t="str">
        <f t="shared" si="5"/>
        <v>C</v>
      </c>
      <c r="Q115" s="20"/>
    </row>
    <row r="116" spans="1:17" s="1" customFormat="1" x14ac:dyDescent="0.2">
      <c r="A116" s="96" t="s">
        <v>537</v>
      </c>
      <c r="B116" s="35" t="str">
        <f>VLOOKUP(A116,'II-PO'!$A$18:$M$295,5,0)</f>
        <v>TUBO SOLDAVEL PARA ESGOTO DIAMETRO 50 MM</v>
      </c>
      <c r="C116" s="36">
        <f>VLOOKUP(A116,'II-PO'!$A$18:$M$295,11,0)</f>
        <v>722.83</v>
      </c>
      <c r="D116" s="36">
        <f>VLOOKUP(A116,'II-PO'!$A$18:$M$295,12,0)</f>
        <v>181.92999999999995</v>
      </c>
      <c r="E116" s="36">
        <f>VLOOKUP(A116,'II-PO'!$A$18:$M$295,13,0)</f>
        <v>904.76</v>
      </c>
      <c r="F116" s="58">
        <f t="shared" si="3"/>
        <v>7.5142455980960155E-4</v>
      </c>
      <c r="G116" s="59">
        <f t="shared" si="4"/>
        <v>0.97628103411420486</v>
      </c>
      <c r="H116" s="117" t="str">
        <f t="shared" si="5"/>
        <v>C</v>
      </c>
      <c r="Q116" s="20"/>
    </row>
    <row r="117" spans="1:17" s="1" customFormat="1" ht="45" x14ac:dyDescent="0.2">
      <c r="A117" s="96" t="s">
        <v>684</v>
      </c>
      <c r="B117" s="35" t="str">
        <f>VLOOKUP(A117,'II-PO'!$A$18:$M$295,5,0)</f>
        <v>TOMADA MÉDIA DE EMBUTIR (1 MÓDULO), 2P+T 10 A, INCLUINDO SUPORTE E PLACA - FORNECIMENTO E INSTALAÇÃO. AF_03/2023</v>
      </c>
      <c r="C117" s="36">
        <f>VLOOKUP(A117,'II-PO'!$A$18:$M$295,11,0)</f>
        <v>720.2</v>
      </c>
      <c r="D117" s="36">
        <f>VLOOKUP(A117,'II-PO'!$A$18:$M$295,12,0)</f>
        <v>181.39999999999998</v>
      </c>
      <c r="E117" s="36">
        <f>VLOOKUP(A117,'II-PO'!$A$18:$M$295,13,0)</f>
        <v>901.6</v>
      </c>
      <c r="F117" s="58">
        <f t="shared" si="3"/>
        <v>7.4880010513764619E-4</v>
      </c>
      <c r="G117" s="59">
        <f t="shared" si="4"/>
        <v>0.97702983421934253</v>
      </c>
      <c r="H117" s="117" t="str">
        <f t="shared" si="5"/>
        <v>C</v>
      </c>
      <c r="Q117" s="20"/>
    </row>
    <row r="118" spans="1:17" s="1" customFormat="1" ht="30" x14ac:dyDescent="0.2">
      <c r="A118" s="96" t="s">
        <v>254</v>
      </c>
      <c r="B118" s="35" t="str">
        <f>VLOOKUP(A118,'II-PO'!$A$18:$M$295,5,0)</f>
        <v>ARMAÇÃO DE BLOCO UTILIZANDO AÇO CA-50 DE 10 MM - MONTAGEM. AF_01/2024</v>
      </c>
      <c r="C118" s="36">
        <f>VLOOKUP(A118,'II-PO'!$A$18:$M$295,11,0)</f>
        <v>719.31</v>
      </c>
      <c r="D118" s="36">
        <f>VLOOKUP(A118,'II-PO'!$A$18:$M$295,12,0)</f>
        <v>181.05000000000007</v>
      </c>
      <c r="E118" s="36">
        <f>VLOOKUP(A118,'II-PO'!$A$18:$M$295,13,0)</f>
        <v>900.36</v>
      </c>
      <c r="F118" s="58">
        <f t="shared" si="3"/>
        <v>7.4777025583599283E-4</v>
      </c>
      <c r="G118" s="59">
        <f t="shared" si="4"/>
        <v>0.97777760447517847</v>
      </c>
      <c r="H118" s="117" t="str">
        <f t="shared" si="5"/>
        <v>C</v>
      </c>
      <c r="Q118" s="20"/>
    </row>
    <row r="119" spans="1:17" s="1" customFormat="1" ht="45" x14ac:dyDescent="0.2">
      <c r="A119" s="96" t="s">
        <v>470</v>
      </c>
      <c r="B119" s="35" t="str">
        <f>VLOOKUP(A119,'II-PO'!$A$18:$M$295,5,0)</f>
        <v>CABO DE COBRE FLEXÍVEL ISOLADO, 10 MM², ANTI-CHAMA 450/750 V, PARA CIRCUITOS TERMINAIS - FORNECIMENTO E INSTALAÇÃO. AF_03/2023</v>
      </c>
      <c r="C119" s="36">
        <f>VLOOKUP(A119,'II-PO'!$A$18:$M$295,11,0)</f>
        <v>711.21</v>
      </c>
      <c r="D119" s="36">
        <f>VLOOKUP(A119,'II-PO'!$A$18:$M$295,12,0)</f>
        <v>179.12</v>
      </c>
      <c r="E119" s="36">
        <f>VLOOKUP(A119,'II-PO'!$A$18:$M$295,13,0)</f>
        <v>890.33</v>
      </c>
      <c r="F119" s="58">
        <f t="shared" si="3"/>
        <v>7.3944010382342561E-4</v>
      </c>
      <c r="G119" s="59">
        <f t="shared" si="4"/>
        <v>0.9785170445790019</v>
      </c>
      <c r="H119" s="117" t="str">
        <f t="shared" si="5"/>
        <v>C</v>
      </c>
      <c r="Q119" s="20"/>
    </row>
    <row r="120" spans="1:17" s="1" customFormat="1" ht="30" x14ac:dyDescent="0.2">
      <c r="A120" s="96" t="s">
        <v>520</v>
      </c>
      <c r="B120" s="35" t="str">
        <f>VLOOKUP(A120,'II-PO'!$A$18:$M$295,5,0)</f>
        <v>SIFÃO DO TIPO GARRAFA EM METAL CROMADO 1 X 1.1/2" - FORNECIMENTO E INSTALAÇÃO. AF_01/2020</v>
      </c>
      <c r="C120" s="36">
        <f>VLOOKUP(A120,'II-PO'!$A$18:$M$295,11,0)</f>
        <v>684.21</v>
      </c>
      <c r="D120" s="36">
        <f>VLOOKUP(A120,'II-PO'!$A$18:$M$295,12,0)</f>
        <v>172.40999999999997</v>
      </c>
      <c r="E120" s="36">
        <f>VLOOKUP(A120,'II-PO'!$A$18:$M$295,13,0)</f>
        <v>856.62</v>
      </c>
      <c r="F120" s="58">
        <f t="shared" si="3"/>
        <v>7.1144315224380044E-4</v>
      </c>
      <c r="G120" s="59">
        <f t="shared" si="4"/>
        <v>0.97922848773124571</v>
      </c>
      <c r="H120" s="117" t="str">
        <f t="shared" si="5"/>
        <v>C</v>
      </c>
      <c r="Q120" s="20"/>
    </row>
    <row r="121" spans="1:17" s="1" customFormat="1" x14ac:dyDescent="0.2">
      <c r="A121" s="96" t="s">
        <v>673</v>
      </c>
      <c r="B121" s="35" t="str">
        <f>VLOOKUP(A121,'II-PO'!$A$18:$M$295,5,0)</f>
        <v>PIA MÁRMORE/GRANITO SINTÉTICO 2,00 X 0,54 M</v>
      </c>
      <c r="C121" s="36">
        <f>VLOOKUP(A121,'II-PO'!$A$18:$M$295,11,0)</f>
        <v>670.18</v>
      </c>
      <c r="D121" s="36">
        <f>VLOOKUP(A121,'II-PO'!$A$18:$M$295,12,0)</f>
        <v>168.88</v>
      </c>
      <c r="E121" s="36">
        <f>VLOOKUP(A121,'II-PO'!$A$18:$M$295,13,0)</f>
        <v>839.06</v>
      </c>
      <c r="F121" s="58">
        <f t="shared" si="3"/>
        <v>6.9685915729458001E-4</v>
      </c>
      <c r="G121" s="59">
        <f t="shared" si="4"/>
        <v>0.97992534688854027</v>
      </c>
      <c r="H121" s="117" t="str">
        <f t="shared" si="5"/>
        <v>C</v>
      </c>
      <c r="Q121" s="20"/>
    </row>
    <row r="122" spans="1:17" s="1" customFormat="1" ht="60" x14ac:dyDescent="0.2">
      <c r="A122" s="96" t="s">
        <v>392</v>
      </c>
      <c r="B122" s="35" t="str">
        <f>VLOOKUP(A122,'II-PO'!$A$18:$M$295,5,0)</f>
        <v>CHAPISCO APLICADO EM ALVENARIA (COM PRESENÇA DE VÃOS) E ESTRUTURAS DE CONCRETO DE FACHADA, COM COLHER DE PEDREIRO. ARGAMASSA TRAÇO 1:3 COM PREPARO EM BETONEIRA 400L. AF_10/2022</v>
      </c>
      <c r="C122" s="36">
        <f>VLOOKUP(A122,'II-PO'!$A$18:$M$295,11,0)</f>
        <v>650.23</v>
      </c>
      <c r="D122" s="36">
        <f>VLOOKUP(A122,'II-PO'!$A$18:$M$295,12,0)</f>
        <v>163.65999999999997</v>
      </c>
      <c r="E122" s="36">
        <f>VLOOKUP(A122,'II-PO'!$A$18:$M$295,13,0)</f>
        <v>813.89</v>
      </c>
      <c r="F122" s="58">
        <f t="shared" si="3"/>
        <v>6.7595487751827732E-4</v>
      </c>
      <c r="G122" s="59">
        <f t="shared" si="4"/>
        <v>0.98060130176605853</v>
      </c>
      <c r="H122" s="117" t="str">
        <f t="shared" si="5"/>
        <v>C</v>
      </c>
      <c r="Q122" s="20"/>
    </row>
    <row r="123" spans="1:17" s="1" customFormat="1" ht="30" x14ac:dyDescent="0.2">
      <c r="A123" s="96" t="s">
        <v>674</v>
      </c>
      <c r="B123" s="35" t="str">
        <f>VLOOKUP(A123,'II-PO'!$A$18:$M$295,5,0)</f>
        <v>TANQUE DE AÇO INOX - CHAPA 0,7MM - MEDIDAS APROXIMADAS 50 X 40 X 22 CM (C X L X A)</v>
      </c>
      <c r="C123" s="36">
        <f>VLOOKUP(A123,'II-PO'!$A$18:$M$295,11,0)</f>
        <v>623.75</v>
      </c>
      <c r="D123" s="36">
        <f>VLOOKUP(A123,'II-PO'!$A$18:$M$295,12,0)</f>
        <v>157.17999999999995</v>
      </c>
      <c r="E123" s="36">
        <f>VLOOKUP(A123,'II-PO'!$A$18:$M$295,13,0)</f>
        <v>780.93</v>
      </c>
      <c r="F123" s="58">
        <f t="shared" si="3"/>
        <v>6.4858081866142636E-4</v>
      </c>
      <c r="G123" s="59">
        <f t="shared" si="4"/>
        <v>0.98124988258472001</v>
      </c>
      <c r="H123" s="117" t="str">
        <f t="shared" si="5"/>
        <v>C</v>
      </c>
      <c r="Q123" s="20"/>
    </row>
    <row r="124" spans="1:17" s="1" customFormat="1" x14ac:dyDescent="0.2">
      <c r="A124" s="96" t="s">
        <v>646</v>
      </c>
      <c r="B124" s="35" t="str">
        <f>VLOOKUP(A124,'II-PO'!$A$18:$M$295,5,0)</f>
        <v>CAIXA D'AGUA POLIETILENO 1000 LTS. COM TAMPA</v>
      </c>
      <c r="C124" s="36">
        <f>VLOOKUP(A124,'II-PO'!$A$18:$M$295,11,0)</f>
        <v>570.32000000000005</v>
      </c>
      <c r="D124" s="36">
        <f>VLOOKUP(A124,'II-PO'!$A$18:$M$295,12,0)</f>
        <v>143.71999999999991</v>
      </c>
      <c r="E124" s="36">
        <f>VLOOKUP(A124,'II-PO'!$A$18:$M$295,13,0)</f>
        <v>714.04</v>
      </c>
      <c r="F124" s="58">
        <f t="shared" si="3"/>
        <v>5.9302709302626983E-4</v>
      </c>
      <c r="G124" s="59">
        <f t="shared" si="4"/>
        <v>0.98184290967774623</v>
      </c>
      <c r="H124" s="117" t="str">
        <f t="shared" si="5"/>
        <v>C</v>
      </c>
      <c r="Q124" s="20"/>
    </row>
    <row r="125" spans="1:17" s="1" customFormat="1" ht="105" x14ac:dyDescent="0.2">
      <c r="A125" s="96" t="s">
        <v>411</v>
      </c>
      <c r="B125" s="35" t="str">
        <f>VLOOKUP(A125,'II-PO'!$A$18:$M$295,5,0)</f>
        <v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v>
      </c>
      <c r="C125" s="36">
        <f>VLOOKUP(A125,'II-PO'!$A$18:$M$295,11,0)</f>
        <v>539.28</v>
      </c>
      <c r="D125" s="36">
        <f>VLOOKUP(A125,'II-PO'!$A$18:$M$295,12,0)</f>
        <v>135.88999999999999</v>
      </c>
      <c r="E125" s="36">
        <f>VLOOKUP(A125,'II-PO'!$A$18:$M$295,13,0)</f>
        <v>675.17</v>
      </c>
      <c r="F125" s="58">
        <f t="shared" si="3"/>
        <v>5.6074463951395802E-4</v>
      </c>
      <c r="G125" s="59">
        <f t="shared" si="4"/>
        <v>0.98240365431726018</v>
      </c>
      <c r="H125" s="117" t="str">
        <f t="shared" si="5"/>
        <v>C</v>
      </c>
      <c r="Q125" s="20"/>
    </row>
    <row r="126" spans="1:17" s="1" customFormat="1" x14ac:dyDescent="0.2">
      <c r="A126" s="96" t="s">
        <v>518</v>
      </c>
      <c r="B126" s="35" t="str">
        <f>VLOOKUP(A126,'II-PO'!$A$18:$M$295,5,0)</f>
        <v>PLACA DE INAUGURACAO ACO ESCOVADO 42X60 CM</v>
      </c>
      <c r="C126" s="36">
        <f>VLOOKUP(A126,'II-PO'!$A$18:$M$295,11,0)</f>
        <v>531.78</v>
      </c>
      <c r="D126" s="36">
        <f>VLOOKUP(A126,'II-PO'!$A$18:$M$295,12,0)</f>
        <v>134</v>
      </c>
      <c r="E126" s="36">
        <f>VLOOKUP(A126,'II-PO'!$A$18:$M$295,13,0)</f>
        <v>665.78</v>
      </c>
      <c r="F126" s="58">
        <f t="shared" si="3"/>
        <v>5.5294602262482477E-4</v>
      </c>
      <c r="G126" s="59">
        <f t="shared" si="4"/>
        <v>0.98295660033988497</v>
      </c>
      <c r="H126" s="117" t="str">
        <f t="shared" si="5"/>
        <v>C</v>
      </c>
      <c r="Q126" s="20"/>
    </row>
    <row r="127" spans="1:17" s="1" customFormat="1" ht="45" x14ac:dyDescent="0.2">
      <c r="A127" s="96" t="s">
        <v>556</v>
      </c>
      <c r="B127" s="35" t="str">
        <f>VLOOKUP(A127,'II-PO'!$A$18:$M$295,5,0)</f>
        <v>VASO SANITÁRIO SIFONADO COM CAIXA ACOPLADA LOUÇA BRANCA - FORNECIMENTO E INSTALAÇÃO. AF_01/2020</v>
      </c>
      <c r="C127" s="36">
        <f>VLOOKUP(A127,'II-PO'!$A$18:$M$295,11,0)</f>
        <v>513.45000000000005</v>
      </c>
      <c r="D127" s="36">
        <f>VLOOKUP(A127,'II-PO'!$A$18:$M$295,12,0)</f>
        <v>129.38</v>
      </c>
      <c r="E127" s="36">
        <f>VLOOKUP(A127,'II-PO'!$A$18:$M$295,13,0)</f>
        <v>642.83000000000004</v>
      </c>
      <c r="F127" s="58">
        <f t="shared" si="3"/>
        <v>5.3388550530793384E-4</v>
      </c>
      <c r="G127" s="59">
        <f t="shared" si="4"/>
        <v>0.98349048584519294</v>
      </c>
      <c r="H127" s="117" t="str">
        <f t="shared" si="5"/>
        <v>C</v>
      </c>
      <c r="Q127" s="20"/>
    </row>
    <row r="128" spans="1:17" s="1" customFormat="1" ht="45" x14ac:dyDescent="0.2">
      <c r="A128" s="96" t="s">
        <v>652</v>
      </c>
      <c r="B128" s="35" t="str">
        <f>VLOOKUP(A128,'II-PO'!$A$18:$M$295,5,0)</f>
        <v>TUBO, PVC, SOLDÁVEL, DE 25MM, INSTALADO EM RAMAL DE DISTRIBUIÇÃO DE ÁGUA - FORNECIMENTO E INSTALAÇÃO. AF_06/2022</v>
      </c>
      <c r="C128" s="36">
        <f>VLOOKUP(A128,'II-PO'!$A$18:$M$295,11,0)</f>
        <v>511.49</v>
      </c>
      <c r="D128" s="36">
        <f>VLOOKUP(A128,'II-PO'!$A$18:$M$295,12,0)</f>
        <v>128.63</v>
      </c>
      <c r="E128" s="36">
        <f>VLOOKUP(A128,'II-PO'!$A$18:$M$295,13,0)</f>
        <v>640.12</v>
      </c>
      <c r="F128" s="58">
        <f t="shared" si="3"/>
        <v>5.3163478626964294E-4</v>
      </c>
      <c r="G128" s="59">
        <f t="shared" si="4"/>
        <v>0.98402212063146255</v>
      </c>
      <c r="H128" s="117" t="str">
        <f t="shared" si="5"/>
        <v>C</v>
      </c>
      <c r="Q128" s="20"/>
    </row>
    <row r="129" spans="1:17" s="1" customFormat="1" ht="30" x14ac:dyDescent="0.2">
      <c r="A129" s="96" t="s">
        <v>466</v>
      </c>
      <c r="B129" s="35" t="str">
        <f>VLOOKUP(A129,'II-PO'!$A$18:$M$295,5,0)</f>
        <v>CAIXA OCTOGONAL 3" X 3", PVC, INSTALADA EM LAJE - FORNECIMENTO E INSTALAÇÃO. AF_03/2023</v>
      </c>
      <c r="C129" s="36">
        <f>VLOOKUP(A129,'II-PO'!$A$18:$M$295,11,0)</f>
        <v>478.4</v>
      </c>
      <c r="D129" s="36">
        <f>VLOOKUP(A129,'II-PO'!$A$18:$M$295,12,0)</f>
        <v>120.32000000000005</v>
      </c>
      <c r="E129" s="36">
        <f>VLOOKUP(A129,'II-PO'!$A$18:$M$295,13,0)</f>
        <v>598.72</v>
      </c>
      <c r="F129" s="58">
        <f t="shared" si="3"/>
        <v>4.9725110797250614E-4</v>
      </c>
      <c r="G129" s="59">
        <f t="shared" si="4"/>
        <v>0.98451937173943505</v>
      </c>
      <c r="H129" s="117" t="str">
        <f t="shared" si="5"/>
        <v>C</v>
      </c>
      <c r="Q129" s="20"/>
    </row>
    <row r="130" spans="1:17" s="1" customFormat="1" ht="45" x14ac:dyDescent="0.2">
      <c r="A130" s="96" t="s">
        <v>248</v>
      </c>
      <c r="B130" s="35" t="str">
        <f>VLOOKUP(A130,'II-PO'!$A$18:$M$295,5,0)</f>
        <v>MONTAGEM DE ARMADURA TRANSVERSAL DE ESTACAS DE SEÇÃO CIRCULAR, DIÂMETRO = 6,30 MM. AF_09/2021_PS</v>
      </c>
      <c r="C130" s="36">
        <f>VLOOKUP(A130,'II-PO'!$A$18:$M$295,11,0)</f>
        <v>477.97</v>
      </c>
      <c r="D130" s="36">
        <f>VLOOKUP(A130,'II-PO'!$A$18:$M$295,12,0)</f>
        <v>120.20999999999992</v>
      </c>
      <c r="E130" s="36">
        <f>VLOOKUP(A130,'II-PO'!$A$18:$M$295,13,0)</f>
        <v>598.17999999999995</v>
      </c>
      <c r="F130" s="58">
        <f t="shared" si="3"/>
        <v>4.9680262521210861E-4</v>
      </c>
      <c r="G130" s="59">
        <f t="shared" si="4"/>
        <v>0.98501617436464717</v>
      </c>
      <c r="H130" s="117" t="str">
        <f t="shared" si="5"/>
        <v>C</v>
      </c>
      <c r="Q130" s="20"/>
    </row>
    <row r="131" spans="1:17" s="1" customFormat="1" ht="60" x14ac:dyDescent="0.2">
      <c r="A131" s="96" t="s">
        <v>319</v>
      </c>
      <c r="B131" s="35" t="str">
        <f>VLOOKUP(A131,'II-PO'!$A$18:$M$295,5,0)</f>
        <v>ALVENARIA DE VEDAÇÃO COM ELEMENTO VAZADO DE CERÂMICA (COBOGÓ) DE 7X20X20CM E ARGAMASSA DE ASSENTAMENTO COM PREPARO EM BETONEIRA. AF_05/2020</v>
      </c>
      <c r="C131" s="36">
        <f>VLOOKUP(A131,'II-PO'!$A$18:$M$295,11,0)</f>
        <v>461.17</v>
      </c>
      <c r="D131" s="36">
        <f>VLOOKUP(A131,'II-PO'!$A$18:$M$295,12,0)</f>
        <v>116.20999999999998</v>
      </c>
      <c r="E131" s="36">
        <f>VLOOKUP(A131,'II-PO'!$A$18:$M$295,13,0)</f>
        <v>577.38</v>
      </c>
      <c r="F131" s="58">
        <f t="shared" si="3"/>
        <v>4.7952773370050372E-4</v>
      </c>
      <c r="G131" s="59">
        <f t="shared" si="4"/>
        <v>0.98549570209834769</v>
      </c>
      <c r="H131" s="117" t="str">
        <f t="shared" si="5"/>
        <v>C</v>
      </c>
      <c r="Q131" s="20"/>
    </row>
    <row r="132" spans="1:17" s="1" customFormat="1" x14ac:dyDescent="0.2">
      <c r="A132" s="96" t="s">
        <v>629</v>
      </c>
      <c r="B132" s="35" t="str">
        <f>VLOOKUP(A132,'II-PO'!$A$18:$M$295,5,0)</f>
        <v>REGISTRO DE GAVETA C/CANOPLA DIAMETRO 1.1/4"</v>
      </c>
      <c r="C132" s="36">
        <f>VLOOKUP(A132,'II-PO'!$A$18:$M$295,11,0)</f>
        <v>418.88</v>
      </c>
      <c r="D132" s="36">
        <f>VLOOKUP(A132,'II-PO'!$A$18:$M$295,12,0)</f>
        <v>105.53999999999996</v>
      </c>
      <c r="E132" s="36">
        <f>VLOOKUP(A132,'II-PO'!$A$18:$M$295,13,0)</f>
        <v>524.41999999999996</v>
      </c>
      <c r="F132" s="58">
        <f t="shared" si="3"/>
        <v>4.3554320223634024E-4</v>
      </c>
      <c r="G132" s="59">
        <f t="shared" si="4"/>
        <v>0.98593124530058407</v>
      </c>
      <c r="H132" s="117" t="str">
        <f t="shared" si="5"/>
        <v>C</v>
      </c>
      <c r="Q132" s="20"/>
    </row>
    <row r="133" spans="1:17" s="1" customFormat="1" x14ac:dyDescent="0.2">
      <c r="A133" s="96" t="s">
        <v>656</v>
      </c>
      <c r="B133" s="35" t="str">
        <f>VLOOKUP(A133,'II-PO'!$A$18:$M$295,5,0)</f>
        <v>REGISTRO DE GAVETA C/CANOPLA DIAMETRO 1.1/4"</v>
      </c>
      <c r="C133" s="36">
        <f>VLOOKUP(A133,'II-PO'!$A$18:$M$295,11,0)</f>
        <v>418.88</v>
      </c>
      <c r="D133" s="36">
        <f>VLOOKUP(A133,'II-PO'!$A$18:$M$295,12,0)</f>
        <v>105.53999999999996</v>
      </c>
      <c r="E133" s="36">
        <f>VLOOKUP(A133,'II-PO'!$A$18:$M$295,13,0)</f>
        <v>524.41999999999996</v>
      </c>
      <c r="F133" s="58">
        <f t="shared" si="3"/>
        <v>4.3554320223634024E-4</v>
      </c>
      <c r="G133" s="59">
        <f t="shared" si="4"/>
        <v>0.98636678850282045</v>
      </c>
      <c r="H133" s="117" t="str">
        <f t="shared" si="5"/>
        <v>C</v>
      </c>
      <c r="Q133" s="20"/>
    </row>
    <row r="134" spans="1:17" s="1" customFormat="1" ht="60" x14ac:dyDescent="0.2">
      <c r="A134" s="96" t="s">
        <v>471</v>
      </c>
      <c r="B134" s="35" t="str">
        <f>VLOOKUP(A134,'II-PO'!$A$18:$M$295,5,0)</f>
        <v>CABO DE COBRE FLEXÍVEL ISOLADO, 25 MM², ANTI-CHAMA 0,6/1,0 KV, PARA REDE ENTERRADA DE DISTRIBUIÇÃO DE ENERGIA ELÉTRICA - FORNECIMENTO E INSTALAÇÃO. AF_12/2021</v>
      </c>
      <c r="C134" s="36">
        <f>VLOOKUP(A134,'II-PO'!$A$18:$M$295,11,0)</f>
        <v>408.94</v>
      </c>
      <c r="D134" s="36">
        <f>VLOOKUP(A134,'II-PO'!$A$18:$M$295,12,0)</f>
        <v>103.04000000000002</v>
      </c>
      <c r="E134" s="36">
        <f>VLOOKUP(A134,'II-PO'!$A$18:$M$295,13,0)</f>
        <v>511.98</v>
      </c>
      <c r="F134" s="58">
        <f t="shared" si="3"/>
        <v>4.2521148827459192E-4</v>
      </c>
      <c r="G134" s="59">
        <f t="shared" si="4"/>
        <v>0.98679199999109501</v>
      </c>
      <c r="H134" s="117" t="str">
        <f t="shared" si="5"/>
        <v>C</v>
      </c>
      <c r="Q134" s="20"/>
    </row>
    <row r="135" spans="1:17" s="1" customFormat="1" x14ac:dyDescent="0.2">
      <c r="A135" s="96" t="s">
        <v>671</v>
      </c>
      <c r="B135" s="35" t="str">
        <f>VLOOKUP(A135,'II-PO'!$A$18:$M$295,5,0)</f>
        <v>CAIXA D'AGUA POLIETILENO 500 LTS. COM TAMPA</v>
      </c>
      <c r="C135" s="36">
        <f>VLOOKUP(A135,'II-PO'!$A$18:$M$295,11,0)</f>
        <v>405.11</v>
      </c>
      <c r="D135" s="36">
        <f>VLOOKUP(A135,'II-PO'!$A$18:$M$295,12,0)</f>
        <v>102.07999999999998</v>
      </c>
      <c r="E135" s="36">
        <f>VLOOKUP(A135,'II-PO'!$A$18:$M$295,13,0)</f>
        <v>507.19</v>
      </c>
      <c r="F135" s="58">
        <f t="shared" si="3"/>
        <v>4.212332800851406E-4</v>
      </c>
      <c r="G135" s="59">
        <f t="shared" si="4"/>
        <v>0.98721323327118016</v>
      </c>
      <c r="H135" s="117" t="str">
        <f t="shared" si="5"/>
        <v>C</v>
      </c>
      <c r="Q135" s="20"/>
    </row>
    <row r="136" spans="1:17" s="1" customFormat="1" x14ac:dyDescent="0.2">
      <c r="A136" s="96" t="s">
        <v>617</v>
      </c>
      <c r="B136" s="35" t="str">
        <f>VLOOKUP(A136,'II-PO'!$A$18:$M$295,5,0)</f>
        <v>REGISTRO DE GAVETA C/CANOPLA DIAMETRO 3/4"</v>
      </c>
      <c r="C136" s="36">
        <f>VLOOKUP(A136,'II-PO'!$A$18:$M$295,11,0)</f>
        <v>399.6</v>
      </c>
      <c r="D136" s="36">
        <f>VLOOKUP(A136,'II-PO'!$A$18:$M$295,12,0)</f>
        <v>100.67999999999995</v>
      </c>
      <c r="E136" s="36">
        <f>VLOOKUP(A136,'II-PO'!$A$18:$M$295,13,0)</f>
        <v>500.28</v>
      </c>
      <c r="F136" s="58">
        <f t="shared" si="3"/>
        <v>4.1549436179931412E-4</v>
      </c>
      <c r="G136" s="59">
        <f t="shared" si="4"/>
        <v>0.98762872763297949</v>
      </c>
      <c r="H136" s="117" t="str">
        <f t="shared" si="5"/>
        <v>C</v>
      </c>
      <c r="Q136" s="20"/>
    </row>
    <row r="137" spans="1:17" s="1" customFormat="1" ht="30" x14ac:dyDescent="0.2">
      <c r="A137" s="96" t="s">
        <v>572</v>
      </c>
      <c r="B137" s="35" t="str">
        <f>VLOOKUP(A137,'II-PO'!$A$18:$M$295,5,0)</f>
        <v>DISJUNTOR MONOPOLAR TIPO DIN, CORRENTE NOMINAL DE 16A - FORNECIMENTO E INSTALAÇÃO. AF_07/2025</v>
      </c>
      <c r="C137" s="36">
        <f>VLOOKUP(A137,'II-PO'!$A$18:$M$295,11,0)</f>
        <v>366.4</v>
      </c>
      <c r="D137" s="36">
        <f>VLOOKUP(A137,'II-PO'!$A$18:$M$295,12,0)</f>
        <v>92.160000000000025</v>
      </c>
      <c r="E137" s="36">
        <f>VLOOKUP(A137,'II-PO'!$A$18:$M$295,13,0)</f>
        <v>458.56</v>
      </c>
      <c r="F137" s="58">
        <f t="shared" si="3"/>
        <v>3.8084491594046033E-4</v>
      </c>
      <c r="G137" s="59">
        <f t="shared" si="4"/>
        <v>0.98800957254891997</v>
      </c>
      <c r="H137" s="117" t="str">
        <f t="shared" si="5"/>
        <v>C</v>
      </c>
      <c r="Q137" s="20"/>
    </row>
    <row r="138" spans="1:17" s="1" customFormat="1" ht="60" x14ac:dyDescent="0.2">
      <c r="A138" s="96" t="s">
        <v>343</v>
      </c>
      <c r="B138" s="35" t="str">
        <f>VLOOKUP(A138,'II-PO'!$A$18:$M$295,5,0)</f>
        <v>COMPACTAÇÃO MECÂNICA DE SOLO PARA EXECUÇÃO DE RADIER, PISO DE CONCRETO OU LAJE SOBRE SOLO, COM COMPACTADOR DE SOLOS TIPO PLACA VIBRATÓRIA. AF_09/2021</v>
      </c>
      <c r="C138" s="36">
        <f>VLOOKUP(A138,'II-PO'!$A$18:$M$295,11,0)</f>
        <v>332.11</v>
      </c>
      <c r="D138" s="36">
        <f>VLOOKUP(A138,'II-PO'!$A$18:$M$295,12,0)</f>
        <v>79.70999999999998</v>
      </c>
      <c r="E138" s="36">
        <f>VLOOKUP(A138,'II-PO'!$A$18:$M$295,13,0)</f>
        <v>411.82</v>
      </c>
      <c r="F138" s="58">
        <f t="shared" si="3"/>
        <v>3.4202624145717109E-4</v>
      </c>
      <c r="G138" s="59">
        <f t="shared" si="4"/>
        <v>0.98835159879037715</v>
      </c>
      <c r="H138" s="117" t="str">
        <f t="shared" si="5"/>
        <v>C</v>
      </c>
      <c r="Q138" s="20"/>
    </row>
    <row r="139" spans="1:17" s="1" customFormat="1" ht="45" x14ac:dyDescent="0.2">
      <c r="A139" s="96" t="s">
        <v>681</v>
      </c>
      <c r="B139" s="35" t="str">
        <f>VLOOKUP(A139,'II-PO'!$A$18:$M$295,5,0)</f>
        <v>ELETRODUTO RÍGIDO ROSCÁVEL, PVC, DN 40 MM (1 1/4"), PARA CIRCUITOS TERMINAIS, INSTALADO EM PAREDE - FORNECIMENTO E INSTALAÇÃO. AF_03/2023</v>
      </c>
      <c r="C139" s="36">
        <f>VLOOKUP(A139,'II-PO'!$A$18:$M$295,11,0)</f>
        <v>325.14</v>
      </c>
      <c r="D139" s="36">
        <f>VLOOKUP(A139,'II-PO'!$A$18:$M$295,12,0)</f>
        <v>81.87</v>
      </c>
      <c r="E139" s="36">
        <f>VLOOKUP(A139,'II-PO'!$A$18:$M$295,13,0)</f>
        <v>407.01</v>
      </c>
      <c r="F139" s="58">
        <f t="shared" si="3"/>
        <v>3.3803142279511243E-4</v>
      </c>
      <c r="G139" s="59">
        <f t="shared" si="4"/>
        <v>0.98868963021317224</v>
      </c>
      <c r="H139" s="117" t="str">
        <f t="shared" si="5"/>
        <v>C</v>
      </c>
      <c r="Q139" s="20"/>
    </row>
    <row r="140" spans="1:17" s="1" customFormat="1" ht="30" x14ac:dyDescent="0.2">
      <c r="A140" s="96" t="s">
        <v>691</v>
      </c>
      <c r="B140" s="35" t="str">
        <f>VLOOKUP(A140,'II-PO'!$A$18:$M$295,5,0)</f>
        <v>HASTE DE ATERRAMENTO, DIÂMETRO 3/4", COM 3 METROS - FORNECIMENTO E INSTALAÇÃO. AF_08/2023</v>
      </c>
      <c r="C140" s="36">
        <f>VLOOKUP(A140,'II-PO'!$A$18:$M$295,11,0)</f>
        <v>321.45</v>
      </c>
      <c r="D140" s="36">
        <f>VLOOKUP(A140,'II-PO'!$A$18:$M$295,12,0)</f>
        <v>81</v>
      </c>
      <c r="E140" s="36">
        <f>VLOOKUP(A140,'II-PO'!$A$18:$M$295,13,0)</f>
        <v>402.45</v>
      </c>
      <c r="F140" s="58">
        <f t="shared" si="3"/>
        <v>3.3424423504064518E-4</v>
      </c>
      <c r="G140" s="59">
        <f t="shared" si="4"/>
        <v>0.98902387444821294</v>
      </c>
      <c r="H140" s="117" t="str">
        <f t="shared" si="5"/>
        <v>C</v>
      </c>
      <c r="Q140" s="20"/>
    </row>
    <row r="141" spans="1:17" s="1" customFormat="1" ht="45" x14ac:dyDescent="0.2">
      <c r="A141" s="96" t="s">
        <v>690</v>
      </c>
      <c r="B141" s="35" t="str">
        <f>VLOOKUP(A141,'II-PO'!$A$18:$M$295,5,0)</f>
        <v>LÂMPADA TUBULAR LED DE 9/10 W, COM SOQUETE, BASE G13 - FORNECIMENTO E INSTALAÇÃO. AF_09/2024_PS</v>
      </c>
      <c r="C141" s="36">
        <f>VLOOKUP(A141,'II-PO'!$A$18:$M$295,11,0)</f>
        <v>317.39999999999998</v>
      </c>
      <c r="D141" s="36">
        <f>VLOOKUP(A141,'II-PO'!$A$18:$M$295,12,0)</f>
        <v>79.920000000000016</v>
      </c>
      <c r="E141" s="36">
        <f>VLOOKUP(A141,'II-PO'!$A$18:$M$295,13,0)</f>
        <v>397.32</v>
      </c>
      <c r="F141" s="58">
        <f t="shared" si="3"/>
        <v>3.2998364881686954E-4</v>
      </c>
      <c r="G141" s="59">
        <f t="shared" si="4"/>
        <v>0.9893538580970298</v>
      </c>
      <c r="H141" s="117" t="str">
        <f t="shared" si="5"/>
        <v>C</v>
      </c>
      <c r="Q141" s="20"/>
    </row>
    <row r="142" spans="1:17" s="1" customFormat="1" x14ac:dyDescent="0.2">
      <c r="A142" s="96" t="s">
        <v>286</v>
      </c>
      <c r="B142" s="35" t="str">
        <f>VLOOKUP(A142,'II-PO'!$A$18:$M$295,5,0)</f>
        <v>REATERRO COM APILOAMENTO</v>
      </c>
      <c r="C142" s="36">
        <f>VLOOKUP(A142,'II-PO'!$A$18:$M$295,11,0)</f>
        <v>311.55</v>
      </c>
      <c r="D142" s="36">
        <f>VLOOKUP(A142,'II-PO'!$A$18:$M$295,12,0)</f>
        <v>78.45999999999998</v>
      </c>
      <c r="E142" s="36">
        <f>VLOOKUP(A142,'II-PO'!$A$18:$M$295,13,0)</f>
        <v>390.01</v>
      </c>
      <c r="F142" s="58">
        <f t="shared" si="3"/>
        <v>3.2391252107889681E-4</v>
      </c>
      <c r="G142" s="59">
        <f t="shared" si="4"/>
        <v>0.98967777061810869</v>
      </c>
      <c r="H142" s="117" t="str">
        <f t="shared" si="5"/>
        <v>C</v>
      </c>
      <c r="Q142" s="20"/>
    </row>
    <row r="143" spans="1:17" s="1" customFormat="1" ht="45" x14ac:dyDescent="0.2">
      <c r="A143" s="96" t="s">
        <v>544</v>
      </c>
      <c r="B143" s="35" t="str">
        <f>VLOOKUP(A143,'II-PO'!$A$18:$M$295,5,0)</f>
        <v>TORNEIRA CROMADA DE MESA, 1/2" OU 3/4", PARA LAVATÓRIO, PADRÃO MÉDIO - FORNECIMENTO E INSTALAÇÃO. AF_01/2020</v>
      </c>
      <c r="C143" s="36">
        <f>VLOOKUP(A143,'II-PO'!$A$18:$M$295,11,0)</f>
        <v>308.5</v>
      </c>
      <c r="D143" s="36">
        <f>VLOOKUP(A143,'II-PO'!$A$18:$M$295,12,0)</f>
        <v>77.740000000000009</v>
      </c>
      <c r="E143" s="36">
        <f>VLOOKUP(A143,'II-PO'!$A$18:$M$295,13,0)</f>
        <v>386.24</v>
      </c>
      <c r="F143" s="58">
        <f t="shared" si="3"/>
        <v>3.2078144699241841E-4</v>
      </c>
      <c r="G143" s="59">
        <f t="shared" si="4"/>
        <v>0.98999855206510112</v>
      </c>
      <c r="H143" s="117" t="str">
        <f t="shared" si="5"/>
        <v>C</v>
      </c>
      <c r="Q143" s="20"/>
    </row>
    <row r="144" spans="1:17" s="1" customFormat="1" ht="45" x14ac:dyDescent="0.2">
      <c r="A144" s="96" t="s">
        <v>686</v>
      </c>
      <c r="B144" s="35" t="str">
        <f>VLOOKUP(A144,'II-PO'!$A$18:$M$295,5,0)</f>
        <v>TOMADA MÉDIA DE EMBUTIR (1 MÓDULO), 2P+T 20 A, INCLUINDO SUPORTE E PLACA - FORNECIMENTO E INSTALAÇÃO. AF_03/2023</v>
      </c>
      <c r="C144" s="36">
        <f>VLOOKUP(A144,'II-PO'!$A$18:$M$295,11,0)</f>
        <v>304.16000000000003</v>
      </c>
      <c r="D144" s="36">
        <f>VLOOKUP(A144,'II-PO'!$A$18:$M$295,12,0)</f>
        <v>76.639999999999986</v>
      </c>
      <c r="E144" s="36">
        <f>VLOOKUP(A144,'II-PO'!$A$18:$M$295,13,0)</f>
        <v>380.8</v>
      </c>
      <c r="F144" s="58">
        <f t="shared" si="3"/>
        <v>3.1626339844322942E-4</v>
      </c>
      <c r="G144" s="59">
        <f t="shared" si="4"/>
        <v>0.99031481546354438</v>
      </c>
      <c r="H144" s="117" t="str">
        <f t="shared" si="5"/>
        <v>C</v>
      </c>
      <c r="Q144" s="20"/>
    </row>
    <row r="145" spans="1:17" s="1" customFormat="1" ht="60" x14ac:dyDescent="0.2">
      <c r="A145" s="96" t="s">
        <v>519</v>
      </c>
      <c r="B145" s="35" t="str">
        <f>VLOOKUP(A145,'II-PO'!$A$18:$M$295,5,0)</f>
        <v>CAIXA SIFONADA, COM GRELHA QUADRADA, PVC, DN 150 X 150 X 50 MM, JUNTA SOLDÁVEL, FORNECIDA E INSTALADA EM RAMAL DE DESCARGA OU EM RAMAL DE ESGOTO SANITÁRIO. AF_08/2022</v>
      </c>
      <c r="C145" s="36">
        <f>VLOOKUP(A145,'II-PO'!$A$18:$M$295,11,0)</f>
        <v>301.36</v>
      </c>
      <c r="D145" s="36">
        <f>VLOOKUP(A145,'II-PO'!$A$18:$M$295,12,0)</f>
        <v>75.919999999999959</v>
      </c>
      <c r="E145" s="36">
        <f>VLOOKUP(A145,'II-PO'!$A$18:$M$295,13,0)</f>
        <v>377.28</v>
      </c>
      <c r="F145" s="58">
        <f t="shared" si="3"/>
        <v>3.1333995526434244E-4</v>
      </c>
      <c r="G145" s="59">
        <f t="shared" si="4"/>
        <v>0.99062815541880878</v>
      </c>
      <c r="H145" s="117" t="str">
        <f t="shared" si="5"/>
        <v>C</v>
      </c>
      <c r="Q145" s="20"/>
    </row>
    <row r="146" spans="1:17" s="1" customFormat="1" ht="60" x14ac:dyDescent="0.2">
      <c r="A146" s="96" t="s">
        <v>266</v>
      </c>
      <c r="B146" s="35" t="str">
        <f>VLOOKUP(A146,'II-PO'!$A$18:$M$295,5,0)</f>
        <v>LIMPEZA MECANIZADA DE CAMADA VEGETAL, VEGETAÇÃO E PEQUENAS ÁRVORES (DIÂMETRO DE TRONCO MENOR QUE 0,20 M), COM TRATOR DE ESTEIRAS. AF_03/2024</v>
      </c>
      <c r="C146" s="36">
        <f>VLOOKUP(A146,'II-PO'!$A$18:$M$295,11,0)</f>
        <v>302.94</v>
      </c>
      <c r="D146" s="36">
        <f>VLOOKUP(A146,'II-PO'!$A$18:$M$295,12,0)</f>
        <v>73.44</v>
      </c>
      <c r="E146" s="36">
        <f>VLOOKUP(A146,'II-PO'!$A$18:$M$295,13,0)</f>
        <v>376.38</v>
      </c>
      <c r="F146" s="58">
        <f t="shared" ref="F146:F209" si="6">E146/$H$257</f>
        <v>3.1259248399701336E-4</v>
      </c>
      <c r="G146" s="59">
        <f t="shared" si="4"/>
        <v>0.99094074790280584</v>
      </c>
      <c r="H146" s="117" t="str">
        <f t="shared" si="5"/>
        <v>C</v>
      </c>
      <c r="Q146" s="20"/>
    </row>
    <row r="147" spans="1:17" s="1" customFormat="1" ht="30" x14ac:dyDescent="0.2">
      <c r="A147" s="96" t="s">
        <v>676</v>
      </c>
      <c r="B147" s="35" t="str">
        <f>VLOOKUP(A147,'II-PO'!$A$18:$M$295,5,0)</f>
        <v>DISPOSITIVO DPS 20KA-175V OU 275V - FORNECIMENTO E INSTALAÇÃO. AF_07/2025</v>
      </c>
      <c r="C147" s="36">
        <f>VLOOKUP(A147,'II-PO'!$A$18:$M$295,11,0)</f>
        <v>287.12</v>
      </c>
      <c r="D147" s="36">
        <f>VLOOKUP(A147,'II-PO'!$A$18:$M$295,12,0)</f>
        <v>72.319999999999993</v>
      </c>
      <c r="E147" s="36">
        <f>VLOOKUP(A147,'II-PO'!$A$18:$M$295,13,0)</f>
        <v>359.44</v>
      </c>
      <c r="F147" s="58">
        <f t="shared" si="6"/>
        <v>2.9852341369861971E-4</v>
      </c>
      <c r="G147" s="59">
        <f t="shared" si="4"/>
        <v>0.99123927131650447</v>
      </c>
      <c r="H147" s="117" t="str">
        <f t="shared" si="5"/>
        <v>C</v>
      </c>
      <c r="Q147" s="20"/>
    </row>
    <row r="148" spans="1:17" s="1" customFormat="1" x14ac:dyDescent="0.2">
      <c r="A148" s="96" t="s">
        <v>261</v>
      </c>
      <c r="B148" s="35" t="str">
        <f>VLOOKUP(A148,'II-PO'!$A$18:$M$295,5,0)</f>
        <v>CARGA, MANOBRA E DESCARGA DE CONTAINER</v>
      </c>
      <c r="C148" s="36">
        <f>VLOOKUP(A148,'II-PO'!$A$18:$M$295,11,0)</f>
        <v>273.48</v>
      </c>
      <c r="D148" s="36">
        <f>VLOOKUP(A148,'II-PO'!$A$18:$M$295,12,0)</f>
        <v>68.88</v>
      </c>
      <c r="E148" s="36">
        <f>VLOOKUP(A148,'II-PO'!$A$18:$M$295,13,0)</f>
        <v>342.36</v>
      </c>
      <c r="F148" s="58">
        <f t="shared" si="6"/>
        <v>2.843380700919749E-4</v>
      </c>
      <c r="G148" s="59">
        <f t="shared" ref="G148:G211" si="7">G147+F148</f>
        <v>0.99152360938659645</v>
      </c>
      <c r="H148" s="117" t="str">
        <f t="shared" ref="H148:H211" si="8">IF(G148&lt;=70%,"A",IF(G148&lt;=90%,"B","C"))</f>
        <v>C</v>
      </c>
      <c r="Q148" s="20"/>
    </row>
    <row r="149" spans="1:17" s="1" customFormat="1" x14ac:dyDescent="0.2">
      <c r="A149" s="96" t="s">
        <v>546</v>
      </c>
      <c r="B149" s="35" t="str">
        <f>VLOOKUP(A149,'II-PO'!$A$18:$M$295,5,0)</f>
        <v>REGISTRO DE GAVETA C/CANOPLA DIAMETRO 3/4"</v>
      </c>
      <c r="C149" s="36">
        <f>VLOOKUP(A149,'II-PO'!$A$18:$M$295,11,0)</f>
        <v>266.39999999999998</v>
      </c>
      <c r="D149" s="36">
        <f>VLOOKUP(A149,'II-PO'!$A$18:$M$295,12,0)</f>
        <v>67.12</v>
      </c>
      <c r="E149" s="36">
        <f>VLOOKUP(A149,'II-PO'!$A$18:$M$295,13,0)</f>
        <v>333.52</v>
      </c>
      <c r="F149" s="58">
        <f t="shared" si="6"/>
        <v>2.7699624119954276E-4</v>
      </c>
      <c r="G149" s="59">
        <f t="shared" si="7"/>
        <v>0.99180060562779604</v>
      </c>
      <c r="H149" s="117" t="str">
        <f t="shared" si="8"/>
        <v>C</v>
      </c>
      <c r="Q149" s="20"/>
    </row>
    <row r="150" spans="1:17" s="1" customFormat="1" x14ac:dyDescent="0.2">
      <c r="A150" s="96" t="s">
        <v>623</v>
      </c>
      <c r="B150" s="35" t="str">
        <f>VLOOKUP(A150,'II-PO'!$A$18:$M$295,5,0)</f>
        <v>REGISTRO DE GAVETA C/CANOPLA DIAMETRO 3/4"</v>
      </c>
      <c r="C150" s="36">
        <f>VLOOKUP(A150,'II-PO'!$A$18:$M$295,11,0)</f>
        <v>266.39999999999998</v>
      </c>
      <c r="D150" s="36">
        <f>VLOOKUP(A150,'II-PO'!$A$18:$M$295,12,0)</f>
        <v>67.12</v>
      </c>
      <c r="E150" s="36">
        <f>VLOOKUP(A150,'II-PO'!$A$18:$M$295,13,0)</f>
        <v>333.52</v>
      </c>
      <c r="F150" s="58">
        <f t="shared" si="6"/>
        <v>2.7699624119954276E-4</v>
      </c>
      <c r="G150" s="59">
        <f t="shared" si="7"/>
        <v>0.99207760186899563</v>
      </c>
      <c r="H150" s="117" t="str">
        <f t="shared" si="8"/>
        <v>C</v>
      </c>
      <c r="Q150" s="20"/>
    </row>
    <row r="151" spans="1:17" s="1" customFormat="1" ht="45" x14ac:dyDescent="0.2">
      <c r="A151" s="96" t="s">
        <v>589</v>
      </c>
      <c r="B151" s="35" t="str">
        <f>VLOOKUP(A151,'II-PO'!$A$18:$M$295,5,0)</f>
        <v>ARMAÇÃO DE PILAR OU VIGA DE ESTRUTURA CONVENCIONAL DE CONCRETO ARMADO UTILIZANDO AÇO CA-50 DE 12,5 MM - MONTAGEM. AF_06/2022</v>
      </c>
      <c r="C151" s="36">
        <f>VLOOKUP(A151,'II-PO'!$A$18:$M$295,11,0)</f>
        <v>251.51</v>
      </c>
      <c r="D151" s="36">
        <f>VLOOKUP(A151,'II-PO'!$A$18:$M$295,12,0)</f>
        <v>63.110000000000014</v>
      </c>
      <c r="E151" s="36">
        <f>VLOOKUP(A151,'II-PO'!$A$18:$M$295,13,0)</f>
        <v>314.62</v>
      </c>
      <c r="F151" s="58">
        <f t="shared" si="6"/>
        <v>2.6129934458563248E-4</v>
      </c>
      <c r="G151" s="59">
        <f t="shared" si="7"/>
        <v>0.99233890121358126</v>
      </c>
      <c r="H151" s="117" t="str">
        <f t="shared" si="8"/>
        <v>C</v>
      </c>
      <c r="Q151" s="20"/>
    </row>
    <row r="152" spans="1:17" s="1" customFormat="1" ht="30" x14ac:dyDescent="0.2">
      <c r="A152" s="96" t="s">
        <v>101</v>
      </c>
      <c r="B152" s="35" t="str">
        <f>VLOOKUP(A152,'II-PO'!$A$18:$M$295,5,0)</f>
        <v>REGULARIZAÇÃO DE SUPERFÍCIES COM MOTONIVELADORA. AF_09/2024</v>
      </c>
      <c r="C152" s="36">
        <f>VLOOKUP(A152,'II-PO'!$A$18:$M$295,11,0)</f>
        <v>252.45</v>
      </c>
      <c r="D152" s="36">
        <f>VLOOKUP(A152,'II-PO'!$A$18:$M$295,12,0)</f>
        <v>59.670000000000016</v>
      </c>
      <c r="E152" s="36">
        <f>VLOOKUP(A152,'II-PO'!$A$18:$M$295,13,0)</f>
        <v>312.12</v>
      </c>
      <c r="F152" s="58">
        <f t="shared" si="6"/>
        <v>2.5922303550971842E-4</v>
      </c>
      <c r="G152" s="59">
        <f t="shared" si="7"/>
        <v>0.992598124249091</v>
      </c>
      <c r="H152" s="117" t="str">
        <f t="shared" si="8"/>
        <v>C</v>
      </c>
      <c r="Q152" s="20"/>
    </row>
    <row r="153" spans="1:17" s="1" customFormat="1" ht="45" x14ac:dyDescent="0.2">
      <c r="A153" s="96" t="s">
        <v>670</v>
      </c>
      <c r="B153" s="35" t="str">
        <f>VLOOKUP(A153,'II-PO'!$A$18:$M$295,5,0)</f>
        <v>TE, PVC, SOLDÁVEL, DN 40MM, INSTALADO EM RAMAL DE DISTRIBUIÇÃO DE ÁGUA - FORNECIMENTO E INSTALAÇÃO. AF_06/2022</v>
      </c>
      <c r="C153" s="36">
        <f>VLOOKUP(A153,'II-PO'!$A$18:$M$295,11,0)</f>
        <v>244.08</v>
      </c>
      <c r="D153" s="36">
        <f>VLOOKUP(A153,'II-PO'!$A$18:$M$295,12,0)</f>
        <v>61.47</v>
      </c>
      <c r="E153" s="36">
        <f>VLOOKUP(A153,'II-PO'!$A$18:$M$295,13,0)</f>
        <v>305.55</v>
      </c>
      <c r="F153" s="58">
        <f t="shared" si="6"/>
        <v>2.5376649525821627E-4</v>
      </c>
      <c r="G153" s="59">
        <f t="shared" si="7"/>
        <v>0.99285189074434921</v>
      </c>
      <c r="H153" s="117" t="str">
        <f t="shared" si="8"/>
        <v>C</v>
      </c>
      <c r="Q153" s="20"/>
    </row>
    <row r="154" spans="1:17" s="1" customFormat="1" ht="45" x14ac:dyDescent="0.2">
      <c r="A154" s="96" t="s">
        <v>543</v>
      </c>
      <c r="B154" s="35" t="str">
        <f>VLOOKUP(A154,'II-PO'!$A$18:$M$295,5,0)</f>
        <v>TUBO, PVC, SOLDÁVEL, DE 25MM, INSTALADO EM RAMAL OU SUB-RAMAL DE ÁGUA - FORNECIMENTO E INSTALAÇÃO. AF_06/2022</v>
      </c>
      <c r="C154" s="36">
        <f>VLOOKUP(A154,'II-PO'!$A$18:$M$295,11,0)</f>
        <v>240.77</v>
      </c>
      <c r="D154" s="36">
        <f>VLOOKUP(A154,'II-PO'!$A$18:$M$295,12,0)</f>
        <v>60.669999999999987</v>
      </c>
      <c r="E154" s="36">
        <f>VLOOKUP(A154,'II-PO'!$A$18:$M$295,13,0)</f>
        <v>301.44</v>
      </c>
      <c r="F154" s="58">
        <f t="shared" si="6"/>
        <v>2.5035304313741354E-4</v>
      </c>
      <c r="G154" s="59">
        <f t="shared" si="7"/>
        <v>0.99310224378748657</v>
      </c>
      <c r="H154" s="117" t="str">
        <f t="shared" si="8"/>
        <v>C</v>
      </c>
      <c r="Q154" s="20"/>
    </row>
    <row r="155" spans="1:17" s="1" customFormat="1" ht="45" x14ac:dyDescent="0.2">
      <c r="A155" s="96" t="s">
        <v>648</v>
      </c>
      <c r="B155" s="35" t="str">
        <f>VLOOKUP(A155,'II-PO'!$A$18:$M$295,5,0)</f>
        <v>KIT CAVALETE PARA MEDIÇÃO DE ÁGUA - ENTRADA PRINCIPAL, EM PVC 20 MM (1/2") - FORNECIMENTO E INSTALAÇÃO (EXCLUSIVE HIDRÔMETRO). AF_03/2024</v>
      </c>
      <c r="C155" s="36">
        <f>VLOOKUP(A155,'II-PO'!$A$18:$M$295,11,0)</f>
        <v>230.66</v>
      </c>
      <c r="D155" s="36">
        <f>VLOOKUP(A155,'II-PO'!$A$18:$M$295,12,0)</f>
        <v>58.119999999999976</v>
      </c>
      <c r="E155" s="36">
        <f>VLOOKUP(A155,'II-PO'!$A$18:$M$295,13,0)</f>
        <v>288.77999999999997</v>
      </c>
      <c r="F155" s="58">
        <f t="shared" si="6"/>
        <v>2.3983861397698474E-4</v>
      </c>
      <c r="G155" s="59">
        <f t="shared" si="7"/>
        <v>0.9933420824014636</v>
      </c>
      <c r="H155" s="117" t="str">
        <f t="shared" si="8"/>
        <v>C</v>
      </c>
      <c r="Q155" s="20"/>
    </row>
    <row r="156" spans="1:17" s="1" customFormat="1" ht="30" x14ac:dyDescent="0.2">
      <c r="A156" s="96" t="s">
        <v>677</v>
      </c>
      <c r="B156" s="35" t="str">
        <f>VLOOKUP(A156,'II-PO'!$A$18:$M$295,5,0)</f>
        <v>DISJUNTOR TRIPOLAR DIN 63A - FORNECIMENTO E INSTALAÇÃO. AF_07/2025</v>
      </c>
      <c r="C156" s="36">
        <f>VLOOKUP(A156,'II-PO'!$A$18:$M$295,11,0)</f>
        <v>212.86</v>
      </c>
      <c r="D156" s="36">
        <f>VLOOKUP(A156,'II-PO'!$A$18:$M$295,12,0)</f>
        <v>53.639999999999986</v>
      </c>
      <c r="E156" s="36">
        <f>VLOOKUP(A156,'II-PO'!$A$18:$M$295,13,0)</f>
        <v>266.5</v>
      </c>
      <c r="F156" s="58">
        <f t="shared" si="6"/>
        <v>2.2133454749243868E-4</v>
      </c>
      <c r="G156" s="59">
        <f t="shared" si="7"/>
        <v>0.993563416948956</v>
      </c>
      <c r="H156" s="117" t="str">
        <f t="shared" si="8"/>
        <v>C</v>
      </c>
      <c r="Q156" s="20"/>
    </row>
    <row r="157" spans="1:17" s="1" customFormat="1" x14ac:dyDescent="0.2">
      <c r="A157" s="96" t="s">
        <v>536</v>
      </c>
      <c r="B157" s="35" t="str">
        <f>VLOOKUP(A157,'II-PO'!$A$18:$M$295,5,0)</f>
        <v>TUBO SOLDAVEL PARA ESGOTO DIAMETRO 40 MM</v>
      </c>
      <c r="C157" s="36">
        <f>VLOOKUP(A157,'II-PO'!$A$18:$M$295,11,0)</f>
        <v>183.74</v>
      </c>
      <c r="D157" s="36">
        <f>VLOOKUP(A157,'II-PO'!$A$18:$M$295,12,0)</f>
        <v>46.22</v>
      </c>
      <c r="E157" s="36">
        <f>VLOOKUP(A157,'II-PO'!$A$18:$M$295,13,0)</f>
        <v>229.96</v>
      </c>
      <c r="F157" s="58">
        <f t="shared" si="6"/>
        <v>1.9098721403887879E-4</v>
      </c>
      <c r="G157" s="59">
        <f t="shared" si="7"/>
        <v>0.99375440416299488</v>
      </c>
      <c r="H157" s="117" t="str">
        <f t="shared" si="8"/>
        <v>C</v>
      </c>
      <c r="Q157" s="20"/>
    </row>
    <row r="158" spans="1:17" s="1" customFormat="1" x14ac:dyDescent="0.2">
      <c r="A158" s="96" t="s">
        <v>566</v>
      </c>
      <c r="B158" s="35" t="str">
        <f>VLOOKUP(A158,'II-PO'!$A$18:$M$295,5,0)</f>
        <v>REGISTRO DE GAVETA C/CANOPLA DIAMETRO 1"</v>
      </c>
      <c r="C158" s="36">
        <f>VLOOKUP(A158,'II-PO'!$A$18:$M$295,11,0)</f>
        <v>179.86</v>
      </c>
      <c r="D158" s="36">
        <f>VLOOKUP(A158,'II-PO'!$A$18:$M$295,12,0)</f>
        <v>45.319999999999993</v>
      </c>
      <c r="E158" s="36">
        <f>VLOOKUP(A158,'II-PO'!$A$18:$M$295,13,0)</f>
        <v>225.18</v>
      </c>
      <c r="F158" s="58">
        <f t="shared" si="6"/>
        <v>1.8701731108573111E-4</v>
      </c>
      <c r="G158" s="59">
        <f t="shared" si="7"/>
        <v>0.9939414214740806</v>
      </c>
      <c r="H158" s="117" t="str">
        <f t="shared" si="8"/>
        <v>C</v>
      </c>
      <c r="Q158" s="20"/>
    </row>
    <row r="159" spans="1:17" s="1" customFormat="1" x14ac:dyDescent="0.2">
      <c r="A159" s="96" t="s">
        <v>655</v>
      </c>
      <c r="B159" s="35" t="str">
        <f>VLOOKUP(A159,'II-PO'!$A$18:$M$295,5,0)</f>
        <v>REGISTRO DE GAVETA C/CANOPLA DIAMETRO 1"</v>
      </c>
      <c r="C159" s="36">
        <f>VLOOKUP(A159,'II-PO'!$A$18:$M$295,11,0)</f>
        <v>179.86</v>
      </c>
      <c r="D159" s="36">
        <f>VLOOKUP(A159,'II-PO'!$A$18:$M$295,12,0)</f>
        <v>45.319999999999993</v>
      </c>
      <c r="E159" s="36">
        <f>VLOOKUP(A159,'II-PO'!$A$18:$M$295,13,0)</f>
        <v>225.18</v>
      </c>
      <c r="F159" s="58">
        <f t="shared" si="6"/>
        <v>1.8701731108573111E-4</v>
      </c>
      <c r="G159" s="59">
        <f t="shared" si="7"/>
        <v>0.99412843878516632</v>
      </c>
      <c r="H159" s="117" t="str">
        <f t="shared" si="8"/>
        <v>C</v>
      </c>
      <c r="Q159" s="20"/>
    </row>
    <row r="160" spans="1:17" s="1" customFormat="1" ht="45" x14ac:dyDescent="0.2">
      <c r="A160" s="96" t="s">
        <v>643</v>
      </c>
      <c r="B160" s="35" t="str">
        <f>VLOOKUP(A160,'II-PO'!$A$18:$M$295,5,0)</f>
        <v>TUBO, PVC, SOLDÁVEL, DE 40MM, INSTALADO EM RESERVAÇÃO PREDIAL DE ÁGUA - FORNECIMENTO E INSTALAÇÃO. AF_04/2024</v>
      </c>
      <c r="C160" s="36">
        <f>VLOOKUP(A160,'II-PO'!$A$18:$M$295,11,0)</f>
        <v>175.59</v>
      </c>
      <c r="D160" s="36">
        <f>VLOOKUP(A160,'II-PO'!$A$18:$M$295,12,0)</f>
        <v>44.22</v>
      </c>
      <c r="E160" s="36">
        <f>VLOOKUP(A160,'II-PO'!$A$18:$M$295,13,0)</f>
        <v>219.81</v>
      </c>
      <c r="F160" s="58">
        <f t="shared" si="6"/>
        <v>1.8255739919066771E-4</v>
      </c>
      <c r="G160" s="59">
        <f t="shared" si="7"/>
        <v>0.99431099618435703</v>
      </c>
      <c r="H160" s="117" t="str">
        <f t="shared" si="8"/>
        <v>C</v>
      </c>
      <c r="Q160" s="20"/>
    </row>
    <row r="161" spans="1:17" s="1" customFormat="1" ht="45" x14ac:dyDescent="0.2">
      <c r="A161" s="96" t="s">
        <v>621</v>
      </c>
      <c r="B161" s="35" t="str">
        <f>VLOOKUP(A161,'II-PO'!$A$18:$M$295,5,0)</f>
        <v>TUBO, PVC, SOLDÁVEL, DE 25MM, INSTALADO EM RAMAL OU SUB-RAMAL DE ÁGUA - FORNECIMENTO E INSTALAÇÃO. AF_06/2022</v>
      </c>
      <c r="C161" s="36">
        <f>VLOOKUP(A161,'II-PO'!$A$18:$M$295,11,0)</f>
        <v>175.34</v>
      </c>
      <c r="D161" s="36">
        <f>VLOOKUP(A161,'II-PO'!$A$18:$M$295,12,0)</f>
        <v>44.180000000000007</v>
      </c>
      <c r="E161" s="36">
        <f>VLOOKUP(A161,'II-PO'!$A$18:$M$295,13,0)</f>
        <v>219.52</v>
      </c>
      <c r="F161" s="58">
        <f t="shared" si="6"/>
        <v>1.8231654733786169E-4</v>
      </c>
      <c r="G161" s="59">
        <f t="shared" si="7"/>
        <v>0.99449331273169495</v>
      </c>
      <c r="H161" s="117" t="str">
        <f t="shared" si="8"/>
        <v>C</v>
      </c>
      <c r="Q161" s="20"/>
    </row>
    <row r="162" spans="1:17" s="1" customFormat="1" ht="45" x14ac:dyDescent="0.2">
      <c r="A162" s="96" t="s">
        <v>596</v>
      </c>
      <c r="B162" s="35" t="str">
        <f>VLOOKUP(A162,'II-PO'!$A$18:$M$295,5,0)</f>
        <v>ARMAÇÃO DE PILAR OU VIGA DE ESTRUTURA CONVENCIONAL DE CONCRETO ARMADO UTILIZANDO AÇO CA-50 DE 12,5 MM - MONTAGEM. AF_06/2022</v>
      </c>
      <c r="C162" s="36">
        <f>VLOOKUP(A162,'II-PO'!$A$18:$M$295,11,0)</f>
        <v>162.88999999999999</v>
      </c>
      <c r="D162" s="36">
        <f>VLOOKUP(A162,'II-PO'!$A$18:$M$295,12,0)</f>
        <v>40.880000000000024</v>
      </c>
      <c r="E162" s="36">
        <f>VLOOKUP(A162,'II-PO'!$A$18:$M$295,13,0)</f>
        <v>203.77</v>
      </c>
      <c r="F162" s="58">
        <f t="shared" si="6"/>
        <v>1.692358001596031E-4</v>
      </c>
      <c r="G162" s="59">
        <f t="shared" si="7"/>
        <v>0.99466254853185454</v>
      </c>
      <c r="H162" s="117" t="str">
        <f t="shared" si="8"/>
        <v>C</v>
      </c>
      <c r="Q162" s="20"/>
    </row>
    <row r="163" spans="1:17" s="1" customFormat="1" ht="45" x14ac:dyDescent="0.2">
      <c r="A163" s="96" t="s">
        <v>555</v>
      </c>
      <c r="B163" s="35" t="str">
        <f>VLOOKUP(A163,'II-PO'!$A$18:$M$295,5,0)</f>
        <v>TORNEIRA CROMADA DE MESA, 1/2" OU 3/4", PARA LAVATÓRIO, PADRÃO MÉDIO - FORNECIMENTO E INSTALAÇÃO. AF_01/2020</v>
      </c>
      <c r="C163" s="36">
        <f>VLOOKUP(A163,'II-PO'!$A$18:$M$295,11,0)</f>
        <v>154.25</v>
      </c>
      <c r="D163" s="36">
        <f>VLOOKUP(A163,'II-PO'!$A$18:$M$295,12,0)</f>
        <v>38.870000000000005</v>
      </c>
      <c r="E163" s="36">
        <f>VLOOKUP(A163,'II-PO'!$A$18:$M$295,13,0)</f>
        <v>193.12</v>
      </c>
      <c r="F163" s="58">
        <f t="shared" si="6"/>
        <v>1.6039072349620921E-4</v>
      </c>
      <c r="G163" s="59">
        <f t="shared" si="7"/>
        <v>0.9948229392553507</v>
      </c>
      <c r="H163" s="117" t="str">
        <f t="shared" si="8"/>
        <v>C</v>
      </c>
      <c r="Q163" s="20"/>
    </row>
    <row r="164" spans="1:17" s="1" customFormat="1" ht="45" x14ac:dyDescent="0.2">
      <c r="A164" s="96" t="s">
        <v>616</v>
      </c>
      <c r="B164" s="35" t="str">
        <f>VLOOKUP(A164,'II-PO'!$A$18:$M$295,5,0)</f>
        <v>TORNEIRA CROMADA DE MESA, 1/2" OU 3/4", PARA LAVATÓRIO, PADRÃO MÉDIO - FORNECIMENTO E INSTALAÇÃO. AF_01/2020</v>
      </c>
      <c r="C164" s="36">
        <f>VLOOKUP(A164,'II-PO'!$A$18:$M$295,11,0)</f>
        <v>154.25</v>
      </c>
      <c r="D164" s="36">
        <f>VLOOKUP(A164,'II-PO'!$A$18:$M$295,12,0)</f>
        <v>38.870000000000005</v>
      </c>
      <c r="E164" s="36">
        <f>VLOOKUP(A164,'II-PO'!$A$18:$M$295,13,0)</f>
        <v>193.12</v>
      </c>
      <c r="F164" s="58">
        <f t="shared" si="6"/>
        <v>1.6039072349620921E-4</v>
      </c>
      <c r="G164" s="59">
        <f t="shared" si="7"/>
        <v>0.99498332997884686</v>
      </c>
      <c r="H164" s="117" t="str">
        <f t="shared" si="8"/>
        <v>C</v>
      </c>
      <c r="Q164" s="20"/>
    </row>
    <row r="165" spans="1:17" s="1" customFormat="1" ht="45" x14ac:dyDescent="0.2">
      <c r="A165" s="96" t="s">
        <v>663</v>
      </c>
      <c r="B165" s="35" t="str">
        <f>VLOOKUP(A165,'II-PO'!$A$18:$M$295,5,0)</f>
        <v>CURVA 90 GRAUS, PVC, SOLDÁVEL, DN 25MM, INSTALADO EM RAMAL DE DISTRIBUIÇÃO DE ÁGUA - FORNECIMENTO E INSTALAÇÃO. AF_06/2022</v>
      </c>
      <c r="C165" s="36">
        <f>VLOOKUP(A165,'II-PO'!$A$18:$M$295,11,0)</f>
        <v>153.4</v>
      </c>
      <c r="D165" s="36">
        <f>VLOOKUP(A165,'II-PO'!$A$18:$M$295,12,0)</f>
        <v>38.609999999999985</v>
      </c>
      <c r="E165" s="36">
        <f>VLOOKUP(A165,'II-PO'!$A$18:$M$295,13,0)</f>
        <v>192.01</v>
      </c>
      <c r="F165" s="58">
        <f t="shared" si="6"/>
        <v>1.5946884226650335E-4</v>
      </c>
      <c r="G165" s="59">
        <f t="shared" si="7"/>
        <v>0.99514279882111334</v>
      </c>
      <c r="H165" s="117" t="str">
        <f t="shared" si="8"/>
        <v>C</v>
      </c>
      <c r="Q165" s="20"/>
    </row>
    <row r="166" spans="1:17" s="1" customFormat="1" ht="45" x14ac:dyDescent="0.2">
      <c r="A166" s="96" t="s">
        <v>682</v>
      </c>
      <c r="B166" s="35" t="str">
        <f>VLOOKUP(A166,'II-PO'!$A$18:$M$295,5,0)</f>
        <v>INTERRUPTOR PARALELO (1 MÓDULO), 10A/250V, INCLUINDO SUPORTE E PLACA - FORNECIMENTO E INSTALAÇÃO. AF_03/2023</v>
      </c>
      <c r="C166" s="36">
        <f>VLOOKUP(A166,'II-PO'!$A$18:$M$295,11,0)</f>
        <v>148.19999999999999</v>
      </c>
      <c r="D166" s="36">
        <f>VLOOKUP(A166,'II-PO'!$A$18:$M$295,12,0)</f>
        <v>37.320000000000022</v>
      </c>
      <c r="E166" s="36">
        <f>VLOOKUP(A166,'II-PO'!$A$18:$M$295,13,0)</f>
        <v>185.52</v>
      </c>
      <c r="F166" s="58">
        <f t="shared" si="6"/>
        <v>1.5407874390543049E-4</v>
      </c>
      <c r="G166" s="59">
        <f t="shared" si="7"/>
        <v>0.99529687756501872</v>
      </c>
      <c r="H166" s="117" t="str">
        <f t="shared" si="8"/>
        <v>C</v>
      </c>
      <c r="Q166" s="20"/>
    </row>
    <row r="167" spans="1:17" s="1" customFormat="1" ht="30" x14ac:dyDescent="0.2">
      <c r="A167" s="96" t="s">
        <v>647</v>
      </c>
      <c r="B167" s="35" t="str">
        <f>VLOOKUP(A167,'II-PO'!$A$18:$M$295,5,0)</f>
        <v>HIDRÔMETRO DN 1/2", 3,0 M3/H - FORNECIMENTO E INSTALAÇÃO. AF_03/2024</v>
      </c>
      <c r="C167" s="36">
        <f>VLOOKUP(A167,'II-PO'!$A$18:$M$295,11,0)</f>
        <v>141.31</v>
      </c>
      <c r="D167" s="36">
        <f>VLOOKUP(A167,'II-PO'!$A$18:$M$295,12,0)</f>
        <v>35.609999999999985</v>
      </c>
      <c r="E167" s="36">
        <f>VLOOKUP(A167,'II-PO'!$A$18:$M$295,13,0)</f>
        <v>176.92</v>
      </c>
      <c r="F167" s="58">
        <f t="shared" si="6"/>
        <v>1.469362406842861E-4</v>
      </c>
      <c r="G167" s="59">
        <f t="shared" si="7"/>
        <v>0.99544381380570301</v>
      </c>
      <c r="H167" s="117" t="str">
        <f t="shared" si="8"/>
        <v>C</v>
      </c>
      <c r="Q167" s="20"/>
    </row>
    <row r="168" spans="1:17" s="1" customFormat="1" ht="45" x14ac:dyDescent="0.2">
      <c r="A168" s="96" t="s">
        <v>558</v>
      </c>
      <c r="B168" s="35" t="str">
        <f>VLOOKUP(A168,'II-PO'!$A$18:$M$295,5,0)</f>
        <v>TORNEIRA CROMADA TUBO MÓVEL, DE MESA, 1/2" OU 3/4", PARA PIA DE COZINHA, PADRÃO ALTO - FORNECIMENTO E INSTALAÇÃO. AF_01/2020</v>
      </c>
      <c r="C168" s="36">
        <f>VLOOKUP(A168,'II-PO'!$A$18:$M$295,11,0)</f>
        <v>140.22999999999999</v>
      </c>
      <c r="D168" s="36">
        <f>VLOOKUP(A168,'II-PO'!$A$18:$M$295,12,0)</f>
        <v>35.330000000000013</v>
      </c>
      <c r="E168" s="36">
        <f>VLOOKUP(A168,'II-PO'!$A$18:$M$295,13,0)</f>
        <v>175.56</v>
      </c>
      <c r="F168" s="58">
        <f t="shared" si="6"/>
        <v>1.4580672854698886E-4</v>
      </c>
      <c r="G168" s="59">
        <f t="shared" si="7"/>
        <v>0.99558962053425004</v>
      </c>
      <c r="H168" s="117" t="str">
        <f t="shared" si="8"/>
        <v>C</v>
      </c>
      <c r="Q168" s="20"/>
    </row>
    <row r="169" spans="1:17" s="1" customFormat="1" ht="45" x14ac:dyDescent="0.2">
      <c r="A169" s="96" t="s">
        <v>563</v>
      </c>
      <c r="B169" s="35" t="str">
        <f>VLOOKUP(A169,'II-PO'!$A$18:$M$295,5,0)</f>
        <v>TORNEIRA CROMADA TUBO MÓVEL, DE MESA, 1/2" OU 3/4", PARA PIA DE COZINHA, PADRÃO ALTO - FORNECIMENTO E INSTALAÇÃO. AF_01/2020</v>
      </c>
      <c r="C169" s="36">
        <f>VLOOKUP(A169,'II-PO'!$A$18:$M$295,11,0)</f>
        <v>140.22999999999999</v>
      </c>
      <c r="D169" s="36">
        <f>VLOOKUP(A169,'II-PO'!$A$18:$M$295,12,0)</f>
        <v>35.330000000000013</v>
      </c>
      <c r="E169" s="36">
        <f>VLOOKUP(A169,'II-PO'!$A$18:$M$295,13,0)</f>
        <v>175.56</v>
      </c>
      <c r="F169" s="58">
        <f t="shared" si="6"/>
        <v>1.4580672854698886E-4</v>
      </c>
      <c r="G169" s="59">
        <f t="shared" si="7"/>
        <v>0.99573542726279707</v>
      </c>
      <c r="H169" s="117" t="str">
        <f t="shared" si="8"/>
        <v>C</v>
      </c>
      <c r="Q169" s="20"/>
    </row>
    <row r="170" spans="1:17" s="1" customFormat="1" x14ac:dyDescent="0.2">
      <c r="A170" s="96" t="s">
        <v>607</v>
      </c>
      <c r="B170" s="35" t="str">
        <f>VLOOKUP(A170,'II-PO'!$A$18:$M$295,5,0)</f>
        <v>REGISTRO DE GAVETA C/CANOPLA DIAMETRO 3/4"</v>
      </c>
      <c r="C170" s="36">
        <f>VLOOKUP(A170,'II-PO'!$A$18:$M$295,11,0)</f>
        <v>133.19999999999999</v>
      </c>
      <c r="D170" s="36">
        <f>VLOOKUP(A170,'II-PO'!$A$18:$M$295,12,0)</f>
        <v>33.56</v>
      </c>
      <c r="E170" s="36">
        <f>VLOOKUP(A170,'II-PO'!$A$18:$M$295,13,0)</f>
        <v>166.76</v>
      </c>
      <c r="F170" s="58">
        <f t="shared" si="6"/>
        <v>1.3849812059977138E-4</v>
      </c>
      <c r="G170" s="59">
        <f t="shared" si="7"/>
        <v>0.99587392538339681</v>
      </c>
      <c r="H170" s="117" t="str">
        <f t="shared" si="8"/>
        <v>C</v>
      </c>
      <c r="Q170" s="20"/>
    </row>
    <row r="171" spans="1:17" s="1" customFormat="1" x14ac:dyDescent="0.2">
      <c r="A171" s="96" t="s">
        <v>535</v>
      </c>
      <c r="B171" s="35" t="str">
        <f>VLOOKUP(A171,'II-PO'!$A$18:$M$295,5,0)</f>
        <v>TUBO SOLDAVEL PARA ESGOTO DIAMETRO 100 MM</v>
      </c>
      <c r="C171" s="36">
        <f>VLOOKUP(A171,'II-PO'!$A$18:$M$295,11,0)</f>
        <v>128.31</v>
      </c>
      <c r="D171" s="36">
        <f>VLOOKUP(A171,'II-PO'!$A$18:$M$295,12,0)</f>
        <v>32.319999999999993</v>
      </c>
      <c r="E171" s="36">
        <f>VLOOKUP(A171,'II-PO'!$A$18:$M$295,13,0)</f>
        <v>160.63</v>
      </c>
      <c r="F171" s="58">
        <f t="shared" si="6"/>
        <v>1.334070107456301E-4</v>
      </c>
      <c r="G171" s="59">
        <f t="shared" si="7"/>
        <v>0.99600733239414241</v>
      </c>
      <c r="H171" s="117" t="str">
        <f t="shared" si="8"/>
        <v>C</v>
      </c>
      <c r="Q171" s="20"/>
    </row>
    <row r="172" spans="1:17" s="1" customFormat="1" ht="45" x14ac:dyDescent="0.2">
      <c r="A172" s="96" t="s">
        <v>667</v>
      </c>
      <c r="B172" s="35" t="str">
        <f>VLOOKUP(A172,'II-PO'!$A$18:$M$295,5,0)</f>
        <v>LUVA, PVC, SOLDÁVEL, DN 40MM, INSTALADO EM RAMAL DE DISTRIBUIÇÃO DE ÁGUA - FORNECIMENTO E INSTALAÇÃO. AF_06/2022</v>
      </c>
      <c r="C172" s="36">
        <f>VLOOKUP(A172,'II-PO'!$A$18:$M$295,11,0)</f>
        <v>122.4</v>
      </c>
      <c r="D172" s="36">
        <f>VLOOKUP(A172,'II-PO'!$A$18:$M$295,12,0)</f>
        <v>30.78</v>
      </c>
      <c r="E172" s="36">
        <f>VLOOKUP(A172,'II-PO'!$A$18:$M$295,13,0)</f>
        <v>153.18</v>
      </c>
      <c r="F172" s="58">
        <f t="shared" si="6"/>
        <v>1.2721960969940623E-4</v>
      </c>
      <c r="G172" s="59">
        <f t="shared" si="7"/>
        <v>0.99613455200384182</v>
      </c>
      <c r="H172" s="117" t="str">
        <f t="shared" si="8"/>
        <v>C</v>
      </c>
      <c r="Q172" s="20"/>
    </row>
    <row r="173" spans="1:17" s="1" customFormat="1" ht="45" x14ac:dyDescent="0.2">
      <c r="A173" s="96" t="s">
        <v>627</v>
      </c>
      <c r="B173" s="35" t="str">
        <f>VLOOKUP(A173,'II-PO'!$A$18:$M$295,5,0)</f>
        <v>TUBO, PVC, SOLDÁVEL, DE 25MM, INSTALADO EM RAMAL OU SUB-RAMAL DE ÁGUA - FORNECIMENTO E INSTALAÇÃO. AF_06/2022</v>
      </c>
      <c r="C173" s="36">
        <f>VLOOKUP(A173,'II-PO'!$A$18:$M$295,11,0)</f>
        <v>116.29</v>
      </c>
      <c r="D173" s="36">
        <f>VLOOKUP(A173,'II-PO'!$A$18:$M$295,12,0)</f>
        <v>29.309999999999988</v>
      </c>
      <c r="E173" s="36">
        <f>VLOOKUP(A173,'II-PO'!$A$18:$M$295,13,0)</f>
        <v>145.6</v>
      </c>
      <c r="F173" s="58">
        <f t="shared" si="6"/>
        <v>1.2092424058123478E-4</v>
      </c>
      <c r="G173" s="59">
        <f t="shared" si="7"/>
        <v>0.99625547624442301</v>
      </c>
      <c r="H173" s="117" t="str">
        <f t="shared" si="8"/>
        <v>C</v>
      </c>
      <c r="Q173" s="20"/>
    </row>
    <row r="174" spans="1:17" s="1" customFormat="1" ht="30" x14ac:dyDescent="0.2">
      <c r="A174" s="96" t="s">
        <v>547</v>
      </c>
      <c r="B174" s="35" t="str">
        <f>VLOOKUP(A174,'II-PO'!$A$18:$M$295,5,0)</f>
        <v>ENGATE FLEXÍVEL EM INOX, 1/2 X 30CM - FORNECIMENTO E INSTALAÇÃO. AF_01/2020</v>
      </c>
      <c r="C174" s="36">
        <f>VLOOKUP(A174,'II-PO'!$A$18:$M$295,11,0)</f>
        <v>111.56</v>
      </c>
      <c r="D174" s="36">
        <f>VLOOKUP(A174,'II-PO'!$A$18:$M$295,12,0)</f>
        <v>28.099999999999994</v>
      </c>
      <c r="E174" s="36">
        <f>VLOOKUP(A174,'II-PO'!$A$18:$M$295,13,0)</f>
        <v>139.66</v>
      </c>
      <c r="F174" s="58">
        <f t="shared" si="6"/>
        <v>1.1599093021686298E-4</v>
      </c>
      <c r="G174" s="59">
        <f t="shared" si="7"/>
        <v>0.99637146717463987</v>
      </c>
      <c r="H174" s="117" t="str">
        <f t="shared" si="8"/>
        <v>C</v>
      </c>
      <c r="Q174" s="20"/>
    </row>
    <row r="175" spans="1:17" s="1" customFormat="1" x14ac:dyDescent="0.2">
      <c r="A175" s="96" t="s">
        <v>521</v>
      </c>
      <c r="B175" s="35" t="str">
        <f>VLOOKUP(A175,'II-PO'!$A$18:$M$295,5,0)</f>
        <v>SIFAO PARA PIA 1.1/2"X2" PVC CROMADO</v>
      </c>
      <c r="C175" s="36">
        <f>VLOOKUP(A175,'II-PO'!$A$18:$M$295,11,0)</f>
        <v>106.64</v>
      </c>
      <c r="D175" s="36">
        <f>VLOOKUP(A175,'II-PO'!$A$18:$M$295,12,0)</f>
        <v>26.86</v>
      </c>
      <c r="E175" s="36">
        <f>VLOOKUP(A175,'II-PO'!$A$18:$M$295,13,0)</f>
        <v>133.5</v>
      </c>
      <c r="F175" s="58">
        <f t="shared" si="6"/>
        <v>1.1087490465381073E-4</v>
      </c>
      <c r="G175" s="59">
        <f t="shared" si="7"/>
        <v>0.99648234207929365</v>
      </c>
      <c r="H175" s="117" t="str">
        <f t="shared" si="8"/>
        <v>C</v>
      </c>
      <c r="Q175" s="20"/>
    </row>
    <row r="176" spans="1:17" s="1" customFormat="1" ht="45" x14ac:dyDescent="0.2">
      <c r="A176" s="96" t="s">
        <v>604</v>
      </c>
      <c r="B176" s="35" t="str">
        <f>VLOOKUP(A176,'II-PO'!$A$18:$M$295,5,0)</f>
        <v>ARMAÇÃO DE LAJE DE ESTRUTURA CONVENCIONAL DE CONCRETO ARMADO UTILIZANDO AÇO CA-50 DE 10,0 MM - MONTAGEM. AF_06/2022</v>
      </c>
      <c r="C176" s="36">
        <f>VLOOKUP(A176,'II-PO'!$A$18:$M$295,11,0)</f>
        <v>103.99</v>
      </c>
      <c r="D176" s="36">
        <f>VLOOKUP(A176,'II-PO'!$A$18:$M$295,12,0)</f>
        <v>26.17</v>
      </c>
      <c r="E176" s="36">
        <f>VLOOKUP(A176,'II-PO'!$A$18:$M$295,13,0)</f>
        <v>130.16</v>
      </c>
      <c r="F176" s="58">
        <f t="shared" si="6"/>
        <v>1.0810095572838955E-4</v>
      </c>
      <c r="G176" s="59">
        <f t="shared" si="7"/>
        <v>0.99659044303502209</v>
      </c>
      <c r="H176" s="117" t="str">
        <f t="shared" si="8"/>
        <v>C</v>
      </c>
      <c r="Q176" s="20"/>
    </row>
    <row r="177" spans="1:17" s="1" customFormat="1" ht="45" x14ac:dyDescent="0.2">
      <c r="A177" s="96" t="s">
        <v>660</v>
      </c>
      <c r="B177" s="35" t="str">
        <f>VLOOKUP(A177,'II-PO'!$A$18:$M$295,5,0)</f>
        <v>BUCHA DE REDUÇÃO, LONGA, PVC, SOLDÁVEL, DN 40 X 25 MM, INSTALADO EM RAMAL DE DISTRIBUIÇÃO DE ÁGUA - FORNECIMENTO E INSTALAÇÃO. AF_06/2022</v>
      </c>
      <c r="C177" s="36">
        <f>VLOOKUP(A177,'II-PO'!$A$18:$M$295,11,0)</f>
        <v>103.59</v>
      </c>
      <c r="D177" s="36">
        <f>VLOOKUP(A177,'II-PO'!$A$18:$M$295,12,0)</f>
        <v>26.099999999999994</v>
      </c>
      <c r="E177" s="36">
        <f>VLOOKUP(A177,'II-PO'!$A$18:$M$295,13,0)</f>
        <v>129.69</v>
      </c>
      <c r="F177" s="58">
        <f t="shared" si="6"/>
        <v>1.0771060962211772E-4</v>
      </c>
      <c r="G177" s="59">
        <f t="shared" si="7"/>
        <v>0.9966981536446442</v>
      </c>
      <c r="H177" s="117" t="str">
        <f t="shared" si="8"/>
        <v>C</v>
      </c>
      <c r="Q177" s="20"/>
    </row>
    <row r="178" spans="1:17" s="1" customFormat="1" ht="45" x14ac:dyDescent="0.2">
      <c r="A178" s="96" t="s">
        <v>613</v>
      </c>
      <c r="B178" s="35" t="str">
        <f>VLOOKUP(A178,'II-PO'!$A$18:$M$295,5,0)</f>
        <v>TUBO, PVC, SOLDÁVEL, DE 25MM, INSTALADO EM RAMAL OU SUB-RAMAL DE ÁGUA - FORNECIMENTO E INSTALAÇÃO. AF_06/2022</v>
      </c>
      <c r="C178" s="36">
        <f>VLOOKUP(A178,'II-PO'!$A$18:$M$295,11,0)</f>
        <v>103.51</v>
      </c>
      <c r="D178" s="36">
        <f>VLOOKUP(A178,'II-PO'!$A$18:$M$295,12,0)</f>
        <v>26.089999999999989</v>
      </c>
      <c r="E178" s="36">
        <f>VLOOKUP(A178,'II-PO'!$A$18:$M$295,13,0)</f>
        <v>129.6</v>
      </c>
      <c r="F178" s="58">
        <f t="shared" si="6"/>
        <v>1.076358624953848E-4</v>
      </c>
      <c r="G178" s="59">
        <f t="shared" si="7"/>
        <v>0.99680578950713961</v>
      </c>
      <c r="H178" s="117" t="str">
        <f t="shared" si="8"/>
        <v>C</v>
      </c>
      <c r="Q178" s="20"/>
    </row>
    <row r="179" spans="1:17" s="1" customFormat="1" x14ac:dyDescent="0.2">
      <c r="A179" s="96" t="s">
        <v>534</v>
      </c>
      <c r="B179" s="35" t="str">
        <f>VLOOKUP(A179,'II-PO'!$A$18:$M$295,5,0)</f>
        <v>LUVA SIMPLES DIAMETRO 50 MM - (ESGOTO)</v>
      </c>
      <c r="C179" s="36">
        <f>VLOOKUP(A179,'II-PO'!$A$18:$M$295,11,0)</f>
        <v>95.2</v>
      </c>
      <c r="D179" s="36">
        <f>VLOOKUP(A179,'II-PO'!$A$18:$M$295,12,0)</f>
        <v>23.899999999999991</v>
      </c>
      <c r="E179" s="36">
        <f>VLOOKUP(A179,'II-PO'!$A$18:$M$295,13,0)</f>
        <v>119.1</v>
      </c>
      <c r="F179" s="58">
        <f t="shared" si="6"/>
        <v>9.8915364376545752E-5</v>
      </c>
      <c r="G179" s="59">
        <f t="shared" si="7"/>
        <v>0.99690470487151617</v>
      </c>
      <c r="H179" s="117" t="str">
        <f t="shared" si="8"/>
        <v>C</v>
      </c>
      <c r="Q179" s="20"/>
    </row>
    <row r="180" spans="1:17" s="1" customFormat="1" ht="30" x14ac:dyDescent="0.2">
      <c r="A180" s="96" t="s">
        <v>675</v>
      </c>
      <c r="B180" s="35" t="str">
        <f>VLOOKUP(A180,'II-PO'!$A$18:$M$295,5,0)</f>
        <v>DISJUNTOR TRIPOLAR TIPO DIN, CORRENTE NOMINAL DE 50A - FORNECIMENTO E INSTALAÇÃO. AF_07/2025</v>
      </c>
      <c r="C180" s="36">
        <f>VLOOKUP(A180,'II-PO'!$A$18:$M$295,11,0)</f>
        <v>94.99</v>
      </c>
      <c r="D180" s="36">
        <f>VLOOKUP(A180,'II-PO'!$A$18:$M$295,12,0)</f>
        <v>23.930000000000007</v>
      </c>
      <c r="E180" s="36">
        <f>VLOOKUP(A180,'II-PO'!$A$18:$M$295,13,0)</f>
        <v>118.92</v>
      </c>
      <c r="F180" s="58">
        <f t="shared" si="6"/>
        <v>9.8765870123079946E-5</v>
      </c>
      <c r="G180" s="59">
        <f t="shared" si="7"/>
        <v>0.9970034707416392</v>
      </c>
      <c r="H180" s="117" t="str">
        <f t="shared" si="8"/>
        <v>C</v>
      </c>
      <c r="Q180" s="20"/>
    </row>
    <row r="181" spans="1:17" s="1" customFormat="1" x14ac:dyDescent="0.2">
      <c r="A181" s="96" t="s">
        <v>529</v>
      </c>
      <c r="B181" s="35" t="str">
        <f>VLOOKUP(A181,'II-PO'!$A$18:$M$295,5,0)</f>
        <v>JOELHO 90 GRAUS DIAMETRO 100 MM (ESGOTO)</v>
      </c>
      <c r="C181" s="36">
        <f>VLOOKUP(A181,'II-PO'!$A$18:$M$295,11,0)</f>
        <v>92.73</v>
      </c>
      <c r="D181" s="36">
        <f>VLOOKUP(A181,'II-PO'!$A$18:$M$295,12,0)</f>
        <v>23.339999999999989</v>
      </c>
      <c r="E181" s="36">
        <f>VLOOKUP(A181,'II-PO'!$A$18:$M$295,13,0)</f>
        <v>116.07</v>
      </c>
      <c r="F181" s="58">
        <f t="shared" si="6"/>
        <v>9.6398877776537919E-5</v>
      </c>
      <c r="G181" s="59">
        <f t="shared" si="7"/>
        <v>0.99709986961941577</v>
      </c>
      <c r="H181" s="117" t="str">
        <f t="shared" si="8"/>
        <v>C</v>
      </c>
      <c r="Q181" s="20"/>
    </row>
    <row r="182" spans="1:17" s="1" customFormat="1" ht="45" x14ac:dyDescent="0.2">
      <c r="A182" s="96" t="s">
        <v>687</v>
      </c>
      <c r="B182" s="35" t="str">
        <f>VLOOKUP(A182,'II-PO'!$A$18:$M$295,5,0)</f>
        <v>LUMINÁRIA TIPO PLAFON CIRCULAR, DE SOBREPOR, COM LED DE 12/13 W - FORNECIMENTO E INSTALAÇÃO. AF_09/2024</v>
      </c>
      <c r="C182" s="36">
        <f>VLOOKUP(A182,'II-PO'!$A$18:$M$295,11,0)</f>
        <v>88.68</v>
      </c>
      <c r="D182" s="36">
        <f>VLOOKUP(A182,'II-PO'!$A$18:$M$295,12,0)</f>
        <v>22.319999999999993</v>
      </c>
      <c r="E182" s="36">
        <f>VLOOKUP(A182,'II-PO'!$A$18:$M$295,13,0)</f>
        <v>111</v>
      </c>
      <c r="F182" s="58">
        <f t="shared" si="6"/>
        <v>9.2188122970584215E-5</v>
      </c>
      <c r="G182" s="59">
        <f t="shared" si="7"/>
        <v>0.9971920577423864</v>
      </c>
      <c r="H182" s="117" t="str">
        <f t="shared" si="8"/>
        <v>C</v>
      </c>
      <c r="Q182" s="20"/>
    </row>
    <row r="183" spans="1:17" s="1" customFormat="1" ht="45" x14ac:dyDescent="0.2">
      <c r="A183" s="96" t="s">
        <v>634</v>
      </c>
      <c r="B183" s="35" t="str">
        <f>VLOOKUP(A183,'II-PO'!$A$18:$M$295,5,0)</f>
        <v>BUCHA DE REDUÇÃO PVC, SOLDÁVEL, LONGA, DN 40 X 25 MM, INSTALADO EM RESERVAÇÃO PREDIAL DE ÁGUA - FORNECIMENTO E INSTALAÇÃO. AF_04/2024</v>
      </c>
      <c r="C183" s="36">
        <f>VLOOKUP(A183,'II-PO'!$A$18:$M$295,11,0)</f>
        <v>84.1</v>
      </c>
      <c r="D183" s="36">
        <f>VLOOKUP(A183,'II-PO'!$A$18:$M$295,12,0)</f>
        <v>21.100000000000009</v>
      </c>
      <c r="E183" s="36">
        <f>VLOOKUP(A183,'II-PO'!$A$18:$M$295,13,0)</f>
        <v>105.2</v>
      </c>
      <c r="F183" s="58">
        <f t="shared" si="6"/>
        <v>8.73710859144636E-5</v>
      </c>
      <c r="G183" s="59">
        <f t="shared" si="7"/>
        <v>0.9972794288283009</v>
      </c>
      <c r="H183" s="117" t="str">
        <f t="shared" si="8"/>
        <v>C</v>
      </c>
      <c r="Q183" s="20"/>
    </row>
    <row r="184" spans="1:17" s="1" customFormat="1" x14ac:dyDescent="0.2">
      <c r="A184" s="96" t="s">
        <v>526</v>
      </c>
      <c r="B184" s="35" t="str">
        <f>VLOOKUP(A184,'II-PO'!$A$18:$M$295,5,0)</f>
        <v>JOELHO 45 GRAUS DIAMETRO 40 MM (ESGOTO)</v>
      </c>
      <c r="C184" s="36">
        <f>VLOOKUP(A184,'II-PO'!$A$18:$M$295,11,0)</f>
        <v>82.8</v>
      </c>
      <c r="D184" s="36">
        <f>VLOOKUP(A184,'II-PO'!$A$18:$M$295,12,0)</f>
        <v>20.850000000000009</v>
      </c>
      <c r="E184" s="36">
        <f>VLOOKUP(A184,'II-PO'!$A$18:$M$295,13,0)</f>
        <v>103.65</v>
      </c>
      <c r="F184" s="58">
        <f t="shared" si="6"/>
        <v>8.6083774287396876E-5</v>
      </c>
      <c r="G184" s="59">
        <f t="shared" si="7"/>
        <v>0.99736551260258832</v>
      </c>
      <c r="H184" s="117" t="str">
        <f t="shared" si="8"/>
        <v>C</v>
      </c>
      <c r="Q184" s="20"/>
    </row>
    <row r="185" spans="1:17" s="1" customFormat="1" x14ac:dyDescent="0.2">
      <c r="A185" s="96" t="s">
        <v>533</v>
      </c>
      <c r="B185" s="35" t="str">
        <f>VLOOKUP(A185,'II-PO'!$A$18:$M$295,5,0)</f>
        <v>LUVA SIMPLES DIAMETRO 100 mm - (ESGOTO)</v>
      </c>
      <c r="C185" s="36">
        <f>VLOOKUP(A185,'II-PO'!$A$18:$M$295,11,0)</f>
        <v>82.15</v>
      </c>
      <c r="D185" s="36">
        <f>VLOOKUP(A185,'II-PO'!$A$18:$M$295,12,0)</f>
        <v>20.699999999999989</v>
      </c>
      <c r="E185" s="36">
        <f>VLOOKUP(A185,'II-PO'!$A$18:$M$295,13,0)</f>
        <v>102.85</v>
      </c>
      <c r="F185" s="58">
        <f t="shared" si="6"/>
        <v>8.5419355383104377E-5</v>
      </c>
      <c r="G185" s="59">
        <f t="shared" si="7"/>
        <v>0.99745093195797141</v>
      </c>
      <c r="H185" s="117" t="str">
        <f t="shared" si="8"/>
        <v>C</v>
      </c>
      <c r="Q185" s="20"/>
    </row>
    <row r="186" spans="1:17" s="1" customFormat="1" ht="45" x14ac:dyDescent="0.2">
      <c r="A186" s="96" t="s">
        <v>645</v>
      </c>
      <c r="B186" s="35" t="str">
        <f>VLOOKUP(A186,'II-PO'!$A$18:$M$295,5,0)</f>
        <v>TÊ, PVC, SOLDÁVEL, DN 40 MM INSTALADO EM RESERVAÇÃO PREDIAL DE ÁGUA - FORNECIMENTO E INSTALAÇÃO. AF_04/2024</v>
      </c>
      <c r="C186" s="36">
        <f>VLOOKUP(A186,'II-PO'!$A$18:$M$295,11,0)</f>
        <v>81.92</v>
      </c>
      <c r="D186" s="36">
        <f>VLOOKUP(A186,'II-PO'!$A$18:$M$295,12,0)</f>
        <v>20.64</v>
      </c>
      <c r="E186" s="36">
        <f>VLOOKUP(A186,'II-PO'!$A$18:$M$295,13,0)</f>
        <v>102.56</v>
      </c>
      <c r="F186" s="58">
        <f t="shared" si="6"/>
        <v>8.5178503530298352E-5</v>
      </c>
      <c r="G186" s="59">
        <f t="shared" si="7"/>
        <v>0.9975361104615017</v>
      </c>
      <c r="H186" s="117" t="str">
        <f t="shared" si="8"/>
        <v>C</v>
      </c>
      <c r="Q186" s="20"/>
    </row>
    <row r="187" spans="1:17" s="1" customFormat="1" x14ac:dyDescent="0.2">
      <c r="A187" s="96" t="s">
        <v>525</v>
      </c>
      <c r="B187" s="35" t="str">
        <f>VLOOKUP(A187,'II-PO'!$A$18:$M$295,5,0)</f>
        <v>CURVA 90 GRAUS CURTA DIAM. 40 MM (ESGOTO)</v>
      </c>
      <c r="C187" s="36">
        <f>VLOOKUP(A187,'II-PO'!$A$18:$M$295,11,0)</f>
        <v>79.2</v>
      </c>
      <c r="D187" s="36">
        <f>VLOOKUP(A187,'II-PO'!$A$18:$M$295,12,0)</f>
        <v>19.920000000000002</v>
      </c>
      <c r="E187" s="36">
        <f>VLOOKUP(A187,'II-PO'!$A$18:$M$295,13,0)</f>
        <v>99.12</v>
      </c>
      <c r="F187" s="58">
        <f t="shared" si="6"/>
        <v>8.2321502241840605E-5</v>
      </c>
      <c r="G187" s="59">
        <f t="shared" si="7"/>
        <v>0.99761843196374356</v>
      </c>
      <c r="H187" s="117" t="str">
        <f t="shared" si="8"/>
        <v>C</v>
      </c>
      <c r="Q187" s="20"/>
    </row>
    <row r="188" spans="1:17" s="1" customFormat="1" ht="45" x14ac:dyDescent="0.2">
      <c r="A188" s="96" t="s">
        <v>635</v>
      </c>
      <c r="B188" s="35" t="str">
        <f>VLOOKUP(A188,'II-PO'!$A$18:$M$295,5,0)</f>
        <v>CURVA 90 GRAUS, PVC, SOLDÁVEL, DN 25 MM, INSTALADO EM RESERVAÇÃO PREDIAL DE ÁGUA - FORNECIMENTO E INSTALAÇÃO. AF_04/2024</v>
      </c>
      <c r="C188" s="36">
        <f>VLOOKUP(A188,'II-PO'!$A$18:$M$295,11,0)</f>
        <v>75.5</v>
      </c>
      <c r="D188" s="36">
        <f>VLOOKUP(A188,'II-PO'!$A$18:$M$295,12,0)</f>
        <v>19</v>
      </c>
      <c r="E188" s="36">
        <f>VLOOKUP(A188,'II-PO'!$A$18:$M$295,13,0)</f>
        <v>94.5</v>
      </c>
      <c r="F188" s="58">
        <f t="shared" si="6"/>
        <v>7.8484483069551418E-5</v>
      </c>
      <c r="G188" s="59">
        <f t="shared" si="7"/>
        <v>0.99769691644681313</v>
      </c>
      <c r="H188" s="117" t="str">
        <f t="shared" si="8"/>
        <v>C</v>
      </c>
      <c r="Q188" s="20"/>
    </row>
    <row r="189" spans="1:17" s="1" customFormat="1" ht="45" x14ac:dyDescent="0.2">
      <c r="A189" s="96" t="s">
        <v>524</v>
      </c>
      <c r="B189" s="35" t="str">
        <f>VLOOKUP(A189,'II-PO'!$A$18:$M$295,5,0)</f>
        <v>VÁLVULA EM METAL CROMADO 1.1/2" X 1.1/2" PARA TANQUE OU LAVATÓRIO, COM OU SEM LADRÃO - FORNECIMENTO E INSTALAÇÃO. AF_01/2020</v>
      </c>
      <c r="C189" s="36">
        <f>VLOOKUP(A189,'II-PO'!$A$18:$M$295,11,0)</f>
        <v>75.23</v>
      </c>
      <c r="D189" s="36">
        <f>VLOOKUP(A189,'II-PO'!$A$18:$M$295,12,0)</f>
        <v>18.950000000000003</v>
      </c>
      <c r="E189" s="36">
        <f>VLOOKUP(A189,'II-PO'!$A$18:$M$295,13,0)</f>
        <v>94.18</v>
      </c>
      <c r="F189" s="58">
        <f t="shared" si="6"/>
        <v>7.8218715507834434E-5</v>
      </c>
      <c r="G189" s="59">
        <f t="shared" si="7"/>
        <v>0.99777513516232097</v>
      </c>
      <c r="H189" s="117" t="str">
        <f t="shared" si="8"/>
        <v>C</v>
      </c>
      <c r="Q189" s="20"/>
    </row>
    <row r="190" spans="1:17" s="1" customFormat="1" ht="45" x14ac:dyDescent="0.2">
      <c r="A190" s="96" t="s">
        <v>662</v>
      </c>
      <c r="B190" s="35" t="str">
        <f>VLOOKUP(A190,'II-PO'!$A$18:$M$295,5,0)</f>
        <v>CURVA 45 GRAUS, PVC, SOLDÁVEL, DN 40MM, INSTALADO EM RAMAL DE DISTRIBUIÇÃO DE ÁGUA - FORNECIMENTO E INSTALAÇÃO. AF_06/2022</v>
      </c>
      <c r="C190" s="36">
        <f>VLOOKUP(A190,'II-PO'!$A$18:$M$295,11,0)</f>
        <v>73.52</v>
      </c>
      <c r="D190" s="36">
        <f>VLOOKUP(A190,'II-PO'!$A$18:$M$295,12,0)</f>
        <v>18.52000000000001</v>
      </c>
      <c r="E190" s="36">
        <f>VLOOKUP(A190,'II-PO'!$A$18:$M$295,13,0)</f>
        <v>92.04</v>
      </c>
      <c r="F190" s="58">
        <f t="shared" si="6"/>
        <v>7.6441394938851989E-5</v>
      </c>
      <c r="G190" s="59">
        <f t="shared" si="7"/>
        <v>0.99785157655725987</v>
      </c>
      <c r="H190" s="117" t="str">
        <f t="shared" si="8"/>
        <v>C</v>
      </c>
      <c r="Q190" s="20"/>
    </row>
    <row r="191" spans="1:17" s="1" customFormat="1" x14ac:dyDescent="0.2">
      <c r="A191" s="96" t="s">
        <v>528</v>
      </c>
      <c r="B191" s="35" t="str">
        <f>VLOOKUP(A191,'II-PO'!$A$18:$M$295,5,0)</f>
        <v>JOELHO 90 GRAUS DIAMETRO 50 MM (ESGOTO)</v>
      </c>
      <c r="C191" s="36">
        <f>VLOOKUP(A191,'II-PO'!$A$18:$M$295,11,0)</f>
        <v>68.959999999999994</v>
      </c>
      <c r="D191" s="36">
        <f>VLOOKUP(A191,'II-PO'!$A$18:$M$295,12,0)</f>
        <v>17.36</v>
      </c>
      <c r="E191" s="36">
        <f>VLOOKUP(A191,'II-PO'!$A$18:$M$295,13,0)</f>
        <v>86.32</v>
      </c>
      <c r="F191" s="58">
        <f t="shared" si="6"/>
        <v>7.1690799773160621E-5</v>
      </c>
      <c r="G191" s="59">
        <f t="shared" si="7"/>
        <v>0.99792326735703307</v>
      </c>
      <c r="H191" s="117" t="str">
        <f t="shared" si="8"/>
        <v>C</v>
      </c>
      <c r="Q191" s="20"/>
    </row>
    <row r="192" spans="1:17" s="1" customFormat="1" ht="30" x14ac:dyDescent="0.2">
      <c r="A192" s="96" t="s">
        <v>631</v>
      </c>
      <c r="B192" s="35" t="str">
        <f>VLOOKUP(A192,'II-PO'!$A$18:$M$295,5,0)</f>
        <v>ADAPTADOR SOLDÁVEL COM FLANGES LIVRES PARA CAIXA D'ÁGUA 32X1"</v>
      </c>
      <c r="C192" s="36">
        <f>VLOOKUP(A192,'II-PO'!$A$18:$M$295,11,0)</f>
        <v>67.650000000000006</v>
      </c>
      <c r="D192" s="36">
        <f>VLOOKUP(A192,'II-PO'!$A$18:$M$295,12,0)</f>
        <v>17.039999999999992</v>
      </c>
      <c r="E192" s="36">
        <f>VLOOKUP(A192,'II-PO'!$A$18:$M$295,13,0)</f>
        <v>84.69</v>
      </c>
      <c r="F192" s="58">
        <f t="shared" si="6"/>
        <v>7.0337046255664651E-5</v>
      </c>
      <c r="G192" s="59">
        <f t="shared" si="7"/>
        <v>0.99799360440328877</v>
      </c>
      <c r="H192" s="117" t="str">
        <f t="shared" si="8"/>
        <v>C</v>
      </c>
      <c r="Q192" s="20"/>
    </row>
    <row r="193" spans="1:17" s="1" customFormat="1" ht="30" x14ac:dyDescent="0.2">
      <c r="A193" s="96" t="s">
        <v>657</v>
      </c>
      <c r="B193" s="35" t="str">
        <f>VLOOKUP(A193,'II-PO'!$A$18:$M$295,5,0)</f>
        <v>ADAPTADOR SOLDÁVEL COM FLANGES LIVRES PARA CAIXA D'ÁGUA 32X1"</v>
      </c>
      <c r="C193" s="36">
        <f>VLOOKUP(A193,'II-PO'!$A$18:$M$295,11,0)</f>
        <v>67.650000000000006</v>
      </c>
      <c r="D193" s="36">
        <f>VLOOKUP(A193,'II-PO'!$A$18:$M$295,12,0)</f>
        <v>17.039999999999992</v>
      </c>
      <c r="E193" s="36">
        <f>VLOOKUP(A193,'II-PO'!$A$18:$M$295,13,0)</f>
        <v>84.69</v>
      </c>
      <c r="F193" s="58">
        <f t="shared" si="6"/>
        <v>7.0337046255664651E-5</v>
      </c>
      <c r="G193" s="59">
        <f t="shared" si="7"/>
        <v>0.99806394144954447</v>
      </c>
      <c r="H193" s="117" t="str">
        <f t="shared" si="8"/>
        <v>C</v>
      </c>
      <c r="Q193" s="20"/>
    </row>
    <row r="194" spans="1:17" s="1" customFormat="1" ht="45" x14ac:dyDescent="0.2">
      <c r="A194" s="96" t="s">
        <v>641</v>
      </c>
      <c r="B194" s="35" t="str">
        <f>VLOOKUP(A194,'II-PO'!$A$18:$M$295,5,0)</f>
        <v>TUBO, PVC, SOLDÁVEL, DE 25MM, INSTALADO EM RESERVAÇÃO PREDIAL DE ÁGUA - FORNECIMENTO E INSTALAÇÃO. AF_04/2024</v>
      </c>
      <c r="C194" s="36">
        <f>VLOOKUP(A194,'II-PO'!$A$18:$M$295,11,0)</f>
        <v>67.37</v>
      </c>
      <c r="D194" s="36">
        <f>VLOOKUP(A194,'II-PO'!$A$18:$M$295,12,0)</f>
        <v>16.939999999999998</v>
      </c>
      <c r="E194" s="36">
        <f>VLOOKUP(A194,'II-PO'!$A$18:$M$295,13,0)</f>
        <v>84.31</v>
      </c>
      <c r="F194" s="58">
        <f t="shared" si="6"/>
        <v>7.0021447276125723E-5</v>
      </c>
      <c r="G194" s="59">
        <f t="shared" si="7"/>
        <v>0.99813396289682055</v>
      </c>
      <c r="H194" s="117" t="str">
        <f t="shared" si="8"/>
        <v>C</v>
      </c>
      <c r="Q194" s="20"/>
    </row>
    <row r="195" spans="1:17" s="1" customFormat="1" x14ac:dyDescent="0.2">
      <c r="A195" s="96" t="s">
        <v>530</v>
      </c>
      <c r="B195" s="35" t="str">
        <f>VLOOKUP(A195,'II-PO'!$A$18:$M$295,5,0)</f>
        <v>JOELHO 90 GRAUS DIAMETRO 40 MM (ESGOTO)</v>
      </c>
      <c r="C195" s="36">
        <f>VLOOKUP(A195,'II-PO'!$A$18:$M$295,11,0)</f>
        <v>66.56</v>
      </c>
      <c r="D195" s="36">
        <f>VLOOKUP(A195,'II-PO'!$A$18:$M$295,12,0)</f>
        <v>16.759999999999991</v>
      </c>
      <c r="E195" s="36">
        <f>VLOOKUP(A195,'II-PO'!$A$18:$M$295,13,0)</f>
        <v>83.32</v>
      </c>
      <c r="F195" s="58">
        <f t="shared" si="6"/>
        <v>6.9199228882063746E-5</v>
      </c>
      <c r="G195" s="59">
        <f t="shared" si="7"/>
        <v>0.99820316212570259</v>
      </c>
      <c r="H195" s="117" t="str">
        <f t="shared" si="8"/>
        <v>C</v>
      </c>
      <c r="Q195" s="20"/>
    </row>
    <row r="196" spans="1:17" s="1" customFormat="1" ht="45" x14ac:dyDescent="0.2">
      <c r="A196" s="96" t="s">
        <v>620</v>
      </c>
      <c r="B196" s="35" t="str">
        <f>VLOOKUP(A196,'II-PO'!$A$18:$M$295,5,0)</f>
        <v>LUVA DE CORRER, PVC, SOLDÁVEL, DN 25MM, INSTALADO EM RAMAL OU SUB-RAMAL DE ÁGUA - FORNECIMENTO E INSTALAÇÃO. AF_12/2014</v>
      </c>
      <c r="C196" s="36">
        <f>VLOOKUP(A196,'II-PO'!$A$18:$M$295,11,0)</f>
        <v>62.34</v>
      </c>
      <c r="D196" s="36">
        <f>VLOOKUP(A196,'II-PO'!$A$18:$M$295,12,0)</f>
        <v>15.689999999999998</v>
      </c>
      <c r="E196" s="36">
        <f>VLOOKUP(A196,'II-PO'!$A$18:$M$295,13,0)</f>
        <v>78.03</v>
      </c>
      <c r="F196" s="58">
        <f t="shared" si="6"/>
        <v>6.4805758877429606E-5</v>
      </c>
      <c r="G196" s="59">
        <f t="shared" si="7"/>
        <v>0.99826796788458005</v>
      </c>
      <c r="H196" s="117" t="str">
        <f t="shared" si="8"/>
        <v>C</v>
      </c>
      <c r="Q196" s="20"/>
    </row>
    <row r="197" spans="1:17" s="1" customFormat="1" ht="60" x14ac:dyDescent="0.2">
      <c r="A197" s="96" t="s">
        <v>539</v>
      </c>
      <c r="B197" s="35" t="str">
        <f>VLOOKUP(A197,'II-PO'!$A$18:$M$295,5,0)</f>
        <v>JOELHO 90 GRAUS, PVC, SERIE NORMAL, ESGOTO PREDIAL, DN 50 MM, JUNTA ELÁSTICA, FORNECIDO E INSTALADO EM PRUMADA DE ESGOTO SANITÁRIO OU VENTILAÇÃO. AF_08/2022</v>
      </c>
      <c r="C197" s="36">
        <f>VLOOKUP(A197,'II-PO'!$A$18:$M$295,11,0)</f>
        <v>62.16</v>
      </c>
      <c r="D197" s="36">
        <f>VLOOKUP(A197,'II-PO'!$A$18:$M$295,12,0)</f>
        <v>15.659999999999997</v>
      </c>
      <c r="E197" s="36">
        <f>VLOOKUP(A197,'II-PO'!$A$18:$M$295,13,0)</f>
        <v>77.819999999999993</v>
      </c>
      <c r="F197" s="58">
        <f t="shared" si="6"/>
        <v>6.4631348915052814E-5</v>
      </c>
      <c r="G197" s="59">
        <f t="shared" si="7"/>
        <v>0.99833259923349515</v>
      </c>
      <c r="H197" s="117" t="str">
        <f t="shared" si="8"/>
        <v>C</v>
      </c>
      <c r="Q197" s="20"/>
    </row>
    <row r="198" spans="1:17" s="1" customFormat="1" ht="45" x14ac:dyDescent="0.2">
      <c r="A198" s="96" t="s">
        <v>678</v>
      </c>
      <c r="B198" s="35" t="str">
        <f>VLOOKUP(A198,'II-PO'!$A$18:$M$295,5,0)</f>
        <v>CAIXA DE PASSAGEM PARA TELEFONE 15X15X10CM (SOBREPOR) - FORNECIMENTO E INSTALAÇÃO. AF_08/2025</v>
      </c>
      <c r="C198" s="36">
        <f>VLOOKUP(A198,'II-PO'!$A$18:$M$295,11,0)</f>
        <v>60.04</v>
      </c>
      <c r="D198" s="36">
        <f>VLOOKUP(A198,'II-PO'!$A$18:$M$295,12,0)</f>
        <v>15.119999999999997</v>
      </c>
      <c r="E198" s="36">
        <f>VLOOKUP(A198,'II-PO'!$A$18:$M$295,13,0)</f>
        <v>75.16</v>
      </c>
      <c r="F198" s="58">
        <f t="shared" si="6"/>
        <v>6.2422156058280264E-5</v>
      </c>
      <c r="G198" s="59">
        <f t="shared" si="7"/>
        <v>0.99839502138955338</v>
      </c>
      <c r="H198" s="117" t="str">
        <f t="shared" si="8"/>
        <v>C</v>
      </c>
      <c r="Q198" s="20"/>
    </row>
    <row r="199" spans="1:17" s="1" customFormat="1" ht="30" x14ac:dyDescent="0.2">
      <c r="A199" s="96" t="s">
        <v>608</v>
      </c>
      <c r="B199" s="35" t="str">
        <f>VLOOKUP(A199,'II-PO'!$A$18:$M$295,5,0)</f>
        <v>ENGATE FLEXÍVEL EM INOX, 1/2 X 30CM - FORNECIMENTO E INSTALAÇÃO. AF_01/2020</v>
      </c>
      <c r="C199" s="36">
        <f>VLOOKUP(A199,'II-PO'!$A$18:$M$295,11,0)</f>
        <v>55.78</v>
      </c>
      <c r="D199" s="36">
        <f>VLOOKUP(A199,'II-PO'!$A$18:$M$295,12,0)</f>
        <v>14.049999999999997</v>
      </c>
      <c r="E199" s="36">
        <f>VLOOKUP(A199,'II-PO'!$A$18:$M$295,13,0)</f>
        <v>69.83</v>
      </c>
      <c r="F199" s="58">
        <f t="shared" si="6"/>
        <v>5.7995465108431488E-5</v>
      </c>
      <c r="G199" s="59">
        <f t="shared" si="7"/>
        <v>0.99845301685466181</v>
      </c>
      <c r="H199" s="117" t="str">
        <f t="shared" si="8"/>
        <v>C</v>
      </c>
      <c r="Q199" s="20"/>
    </row>
    <row r="200" spans="1:17" s="1" customFormat="1" ht="60" x14ac:dyDescent="0.2">
      <c r="A200" s="96" t="s">
        <v>541</v>
      </c>
      <c r="B200" s="35" t="str">
        <f>VLOOKUP(A200,'II-PO'!$A$18:$M$295,5,0)</f>
        <v>TE, PVC, SERIE NORMAL, ESGOTO PREDIAL, DN 50 X 50 MM, JUNTA ELÁSTICA, FORNECIDO E INSTALADO EM PRUMADA DE ESGOTO SANITÁRIO OU VENTILAÇÃO. AF_08/2022</v>
      </c>
      <c r="C200" s="36">
        <f>VLOOKUP(A200,'II-PO'!$A$18:$M$295,11,0)</f>
        <v>55.41</v>
      </c>
      <c r="D200" s="36">
        <f>VLOOKUP(A200,'II-PO'!$A$18:$M$295,12,0)</f>
        <v>13.950000000000003</v>
      </c>
      <c r="E200" s="36">
        <f>VLOOKUP(A200,'II-PO'!$A$18:$M$295,13,0)</f>
        <v>69.36</v>
      </c>
      <c r="F200" s="58">
        <f t="shared" si="6"/>
        <v>5.760511900215965E-5</v>
      </c>
      <c r="G200" s="59">
        <f t="shared" si="7"/>
        <v>0.99851062197366403</v>
      </c>
      <c r="H200" s="117" t="str">
        <f t="shared" si="8"/>
        <v>C</v>
      </c>
      <c r="Q200" s="20"/>
    </row>
    <row r="201" spans="1:17" s="1" customFormat="1" ht="45" x14ac:dyDescent="0.2">
      <c r="A201" s="96" t="s">
        <v>637</v>
      </c>
      <c r="B201" s="35" t="str">
        <f>VLOOKUP(A201,'II-PO'!$A$18:$M$295,5,0)</f>
        <v>JOELHO 90 GRAUS, PPR, DN 25 MM, INSTALADO EM RESERVAÇÃO PREDIAL DE ÁGUA - FORNECIMENTO E INSTALAÇÃO. AF_04/2024</v>
      </c>
      <c r="C201" s="36">
        <f>VLOOKUP(A201,'II-PO'!$A$18:$M$295,11,0)</f>
        <v>51.84</v>
      </c>
      <c r="D201" s="36">
        <f>VLOOKUP(A201,'II-PO'!$A$18:$M$295,12,0)</f>
        <v>13.019999999999996</v>
      </c>
      <c r="E201" s="36">
        <f>VLOOKUP(A201,'II-PO'!$A$18:$M$295,13,0)</f>
        <v>64.86</v>
      </c>
      <c r="F201" s="58">
        <f t="shared" si="6"/>
        <v>5.3867762665514338E-5</v>
      </c>
      <c r="G201" s="59">
        <f t="shared" si="7"/>
        <v>0.9985644897363295</v>
      </c>
      <c r="H201" s="117" t="str">
        <f t="shared" si="8"/>
        <v>C</v>
      </c>
      <c r="Q201" s="20"/>
    </row>
    <row r="202" spans="1:17" s="1" customFormat="1" ht="45" x14ac:dyDescent="0.2">
      <c r="A202" s="96" t="s">
        <v>578</v>
      </c>
      <c r="B202" s="35" t="str">
        <f>VLOOKUP(A202,'II-PO'!$A$18:$M$295,5,0)</f>
        <v>INTERRUPTOR INTERMEDIÁRIO (1 MÓDULO), 10A/250V, INCLUINDO SUPORTE E PLACA - FORNECIMENTO E INSTALAÇÃO. AF_03/2023</v>
      </c>
      <c r="C202" s="36">
        <f>VLOOKUP(A202,'II-PO'!$A$18:$M$295,11,0)</f>
        <v>51.02</v>
      </c>
      <c r="D202" s="36">
        <f>VLOOKUP(A202,'II-PO'!$A$18:$M$295,12,0)</f>
        <v>12.849999999999994</v>
      </c>
      <c r="E202" s="36">
        <f>VLOOKUP(A202,'II-PO'!$A$18:$M$295,13,0)</f>
        <v>63.87</v>
      </c>
      <c r="F202" s="58">
        <f t="shared" si="6"/>
        <v>5.3045544271452375E-5</v>
      </c>
      <c r="G202" s="59">
        <f t="shared" si="7"/>
        <v>0.99861753528060093</v>
      </c>
      <c r="H202" s="117" t="str">
        <f t="shared" si="8"/>
        <v>C</v>
      </c>
      <c r="Q202" s="20"/>
    </row>
    <row r="203" spans="1:17" s="1" customFormat="1" ht="45" x14ac:dyDescent="0.2">
      <c r="A203" s="96" t="s">
        <v>668</v>
      </c>
      <c r="B203" s="35" t="str">
        <f>VLOOKUP(A203,'II-PO'!$A$18:$M$295,5,0)</f>
        <v>TE, PVC, SOLDÁVEL, DN 25MM, INSTALADO EM RAMAL DE DISTRIBUIÇÃO DE ÁGUA - FORNECIMENTO E INSTALAÇÃO. AF_06/2022</v>
      </c>
      <c r="C203" s="36">
        <f>VLOOKUP(A203,'II-PO'!$A$18:$M$295,11,0)</f>
        <v>50.76</v>
      </c>
      <c r="D203" s="36">
        <f>VLOOKUP(A203,'II-PO'!$A$18:$M$295,12,0)</f>
        <v>12.760000000000005</v>
      </c>
      <c r="E203" s="36">
        <f>VLOOKUP(A203,'II-PO'!$A$18:$M$295,13,0)</f>
        <v>63.52</v>
      </c>
      <c r="F203" s="58">
        <f t="shared" si="6"/>
        <v>5.2754861000824406E-5</v>
      </c>
      <c r="G203" s="59">
        <f t="shared" si="7"/>
        <v>0.9986702901416018</v>
      </c>
      <c r="H203" s="117" t="str">
        <f t="shared" si="8"/>
        <v>C</v>
      </c>
      <c r="Q203" s="20"/>
    </row>
    <row r="204" spans="1:17" s="1" customFormat="1" ht="30" x14ac:dyDescent="0.2">
      <c r="A204" s="96" t="s">
        <v>552</v>
      </c>
      <c r="B204" s="35" t="str">
        <f>VLOOKUP(A204,'II-PO'!$A$18:$M$295,5,0)</f>
        <v>JOELHO DE REDUCAO 90 GRAUS SOLDÁVEL COM BUCHA LATAO 25X1/2"</v>
      </c>
      <c r="C204" s="36">
        <f>VLOOKUP(A204,'II-PO'!$A$18:$M$295,11,0)</f>
        <v>47.96</v>
      </c>
      <c r="D204" s="36">
        <f>VLOOKUP(A204,'II-PO'!$A$18:$M$295,12,0)</f>
        <v>12.079999999999998</v>
      </c>
      <c r="E204" s="36">
        <f>VLOOKUP(A204,'II-PO'!$A$18:$M$295,13,0)</f>
        <v>60.04</v>
      </c>
      <c r="F204" s="58">
        <f t="shared" si="6"/>
        <v>4.9864638767152036E-5</v>
      </c>
      <c r="G204" s="59">
        <f t="shared" si="7"/>
        <v>0.99872015478036891</v>
      </c>
      <c r="H204" s="117" t="str">
        <f t="shared" si="8"/>
        <v>C</v>
      </c>
      <c r="Q204" s="20"/>
    </row>
    <row r="205" spans="1:17" s="1" customFormat="1" ht="45" x14ac:dyDescent="0.2">
      <c r="A205" s="96" t="s">
        <v>523</v>
      </c>
      <c r="B205" s="35" t="str">
        <f>VLOOKUP(A205,'II-PO'!$A$18:$M$295,5,0)</f>
        <v>VÁLVULA EM PLÁSTICO 1" PARA PIA, TANQUE OU LAVATÓRIO, COM OU SEM LADRÃO - FORNECIMENTO E INSTALAÇÃO. AF_01/2020</v>
      </c>
      <c r="C205" s="36">
        <f>VLOOKUP(A205,'II-PO'!$A$18:$M$295,11,0)</f>
        <v>47.65</v>
      </c>
      <c r="D205" s="36">
        <f>VLOOKUP(A205,'II-PO'!$A$18:$M$295,12,0)</f>
        <v>12</v>
      </c>
      <c r="E205" s="36">
        <f>VLOOKUP(A205,'II-PO'!$A$18:$M$295,13,0)</f>
        <v>59.65</v>
      </c>
      <c r="F205" s="58">
        <f t="shared" si="6"/>
        <v>4.9540734551309444E-5</v>
      </c>
      <c r="G205" s="59">
        <f t="shared" si="7"/>
        <v>0.99876969551492023</v>
      </c>
      <c r="H205" s="117" t="str">
        <f t="shared" si="8"/>
        <v>C</v>
      </c>
      <c r="Q205" s="20"/>
    </row>
    <row r="206" spans="1:17" s="1" customFormat="1" ht="30" x14ac:dyDescent="0.2">
      <c r="A206" s="96" t="s">
        <v>633</v>
      </c>
      <c r="B206" s="35" t="str">
        <f>VLOOKUP(A206,'II-PO'!$A$18:$M$295,5,0)</f>
        <v>ADAPTADOR SOLDÁVEL CURTO C/ BOLSA E ROSCA PARA REGISTRO 40X1 1/4"</v>
      </c>
      <c r="C206" s="36">
        <f>VLOOKUP(A206,'II-PO'!$A$18:$M$295,11,0)</f>
        <v>46.72</v>
      </c>
      <c r="D206" s="36">
        <f>VLOOKUP(A206,'II-PO'!$A$18:$M$295,12,0)</f>
        <v>11.759999999999998</v>
      </c>
      <c r="E206" s="36">
        <f>VLOOKUP(A206,'II-PO'!$A$18:$M$295,13,0)</f>
        <v>58.48</v>
      </c>
      <c r="F206" s="58">
        <f t="shared" si="6"/>
        <v>4.856902190378166E-5</v>
      </c>
      <c r="G206" s="59">
        <f t="shared" si="7"/>
        <v>0.99881826453682399</v>
      </c>
      <c r="H206" s="117" t="str">
        <f t="shared" si="8"/>
        <v>C</v>
      </c>
      <c r="Q206" s="20"/>
    </row>
    <row r="207" spans="1:17" s="1" customFormat="1" ht="30" x14ac:dyDescent="0.2">
      <c r="A207" s="96" t="s">
        <v>659</v>
      </c>
      <c r="B207" s="35" t="str">
        <f>VLOOKUP(A207,'II-PO'!$A$18:$M$295,5,0)</f>
        <v>ADAPTADOR SOLDÁVEL CURTO C/ BOLSA E ROSCA PARA REGISTRO 40X1 1/4"</v>
      </c>
      <c r="C207" s="36">
        <f>VLOOKUP(A207,'II-PO'!$A$18:$M$295,11,0)</f>
        <v>46.72</v>
      </c>
      <c r="D207" s="36">
        <f>VLOOKUP(A207,'II-PO'!$A$18:$M$295,12,0)</f>
        <v>11.759999999999998</v>
      </c>
      <c r="E207" s="36">
        <f>VLOOKUP(A207,'II-PO'!$A$18:$M$295,13,0)</f>
        <v>58.48</v>
      </c>
      <c r="F207" s="58">
        <f t="shared" si="6"/>
        <v>4.856902190378166E-5</v>
      </c>
      <c r="G207" s="59">
        <f t="shared" si="7"/>
        <v>0.99886683355872774</v>
      </c>
      <c r="H207" s="117" t="str">
        <f t="shared" si="8"/>
        <v>C</v>
      </c>
      <c r="Q207" s="20"/>
    </row>
    <row r="208" spans="1:17" s="1" customFormat="1" ht="45" x14ac:dyDescent="0.2">
      <c r="A208" s="96" t="s">
        <v>602</v>
      </c>
      <c r="B208" s="35" t="str">
        <f>VLOOKUP(A208,'II-PO'!$A$18:$M$295,5,0)</f>
        <v>ARMAÇÃO DE LAJE DE ESTRUTURA CONVENCIONAL DE CONCRETO ARMADO UTILIZANDO AÇO CA-60 DE 5,0 MM - MONTAGEM. AF_06/2022</v>
      </c>
      <c r="C208" s="36">
        <f>VLOOKUP(A208,'II-PO'!$A$18:$M$295,11,0)</f>
        <v>46.13</v>
      </c>
      <c r="D208" s="36">
        <f>VLOOKUP(A208,'II-PO'!$A$18:$M$295,12,0)</f>
        <v>11.61</v>
      </c>
      <c r="E208" s="36">
        <f>VLOOKUP(A208,'II-PO'!$A$18:$M$295,13,0)</f>
        <v>57.74</v>
      </c>
      <c r="F208" s="58">
        <f t="shared" si="6"/>
        <v>4.7954434417311106E-5</v>
      </c>
      <c r="G208" s="59">
        <f t="shared" si="7"/>
        <v>0.99891478799314504</v>
      </c>
      <c r="H208" s="117" t="str">
        <f t="shared" si="8"/>
        <v>C</v>
      </c>
      <c r="Q208" s="20"/>
    </row>
    <row r="209" spans="1:17" s="1" customFormat="1" ht="45" x14ac:dyDescent="0.2">
      <c r="A209" s="96" t="s">
        <v>661</v>
      </c>
      <c r="B209" s="35" t="str">
        <f>VLOOKUP(A209,'II-PO'!$A$18:$M$295,5,0)</f>
        <v>CURVA 45 GRAUS, PVC, SOLDÁVEL, DN 25MM, INSTALADO EM RAMAL DE DISTRIBUIÇÃO DE ÁGUA - FORNECIMENTO E INSTALAÇÃO. AF_06/2022</v>
      </c>
      <c r="C209" s="36">
        <f>VLOOKUP(A209,'II-PO'!$A$18:$M$295,11,0)</f>
        <v>44.72</v>
      </c>
      <c r="D209" s="36">
        <f>VLOOKUP(A209,'II-PO'!$A$18:$M$295,12,0)</f>
        <v>11.240000000000002</v>
      </c>
      <c r="E209" s="36">
        <f>VLOOKUP(A209,'II-PO'!$A$18:$M$295,13,0)</f>
        <v>55.96</v>
      </c>
      <c r="F209" s="58">
        <f t="shared" si="6"/>
        <v>4.6476102355260295E-5</v>
      </c>
      <c r="G209" s="59">
        <f t="shared" si="7"/>
        <v>0.99896126409550035</v>
      </c>
      <c r="H209" s="117" t="str">
        <f t="shared" si="8"/>
        <v>C</v>
      </c>
      <c r="Q209" s="20"/>
    </row>
    <row r="210" spans="1:17" s="1" customFormat="1" ht="30" x14ac:dyDescent="0.2">
      <c r="A210" s="96" t="s">
        <v>640</v>
      </c>
      <c r="B210" s="35" t="str">
        <f>VLOOKUP(A210,'II-PO'!$A$18:$M$295,5,0)</f>
        <v>TORNEIRA DE BOIA PARA CAIXA D'ÁGUA, ROSCÁVEL, 1/2" - FORNECIMENTO E INSTALAÇÃO. AF_08/2021</v>
      </c>
      <c r="C210" s="36">
        <f>VLOOKUP(A210,'II-PO'!$A$18:$M$295,11,0)</f>
        <v>43.02</v>
      </c>
      <c r="D210" s="36">
        <f>VLOOKUP(A210,'II-PO'!$A$18:$M$295,12,0)</f>
        <v>10.839999999999996</v>
      </c>
      <c r="E210" s="36">
        <f>VLOOKUP(A210,'II-PO'!$A$18:$M$295,13,0)</f>
        <v>53.86</v>
      </c>
      <c r="F210" s="58">
        <f t="shared" ref="F210:F253" si="9">E210/$H$257</f>
        <v>4.473200273149248E-5</v>
      </c>
      <c r="G210" s="59">
        <f t="shared" si="7"/>
        <v>0.99900599609823182</v>
      </c>
      <c r="H210" s="117" t="str">
        <f t="shared" si="8"/>
        <v>C</v>
      </c>
      <c r="Q210" s="20"/>
    </row>
    <row r="211" spans="1:17" s="1" customFormat="1" ht="60" x14ac:dyDescent="0.2">
      <c r="A211" s="96" t="s">
        <v>618</v>
      </c>
      <c r="B211" s="35" t="str">
        <f>VLOOKUP(A211,'II-PO'!$A$18:$M$295,5,0)</f>
        <v>ADAPTADOR CURTO COM BOLSA E ROSCA PARA REGISTRO, PVC, SOLDÁVEL, DN 25MM X 3/4, INSTALADO EM RAMAL OU SUB-RAMAL DE ÁGUA - FORNECIMENTO E INSTALAÇÃO. AF_06/2022</v>
      </c>
      <c r="C211" s="36">
        <f>VLOOKUP(A211,'II-PO'!$A$18:$M$295,11,0)</f>
        <v>42.06</v>
      </c>
      <c r="D211" s="36">
        <f>VLOOKUP(A211,'II-PO'!$A$18:$M$295,12,0)</f>
        <v>10.559999999999995</v>
      </c>
      <c r="E211" s="36">
        <f>VLOOKUP(A211,'II-PO'!$A$18:$M$295,13,0)</f>
        <v>52.62</v>
      </c>
      <c r="F211" s="58">
        <f t="shared" si="9"/>
        <v>4.3702153429839108E-5</v>
      </c>
      <c r="G211" s="59">
        <f t="shared" si="7"/>
        <v>0.99904969825166168</v>
      </c>
      <c r="H211" s="117" t="str">
        <f t="shared" si="8"/>
        <v>C</v>
      </c>
      <c r="Q211" s="20"/>
    </row>
    <row r="212" spans="1:17" s="1" customFormat="1" ht="45" x14ac:dyDescent="0.2">
      <c r="A212" s="96" t="s">
        <v>553</v>
      </c>
      <c r="B212" s="35" t="str">
        <f>VLOOKUP(A212,'II-PO'!$A$18:$M$295,5,0)</f>
        <v>LUVA DE CORRER, PVC, SOLDÁVEL, DN 25MM, INSTALADO EM RAMAL OU SUB-RAMAL DE ÁGUA - FORNECIMENTO E INSTALAÇÃO. AF_12/2014</v>
      </c>
      <c r="C212" s="36">
        <f>VLOOKUP(A212,'II-PO'!$A$18:$M$295,11,0)</f>
        <v>41.56</v>
      </c>
      <c r="D212" s="36">
        <f>VLOOKUP(A212,'II-PO'!$A$18:$M$295,12,0)</f>
        <v>10.46</v>
      </c>
      <c r="E212" s="36">
        <f>VLOOKUP(A212,'II-PO'!$A$18:$M$295,13,0)</f>
        <v>52.02</v>
      </c>
      <c r="F212" s="58">
        <f t="shared" si="9"/>
        <v>4.3203839251619737E-5</v>
      </c>
      <c r="G212" s="59">
        <f t="shared" ref="G212:G253" si="10">G211+F212</f>
        <v>0.99909290209091328</v>
      </c>
      <c r="H212" s="117" t="str">
        <f t="shared" ref="H212:H253" si="11">IF(G212&lt;=70%,"A",IF(G212&lt;=90%,"B","C"))</f>
        <v>C</v>
      </c>
      <c r="Q212" s="20"/>
    </row>
    <row r="213" spans="1:17" s="1" customFormat="1" ht="45" x14ac:dyDescent="0.2">
      <c r="A213" s="96" t="s">
        <v>626</v>
      </c>
      <c r="B213" s="35" t="str">
        <f>VLOOKUP(A213,'II-PO'!$A$18:$M$295,5,0)</f>
        <v>LUVA DE CORRER, PVC, SOLDÁVEL, DN 25MM, INSTALADO EM RAMAL OU SUB-RAMAL DE ÁGUA - FORNECIMENTO E INSTALAÇÃO. AF_12/2014</v>
      </c>
      <c r="C213" s="36">
        <f>VLOOKUP(A213,'II-PO'!$A$18:$M$295,11,0)</f>
        <v>41.56</v>
      </c>
      <c r="D213" s="36">
        <f>VLOOKUP(A213,'II-PO'!$A$18:$M$295,12,0)</f>
        <v>10.46</v>
      </c>
      <c r="E213" s="36">
        <f>VLOOKUP(A213,'II-PO'!$A$18:$M$295,13,0)</f>
        <v>52.02</v>
      </c>
      <c r="F213" s="58">
        <f t="shared" si="9"/>
        <v>4.3203839251619737E-5</v>
      </c>
      <c r="G213" s="59">
        <f t="shared" si="10"/>
        <v>0.99913610593016489</v>
      </c>
      <c r="H213" s="117" t="str">
        <f t="shared" si="11"/>
        <v>C</v>
      </c>
      <c r="Q213" s="20"/>
    </row>
    <row r="214" spans="1:17" s="1" customFormat="1" ht="45" x14ac:dyDescent="0.2">
      <c r="A214" s="96" t="s">
        <v>550</v>
      </c>
      <c r="B214" s="35" t="str">
        <f>VLOOKUP(A214,'II-PO'!$A$18:$M$295,5,0)</f>
        <v>JOELHO 90 GRAUS, PVC, SOLDÁVEL, DN 25MM, INSTALADO EM RAMAL OU SUB-RAMAL DE ÁGUA - FORNECIMENTO E INSTALAÇÃO. AF_06/2022</v>
      </c>
      <c r="C214" s="36">
        <f>VLOOKUP(A214,'II-PO'!$A$18:$M$295,11,0)</f>
        <v>40.159999999999997</v>
      </c>
      <c r="D214" s="36">
        <f>VLOOKUP(A214,'II-PO'!$A$18:$M$295,12,0)</f>
        <v>10.120000000000005</v>
      </c>
      <c r="E214" s="36">
        <f>VLOOKUP(A214,'II-PO'!$A$18:$M$295,13,0)</f>
        <v>50.28</v>
      </c>
      <c r="F214" s="58">
        <f t="shared" si="9"/>
        <v>4.1758728134783549E-5</v>
      </c>
      <c r="G214" s="59">
        <f t="shared" si="10"/>
        <v>0.99917786465829972</v>
      </c>
      <c r="H214" s="117" t="str">
        <f t="shared" si="11"/>
        <v>C</v>
      </c>
      <c r="Q214" s="20"/>
    </row>
    <row r="215" spans="1:17" s="1" customFormat="1" ht="45" x14ac:dyDescent="0.2">
      <c r="A215" s="96" t="s">
        <v>619</v>
      </c>
      <c r="B215" s="35" t="str">
        <f>VLOOKUP(A215,'II-PO'!$A$18:$M$295,5,0)</f>
        <v>JOELHO 90 GRAUS, PVC, SOLDÁVEL, DN 25MM, INSTALADO EM RAMAL OU SUB-RAMAL DE ÁGUA - FORNECIMENTO E INSTALAÇÃO. AF_06/2022</v>
      </c>
      <c r="C215" s="36">
        <f>VLOOKUP(A215,'II-PO'!$A$18:$M$295,11,0)</f>
        <v>40.159999999999997</v>
      </c>
      <c r="D215" s="36">
        <f>VLOOKUP(A215,'II-PO'!$A$18:$M$295,12,0)</f>
        <v>10.120000000000005</v>
      </c>
      <c r="E215" s="36">
        <f>VLOOKUP(A215,'II-PO'!$A$18:$M$295,13,0)</f>
        <v>50.28</v>
      </c>
      <c r="F215" s="58">
        <f t="shared" si="9"/>
        <v>4.1758728134783549E-5</v>
      </c>
      <c r="G215" s="59">
        <f t="shared" si="10"/>
        <v>0.99921962338643455</v>
      </c>
      <c r="H215" s="117" t="str">
        <f t="shared" si="11"/>
        <v>C</v>
      </c>
      <c r="Q215" s="20"/>
    </row>
    <row r="216" spans="1:17" s="1" customFormat="1" x14ac:dyDescent="0.2">
      <c r="A216" s="96" t="s">
        <v>531</v>
      </c>
      <c r="B216" s="35" t="str">
        <f>VLOOKUP(A216,'II-PO'!$A$18:$M$295,5,0)</f>
        <v>JUNCAO SIMPLES DIAM. 100 X 50 MM (ESGOTO)</v>
      </c>
      <c r="C216" s="36">
        <f>VLOOKUP(A216,'II-PO'!$A$18:$M$295,11,0)</f>
        <v>38.39</v>
      </c>
      <c r="D216" s="36">
        <f>VLOOKUP(A216,'II-PO'!$A$18:$M$295,12,0)</f>
        <v>9.6700000000000017</v>
      </c>
      <c r="E216" s="36">
        <f>VLOOKUP(A216,'II-PO'!$A$18:$M$295,13,0)</f>
        <v>48.06</v>
      </c>
      <c r="F216" s="58">
        <f t="shared" si="9"/>
        <v>3.9914965675371865E-5</v>
      </c>
      <c r="G216" s="59">
        <f t="shared" si="10"/>
        <v>0.9992595383521099</v>
      </c>
      <c r="H216" s="117" t="str">
        <f t="shared" si="11"/>
        <v>C</v>
      </c>
      <c r="Q216" s="20"/>
    </row>
    <row r="217" spans="1:17" s="1" customFormat="1" x14ac:dyDescent="0.2">
      <c r="A217" s="96" t="s">
        <v>532</v>
      </c>
      <c r="B217" s="35" t="str">
        <f>VLOOKUP(A217,'II-PO'!$A$18:$M$295,5,0)</f>
        <v>LUVA SIMPLES DIAMETRO 40 MM - (ESGOTO)</v>
      </c>
      <c r="C217" s="36">
        <f>VLOOKUP(A217,'II-PO'!$A$18:$M$295,11,0)</f>
        <v>35.36</v>
      </c>
      <c r="D217" s="36">
        <f>VLOOKUP(A217,'II-PO'!$A$18:$M$295,12,0)</f>
        <v>8.8800000000000026</v>
      </c>
      <c r="E217" s="36">
        <f>VLOOKUP(A217,'II-PO'!$A$18:$M$295,13,0)</f>
        <v>44.24</v>
      </c>
      <c r="F217" s="58">
        <f t="shared" si="9"/>
        <v>3.6742365407375183E-5</v>
      </c>
      <c r="G217" s="59">
        <f t="shared" si="10"/>
        <v>0.9992962807175173</v>
      </c>
      <c r="H217" s="117" t="str">
        <f t="shared" si="11"/>
        <v>C</v>
      </c>
      <c r="Q217" s="20"/>
    </row>
    <row r="218" spans="1:17" s="1" customFormat="1" x14ac:dyDescent="0.2">
      <c r="A218" s="96" t="s">
        <v>538</v>
      </c>
      <c r="B218" s="35" t="str">
        <f>VLOOKUP(A218,'II-PO'!$A$18:$M$295,5,0)</f>
        <v>TE SANITARIO DIAMETRO 100 X 50 MM (ESGOTO)</v>
      </c>
      <c r="C218" s="36">
        <f>VLOOKUP(A218,'II-PO'!$A$18:$M$295,11,0)</f>
        <v>34.18</v>
      </c>
      <c r="D218" s="36">
        <f>VLOOKUP(A218,'II-PO'!$A$18:$M$295,12,0)</f>
        <v>8.61</v>
      </c>
      <c r="E218" s="36">
        <f>VLOOKUP(A218,'II-PO'!$A$18:$M$295,13,0)</f>
        <v>42.79</v>
      </c>
      <c r="F218" s="58">
        <f t="shared" si="9"/>
        <v>3.5538106143345026E-5</v>
      </c>
      <c r="G218" s="59">
        <f t="shared" si="10"/>
        <v>0.99933181882366062</v>
      </c>
      <c r="H218" s="117" t="str">
        <f t="shared" si="11"/>
        <v>C</v>
      </c>
      <c r="Q218" s="20"/>
    </row>
    <row r="219" spans="1:17" s="1" customFormat="1" ht="45" x14ac:dyDescent="0.2">
      <c r="A219" s="96" t="s">
        <v>639</v>
      </c>
      <c r="B219" s="35" t="str">
        <f>VLOOKUP(A219,'II-PO'!$A$18:$M$295,5,0)</f>
        <v>LUVA, PVC, SOLDÁVEL, DN 40 MM, INSTALADO EM RESERVAÇÃO PREDIAL DE ÁGUA - FORNECIMENTO E INSTALAÇÃO. AF_04/2024</v>
      </c>
      <c r="C219" s="36">
        <f>VLOOKUP(A219,'II-PO'!$A$18:$M$295,11,0)</f>
        <v>30.81</v>
      </c>
      <c r="D219" s="36">
        <f>VLOOKUP(A219,'II-PO'!$A$18:$M$295,12,0)</f>
        <v>7.7399999999999984</v>
      </c>
      <c r="E219" s="36">
        <f>VLOOKUP(A219,'II-PO'!$A$18:$M$295,13,0)</f>
        <v>38.549999999999997</v>
      </c>
      <c r="F219" s="58">
        <f t="shared" si="9"/>
        <v>3.2016685950594787E-5</v>
      </c>
      <c r="G219" s="59">
        <f t="shared" si="10"/>
        <v>0.99936383550961116</v>
      </c>
      <c r="H219" s="117" t="str">
        <f t="shared" si="11"/>
        <v>C</v>
      </c>
      <c r="Q219" s="20"/>
    </row>
    <row r="220" spans="1:17" s="1" customFormat="1" ht="60" x14ac:dyDescent="0.2">
      <c r="A220" s="96" t="s">
        <v>549</v>
      </c>
      <c r="B220" s="35" t="str">
        <f>VLOOKUP(A220,'II-PO'!$A$18:$M$295,5,0)</f>
        <v>ADAPTADOR CURTO COM BOLSA E ROSCA PARA REGISTRO, PVC, SOLDÁVEL, DN 25MM X 3/4, INSTALADO EM RAMAL OU SUB-RAMAL DE ÁGUA - FORNECIMENTO E INSTALAÇÃO. AF_06/2022</v>
      </c>
      <c r="C220" s="36">
        <f>VLOOKUP(A220,'II-PO'!$A$18:$M$295,11,0)</f>
        <v>28.04</v>
      </c>
      <c r="D220" s="36">
        <f>VLOOKUP(A220,'II-PO'!$A$18:$M$295,12,0)</f>
        <v>7.0399999999999991</v>
      </c>
      <c r="E220" s="36">
        <f>VLOOKUP(A220,'II-PO'!$A$18:$M$295,13,0)</f>
        <v>35.08</v>
      </c>
      <c r="F220" s="58">
        <f t="shared" si="9"/>
        <v>2.9134768953226071E-5</v>
      </c>
      <c r="G220" s="59">
        <f t="shared" si="10"/>
        <v>0.99939297027856444</v>
      </c>
      <c r="H220" s="117" t="str">
        <f t="shared" si="11"/>
        <v>C</v>
      </c>
      <c r="Q220" s="20"/>
    </row>
    <row r="221" spans="1:17" s="1" customFormat="1" ht="60" x14ac:dyDescent="0.2">
      <c r="A221" s="96" t="s">
        <v>624</v>
      </c>
      <c r="B221" s="35" t="str">
        <f>VLOOKUP(A221,'II-PO'!$A$18:$M$295,5,0)</f>
        <v>ADAPTADOR CURTO COM BOLSA E ROSCA PARA REGISTRO, PVC, SOLDÁVEL, DN 25MM X 3/4, INSTALADO EM RAMAL OU SUB-RAMAL DE ÁGUA - FORNECIMENTO E INSTALAÇÃO. AF_06/2022</v>
      </c>
      <c r="C221" s="36">
        <f>VLOOKUP(A221,'II-PO'!$A$18:$M$295,11,0)</f>
        <v>28.04</v>
      </c>
      <c r="D221" s="36">
        <f>VLOOKUP(A221,'II-PO'!$A$18:$M$295,12,0)</f>
        <v>7.0399999999999991</v>
      </c>
      <c r="E221" s="36">
        <f>VLOOKUP(A221,'II-PO'!$A$18:$M$295,13,0)</f>
        <v>35.08</v>
      </c>
      <c r="F221" s="58">
        <f t="shared" si="9"/>
        <v>2.9134768953226071E-5</v>
      </c>
      <c r="G221" s="59">
        <f t="shared" si="10"/>
        <v>0.99942210504751772</v>
      </c>
      <c r="H221" s="117" t="str">
        <f t="shared" si="11"/>
        <v>C</v>
      </c>
      <c r="Q221" s="20"/>
    </row>
    <row r="222" spans="1:17" s="1" customFormat="1" ht="45" x14ac:dyDescent="0.2">
      <c r="A222" s="96" t="s">
        <v>551</v>
      </c>
      <c r="B222" s="35" t="str">
        <f>VLOOKUP(A222,'II-PO'!$A$18:$M$295,5,0)</f>
        <v>TE, PVC, SOLDÁVEL, DN 25MM, INSTALADO EM RAMAL OU SUB-RAMAL DE ÁGUA - FORNECIMENTO E INSTALAÇÃO. AF_06/2022</v>
      </c>
      <c r="C222" s="36">
        <f>VLOOKUP(A222,'II-PO'!$A$18:$M$295,11,0)</f>
        <v>27.68</v>
      </c>
      <c r="D222" s="36">
        <f>VLOOKUP(A222,'II-PO'!$A$18:$M$295,12,0)</f>
        <v>6.9600000000000009</v>
      </c>
      <c r="E222" s="36">
        <f>VLOOKUP(A222,'II-PO'!$A$18:$M$295,13,0)</f>
        <v>34.64</v>
      </c>
      <c r="F222" s="58">
        <f t="shared" si="9"/>
        <v>2.8769338555865199E-5</v>
      </c>
      <c r="G222" s="59">
        <f t="shared" si="10"/>
        <v>0.99945087438607361</v>
      </c>
      <c r="H222" s="117" t="str">
        <f t="shared" si="11"/>
        <v>C</v>
      </c>
      <c r="Q222" s="20"/>
    </row>
    <row r="223" spans="1:17" s="1" customFormat="1" ht="30" x14ac:dyDescent="0.2">
      <c r="A223" s="96" t="s">
        <v>522</v>
      </c>
      <c r="B223" s="35" t="str">
        <f>VLOOKUP(A223,'II-PO'!$A$18:$M$295,5,0)</f>
        <v>SIFAO FLEXIVEL UNIVERSAL (SANFONADO) EM PVC PARA LAVATORIO</v>
      </c>
      <c r="C223" s="36">
        <f>VLOOKUP(A223,'II-PO'!$A$18:$M$295,11,0)</f>
        <v>27.06</v>
      </c>
      <c r="D223" s="36">
        <f>VLOOKUP(A223,'II-PO'!$A$18:$M$295,12,0)</f>
        <v>6.8099999999999987</v>
      </c>
      <c r="E223" s="36">
        <f>VLOOKUP(A223,'II-PO'!$A$18:$M$295,13,0)</f>
        <v>33.869999999999997</v>
      </c>
      <c r="F223" s="58">
        <f t="shared" si="9"/>
        <v>2.8129835360483665E-5</v>
      </c>
      <c r="G223" s="59">
        <f t="shared" si="10"/>
        <v>0.9994790042214341</v>
      </c>
      <c r="H223" s="117" t="str">
        <f t="shared" si="11"/>
        <v>C</v>
      </c>
      <c r="Q223" s="20"/>
    </row>
    <row r="224" spans="1:17" s="1" customFormat="1" ht="30" x14ac:dyDescent="0.2">
      <c r="A224" s="96" t="s">
        <v>580</v>
      </c>
      <c r="B224" s="35" t="str">
        <f>VLOOKUP(A224,'II-PO'!$A$18:$M$295,5,0)</f>
        <v>LÂMPADA COMPACTA DE LED 10 W, BASE E27 - FORNECIMENTO E INSTALAÇÃO. AF_09/2024</v>
      </c>
      <c r="C224" s="36">
        <f>VLOOKUP(A224,'II-PO'!$A$18:$M$295,11,0)</f>
        <v>26.46</v>
      </c>
      <c r="D224" s="36">
        <f>VLOOKUP(A224,'II-PO'!$A$18:$M$295,12,0)</f>
        <v>6.6599999999999966</v>
      </c>
      <c r="E224" s="36">
        <f>VLOOKUP(A224,'II-PO'!$A$18:$M$295,13,0)</f>
        <v>33.119999999999997</v>
      </c>
      <c r="F224" s="58">
        <f t="shared" si="9"/>
        <v>2.750694263770945E-5</v>
      </c>
      <c r="G224" s="59">
        <f t="shared" si="10"/>
        <v>0.99950651116407185</v>
      </c>
      <c r="H224" s="117" t="str">
        <f t="shared" si="11"/>
        <v>C</v>
      </c>
      <c r="Q224" s="20"/>
    </row>
    <row r="225" spans="1:17" s="1" customFormat="1" ht="30" x14ac:dyDescent="0.2">
      <c r="A225" s="96" t="s">
        <v>622</v>
      </c>
      <c r="B225" s="35" t="str">
        <f>VLOOKUP(A225,'II-PO'!$A$18:$M$295,5,0)</f>
        <v>JOELHO 90 GRAUS SOLDAVEL COM BUCHA DE LATAO 25 X 3/4"</v>
      </c>
      <c r="C225" s="36">
        <f>VLOOKUP(A225,'II-PO'!$A$18:$M$295,11,0)</f>
        <v>25.24</v>
      </c>
      <c r="D225" s="36">
        <f>VLOOKUP(A225,'II-PO'!$A$18:$M$295,12,0)</f>
        <v>6.360000000000003</v>
      </c>
      <c r="E225" s="36">
        <f>VLOOKUP(A225,'II-PO'!$A$18:$M$295,13,0)</f>
        <v>31.6</v>
      </c>
      <c r="F225" s="58">
        <f t="shared" si="9"/>
        <v>2.6244546719553704E-5</v>
      </c>
      <c r="G225" s="59">
        <f t="shared" si="10"/>
        <v>0.99953275571079137</v>
      </c>
      <c r="H225" s="117" t="str">
        <f t="shared" si="11"/>
        <v>C</v>
      </c>
      <c r="Q225" s="20"/>
    </row>
    <row r="226" spans="1:17" s="1" customFormat="1" ht="30" x14ac:dyDescent="0.2">
      <c r="A226" s="96" t="s">
        <v>615</v>
      </c>
      <c r="B226" s="35" t="str">
        <f>VLOOKUP(A226,'II-PO'!$A$18:$M$295,5,0)</f>
        <v>JOELHO DE REDUCAO 90 GRAUS SOLDÁVEL COM BUCHA LATAO 25X1/2"</v>
      </c>
      <c r="C226" s="36">
        <f>VLOOKUP(A226,'II-PO'!$A$18:$M$295,11,0)</f>
        <v>23.98</v>
      </c>
      <c r="D226" s="36">
        <f>VLOOKUP(A226,'II-PO'!$A$18:$M$295,12,0)</f>
        <v>6.0399999999999991</v>
      </c>
      <c r="E226" s="36">
        <f>VLOOKUP(A226,'II-PO'!$A$18:$M$295,13,0)</f>
        <v>30.02</v>
      </c>
      <c r="F226" s="58">
        <f t="shared" si="9"/>
        <v>2.4932319383576018E-5</v>
      </c>
      <c r="G226" s="59">
        <f t="shared" si="10"/>
        <v>0.99955768803017497</v>
      </c>
      <c r="H226" s="117" t="str">
        <f t="shared" si="11"/>
        <v>C</v>
      </c>
      <c r="Q226" s="20"/>
    </row>
    <row r="227" spans="1:17" s="1" customFormat="1" ht="30" x14ac:dyDescent="0.2">
      <c r="A227" s="96" t="s">
        <v>548</v>
      </c>
      <c r="B227" s="35" t="str">
        <f>VLOOKUP(A227,'II-PO'!$A$18:$M$295,5,0)</f>
        <v>ENGATE FLEXÍVEL EM PLÁSTICO BRANCO, 1/2" X 30CM - FORNECIMENTO E INSTALAÇÃO. AF_01/2020</v>
      </c>
      <c r="C227" s="36">
        <f>VLOOKUP(A227,'II-PO'!$A$18:$M$295,11,0)</f>
        <v>21.52</v>
      </c>
      <c r="D227" s="36">
        <f>VLOOKUP(A227,'II-PO'!$A$18:$M$295,12,0)</f>
        <v>5.4200000000000017</v>
      </c>
      <c r="E227" s="36">
        <f>VLOOKUP(A227,'II-PO'!$A$18:$M$295,13,0)</f>
        <v>26.94</v>
      </c>
      <c r="F227" s="58">
        <f t="shared" si="9"/>
        <v>2.2374306602049897E-5</v>
      </c>
      <c r="G227" s="59">
        <f t="shared" si="10"/>
        <v>0.99958006233677699</v>
      </c>
      <c r="H227" s="117" t="str">
        <f t="shared" si="11"/>
        <v>C</v>
      </c>
      <c r="Q227" s="20"/>
    </row>
    <row r="228" spans="1:17" s="1" customFormat="1" ht="45" x14ac:dyDescent="0.2">
      <c r="A228" s="96" t="s">
        <v>653</v>
      </c>
      <c r="B228" s="35" t="str">
        <f>VLOOKUP(A228,'II-PO'!$A$18:$M$295,5,0)</f>
        <v>TUBO, PVC, SOLDÁVEL, DE 32MM, INSTALADO EM RAMAL DE DISTRIBUIÇÃO DE ÁGUA - FORNECIMENTO E INSTALAÇÃO. AF_06/2022</v>
      </c>
      <c r="C228" s="36">
        <f>VLOOKUP(A228,'II-PO'!$A$18:$M$295,11,0)</f>
        <v>21.1</v>
      </c>
      <c r="D228" s="36">
        <f>VLOOKUP(A228,'II-PO'!$A$18:$M$295,12,0)</f>
        <v>5.3099999999999987</v>
      </c>
      <c r="E228" s="36">
        <f>VLOOKUP(A228,'II-PO'!$A$18:$M$295,13,0)</f>
        <v>26.41</v>
      </c>
      <c r="F228" s="58">
        <f t="shared" si="9"/>
        <v>2.1934129077956118E-5</v>
      </c>
      <c r="G228" s="59">
        <f t="shared" si="10"/>
        <v>0.9996019964658549</v>
      </c>
      <c r="H228" s="117" t="str">
        <f t="shared" si="11"/>
        <v>C</v>
      </c>
      <c r="Q228" s="20"/>
    </row>
    <row r="229" spans="1:17" s="1" customFormat="1" ht="45" x14ac:dyDescent="0.2">
      <c r="A229" s="96" t="s">
        <v>612</v>
      </c>
      <c r="B229" s="35" t="str">
        <f>VLOOKUP(A229,'II-PO'!$A$18:$M$295,5,0)</f>
        <v>LUVA DE CORRER, PVC, SOLDÁVEL, DN 25MM, INSTALADO EM RAMAL OU SUB-RAMAL DE ÁGUA - FORNECIMENTO E INSTALAÇÃO. AF_12/2014</v>
      </c>
      <c r="C229" s="36">
        <f>VLOOKUP(A229,'II-PO'!$A$18:$M$295,11,0)</f>
        <v>20.78</v>
      </c>
      <c r="D229" s="36">
        <f>VLOOKUP(A229,'II-PO'!$A$18:$M$295,12,0)</f>
        <v>5.23</v>
      </c>
      <c r="E229" s="36">
        <f>VLOOKUP(A229,'II-PO'!$A$18:$M$295,13,0)</f>
        <v>26.01</v>
      </c>
      <c r="F229" s="58">
        <f t="shared" si="9"/>
        <v>2.1601919625809869E-5</v>
      </c>
      <c r="G229" s="59">
        <f t="shared" si="10"/>
        <v>0.99962359838548076</v>
      </c>
      <c r="H229" s="117" t="str">
        <f t="shared" si="11"/>
        <v>C</v>
      </c>
      <c r="Q229" s="20"/>
    </row>
    <row r="230" spans="1:17" s="1" customFormat="1" ht="45" x14ac:dyDescent="0.2">
      <c r="A230" s="96" t="s">
        <v>650</v>
      </c>
      <c r="B230" s="35" t="str">
        <f>VLOOKUP(A230,'II-PO'!$A$18:$M$295,5,0)</f>
        <v>LUVA DE CORRER, PVC, SOLDÁVEL, DN 25MM, INSTALADO EM RAMAL DE DISTRIBUIÇÃO DE ÁGUA - FORNECIMENTO E INSTALAÇÃO. AF_06/2022</v>
      </c>
      <c r="C230" s="36">
        <f>VLOOKUP(A230,'II-PO'!$A$18:$M$295,11,0)</f>
        <v>20.2</v>
      </c>
      <c r="D230" s="36">
        <f>VLOOKUP(A230,'II-PO'!$A$18:$M$295,12,0)</f>
        <v>5.09</v>
      </c>
      <c r="E230" s="36">
        <f>VLOOKUP(A230,'II-PO'!$A$18:$M$295,13,0)</f>
        <v>25.29</v>
      </c>
      <c r="F230" s="58">
        <f t="shared" si="9"/>
        <v>2.1003942611946619E-5</v>
      </c>
      <c r="G230" s="59">
        <f t="shared" si="10"/>
        <v>0.99964460232809271</v>
      </c>
      <c r="H230" s="117" t="str">
        <f t="shared" si="11"/>
        <v>C</v>
      </c>
      <c r="Q230" s="20"/>
    </row>
    <row r="231" spans="1:17" s="1" customFormat="1" ht="45" x14ac:dyDescent="0.2">
      <c r="A231" s="96" t="s">
        <v>651</v>
      </c>
      <c r="B231" s="35" t="str">
        <f>VLOOKUP(A231,'II-PO'!$A$18:$M$295,5,0)</f>
        <v>LUVA DE CORRER, PVC, SOLDÁVEL, DN 25MM, INSTALADO EM RAMAL DE DISTRIBUIÇÃO DE ÁGUA - FORNECIMENTO E INSTALAÇÃO. AF_06/2022</v>
      </c>
      <c r="C231" s="36">
        <f>VLOOKUP(A231,'II-PO'!$A$18:$M$295,11,0)</f>
        <v>20.2</v>
      </c>
      <c r="D231" s="36">
        <f>VLOOKUP(A231,'II-PO'!$A$18:$M$295,12,0)</f>
        <v>5.09</v>
      </c>
      <c r="E231" s="36">
        <f>VLOOKUP(A231,'II-PO'!$A$18:$M$295,13,0)</f>
        <v>25.29</v>
      </c>
      <c r="F231" s="58">
        <f t="shared" si="9"/>
        <v>2.1003942611946619E-5</v>
      </c>
      <c r="G231" s="59">
        <f t="shared" si="10"/>
        <v>0.99966560627070467</v>
      </c>
      <c r="H231" s="117" t="str">
        <f t="shared" si="11"/>
        <v>C</v>
      </c>
      <c r="Q231" s="20"/>
    </row>
    <row r="232" spans="1:17" s="1" customFormat="1" ht="45" x14ac:dyDescent="0.2">
      <c r="A232" s="96" t="s">
        <v>666</v>
      </c>
      <c r="B232" s="35" t="str">
        <f>VLOOKUP(A232,'II-PO'!$A$18:$M$295,5,0)</f>
        <v>LUVA DE CORRER, PVC, SOLDÁVEL, DN 25MM, INSTALADO EM RAMAL DE DISTRIBUIÇÃO DE ÁGUA - FORNECIMENTO E INSTALAÇÃO. AF_06/2022</v>
      </c>
      <c r="C232" s="36">
        <f>VLOOKUP(A232,'II-PO'!$A$18:$M$295,11,0)</f>
        <v>20.2</v>
      </c>
      <c r="D232" s="36">
        <f>VLOOKUP(A232,'II-PO'!$A$18:$M$295,12,0)</f>
        <v>5.09</v>
      </c>
      <c r="E232" s="36">
        <f>VLOOKUP(A232,'II-PO'!$A$18:$M$295,13,0)</f>
        <v>25.29</v>
      </c>
      <c r="F232" s="58">
        <f t="shared" si="9"/>
        <v>2.1003942611946619E-5</v>
      </c>
      <c r="G232" s="59">
        <f t="shared" si="10"/>
        <v>0.99968661021331662</v>
      </c>
      <c r="H232" s="117" t="str">
        <f t="shared" si="11"/>
        <v>C</v>
      </c>
      <c r="Q232" s="20"/>
    </row>
    <row r="233" spans="1:17" s="1" customFormat="1" ht="45" x14ac:dyDescent="0.2">
      <c r="A233" s="96" t="s">
        <v>611</v>
      </c>
      <c r="B233" s="35" t="str">
        <f>VLOOKUP(A233,'II-PO'!$A$18:$M$295,5,0)</f>
        <v>JOELHO 90 GRAUS, PVC, SOLDÁVEL, DN 25MM, INSTALADO EM RAMAL OU SUB-RAMAL DE ÁGUA - FORNECIMENTO E INSTALAÇÃO. AF_06/2022</v>
      </c>
      <c r="C233" s="36">
        <f>VLOOKUP(A233,'II-PO'!$A$18:$M$295,11,0)</f>
        <v>20.079999999999998</v>
      </c>
      <c r="D233" s="36">
        <f>VLOOKUP(A233,'II-PO'!$A$18:$M$295,12,0)</f>
        <v>5.0600000000000023</v>
      </c>
      <c r="E233" s="36">
        <f>VLOOKUP(A233,'II-PO'!$A$18:$M$295,13,0)</f>
        <v>25.14</v>
      </c>
      <c r="F233" s="58">
        <f t="shared" si="9"/>
        <v>2.0879364067391774E-5</v>
      </c>
      <c r="G233" s="59">
        <f t="shared" si="10"/>
        <v>0.99970748957738398</v>
      </c>
      <c r="H233" s="117" t="str">
        <f t="shared" si="11"/>
        <v>C</v>
      </c>
      <c r="Q233" s="20"/>
    </row>
    <row r="234" spans="1:17" s="1" customFormat="1" ht="45" x14ac:dyDescent="0.2">
      <c r="A234" s="96" t="s">
        <v>625</v>
      </c>
      <c r="B234" s="35" t="str">
        <f>VLOOKUP(A234,'II-PO'!$A$18:$M$295,5,0)</f>
        <v>JOELHO 90 GRAUS, PVC, SOLDÁVEL, DN 25MM, INSTALADO EM RAMAL OU SUB-RAMAL DE ÁGUA - FORNECIMENTO E INSTALAÇÃO. AF_06/2022</v>
      </c>
      <c r="C234" s="36">
        <f>VLOOKUP(A234,'II-PO'!$A$18:$M$295,11,0)</f>
        <v>20.079999999999998</v>
      </c>
      <c r="D234" s="36">
        <f>VLOOKUP(A234,'II-PO'!$A$18:$M$295,12,0)</f>
        <v>5.0600000000000023</v>
      </c>
      <c r="E234" s="36">
        <f>VLOOKUP(A234,'II-PO'!$A$18:$M$295,13,0)</f>
        <v>25.14</v>
      </c>
      <c r="F234" s="58">
        <f t="shared" si="9"/>
        <v>2.0879364067391774E-5</v>
      </c>
      <c r="G234" s="59">
        <f t="shared" si="10"/>
        <v>0.99972836894145134</v>
      </c>
      <c r="H234" s="117" t="str">
        <f t="shared" si="11"/>
        <v>C</v>
      </c>
      <c r="Q234" s="20"/>
    </row>
    <row r="235" spans="1:17" s="1" customFormat="1" ht="45" x14ac:dyDescent="0.2">
      <c r="A235" s="96" t="s">
        <v>630</v>
      </c>
      <c r="B235" s="35" t="str">
        <f>VLOOKUP(A235,'II-PO'!$A$18:$M$295,5,0)</f>
        <v>LUVA COM ROSCA, PVC, SOLDÁVEL, DN 40MM X 1.1/4", INSTALADO EM RAMAL DE DISTRIBUIÇÃO DE ÁGUA - FORNECIMENTO E INSTALAÇÃO. AF_06/2022</v>
      </c>
      <c r="C235" s="36">
        <f>VLOOKUP(A235,'II-PO'!$A$18:$M$295,11,0)</f>
        <v>19.899999999999999</v>
      </c>
      <c r="D235" s="36">
        <f>VLOOKUP(A235,'II-PO'!$A$18:$M$295,12,0)</f>
        <v>5.0100000000000016</v>
      </c>
      <c r="E235" s="36">
        <f>VLOOKUP(A235,'II-PO'!$A$18:$M$295,13,0)</f>
        <v>24.91</v>
      </c>
      <c r="F235" s="58">
        <f t="shared" si="9"/>
        <v>2.0688343632407681E-5</v>
      </c>
      <c r="G235" s="59">
        <f t="shared" si="10"/>
        <v>0.99974905728508379</v>
      </c>
      <c r="H235" s="117" t="str">
        <f t="shared" si="11"/>
        <v>C</v>
      </c>
      <c r="Q235" s="20"/>
    </row>
    <row r="236" spans="1:17" s="1" customFormat="1" ht="45" x14ac:dyDescent="0.2">
      <c r="A236" s="96" t="s">
        <v>669</v>
      </c>
      <c r="B236" s="35" t="str">
        <f>VLOOKUP(A236,'II-PO'!$A$18:$M$295,5,0)</f>
        <v>TE, PVC, SOLDÁVEL, DN 32MM, INSTALADO EM RAMAL DE DISTRIBUIÇÃO DE ÁGUA - FORNECIMENTO E INSTALAÇÃO. AF_06/2022</v>
      </c>
      <c r="C236" s="36">
        <f>VLOOKUP(A236,'II-PO'!$A$18:$M$295,11,0)</f>
        <v>18.079999999999998</v>
      </c>
      <c r="D236" s="36">
        <f>VLOOKUP(A236,'II-PO'!$A$18:$M$295,12,0)</f>
        <v>4.5500000000000007</v>
      </c>
      <c r="E236" s="36">
        <f>VLOOKUP(A236,'II-PO'!$A$18:$M$295,13,0)</f>
        <v>22.63</v>
      </c>
      <c r="F236" s="58">
        <f t="shared" si="9"/>
        <v>1.8794749755174059E-5</v>
      </c>
      <c r="G236" s="59">
        <f t="shared" si="10"/>
        <v>0.99976785203483898</v>
      </c>
      <c r="H236" s="117" t="str">
        <f t="shared" si="11"/>
        <v>C</v>
      </c>
      <c r="Q236" s="20"/>
    </row>
    <row r="237" spans="1:17" s="1" customFormat="1" ht="45" x14ac:dyDescent="0.2">
      <c r="A237" s="96" t="s">
        <v>638</v>
      </c>
      <c r="B237" s="35" t="str">
        <f>VLOOKUP(A237,'II-PO'!$A$18:$M$295,5,0)</f>
        <v>LUVA DE CORRER, PVC, SOLDÁVEL, DN 25MM, INSTALADO EM PRUMADA DE ÁGUA - FORNECIMENTO E INSTALAÇÃO. AF_06/2022</v>
      </c>
      <c r="C237" s="36">
        <f>VLOOKUP(A237,'II-PO'!$A$18:$M$295,11,0)</f>
        <v>17.829999999999998</v>
      </c>
      <c r="D237" s="36">
        <f>VLOOKUP(A237,'II-PO'!$A$18:$M$295,12,0)</f>
        <v>4.490000000000002</v>
      </c>
      <c r="E237" s="36">
        <f>VLOOKUP(A237,'II-PO'!$A$18:$M$295,13,0)</f>
        <v>22.32</v>
      </c>
      <c r="F237" s="58">
        <f t="shared" si="9"/>
        <v>1.8537287429760716E-5</v>
      </c>
      <c r="G237" s="59">
        <f t="shared" si="10"/>
        <v>0.99978638932226871</v>
      </c>
      <c r="H237" s="117" t="str">
        <f t="shared" si="11"/>
        <v>C</v>
      </c>
      <c r="Q237" s="20"/>
    </row>
    <row r="238" spans="1:17" s="1" customFormat="1" ht="45" x14ac:dyDescent="0.2">
      <c r="A238" s="96" t="s">
        <v>664</v>
      </c>
      <c r="B238" s="35" t="str">
        <f>VLOOKUP(A238,'II-PO'!$A$18:$M$295,5,0)</f>
        <v>CURVA 90 GRAUS, PVC, SOLDÁVEL, DN 32MM, INSTALADO EM RAMAL DE DISTRIBUIÇÃO DE ÁGUA - FORNECIMENTO E INSTALAÇÃO. AF_06/2022</v>
      </c>
      <c r="C238" s="36">
        <f>VLOOKUP(A238,'II-PO'!$A$18:$M$295,11,0)</f>
        <v>17.600000000000001</v>
      </c>
      <c r="D238" s="36">
        <f>VLOOKUP(A238,'II-PO'!$A$18:$M$295,12,0)</f>
        <v>4.43</v>
      </c>
      <c r="E238" s="36">
        <f>VLOOKUP(A238,'II-PO'!$A$18:$M$295,13,0)</f>
        <v>22.03</v>
      </c>
      <c r="F238" s="58">
        <f t="shared" si="9"/>
        <v>1.8296435576954688E-5</v>
      </c>
      <c r="G238" s="59">
        <f t="shared" si="10"/>
        <v>0.99980468575784565</v>
      </c>
      <c r="H238" s="117" t="str">
        <f t="shared" si="11"/>
        <v>C</v>
      </c>
      <c r="Q238" s="20"/>
    </row>
    <row r="239" spans="1:17" s="1" customFormat="1" x14ac:dyDescent="0.2">
      <c r="A239" s="96" t="s">
        <v>527</v>
      </c>
      <c r="B239" s="35" t="str">
        <f>VLOOKUP(A239,'II-PO'!$A$18:$M$295,5,0)</f>
        <v>JOELHO 45 GRAUS DIAMETRO 50 MM (ESGOTO)</v>
      </c>
      <c r="C239" s="36">
        <f>VLOOKUP(A239,'II-PO'!$A$18:$M$295,11,0)</f>
        <v>17.59</v>
      </c>
      <c r="D239" s="36">
        <f>VLOOKUP(A239,'II-PO'!$A$18:$M$295,12,0)</f>
        <v>4.43</v>
      </c>
      <c r="E239" s="36">
        <f>VLOOKUP(A239,'II-PO'!$A$18:$M$295,13,0)</f>
        <v>22.02</v>
      </c>
      <c r="F239" s="58">
        <f t="shared" si="9"/>
        <v>1.8288130340651031E-5</v>
      </c>
      <c r="G239" s="59">
        <f t="shared" si="10"/>
        <v>0.99982297388818631</v>
      </c>
      <c r="H239" s="117" t="str">
        <f t="shared" si="11"/>
        <v>C</v>
      </c>
      <c r="Q239" s="20"/>
    </row>
    <row r="240" spans="1:17" s="1" customFormat="1" ht="45" x14ac:dyDescent="0.2">
      <c r="A240" s="96" t="s">
        <v>642</v>
      </c>
      <c r="B240" s="35" t="str">
        <f>VLOOKUP(A240,'II-PO'!$A$18:$M$295,5,0)</f>
        <v>TUBO, PVC, SOLDÁVEL, DE 32MM, INSTALADO EM RESERVAÇÃO PREDIAL DE ÁGUA - FORNECIMENTO E INSTALAÇÃO. AF_04/2024</v>
      </c>
      <c r="C240" s="36">
        <f>VLOOKUP(A240,'II-PO'!$A$18:$M$295,11,0)</f>
        <v>14.14</v>
      </c>
      <c r="D240" s="36">
        <f>VLOOKUP(A240,'II-PO'!$A$18:$M$295,12,0)</f>
        <v>3.5599999999999987</v>
      </c>
      <c r="E240" s="36">
        <f>VLOOKUP(A240,'II-PO'!$A$18:$M$295,13,0)</f>
        <v>17.7</v>
      </c>
      <c r="F240" s="58">
        <f t="shared" si="9"/>
        <v>1.4700268257471536E-5</v>
      </c>
      <c r="G240" s="59">
        <f t="shared" si="10"/>
        <v>0.99983767415644376</v>
      </c>
      <c r="H240" s="117" t="str">
        <f t="shared" si="11"/>
        <v>C</v>
      </c>
      <c r="Q240" s="20"/>
    </row>
    <row r="241" spans="1:17" s="1" customFormat="1" ht="30" x14ac:dyDescent="0.2">
      <c r="A241" s="96" t="s">
        <v>632</v>
      </c>
      <c r="B241" s="35" t="str">
        <f>VLOOKUP(A241,'II-PO'!$A$18:$M$295,5,0)</f>
        <v>ADAPTADOR SOLDÁVEL CURTO C/ BOLSA E ROSCA PARA REGISTRO 32X1"</v>
      </c>
      <c r="C241" s="36">
        <f>VLOOKUP(A241,'II-PO'!$A$18:$M$295,11,0)</f>
        <v>14.06</v>
      </c>
      <c r="D241" s="36">
        <f>VLOOKUP(A241,'II-PO'!$A$18:$M$295,12,0)</f>
        <v>3.5400000000000009</v>
      </c>
      <c r="E241" s="36">
        <f>VLOOKUP(A241,'II-PO'!$A$18:$M$295,13,0)</f>
        <v>17.600000000000001</v>
      </c>
      <c r="F241" s="58">
        <f t="shared" si="9"/>
        <v>1.4617215894434975E-5</v>
      </c>
      <c r="G241" s="59">
        <f t="shared" si="10"/>
        <v>0.99985229137233822</v>
      </c>
      <c r="H241" s="117" t="str">
        <f t="shared" si="11"/>
        <v>C</v>
      </c>
      <c r="Q241" s="20"/>
    </row>
    <row r="242" spans="1:17" s="1" customFormat="1" ht="30" x14ac:dyDescent="0.2">
      <c r="A242" s="96" t="s">
        <v>658</v>
      </c>
      <c r="B242" s="35" t="str">
        <f>VLOOKUP(A242,'II-PO'!$A$18:$M$295,5,0)</f>
        <v>ADAPTADOR SOLDÁVEL CURTO C/ BOLSA E ROSCA PARA REGISTRO 32X1"</v>
      </c>
      <c r="C242" s="36">
        <f>VLOOKUP(A242,'II-PO'!$A$18:$M$295,11,0)</f>
        <v>14.06</v>
      </c>
      <c r="D242" s="36">
        <f>VLOOKUP(A242,'II-PO'!$A$18:$M$295,12,0)</f>
        <v>3.5400000000000009</v>
      </c>
      <c r="E242" s="36">
        <f>VLOOKUP(A242,'II-PO'!$A$18:$M$295,13,0)</f>
        <v>17.600000000000001</v>
      </c>
      <c r="F242" s="58">
        <f t="shared" si="9"/>
        <v>1.4617215894434975E-5</v>
      </c>
      <c r="G242" s="59">
        <f t="shared" si="10"/>
        <v>0.99986690858823268</v>
      </c>
      <c r="H242" s="117" t="str">
        <f t="shared" si="11"/>
        <v>C</v>
      </c>
      <c r="Q242" s="20"/>
    </row>
    <row r="243" spans="1:17" s="1" customFormat="1" ht="60" x14ac:dyDescent="0.2">
      <c r="A243" s="96" t="s">
        <v>610</v>
      </c>
      <c r="B243" s="35" t="str">
        <f>VLOOKUP(A243,'II-PO'!$A$18:$M$295,5,0)</f>
        <v>ADAPTADOR CURTO COM BOLSA E ROSCA PARA REGISTRO, PVC, SOLDÁVEL, DN 25MM X 3/4, INSTALADO EM RAMAL OU SUB-RAMAL DE ÁGUA - FORNECIMENTO E INSTALAÇÃO. AF_06/2022</v>
      </c>
      <c r="C243" s="36">
        <f>VLOOKUP(A243,'II-PO'!$A$18:$M$295,11,0)</f>
        <v>14.02</v>
      </c>
      <c r="D243" s="36">
        <f>VLOOKUP(A243,'II-PO'!$A$18:$M$295,12,0)</f>
        <v>3.5199999999999996</v>
      </c>
      <c r="E243" s="36">
        <f>VLOOKUP(A243,'II-PO'!$A$18:$M$295,13,0)</f>
        <v>17.54</v>
      </c>
      <c r="F243" s="58">
        <f t="shared" si="9"/>
        <v>1.4567384476613036E-5</v>
      </c>
      <c r="G243" s="59">
        <f t="shared" si="10"/>
        <v>0.99988147597270927</v>
      </c>
      <c r="H243" s="117" t="str">
        <f t="shared" si="11"/>
        <v>C</v>
      </c>
      <c r="Q243" s="20"/>
    </row>
    <row r="244" spans="1:17" s="1" customFormat="1" ht="45" x14ac:dyDescent="0.2">
      <c r="A244" s="96" t="s">
        <v>614</v>
      </c>
      <c r="B244" s="35" t="str">
        <f>VLOOKUP(A244,'II-PO'!$A$18:$M$295,5,0)</f>
        <v>TE, PVC, SOLDÁVEL, DN 25MM, INSTALADO EM RAMAL OU SUB-RAMAL DE ÁGUA - FORNECIMENTO E INSTALAÇÃO. AF_06/2022</v>
      </c>
      <c r="C244" s="36">
        <f>VLOOKUP(A244,'II-PO'!$A$18:$M$295,11,0)</f>
        <v>13.84</v>
      </c>
      <c r="D244" s="36">
        <f>VLOOKUP(A244,'II-PO'!$A$18:$M$295,12,0)</f>
        <v>3.4800000000000004</v>
      </c>
      <c r="E244" s="36">
        <f>VLOOKUP(A244,'II-PO'!$A$18:$M$295,13,0)</f>
        <v>17.32</v>
      </c>
      <c r="F244" s="58">
        <f t="shared" si="9"/>
        <v>1.4384669277932599E-5</v>
      </c>
      <c r="G244" s="59">
        <f t="shared" si="10"/>
        <v>0.99989586064198721</v>
      </c>
      <c r="H244" s="117" t="str">
        <f t="shared" si="11"/>
        <v>C</v>
      </c>
      <c r="Q244" s="20"/>
    </row>
    <row r="245" spans="1:17" s="1" customFormat="1" ht="45" x14ac:dyDescent="0.2">
      <c r="A245" s="96" t="s">
        <v>540</v>
      </c>
      <c r="B245" s="35" t="str">
        <f>VLOOKUP(A245,'II-PO'!$A$18:$M$295,5,0)</f>
        <v>TUBO PVC, SERIE NORMAL, ESGOTO PREDIAL, DN 50 MM, FORNECIDO E INSTALADO EM PRUMADA DE ESGOTO SANITÁRIO OU VENTILAÇÃO. AF_08/2022</v>
      </c>
      <c r="C245" s="36">
        <f>VLOOKUP(A245,'II-PO'!$A$18:$M$295,11,0)</f>
        <v>13.76</v>
      </c>
      <c r="D245" s="36">
        <f>VLOOKUP(A245,'II-PO'!$A$18:$M$295,12,0)</f>
        <v>3.4599999999999991</v>
      </c>
      <c r="E245" s="36">
        <f>VLOOKUP(A245,'II-PO'!$A$18:$M$295,13,0)</f>
        <v>17.22</v>
      </c>
      <c r="F245" s="58">
        <f t="shared" si="9"/>
        <v>1.4301616914896035E-5</v>
      </c>
      <c r="G245" s="59">
        <f t="shared" si="10"/>
        <v>0.99991016225890206</v>
      </c>
      <c r="H245" s="117" t="str">
        <f t="shared" si="11"/>
        <v>C</v>
      </c>
      <c r="Q245" s="20"/>
    </row>
    <row r="246" spans="1:17" s="1" customFormat="1" ht="45" x14ac:dyDescent="0.2">
      <c r="A246" s="96" t="s">
        <v>636</v>
      </c>
      <c r="B246" s="35" t="str">
        <f>VLOOKUP(A246,'II-PO'!$A$18:$M$295,5,0)</f>
        <v>CURVA 90 GRAUS, PVC, SOLDÁVEL, DN 32 MM, INSTALADO EM RESERVAÇÃO PREDIAL DE ÁGUA - FORNECIMENTO E INSTALAÇÃO. AF_04/2024</v>
      </c>
      <c r="C246" s="36">
        <f>VLOOKUP(A246,'II-PO'!$A$18:$M$295,11,0)</f>
        <v>12.87</v>
      </c>
      <c r="D246" s="36">
        <f>VLOOKUP(A246,'II-PO'!$A$18:$M$295,12,0)</f>
        <v>3.24</v>
      </c>
      <c r="E246" s="36">
        <f>VLOOKUP(A246,'II-PO'!$A$18:$M$295,13,0)</f>
        <v>16.11</v>
      </c>
      <c r="F246" s="58">
        <f t="shared" si="9"/>
        <v>1.3379735685190195E-5</v>
      </c>
      <c r="G246" s="59">
        <f t="shared" si="10"/>
        <v>0.99992354199458722</v>
      </c>
      <c r="H246" s="117" t="str">
        <f t="shared" si="11"/>
        <v>C</v>
      </c>
      <c r="Q246" s="20"/>
    </row>
    <row r="247" spans="1:17" s="1" customFormat="1" ht="45" x14ac:dyDescent="0.2">
      <c r="A247" s="96" t="s">
        <v>542</v>
      </c>
      <c r="B247" s="35" t="str">
        <f>VLOOKUP(A247,'II-PO'!$A$18:$M$295,5,0)</f>
        <v>CURVA 90 GRAUS, PVC, SOLDÁVEL, DN 25MM, INSTALADO EM RAMAL OU SUB-RAMAL DE ÁGUA - FORNECIMENTO E INSTALAÇÃO. AF_06/2022</v>
      </c>
      <c r="C247" s="36">
        <f>VLOOKUP(A247,'II-PO'!$A$18:$M$295,11,0)</f>
        <v>12.66</v>
      </c>
      <c r="D247" s="36">
        <f>VLOOKUP(A247,'II-PO'!$A$18:$M$295,12,0)</f>
        <v>3.1899999999999995</v>
      </c>
      <c r="E247" s="36">
        <f>VLOOKUP(A247,'II-PO'!$A$18:$M$295,13,0)</f>
        <v>15.85</v>
      </c>
      <c r="F247" s="58">
        <f t="shared" si="9"/>
        <v>1.3163799541295133E-5</v>
      </c>
      <c r="G247" s="59">
        <f t="shared" si="10"/>
        <v>0.99993670579412852</v>
      </c>
      <c r="H247" s="117" t="str">
        <f t="shared" si="11"/>
        <v>C</v>
      </c>
      <c r="Q247" s="20"/>
    </row>
    <row r="248" spans="1:17" s="1" customFormat="1" ht="30" x14ac:dyDescent="0.2">
      <c r="A248" s="96" t="s">
        <v>628</v>
      </c>
      <c r="B248" s="35" t="str">
        <f>VLOOKUP(A248,'II-PO'!$A$18:$M$295,5,0)</f>
        <v>JOELHO 90 GRAUS SOLDAVEL COM BUCHA DE LATAO 25 X 3/4"</v>
      </c>
      <c r="C248" s="36">
        <f>VLOOKUP(A248,'II-PO'!$A$18:$M$295,11,0)</f>
        <v>12.62</v>
      </c>
      <c r="D248" s="36">
        <f>VLOOKUP(A248,'II-PO'!$A$18:$M$295,12,0)</f>
        <v>3.1800000000000015</v>
      </c>
      <c r="E248" s="36">
        <f>VLOOKUP(A248,'II-PO'!$A$18:$M$295,13,0)</f>
        <v>15.8</v>
      </c>
      <c r="F248" s="58">
        <f t="shared" si="9"/>
        <v>1.3122273359776852E-5</v>
      </c>
      <c r="G248" s="59">
        <f t="shared" si="10"/>
        <v>0.99994982806748833</v>
      </c>
      <c r="H248" s="117" t="str">
        <f t="shared" si="11"/>
        <v>C</v>
      </c>
      <c r="Q248" s="20"/>
    </row>
    <row r="249" spans="1:17" s="1" customFormat="1" ht="45" x14ac:dyDescent="0.2">
      <c r="A249" s="96" t="s">
        <v>644</v>
      </c>
      <c r="B249" s="35" t="str">
        <f>VLOOKUP(A249,'II-PO'!$A$18:$M$295,5,0)</f>
        <v>TÊ, PVC, SOLDÁVEL, DN 32 MM INSTALADO EM RESERVAÇÃO PREDIAL DE ÁGUA - FORNECIMENTO E INSTALAÇÃO. AF_04/2024</v>
      </c>
      <c r="C249" s="36">
        <f>VLOOKUP(A249,'II-PO'!$A$18:$M$295,11,0)</f>
        <v>11.8</v>
      </c>
      <c r="D249" s="36">
        <f>VLOOKUP(A249,'II-PO'!$A$18:$M$295,12,0)</f>
        <v>2.9699999999999989</v>
      </c>
      <c r="E249" s="36">
        <f>VLOOKUP(A249,'II-PO'!$A$18:$M$295,13,0)</f>
        <v>14.77</v>
      </c>
      <c r="F249" s="58">
        <f t="shared" si="9"/>
        <v>1.226683402050026E-5</v>
      </c>
      <c r="G249" s="59">
        <f t="shared" si="10"/>
        <v>0.99996209490150878</v>
      </c>
      <c r="H249" s="117" t="str">
        <f t="shared" si="11"/>
        <v>C</v>
      </c>
      <c r="Q249" s="20"/>
    </row>
    <row r="250" spans="1:17" s="1" customFormat="1" ht="30" x14ac:dyDescent="0.2">
      <c r="A250" s="96" t="s">
        <v>609</v>
      </c>
      <c r="B250" s="35" t="str">
        <f>VLOOKUP(A250,'II-PO'!$A$18:$M$295,5,0)</f>
        <v>ENGATE FLEXÍVEL EM PLÁSTICO BRANCO, 1/2" X 30CM - FORNECIMENTO E INSTALAÇÃO. AF_01/2020</v>
      </c>
      <c r="C250" s="36">
        <f>VLOOKUP(A250,'II-PO'!$A$18:$M$295,11,0)</f>
        <v>10.76</v>
      </c>
      <c r="D250" s="36">
        <f>VLOOKUP(A250,'II-PO'!$A$18:$M$295,12,0)</f>
        <v>2.7100000000000009</v>
      </c>
      <c r="E250" s="36">
        <f>VLOOKUP(A250,'II-PO'!$A$18:$M$295,13,0)</f>
        <v>13.47</v>
      </c>
      <c r="F250" s="58">
        <f t="shared" si="9"/>
        <v>1.1187153301024949E-5</v>
      </c>
      <c r="G250" s="59">
        <f t="shared" si="10"/>
        <v>0.99997328205480984</v>
      </c>
      <c r="H250" s="117" t="str">
        <f t="shared" si="11"/>
        <v>C</v>
      </c>
      <c r="Q250" s="20"/>
    </row>
    <row r="251" spans="1:17" s="1" customFormat="1" ht="45" x14ac:dyDescent="0.2">
      <c r="A251" s="96" t="s">
        <v>665</v>
      </c>
      <c r="B251" s="35" t="str">
        <f>VLOOKUP(A251,'II-PO'!$A$18:$M$295,5,0)</f>
        <v>JOELHO 90 GRAUS, PVC, SOLDÁVEL, DN 25MM, INSTALADO EM RAMAL DE DISTRIBUIÇÃO DE ÁGUA - FORNECIMENTO E INSTALAÇÃO. AF_06/2022</v>
      </c>
      <c r="C251" s="36">
        <f>VLOOKUP(A251,'II-PO'!$A$18:$M$295,11,0)</f>
        <v>9.18</v>
      </c>
      <c r="D251" s="36">
        <f>VLOOKUP(A251,'II-PO'!$A$18:$M$295,12,0)</f>
        <v>2.3100000000000005</v>
      </c>
      <c r="E251" s="36">
        <f>VLOOKUP(A251,'II-PO'!$A$18:$M$295,13,0)</f>
        <v>11.49</v>
      </c>
      <c r="F251" s="58">
        <f t="shared" si="9"/>
        <v>9.5427165129010142E-6</v>
      </c>
      <c r="G251" s="59">
        <f t="shared" si="10"/>
        <v>0.99998282477132272</v>
      </c>
      <c r="H251" s="117" t="str">
        <f t="shared" si="11"/>
        <v>C</v>
      </c>
      <c r="Q251" s="20"/>
    </row>
    <row r="252" spans="1:17" s="1" customFormat="1" ht="45" x14ac:dyDescent="0.2">
      <c r="A252" s="96" t="s">
        <v>649</v>
      </c>
      <c r="B252" s="35" t="str">
        <f>VLOOKUP(A252,'II-PO'!$A$18:$M$295,5,0)</f>
        <v>CURVA 90 GRAUS, PVC, SOLDÁVEL, DN 25MM, INSTALADO EM PRUMADA DE ÁGUA - FORNECIMENTO E INSTALAÇÃO. AF_06/2022</v>
      </c>
      <c r="C252" s="36">
        <f>VLOOKUP(A252,'II-PO'!$A$18:$M$295,11,0)</f>
        <v>8.26</v>
      </c>
      <c r="D252" s="36">
        <f>VLOOKUP(A252,'II-PO'!$A$18:$M$295,12,0)</f>
        <v>2.08</v>
      </c>
      <c r="E252" s="36">
        <f>VLOOKUP(A252,'II-PO'!$A$18:$M$295,13,0)</f>
        <v>10.34</v>
      </c>
      <c r="F252" s="58">
        <f t="shared" si="9"/>
        <v>8.5876143379805478E-6</v>
      </c>
      <c r="G252" s="59">
        <f t="shared" si="10"/>
        <v>0.99999141238566069</v>
      </c>
      <c r="H252" s="117" t="str">
        <f t="shared" si="11"/>
        <v>C</v>
      </c>
      <c r="Q252" s="20"/>
    </row>
    <row r="253" spans="1:17" s="1" customFormat="1" ht="45" x14ac:dyDescent="0.2">
      <c r="A253" s="96" t="s">
        <v>569</v>
      </c>
      <c r="B253" s="35" t="str">
        <f>VLOOKUP(A253,'II-PO'!$A$18:$M$295,5,0)</f>
        <v>CURVA 90 GRAUS, PVC, SOLDÁVEL, DN 25MM, INSTALADO EM PRUMADA DE ÁGUA - FORNECIMENTO E INSTALAÇÃO. AF_06/2022</v>
      </c>
      <c r="C253" s="36">
        <f>VLOOKUP(A253,'II-PO'!$A$18:$M$295,11,0)</f>
        <v>8.26</v>
      </c>
      <c r="D253" s="36">
        <f>VLOOKUP(A253,'II-PO'!$A$18:$M$295,12,0)</f>
        <v>2.08</v>
      </c>
      <c r="E253" s="36">
        <f>VLOOKUP(A253,'II-PO'!$A$18:$M$295,13,0)</f>
        <v>10.34</v>
      </c>
      <c r="F253" s="58">
        <f t="shared" si="9"/>
        <v>8.5876143379805478E-6</v>
      </c>
      <c r="G253" s="59">
        <f t="shared" si="10"/>
        <v>0.99999999999999867</v>
      </c>
      <c r="H253" s="117" t="str">
        <f t="shared" si="11"/>
        <v>C</v>
      </c>
      <c r="Q253" s="20"/>
    </row>
    <row r="254" spans="1:17" s="1" customFormat="1" ht="16.5" thickBot="1" x14ac:dyDescent="0.25">
      <c r="A254" s="86"/>
      <c r="C254" s="228"/>
      <c r="G254" s="89"/>
      <c r="H254" s="87"/>
      <c r="J254" s="5"/>
      <c r="L254" s="20"/>
      <c r="M254" s="20"/>
      <c r="N254" s="20"/>
    </row>
    <row r="255" spans="1:17" s="1" customFormat="1" ht="16.5" thickBot="1" x14ac:dyDescent="0.25">
      <c r="A255" s="299" t="s">
        <v>83</v>
      </c>
      <c r="B255" s="300"/>
      <c r="C255" s="300"/>
      <c r="D255" s="300"/>
      <c r="E255" s="300"/>
      <c r="F255" s="300"/>
      <c r="G255" s="301"/>
      <c r="H255" s="38">
        <f>SUM($C$18:$C$253)</f>
        <v>961827.90000000026</v>
      </c>
      <c r="I255" s="5"/>
      <c r="J255" s="5"/>
      <c r="L255" s="20"/>
      <c r="M255" s="20"/>
      <c r="N255" s="20"/>
    </row>
    <row r="256" spans="1:17" s="1" customFormat="1" ht="16.5" thickBot="1" x14ac:dyDescent="0.25">
      <c r="A256" s="299" t="s">
        <v>84</v>
      </c>
      <c r="B256" s="300"/>
      <c r="C256" s="300"/>
      <c r="D256" s="300"/>
      <c r="E256" s="300"/>
      <c r="F256" s="300"/>
      <c r="G256" s="301"/>
      <c r="H256" s="38">
        <f>SUM($D$18:$D$253)</f>
        <v>242231.76000000004</v>
      </c>
      <c r="I256" s="5"/>
      <c r="J256" s="5"/>
      <c r="L256" s="20"/>
      <c r="M256" s="20"/>
      <c r="N256" s="20"/>
    </row>
    <row r="257" spans="1:15" s="1" customFormat="1" ht="16.5" thickBot="1" x14ac:dyDescent="0.25">
      <c r="A257" s="299" t="s">
        <v>85</v>
      </c>
      <c r="B257" s="300"/>
      <c r="C257" s="300"/>
      <c r="D257" s="300"/>
      <c r="E257" s="300"/>
      <c r="F257" s="300"/>
      <c r="G257" s="301"/>
      <c r="H257" s="38">
        <f>SUM($E$18:$E$253)</f>
        <v>1204059.660000002</v>
      </c>
      <c r="I257" s="5"/>
      <c r="J257" s="5"/>
      <c r="L257" s="20"/>
      <c r="M257" s="20"/>
      <c r="N257" s="20"/>
    </row>
    <row r="258" spans="1:15" s="1" customFormat="1" x14ac:dyDescent="0.2">
      <c r="A258" s="98"/>
      <c r="B258" s="20"/>
      <c r="C258" s="20"/>
      <c r="D258" s="20"/>
      <c r="E258" s="20"/>
      <c r="F258" s="20"/>
      <c r="G258" s="20"/>
      <c r="H258" s="91"/>
      <c r="J258" s="27"/>
      <c r="L258" s="20"/>
      <c r="M258" s="20"/>
      <c r="N258" s="20"/>
      <c r="O258" s="20"/>
    </row>
    <row r="259" spans="1:15" s="1" customFormat="1" ht="15.75" x14ac:dyDescent="0.25">
      <c r="A259" s="382" t="s">
        <v>135</v>
      </c>
      <c r="B259" s="383"/>
      <c r="C259" s="60"/>
      <c r="D259" s="60">
        <f>SUM(D260:D262)</f>
        <v>236</v>
      </c>
      <c r="E259" s="20"/>
      <c r="F259" s="20"/>
      <c r="G259" s="20"/>
      <c r="H259" s="91"/>
      <c r="J259" s="27"/>
      <c r="L259" s="20"/>
      <c r="M259" s="20"/>
      <c r="N259" s="20"/>
      <c r="O259" s="20"/>
    </row>
    <row r="260" spans="1:15" s="1" customFormat="1" ht="15.75" x14ac:dyDescent="0.25">
      <c r="A260" s="384" t="s">
        <v>136</v>
      </c>
      <c r="B260" s="60" t="s">
        <v>137</v>
      </c>
      <c r="C260" s="60" t="s">
        <v>152</v>
      </c>
      <c r="D260" s="60">
        <f>COUNTIF($H$18:$H$253,"A")</f>
        <v>22</v>
      </c>
      <c r="E260" s="20"/>
      <c r="F260" s="20"/>
      <c r="G260" s="20"/>
      <c r="H260" s="91"/>
      <c r="J260" s="27"/>
      <c r="L260" s="20"/>
      <c r="M260" s="20"/>
      <c r="N260" s="20"/>
      <c r="O260" s="20"/>
    </row>
    <row r="261" spans="1:15" s="1" customFormat="1" ht="15.75" x14ac:dyDescent="0.25">
      <c r="A261" s="385"/>
      <c r="B261" s="60" t="s">
        <v>138</v>
      </c>
      <c r="C261" s="60" t="s">
        <v>153</v>
      </c>
      <c r="D261" s="60">
        <f>COUNTIF($H$18:$H$253,"B")</f>
        <v>34</v>
      </c>
      <c r="E261" s="20"/>
      <c r="F261" s="20"/>
      <c r="G261" s="20"/>
      <c r="H261" s="91"/>
      <c r="J261" s="27"/>
      <c r="L261" s="20"/>
      <c r="M261" s="20"/>
      <c r="N261" s="20"/>
      <c r="O261" s="20"/>
    </row>
    <row r="262" spans="1:15" s="1" customFormat="1" ht="15.75" x14ac:dyDescent="0.25">
      <c r="A262" s="386"/>
      <c r="B262" s="60" t="s">
        <v>139</v>
      </c>
      <c r="C262" s="60" t="s">
        <v>154</v>
      </c>
      <c r="D262" s="60">
        <f>COUNTIF($H$18:$H$253,"C")</f>
        <v>180</v>
      </c>
      <c r="E262" s="20"/>
      <c r="F262" s="20"/>
      <c r="G262" s="20"/>
      <c r="H262" s="91"/>
      <c r="J262" s="27"/>
      <c r="L262" s="20"/>
      <c r="M262" s="20"/>
      <c r="N262" s="20"/>
      <c r="O262" s="20"/>
    </row>
    <row r="263" spans="1:15" s="1" customFormat="1" ht="15.75" thickBot="1" x14ac:dyDescent="0.25">
      <c r="A263" s="99"/>
      <c r="B263" s="100"/>
      <c r="C263" s="100"/>
      <c r="D263" s="100"/>
      <c r="E263" s="100"/>
      <c r="F263" s="100"/>
      <c r="G263" s="100"/>
      <c r="H263" s="101"/>
      <c r="K263" s="27"/>
      <c r="L263" s="20"/>
      <c r="M263" s="20"/>
      <c r="N263" s="20"/>
      <c r="O263" s="20"/>
    </row>
    <row r="264" spans="1:15" s="1" customFormat="1" x14ac:dyDescent="0.2">
      <c r="A264" s="20"/>
      <c r="B264" s="20"/>
      <c r="C264" s="20"/>
      <c r="D264" s="20"/>
      <c r="E264" s="20"/>
      <c r="F264" s="20"/>
      <c r="G264" s="20"/>
      <c r="H264" s="20"/>
      <c r="K264" s="27"/>
      <c r="L264" s="20"/>
      <c r="M264" s="20"/>
      <c r="N264" s="20"/>
      <c r="O264" s="20"/>
    </row>
    <row r="265" spans="1:15" s="1" customForma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7"/>
      <c r="L265" s="20"/>
      <c r="M265" s="20"/>
      <c r="N265" s="20"/>
      <c r="O265" s="20"/>
    </row>
    <row r="266" spans="1:15" s="1" customForma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7"/>
      <c r="L266" s="20"/>
      <c r="M266" s="20"/>
      <c r="N266" s="20"/>
      <c r="O266" s="20"/>
    </row>
    <row r="267" spans="1:15" s="1" customForma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7"/>
      <c r="L267" s="20"/>
      <c r="M267" s="20"/>
      <c r="N267" s="20"/>
      <c r="O267" s="20"/>
    </row>
    <row r="268" spans="1:15" s="1" customForma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7"/>
      <c r="L268" s="20"/>
      <c r="M268" s="20"/>
      <c r="N268" s="20"/>
      <c r="O268" s="20"/>
    </row>
    <row r="269" spans="1:15" s="1" customForma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61"/>
      <c r="M269" s="61"/>
      <c r="N269" s="61"/>
      <c r="O269" s="20"/>
    </row>
    <row r="273" spans="7:8" ht="18" x14ac:dyDescent="0.25">
      <c r="G273" s="381" t="s">
        <v>2256</v>
      </c>
      <c r="H273" s="381"/>
    </row>
  </sheetData>
  <autoFilter ref="A17:H17" xr:uid="{0D97843B-0C23-4465-B4D3-955F6F839908}">
    <sortState xmlns:xlrd2="http://schemas.microsoft.com/office/spreadsheetml/2017/richdata2" ref="A18:H253">
      <sortCondition descending="1" ref="E17"/>
    </sortState>
  </autoFilter>
  <mergeCells count="14">
    <mergeCell ref="G273:H273"/>
    <mergeCell ref="A259:B259"/>
    <mergeCell ref="A260:A262"/>
    <mergeCell ref="G13:H13"/>
    <mergeCell ref="G14:H14"/>
    <mergeCell ref="A256:G256"/>
    <mergeCell ref="A257:G257"/>
    <mergeCell ref="A255:G255"/>
    <mergeCell ref="A1:H9"/>
    <mergeCell ref="F10:F12"/>
    <mergeCell ref="G10:H10"/>
    <mergeCell ref="G12:H12"/>
    <mergeCell ref="A16:H16"/>
    <mergeCell ref="G11:H11"/>
  </mergeCells>
  <conditionalFormatting sqref="H18:H253">
    <cfRule type="containsText" dxfId="4" priority="1" operator="containsText" text="C">
      <formula>NOT(ISERROR(SEARCH("C",H18)))</formula>
    </cfRule>
    <cfRule type="containsText" dxfId="3" priority="2" operator="containsText" text="B">
      <formula>NOT(ISERROR(SEARCH("B",H18)))</formula>
    </cfRule>
    <cfRule type="containsText" dxfId="2" priority="3" operator="containsText" text="A">
      <formula>NOT(ISERROR(SEARCH("A",H18)))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0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EAC1-1A42-4543-BF32-E04E60CEF11E}">
  <sheetPr>
    <pageSetUpPr fitToPage="1"/>
  </sheetPr>
  <dimension ref="A1:W63"/>
  <sheetViews>
    <sheetView showGridLines="0" topLeftCell="A43" zoomScaleNormal="100" zoomScaleSheetLayoutView="85" workbookViewId="0">
      <selection activeCell="N26" sqref="N26"/>
    </sheetView>
  </sheetViews>
  <sheetFormatPr defaultColWidth="9.140625" defaultRowHeight="15" x14ac:dyDescent="0.25"/>
  <cols>
    <col min="1" max="1" width="12.5703125" style="6" customWidth="1"/>
    <col min="2" max="2" width="28.140625" style="6" customWidth="1"/>
    <col min="3" max="3" width="11.85546875" style="6" customWidth="1"/>
    <col min="4" max="4" width="11.140625" style="6" customWidth="1"/>
    <col min="5" max="5" width="16" style="6" customWidth="1"/>
    <col min="6" max="6" width="29.140625" style="6" customWidth="1"/>
    <col min="7" max="7" width="13" style="6" bestFit="1" customWidth="1"/>
    <col min="8" max="8" width="13.42578125" style="6" bestFit="1" customWidth="1"/>
    <col min="9" max="9" width="9.140625" style="6"/>
    <col min="10" max="10" width="19" style="6" bestFit="1" customWidth="1"/>
    <col min="11" max="11" width="13" style="6" customWidth="1"/>
    <col min="12" max="12" width="23.5703125" style="6" customWidth="1"/>
    <col min="13" max="13" width="39.140625" style="6" bestFit="1" customWidth="1"/>
    <col min="14" max="14" width="14.28515625" style="276" customWidth="1"/>
    <col min="15" max="15" width="18.42578125" style="6" bestFit="1" customWidth="1"/>
    <col min="16" max="16" width="11.42578125" style="6" bestFit="1" customWidth="1"/>
    <col min="17" max="17" width="8.5703125" style="6" bestFit="1" customWidth="1"/>
    <col min="18" max="18" width="11.42578125" style="6" bestFit="1" customWidth="1"/>
    <col min="19" max="19" width="9.140625" style="6" hidden="1" customWidth="1"/>
    <col min="20" max="20" width="2.5703125" style="6" bestFit="1" customWidth="1"/>
    <col min="21" max="21" width="46.28515625" style="6" bestFit="1" customWidth="1"/>
    <col min="22" max="22" width="18.42578125" style="6" bestFit="1" customWidth="1"/>
    <col min="23" max="23" width="2.5703125" style="6" bestFit="1" customWidth="1"/>
    <col min="24" max="24" width="0" style="6" hidden="1" customWidth="1"/>
    <col min="25" max="16384" width="9.140625" style="6"/>
  </cols>
  <sheetData>
    <row r="1" spans="1:23" ht="16.5" customHeight="1" x14ac:dyDescent="0.25">
      <c r="A1" s="446" t="str">
        <f>'V-COMPOSIÇÕES PRÓPRIAS'!A1</f>
        <v>GABINETES DOS VEREADORES DE ARAGARÇAS - GO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8"/>
      <c r="T1" s="433" t="s">
        <v>1</v>
      </c>
      <c r="U1" s="433"/>
      <c r="V1" s="433" t="s">
        <v>2</v>
      </c>
      <c r="W1" s="434">
        <v>2</v>
      </c>
    </row>
    <row r="2" spans="1:23" ht="15" customHeight="1" x14ac:dyDescent="0.25">
      <c r="A2" s="449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1"/>
      <c r="T2" s="8">
        <v>1</v>
      </c>
      <c r="U2" s="8" t="s">
        <v>3</v>
      </c>
      <c r="V2" s="433"/>
      <c r="W2" s="435"/>
    </row>
    <row r="3" spans="1:23" ht="15" customHeight="1" x14ac:dyDescent="0.25">
      <c r="A3" s="449"/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1"/>
      <c r="T3" s="8">
        <v>2</v>
      </c>
      <c r="U3" s="8" t="s">
        <v>4</v>
      </c>
      <c r="V3" s="433"/>
      <c r="W3" s="436"/>
    </row>
    <row r="4" spans="1:23" ht="15.75" x14ac:dyDescent="0.25">
      <c r="A4" s="449"/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1"/>
      <c r="V4" s="12"/>
    </row>
    <row r="5" spans="1:23" ht="15.75" x14ac:dyDescent="0.25">
      <c r="A5" s="449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1"/>
      <c r="V5" s="12"/>
    </row>
    <row r="6" spans="1:23" ht="15.75" x14ac:dyDescent="0.25">
      <c r="A6" s="449"/>
      <c r="B6" s="450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1"/>
      <c r="V6" s="12"/>
    </row>
    <row r="7" spans="1:23" ht="15.75" x14ac:dyDescent="0.25">
      <c r="A7" s="449"/>
      <c r="B7" s="450"/>
      <c r="C7" s="450"/>
      <c r="D7" s="450"/>
      <c r="E7" s="450"/>
      <c r="F7" s="450"/>
      <c r="G7" s="450"/>
      <c r="H7" s="450"/>
      <c r="I7" s="450"/>
      <c r="J7" s="450"/>
      <c r="K7" s="450"/>
      <c r="L7" s="450"/>
      <c r="M7" s="451"/>
      <c r="V7" s="12"/>
    </row>
    <row r="8" spans="1:23" ht="15" customHeight="1" x14ac:dyDescent="0.25">
      <c r="A8" s="449"/>
      <c r="B8" s="450"/>
      <c r="C8" s="450"/>
      <c r="D8" s="450"/>
      <c r="E8" s="450"/>
      <c r="F8" s="450"/>
      <c r="G8" s="450"/>
      <c r="H8" s="450"/>
      <c r="I8" s="450"/>
      <c r="J8" s="450"/>
      <c r="K8" s="450"/>
      <c r="L8" s="450"/>
      <c r="M8" s="451"/>
    </row>
    <row r="9" spans="1:23" ht="16.5" thickBot="1" x14ac:dyDescent="0.3">
      <c r="A9" s="452"/>
      <c r="B9" s="453"/>
      <c r="C9" s="453"/>
      <c r="D9" s="453"/>
      <c r="E9" s="453"/>
      <c r="F9" s="453"/>
      <c r="G9" s="453"/>
      <c r="H9" s="453"/>
      <c r="I9" s="453"/>
      <c r="J9" s="453"/>
      <c r="K9" s="453"/>
      <c r="L9" s="453"/>
      <c r="M9" s="454"/>
      <c r="O9" s="433" t="s">
        <v>5</v>
      </c>
      <c r="P9" s="433"/>
      <c r="Q9" s="433"/>
      <c r="R9" s="433"/>
      <c r="T9" s="437" t="s">
        <v>6</v>
      </c>
      <c r="U9" s="438"/>
      <c r="V9" s="439" t="s">
        <v>2</v>
      </c>
      <c r="W9" s="434">
        <v>1</v>
      </c>
    </row>
    <row r="10" spans="1:23" ht="15.75" x14ac:dyDescent="0.25">
      <c r="A10" s="133" t="s">
        <v>7</v>
      </c>
      <c r="B10" s="30" t="str">
        <f>'I-RESUMO'!B6</f>
        <v>GABINETES DOS VEREADORES DE ARAGARÇAS - GO</v>
      </c>
      <c r="C10" s="30"/>
      <c r="D10" s="30"/>
      <c r="E10" s="30"/>
      <c r="F10" s="30"/>
      <c r="G10" s="30"/>
      <c r="L10" s="455" t="s">
        <v>8</v>
      </c>
      <c r="M10" s="147" t="str">
        <f>'V-COMPOSIÇÕES PRÓPRIAS'!J10</f>
        <v>SINAPI GO 9/2025</v>
      </c>
      <c r="N10" s="422"/>
      <c r="O10" s="437" t="s">
        <v>9</v>
      </c>
      <c r="P10" s="411"/>
      <c r="Q10" s="438"/>
      <c r="R10" s="8">
        <f>W1</f>
        <v>2</v>
      </c>
      <c r="T10" s="8">
        <v>1</v>
      </c>
      <c r="U10" s="8" t="s">
        <v>10</v>
      </c>
      <c r="V10" s="440"/>
      <c r="W10" s="435">
        <v>1</v>
      </c>
    </row>
    <row r="11" spans="1:23" ht="15.75" x14ac:dyDescent="0.25">
      <c r="A11" s="133" t="s">
        <v>11</v>
      </c>
      <c r="B11" s="30" t="str">
        <f>'I-RESUMO'!B7</f>
        <v>Rua José de Barros Souza, 09. Setor Centro Administrativo, Aragarças-GO.</v>
      </c>
      <c r="C11" s="30"/>
      <c r="D11" s="30"/>
      <c r="E11" s="30"/>
      <c r="F11" s="30"/>
      <c r="G11" s="30"/>
      <c r="L11" s="456"/>
      <c r="M11" s="147" t="str">
        <f>'V-COMPOSIÇÕES PRÓPRIAS'!J11</f>
        <v>GOINFRA CIVIL (AGETOP) 8/2025</v>
      </c>
      <c r="N11" s="422"/>
      <c r="O11" s="118"/>
      <c r="P11" s="9"/>
      <c r="Q11" s="119"/>
      <c r="R11" s="8"/>
      <c r="T11" s="8"/>
      <c r="U11" s="8"/>
      <c r="V11" s="440"/>
      <c r="W11" s="435"/>
    </row>
    <row r="12" spans="1:23" ht="15.75" x14ac:dyDescent="0.25">
      <c r="A12" s="133" t="s">
        <v>16</v>
      </c>
      <c r="B12" s="442">
        <f ca="1">TODAY()</f>
        <v>46071</v>
      </c>
      <c r="C12" s="442"/>
      <c r="D12" s="442"/>
      <c r="E12" s="442"/>
      <c r="F12" s="442"/>
      <c r="G12" s="442"/>
      <c r="L12" s="456"/>
      <c r="M12" s="147" t="str">
        <f>'V-COMPOSIÇÕES PRÓPRIAS'!J12</f>
        <v>SICRO3 GO 7/2025</v>
      </c>
      <c r="N12" s="422"/>
      <c r="O12" s="8"/>
      <c r="P12" s="7" t="s">
        <v>12</v>
      </c>
      <c r="Q12" s="7" t="s">
        <v>13</v>
      </c>
      <c r="R12" s="7" t="s">
        <v>14</v>
      </c>
      <c r="T12" s="8">
        <v>2</v>
      </c>
      <c r="U12" s="8" t="s">
        <v>15</v>
      </c>
      <c r="V12" s="440"/>
      <c r="W12" s="435"/>
    </row>
    <row r="13" spans="1:23" ht="15.75" x14ac:dyDescent="0.25">
      <c r="A13" s="120"/>
      <c r="L13" s="10" t="s">
        <v>18</v>
      </c>
      <c r="M13" s="147" t="str">
        <f>'I-RESUMO'!F9</f>
        <v>NÃO DESONERADO</v>
      </c>
      <c r="N13" s="422"/>
      <c r="O13" s="8">
        <v>1</v>
      </c>
      <c r="P13" s="11">
        <f>IF($W$1=1,((((((20.34/100)+1)*(1-(5.15/100)))/(1-(9.65/100)))-1)*100),IF($W$1=2,20.34,"SELECT OPT"))</f>
        <v>20.34</v>
      </c>
      <c r="Q13" s="11">
        <f>IF($W$1=1,((((((22.12/100)+1)*(1-(6.65/100)))/(1-(11.15/100)))-1)*100),IF($W$1=2,22.12,"SELECT OPT"))</f>
        <v>22.12</v>
      </c>
      <c r="R13" s="11">
        <f>IF($W$1=1,((((((25/100)+1)*(1-(8.65/100)))/(1-(13.15/100)))-1)*100),IF($W$1=2,25,"SELECT OPT"))</f>
        <v>25</v>
      </c>
      <c r="T13" s="8">
        <v>3</v>
      </c>
      <c r="U13" s="8" t="s">
        <v>17</v>
      </c>
      <c r="V13" s="440"/>
      <c r="W13" s="435"/>
    </row>
    <row r="14" spans="1:23" ht="15.75" thickBot="1" x14ac:dyDescent="0.3">
      <c r="A14" s="120"/>
      <c r="M14" s="121"/>
      <c r="N14" s="422"/>
      <c r="O14" s="8">
        <v>2</v>
      </c>
      <c r="P14" s="11">
        <f>IF($W$1=1,((((((19.6/100)+1)*(1-(5.15/100)))/(1-(9.65/100)))-1)*100),IF($W$1=2,19.6,"SELECT OPT"))</f>
        <v>19.600000000000001</v>
      </c>
      <c r="Q14" s="11">
        <f>IF($W$1=1,((((((20.97/100)+1)*(1-(6.65/100)))/(1-(11.15/100)))-1)*100),IF($W$1=2,20.97,"SELECT OPT"))</f>
        <v>20.97</v>
      </c>
      <c r="R14" s="11">
        <f>IF($W$1=1,((((((24.23/100)+1)*(1-(8.65/100)))/(1-(13.15/100)))-1)*100),IF($W$1=2,24.23,"SELECT OPT"))</f>
        <v>24.23</v>
      </c>
      <c r="T14" s="8">
        <v>4</v>
      </c>
      <c r="U14" s="8" t="s">
        <v>19</v>
      </c>
      <c r="V14" s="440"/>
      <c r="W14" s="435"/>
    </row>
    <row r="15" spans="1:23" ht="16.5" thickBot="1" x14ac:dyDescent="0.3">
      <c r="A15" s="443" t="str">
        <f>CAPA!A17</f>
        <v>ANEXO VI - BDI CONSTRUÇÃO</v>
      </c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5"/>
      <c r="N15" s="422"/>
      <c r="O15" s="8">
        <v>3</v>
      </c>
      <c r="P15" s="11">
        <f>IF($W$1=1,((((((20.76/100)+1)*(1-(5.15/100)))/(1-(9.65/100)))-1)*100),IF($W$1=2,20.76,"SELECT OPT"))</f>
        <v>20.76</v>
      </c>
      <c r="Q15" s="11">
        <f>IF($W$1=1,((((((24.18/100)+1)*(1-(6.65/100)))/(1-(11.15/100)))-1)*100),IF($W$1=2,24.18,"SELECT OPT"))</f>
        <v>24.18</v>
      </c>
      <c r="R15" s="11">
        <f>IF($W$1=1,((((((26.44/100)+1)*(1-(8.65/100)))/(1-(13.15/100)))-1)*100),IF($W$1=2,26.44,"SELECT OPT"))</f>
        <v>26.44</v>
      </c>
      <c r="T15" s="8">
        <v>5</v>
      </c>
      <c r="U15" s="8" t="s">
        <v>20</v>
      </c>
      <c r="V15" s="440"/>
      <c r="W15" s="435"/>
    </row>
    <row r="16" spans="1:23" x14ac:dyDescent="0.25">
      <c r="A16" s="134" t="s">
        <v>140</v>
      </c>
      <c r="M16" s="121"/>
      <c r="N16" s="422"/>
      <c r="O16" s="8">
        <v>4</v>
      </c>
      <c r="P16" s="11">
        <f>IF($W$1=1,((((((24/100)+1)*(1-(5.15/100)))/(1-(9.65/100)))-1)*100),IF($W$1=2,24,"SELECT OPT"))</f>
        <v>24</v>
      </c>
      <c r="Q16" s="11">
        <f>IF($W$1=1,((((((25.84/100)+1)*(1-(6.65/100)))/(1-(11.15/100)))-1)*100),IF($W$1=2,25.84,"SELECT OPT"))</f>
        <v>25.84</v>
      </c>
      <c r="R16" s="11">
        <f>IF($W$1=1,((((((27.86/100)+1)*(1-(8.65/100)))/(1-(13.15/100)))-1)*100),IF($W$1=2,27.86,"SELECT OPT"))</f>
        <v>27.86</v>
      </c>
      <c r="T16" s="8">
        <v>6</v>
      </c>
      <c r="U16" s="8" t="s">
        <v>21</v>
      </c>
      <c r="V16" s="440"/>
      <c r="W16" s="435"/>
    </row>
    <row r="17" spans="1:23" x14ac:dyDescent="0.25">
      <c r="A17" s="424" t="s">
        <v>22</v>
      </c>
      <c r="B17" s="425"/>
      <c r="C17" s="425"/>
      <c r="D17" s="425"/>
      <c r="E17" s="425"/>
      <c r="F17" s="425"/>
      <c r="G17" s="425"/>
      <c r="H17" s="425"/>
      <c r="I17" s="425"/>
      <c r="J17" s="425"/>
      <c r="K17" s="425"/>
      <c r="L17" s="425"/>
      <c r="M17" s="426"/>
      <c r="N17" s="422"/>
      <c r="O17" s="8">
        <v>5</v>
      </c>
      <c r="P17" s="11">
        <f>IF($W$1=1,((((((22.8/100)+1)*(1-(5.15/100)))/(1-(9.65/100)))-1)*100),IF($W$1=2,22.8,"SELECT OPT"))</f>
        <v>22.8</v>
      </c>
      <c r="Q17" s="11">
        <f>IF($W$1=1,((((((27.48/100)+1)*(1-(6.65/100)))/(1-(11.15/100)))-1)*100),IF($W$1=2,27.48,"SELECT OPT"))</f>
        <v>27.48</v>
      </c>
      <c r="R17" s="11">
        <f>IF($W$1=1,((((((30.95/100)+1)*(1-(8.65/100)))/(1-(13.15/100)))-1)*100),IF($W$1=2,30.95,"SELECT OPT"))</f>
        <v>30.95</v>
      </c>
      <c r="V17" s="440"/>
      <c r="W17" s="435"/>
    </row>
    <row r="18" spans="1:23" x14ac:dyDescent="0.25">
      <c r="A18" s="424" t="s">
        <v>23</v>
      </c>
      <c r="B18" s="425"/>
      <c r="C18" s="425"/>
      <c r="D18" s="425"/>
      <c r="E18" s="425"/>
      <c r="F18" s="425"/>
      <c r="G18" s="425"/>
      <c r="H18" s="425"/>
      <c r="I18" s="425"/>
      <c r="J18" s="425"/>
      <c r="K18" s="425"/>
      <c r="L18" s="425"/>
      <c r="M18" s="426"/>
      <c r="N18" s="422"/>
      <c r="O18" s="8">
        <v>6</v>
      </c>
      <c r="P18" s="11">
        <f>IF($W$1=1,((((((11.1/100)+1)*(1-(3.65/100)))/(1-(8.15/100)))-1)*100),IF($W$1=2,11.1,"SELECT OPT"))</f>
        <v>11.1</v>
      </c>
      <c r="Q18" s="11">
        <f>IF($W$1=1,((((((14.02/100)+1)*(1-(3.65/100)))/(1-(8.15/100)))-1)*100),IF($W$1=2,14.02,"SELECT OPT"))</f>
        <v>14.02</v>
      </c>
      <c r="R18" s="11">
        <f>IF($W$1=1,((((((16.8/100)+1)*(1-(3.65/100)))/(1-(8.15/100)))-1)*100),IF($W$1=2,16.8,"SELECT OPT"))</f>
        <v>16.8</v>
      </c>
      <c r="V18" s="440"/>
      <c r="W18" s="435"/>
    </row>
    <row r="19" spans="1:23" ht="15.75" x14ac:dyDescent="0.25">
      <c r="A19" s="424" t="s">
        <v>24</v>
      </c>
      <c r="B19" s="425"/>
      <c r="C19" s="425"/>
      <c r="D19" s="427" t="str">
        <f>IF(AND(W1&lt;&gt;1,W1&lt;&gt;2),"SELECT OPT",IF(W1=1,"COM DESONERAÇÃO",IF(W1=2,"SEM DESONERAÇÃO","SELECT OPT")))</f>
        <v>SEM DESONERAÇÃO</v>
      </c>
      <c r="E19" s="427"/>
      <c r="F19" s="427"/>
      <c r="G19" s="425" t="s">
        <v>25</v>
      </c>
      <c r="H19" s="425"/>
      <c r="I19" s="425"/>
      <c r="J19" s="425"/>
      <c r="K19" s="425"/>
      <c r="L19" s="425"/>
      <c r="M19" s="426"/>
      <c r="N19" s="422"/>
      <c r="O19" s="7" t="s">
        <v>2</v>
      </c>
      <c r="P19" s="11">
        <f>VLOOKUP($W$9,$O$13:$R$18,2,FALSE)</f>
        <v>20.34</v>
      </c>
      <c r="Q19" s="11">
        <f>VLOOKUP($W$9,$O$13:$R$18,3,FALSE)</f>
        <v>22.12</v>
      </c>
      <c r="R19" s="11">
        <f>VLOOKUP($W$9,$O$13:$R$18,4,FALSE)</f>
        <v>25</v>
      </c>
      <c r="V19" s="441"/>
      <c r="W19" s="436"/>
    </row>
    <row r="20" spans="1:23" x14ac:dyDescent="0.25">
      <c r="A20" s="424" t="s">
        <v>26</v>
      </c>
      <c r="B20" s="425"/>
      <c r="C20" s="425"/>
      <c r="D20" s="425"/>
      <c r="E20" s="425"/>
      <c r="F20" s="425"/>
      <c r="G20" s="425"/>
      <c r="H20" s="425"/>
      <c r="I20" s="425"/>
      <c r="J20" s="425"/>
      <c r="K20" s="425"/>
      <c r="L20" s="425"/>
      <c r="M20" s="426"/>
      <c r="N20" s="422"/>
    </row>
    <row r="21" spans="1:23" x14ac:dyDescent="0.25">
      <c r="A21" s="120"/>
      <c r="M21" s="121"/>
    </row>
    <row r="22" spans="1:23" x14ac:dyDescent="0.25">
      <c r="A22" s="424" t="s">
        <v>28</v>
      </c>
      <c r="B22" s="425"/>
      <c r="C22" s="425"/>
      <c r="D22" s="425"/>
      <c r="E22" s="425"/>
      <c r="F22" s="425"/>
      <c r="G22" s="425"/>
      <c r="H22" s="425"/>
      <c r="I22" s="425"/>
      <c r="J22" s="425"/>
      <c r="K22" s="425"/>
      <c r="L22" s="425"/>
      <c r="M22" s="426"/>
    </row>
    <row r="23" spans="1:23" x14ac:dyDescent="0.25">
      <c r="A23" s="424" t="s">
        <v>29</v>
      </c>
      <c r="B23" s="425"/>
      <c r="C23" s="425"/>
      <c r="D23" s="425"/>
      <c r="E23" s="425"/>
      <c r="F23" s="425"/>
      <c r="G23" s="425"/>
      <c r="H23" s="425"/>
      <c r="I23" s="425"/>
      <c r="J23" s="425"/>
      <c r="K23" s="425"/>
      <c r="L23" s="425"/>
      <c r="M23" s="426"/>
    </row>
    <row r="24" spans="1:23" x14ac:dyDescent="0.25">
      <c r="A24" s="424" t="s">
        <v>30</v>
      </c>
      <c r="B24" s="425"/>
      <c r="C24" s="425"/>
      <c r="D24" s="425"/>
      <c r="E24" s="425"/>
      <c r="F24" s="425"/>
      <c r="G24" s="425"/>
      <c r="H24" s="425"/>
      <c r="I24" s="425"/>
      <c r="J24" s="425"/>
      <c r="K24" s="425"/>
      <c r="L24" s="425"/>
      <c r="M24" s="426"/>
      <c r="P24" s="6" t="s">
        <v>27</v>
      </c>
    </row>
    <row r="25" spans="1:23" x14ac:dyDescent="0.25">
      <c r="A25" s="120"/>
      <c r="M25" s="121"/>
    </row>
    <row r="26" spans="1:23" x14ac:dyDescent="0.25">
      <c r="A26" s="424" t="s">
        <v>31</v>
      </c>
      <c r="B26" s="425"/>
      <c r="C26" s="425"/>
      <c r="D26" s="425"/>
      <c r="E26" s="425"/>
      <c r="F26" s="425"/>
      <c r="G26" s="425"/>
      <c r="H26" s="425"/>
      <c r="I26" s="425"/>
      <c r="J26" s="425"/>
      <c r="K26" s="425"/>
      <c r="L26" s="425"/>
      <c r="M26" s="426"/>
    </row>
    <row r="27" spans="1:23" x14ac:dyDescent="0.25">
      <c r="A27" s="424" t="s">
        <v>32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6"/>
    </row>
    <row r="28" spans="1:23" x14ac:dyDescent="0.25">
      <c r="A28" s="120"/>
      <c r="M28" s="121"/>
    </row>
    <row r="29" spans="1:23" ht="15.75" x14ac:dyDescent="0.25">
      <c r="A29" s="120"/>
      <c r="C29" s="427" t="str">
        <f>IF(AND($W$9&lt;&gt;1,$W$9&lt;&gt;2,$W$9&lt;&gt;3,$W$9&lt;&gt;4,$W$9&lt;&gt;5,$W$9&lt;&gt;6),"SELECT OPT",IF($W$9=1,$U$10,IF($W$9=2,$U$12,IF($W$9=3,$U$13,IF($W$9=4,$U$14,IF($W$9=5,$U$15,IF($W$9=6,$U$16,"SELECT OPT")))))))</f>
        <v>Construção de edifícios.</v>
      </c>
      <c r="D29" s="427"/>
      <c r="E29" s="427"/>
      <c r="F29" s="427"/>
      <c r="G29" s="427"/>
      <c r="H29" s="427"/>
      <c r="I29" s="427"/>
      <c r="J29" s="427"/>
      <c r="K29" s="427"/>
      <c r="M29" s="103"/>
    </row>
    <row r="30" spans="1:23" x14ac:dyDescent="0.25">
      <c r="A30" s="120"/>
      <c r="M30" s="103"/>
    </row>
    <row r="31" spans="1:23" x14ac:dyDescent="0.25">
      <c r="A31" s="424" t="s">
        <v>33</v>
      </c>
      <c r="B31" s="425"/>
      <c r="C31" s="425"/>
      <c r="D31" s="425"/>
      <c r="E31" s="425"/>
      <c r="F31" s="425"/>
      <c r="G31" s="425"/>
      <c r="M31" s="121"/>
    </row>
    <row r="32" spans="1:23" x14ac:dyDescent="0.25">
      <c r="A32" s="424" t="s">
        <v>34</v>
      </c>
      <c r="B32" s="425"/>
      <c r="C32" s="425"/>
      <c r="D32" s="425"/>
      <c r="E32" s="425"/>
      <c r="F32" s="425"/>
      <c r="G32" s="425"/>
      <c r="M32" s="121"/>
    </row>
    <row r="33" spans="1:18" x14ac:dyDescent="0.25">
      <c r="A33" s="120"/>
      <c r="M33" s="121"/>
    </row>
    <row r="34" spans="1:18" x14ac:dyDescent="0.25">
      <c r="A34" s="120"/>
      <c r="M34" s="121"/>
    </row>
    <row r="35" spans="1:18" x14ac:dyDescent="0.25">
      <c r="A35" s="120"/>
      <c r="M35" s="121"/>
    </row>
    <row r="36" spans="1:18" ht="15.75" thickBot="1" x14ac:dyDescent="0.3">
      <c r="A36" s="120"/>
      <c r="M36" s="121"/>
    </row>
    <row r="37" spans="1:18" ht="16.5" thickTop="1" x14ac:dyDescent="0.25">
      <c r="A37" s="428" t="s">
        <v>35</v>
      </c>
      <c r="B37" s="429"/>
      <c r="C37" s="429"/>
      <c r="D37" s="429"/>
      <c r="E37" s="429" t="s">
        <v>36</v>
      </c>
      <c r="F37" s="429"/>
      <c r="G37" s="429"/>
      <c r="H37" s="429"/>
      <c r="I37" s="429"/>
      <c r="J37" s="429"/>
      <c r="K37" s="429" t="s">
        <v>37</v>
      </c>
      <c r="L37" s="429"/>
      <c r="M37" s="431"/>
      <c r="N37" s="422"/>
    </row>
    <row r="38" spans="1:18" ht="16.5" thickBot="1" x14ac:dyDescent="0.3">
      <c r="A38" s="430"/>
      <c r="B38" s="423"/>
      <c r="C38" s="423"/>
      <c r="D38" s="423"/>
      <c r="E38" s="423" t="s">
        <v>12</v>
      </c>
      <c r="F38" s="423"/>
      <c r="G38" s="423" t="s">
        <v>13</v>
      </c>
      <c r="H38" s="423"/>
      <c r="I38" s="423" t="s">
        <v>213</v>
      </c>
      <c r="J38" s="423"/>
      <c r="K38" s="423"/>
      <c r="L38" s="423"/>
      <c r="M38" s="432"/>
      <c r="N38" s="422"/>
    </row>
    <row r="39" spans="1:18" ht="15.75" thickTop="1" x14ac:dyDescent="0.25">
      <c r="A39" s="417" t="s">
        <v>38</v>
      </c>
      <c r="B39" s="418"/>
      <c r="C39" s="418"/>
      <c r="D39" s="14" t="s">
        <v>39</v>
      </c>
      <c r="E39" s="419">
        <f>IF(AND($W$9&lt;&gt;1,$W$9&lt;&gt;2,$W$9&lt;&gt;3,$W$9&lt;&gt;4,$W$9&lt;&gt;5,$W$9&lt;&gt;6),"SELECT OPT",IF($W$9=1,3,IF($W$9=2,3.8,IF($W$9=3,3.43,IF($W$9=4,5.29,IF($W$9=5,4,IF($W$9=6,1.5,"SELECT OPT")))))))</f>
        <v>3</v>
      </c>
      <c r="F39" s="419"/>
      <c r="G39" s="419">
        <f>IF(AND($W$9&lt;&gt;1,$W$9&lt;&gt;2,$W$9&lt;&gt;3,$W$9&lt;&gt;4,$W$9&lt;&gt;5,$W$9&lt;&gt;6),"SELECT OPT",IF($W$9=1,4,IF($W$9=2,4.01,IF($W$9=3,4.93,IF($W$9=4,5.92,IF($W$9=5,5.52,IF($W$9=6,3.45,"SELECT OPT")))))))</f>
        <v>4</v>
      </c>
      <c r="H39" s="419"/>
      <c r="I39" s="419">
        <f>IF(AND($W$9&lt;&gt;1,$W$9&lt;&gt;2,$W$9&lt;&gt;3,$W$9&lt;&gt;4,$W$9&lt;&gt;5,$W$9&lt;&gt;6),"SELECT OPT",IF($W$9=1,5.5,IF($W$9=2,4.67,IF($W$9=3,6.71,IF($W$9=4,7.93,IF($W$9=5,7.85,IF($W$9=6,4.49,"SELECT OPT")))))))</f>
        <v>5.5</v>
      </c>
      <c r="J39" s="419"/>
      <c r="K39" s="420">
        <v>5.5</v>
      </c>
      <c r="L39" s="420"/>
      <c r="M39" s="421"/>
    </row>
    <row r="40" spans="1:18" x14ac:dyDescent="0.25">
      <c r="A40" s="395" t="s">
        <v>40</v>
      </c>
      <c r="B40" s="396"/>
      <c r="C40" s="396"/>
      <c r="D40" s="15" t="s">
        <v>41</v>
      </c>
      <c r="E40" s="397">
        <f>IF(AND($W$9&lt;&gt;1,$W$9&lt;&gt;2,$W$9&lt;&gt;3,$W$9&lt;&gt;4,$W$9&lt;&gt;5,$W$9&lt;&gt;6),"SELECT OPT",IF($W$9=1,0.8,IF($W$9=2,0.32,IF($W$9=3,0.28,IF($W$9=4,0.25,IF($W$9=5,0.81,IF($W$9=6,0.3,"SELECT OPT")))))))</f>
        <v>0.8</v>
      </c>
      <c r="F40" s="397"/>
      <c r="G40" s="397">
        <f>IF(AND($W$9&lt;&gt;1,$W$9&lt;&gt;2,$W$9&lt;&gt;3,$W$9&lt;&gt;4,$W$9&lt;&gt;5,$W$9&lt;&gt;6),"SELECT OPT",IF($W$9=1,0.8,IF($W$9=2,0.4,IF($W$9=3,0.49,IF($W$9=4,0.51,IF($W$9=5,1.22,IF($W$9=6,0.48,"SELECT OPT")))))))</f>
        <v>0.8</v>
      </c>
      <c r="H40" s="397"/>
      <c r="I40" s="397">
        <f>IF(AND($W$9&lt;&gt;1,$W$9&lt;&gt;2,$W$9&lt;&gt;3,$W$9&lt;&gt;4,$W$9&lt;&gt;5,$W$9&lt;&gt;6),"SELECT OPT",IF($W$9=1,1,IF($W$9=2,0.74,IF($W$9=3,0.75,IF($W$9=4,0.56,IF($W$9=5,1.99,IF($W$9=6,0.82,"SELECT OPT")))))))</f>
        <v>1</v>
      </c>
      <c r="J40" s="397"/>
      <c r="K40" s="398">
        <v>1.34</v>
      </c>
      <c r="L40" s="398"/>
      <c r="M40" s="399"/>
      <c r="R40" s="13"/>
    </row>
    <row r="41" spans="1:18" x14ac:dyDescent="0.25">
      <c r="A41" s="395" t="s">
        <v>42</v>
      </c>
      <c r="B41" s="396"/>
      <c r="C41" s="396"/>
      <c r="D41" s="15" t="s">
        <v>43</v>
      </c>
      <c r="E41" s="397">
        <f>IF(AND($W$9&lt;&gt;1,$W$9&lt;&gt;2,$W$9&lt;&gt;3,$W$9&lt;&gt;4,$W$9&lt;&gt;5,$W$9&lt;&gt;6),"SELECT OPT",IF($W$9=1,0.97,IF($W$9=2,0.5,IF($W$9=3,1,IF($W$9=4,1,IF($W$9=5,1.46,IF($W$9=6,0.56,"SELECT OPT")))))))</f>
        <v>0.97</v>
      </c>
      <c r="F41" s="397"/>
      <c r="G41" s="397">
        <f>IF(AND($W$9&lt;&gt;1,$W$9&lt;&gt;2,$W$9&lt;&gt;3,$W$9&lt;&gt;4,$W$9&lt;&gt;5,$W$9&lt;&gt;6),"SELECT OPT",IF($W$9=1,1.27,IF($W$9=2,0.56,IF($W$9=3,1.39,IF($W$9=4,1.48,IF($W$9=5,2.32,IF($W$9=6,0.85,"SELECT OPT")))))))</f>
        <v>1.27</v>
      </c>
      <c r="H41" s="397"/>
      <c r="I41" s="397">
        <f>IF(AND($W$9&lt;&gt;1,$W$9&lt;&gt;2,$W$9&lt;&gt;3,$W$9&lt;&gt;4,$W$9&lt;&gt;5,$W$9&lt;&gt;6),"SELECT OPT",IF($W$9=1,1.27,IF($W$9=2,0.97,IF($W$9=3,1.74,IF($W$9=4,1.97,IF($W$9=5,3.16,IF($W$9=6,0.89,"SELECT OPT")))))))</f>
        <v>1.27</v>
      </c>
      <c r="J41" s="397"/>
      <c r="K41" s="398">
        <v>1.27</v>
      </c>
      <c r="L41" s="398"/>
      <c r="M41" s="399"/>
      <c r="R41" s="13"/>
    </row>
    <row r="42" spans="1:18" x14ac:dyDescent="0.25">
      <c r="A42" s="395" t="s">
        <v>44</v>
      </c>
      <c r="B42" s="396"/>
      <c r="C42" s="396"/>
      <c r="D42" s="15" t="s">
        <v>45</v>
      </c>
      <c r="E42" s="397">
        <f>IF(AND($W$9&lt;&gt;1,$W$9&lt;&gt;2,$W$9&lt;&gt;3,$W$9&lt;&gt;4,$W$9&lt;&gt;5,$W$9&lt;&gt;6),"SELECT OPT",IF($W$9=1,0.59,IF($W$9=2,1.02,IF($W$9=3,0.94,IF($W$9=4,1.01,IF($W$9=5,0.94,IF($W$9=6,0.85,"SELECT OPT")))))))</f>
        <v>0.59</v>
      </c>
      <c r="F42" s="397"/>
      <c r="G42" s="397">
        <f>IF(AND($W$9&lt;&gt;1,$W$9&lt;&gt;2,$W$9&lt;&gt;3,$W$9&lt;&gt;4,$W$9&lt;&gt;5,$W$9&lt;&gt;6),"SELECT OPT",IF($W$9=1,1.23,IF($W$9=2,1.11,IF($W$9=3,0.99,IF($W$9=4,1.07,IF($W$9=5,1.02,IF($W$9=6,0.85,"SELECT OPT")))))))</f>
        <v>1.23</v>
      </c>
      <c r="H42" s="397"/>
      <c r="I42" s="397">
        <f>IF(AND($W$9&lt;&gt;1,$W$9&lt;&gt;2,$W$9&lt;&gt;3,$W$9&lt;&gt;4,$W$9&lt;&gt;5,$W$9&lt;&gt;6),"SELECT OPT",IF($W$9=1,1.39,IF($W$9=2,1.21,IF($W$9=3,1.17,IF($W$9=4,1.11,IF($W$9=5,1.33,IF($W$9=6,1.11,"SELECT OPT")))))))</f>
        <v>1.39</v>
      </c>
      <c r="J42" s="397"/>
      <c r="K42" s="398">
        <v>1.17</v>
      </c>
      <c r="L42" s="398"/>
      <c r="M42" s="399"/>
      <c r="R42" s="13"/>
    </row>
    <row r="43" spans="1:18" x14ac:dyDescent="0.25">
      <c r="A43" s="405" t="s">
        <v>46</v>
      </c>
      <c r="B43" s="406"/>
      <c r="C43" s="406"/>
      <c r="D43" s="16" t="s">
        <v>47</v>
      </c>
      <c r="E43" s="407">
        <f>IF(AND($W$9&lt;&gt;1,$W$9&lt;&gt;2,$W$9&lt;&gt;3,$W$9&lt;&gt;4,$W$9&lt;&gt;5,$W$9&lt;&gt;6),"SELECT OPT",IF($W$9=1,6.16,IF($W$9=2,6.64,IF($W$9=3,6.74,IF($W$9=4,8,IF($W$9=5,7.14,IF($W$9=6,3.5,"SELECT OPT")))))))</f>
        <v>6.16</v>
      </c>
      <c r="F43" s="407"/>
      <c r="G43" s="407">
        <f>IF(AND($W$9&lt;&gt;1,$W$9&lt;&gt;2,$W$9&lt;&gt;3,$W$9&lt;&gt;4,$W$9&lt;&gt;5,$W$9&lt;&gt;6),"SELECT OPT",IF($W$9=1,7.4,IF($W$9=2,7.3,IF($W$9=3,8.04,IF($W$9=4,8.31,IF($W$9=5,8.4,IF($W$9=6,5.11,"SELECT OPT")))))))</f>
        <v>7.4</v>
      </c>
      <c r="H43" s="407"/>
      <c r="I43" s="407">
        <f>IF(AND($W$9&lt;&gt;1,$W$9&lt;&gt;2,$W$9&lt;&gt;3,$W$9&lt;&gt;4,$W$9&lt;&gt;5,$W$9&lt;&gt;6),"SELECT OPT",IF($W$9=1,8.96,IF($W$9=2,8.69,IF($W$9=3,9.4,IF($W$9=4,9.51,IF($W$9=5,10.43,IF($W$9=6,6.22,"SELECT OPT")))))))</f>
        <v>8.9600000000000009</v>
      </c>
      <c r="J43" s="407"/>
      <c r="K43" s="408">
        <v>8</v>
      </c>
      <c r="L43" s="408"/>
      <c r="M43" s="409"/>
    </row>
    <row r="44" spans="1:18" ht="15.75" x14ac:dyDescent="0.25">
      <c r="A44" s="410" t="s">
        <v>48</v>
      </c>
      <c r="B44" s="411"/>
      <c r="C44" s="411"/>
      <c r="D44" s="9" t="s">
        <v>49</v>
      </c>
      <c r="E44" s="412">
        <f>SUM(E45:F48)</f>
        <v>5.15</v>
      </c>
      <c r="F44" s="412"/>
      <c r="G44" s="412">
        <f t="shared" ref="G44" si="0">SUM(G45:H48)</f>
        <v>6.65</v>
      </c>
      <c r="H44" s="412"/>
      <c r="I44" s="412">
        <f t="shared" ref="I44" si="1">SUM(I45:J48)</f>
        <v>8.65</v>
      </c>
      <c r="J44" s="412"/>
      <c r="K44" s="413">
        <f>ROUND(SUM(K45:M48),2)</f>
        <v>5.65</v>
      </c>
      <c r="L44" s="413"/>
      <c r="M44" s="414"/>
    </row>
    <row r="45" spans="1:18" x14ac:dyDescent="0.25">
      <c r="A45" s="400" t="s">
        <v>50</v>
      </c>
      <c r="B45" s="401"/>
      <c r="C45" s="401"/>
      <c r="D45" s="17"/>
      <c r="E45" s="402">
        <v>3</v>
      </c>
      <c r="F45" s="402"/>
      <c r="G45" s="402">
        <v>3</v>
      </c>
      <c r="H45" s="402"/>
      <c r="I45" s="402">
        <v>3</v>
      </c>
      <c r="J45" s="402"/>
      <c r="K45" s="415">
        <v>3</v>
      </c>
      <c r="L45" s="415"/>
      <c r="M45" s="416"/>
    </row>
    <row r="46" spans="1:18" x14ac:dyDescent="0.25">
      <c r="A46" s="395" t="s">
        <v>51</v>
      </c>
      <c r="B46" s="396"/>
      <c r="C46" s="396"/>
      <c r="D46" s="15"/>
      <c r="E46" s="397">
        <v>0.65</v>
      </c>
      <c r="F46" s="397"/>
      <c r="G46" s="397">
        <v>0.65</v>
      </c>
      <c r="H46" s="397"/>
      <c r="I46" s="397">
        <v>0.65</v>
      </c>
      <c r="J46" s="397"/>
      <c r="K46" s="398">
        <v>0.65</v>
      </c>
      <c r="L46" s="398"/>
      <c r="M46" s="399"/>
    </row>
    <row r="47" spans="1:18" x14ac:dyDescent="0.25">
      <c r="A47" s="395" t="s">
        <v>52</v>
      </c>
      <c r="B47" s="396"/>
      <c r="C47" s="396"/>
      <c r="D47" s="15"/>
      <c r="E47" s="397">
        <f>IF(AND($W$9&lt;&gt;1,$W$9&lt;&gt;2,$W$9&lt;&gt;3,$W$9&lt;&gt;4,$W$9&lt;&gt;5,$W$9&lt;&gt;6),"SELECT OPT",IF($W$9=1,1.5,IF($W$9=2,1.5,IF($W$9=3,1.5,IF($W$9=4,1.5,IF($W$9=5,1.5,IF($W$9=6,0,"SELECT OPT")))))))</f>
        <v>1.5</v>
      </c>
      <c r="F47" s="397"/>
      <c r="G47" s="397">
        <f>IF(AND($W$9&lt;&gt;1,$W$9&lt;&gt;2,$W$9&lt;&gt;3,$W$9&lt;&gt;4,$W$9&lt;&gt;5,$W$9&lt;&gt;6),"SELECT OPT",IF($W$9=1,3,IF($W$9=2,3,IF($W$9=3,3,IF($W$9=4,3,IF($W$9=5,3,IF($W$9=6,0,"SELECT OPT")))))))</f>
        <v>3</v>
      </c>
      <c r="H47" s="397"/>
      <c r="I47" s="397">
        <v>5</v>
      </c>
      <c r="J47" s="397"/>
      <c r="K47" s="398">
        <v>2</v>
      </c>
      <c r="L47" s="398"/>
      <c r="M47" s="399"/>
    </row>
    <row r="48" spans="1:18" ht="15.75" thickBot="1" x14ac:dyDescent="0.3">
      <c r="A48" s="390" t="s">
        <v>53</v>
      </c>
      <c r="B48" s="391"/>
      <c r="C48" s="391"/>
      <c r="D48" s="18"/>
      <c r="E48" s="392">
        <f>IF(W1=1,4.5,IF(W1=2,0,""))</f>
        <v>0</v>
      </c>
      <c r="F48" s="392"/>
      <c r="G48" s="392">
        <f>IF(W1=1,4.5,IF(W1=2,0,""))</f>
        <v>0</v>
      </c>
      <c r="H48" s="392"/>
      <c r="I48" s="392">
        <f>IF(W1=1,4.5,IF(W1=2,0,""))</f>
        <v>0</v>
      </c>
      <c r="J48" s="392"/>
      <c r="K48" s="393">
        <f>IF(W1=1,4.5,IF(W1=2,0,""))</f>
        <v>0</v>
      </c>
      <c r="L48" s="393"/>
      <c r="M48" s="394"/>
    </row>
    <row r="49" spans="1:13" ht="17.25" thickTop="1" thickBot="1" x14ac:dyDescent="0.3">
      <c r="A49" s="387" t="s">
        <v>54</v>
      </c>
      <c r="B49" s="388"/>
      <c r="C49" s="388"/>
      <c r="D49" s="19"/>
      <c r="E49" s="389">
        <f>IF(AND($W$9&lt;&gt;1,$W$9&lt;&gt;2,$W$9&lt;&gt;3,$W$9&lt;&gt;4,$W$9&lt;&gt;5,$W$9&lt;&gt;6),"SELECT OPT",$P$19)</f>
        <v>20.34</v>
      </c>
      <c r="F49" s="389"/>
      <c r="G49" s="389">
        <f>IF(AND($W$9&lt;&gt;1,$W$9&lt;&gt;2,$W$9&lt;&gt;3,$W$9&lt;&gt;4,$W$9&lt;&gt;5,$W$9&lt;&gt;6),"SELECT OPT",$Q$19)</f>
        <v>22.12</v>
      </c>
      <c r="H49" s="389"/>
      <c r="I49" s="389">
        <f>IF(AND($W$9&lt;&gt;1,$W$9&lt;&gt;2,$W$9&lt;&gt;3,$W$9&lt;&gt;4,$W$9&lt;&gt;5,$W$9&lt;&gt;6),"SELECT OPT",$R$19)</f>
        <v>25</v>
      </c>
      <c r="J49" s="389"/>
      <c r="K49" s="403">
        <f>ROUND((1+K39/100+K40/100+K41/100)*(1+K42/100)*(1+K43/100)/(1-K44/100)-1,4)</f>
        <v>0.252</v>
      </c>
      <c r="L49" s="403"/>
      <c r="M49" s="404"/>
    </row>
    <row r="50" spans="1:13" ht="17.25" thickTop="1" thickBot="1" x14ac:dyDescent="0.3">
      <c r="A50" s="135"/>
      <c r="B50" s="136"/>
      <c r="C50" s="136"/>
      <c r="D50" s="136"/>
      <c r="E50" s="137"/>
      <c r="F50" s="137"/>
      <c r="G50" s="137"/>
      <c r="H50" s="137"/>
      <c r="I50" s="137"/>
      <c r="J50" s="137"/>
      <c r="K50" s="138"/>
      <c r="L50" s="138"/>
      <c r="M50" s="148"/>
    </row>
    <row r="54" spans="1:13" x14ac:dyDescent="0.25">
      <c r="M54" s="161"/>
    </row>
    <row r="55" spans="1:13" x14ac:dyDescent="0.25">
      <c r="M55" s="161"/>
    </row>
    <row r="56" spans="1:13" x14ac:dyDescent="0.25">
      <c r="M56" s="161"/>
    </row>
    <row r="57" spans="1:13" ht="15.75" x14ac:dyDescent="0.25">
      <c r="M57" s="275" t="s">
        <v>2256</v>
      </c>
    </row>
    <row r="58" spans="1:13" x14ac:dyDescent="0.25">
      <c r="M58" s="161"/>
    </row>
    <row r="61" spans="1:13" x14ac:dyDescent="0.25">
      <c r="M61" s="161"/>
    </row>
    <row r="62" spans="1:13" x14ac:dyDescent="0.25">
      <c r="M62" s="162"/>
    </row>
    <row r="63" spans="1:13" x14ac:dyDescent="0.25">
      <c r="M63" s="162"/>
    </row>
  </sheetData>
  <mergeCells count="89">
    <mergeCell ref="N10:N20"/>
    <mergeCell ref="O10:Q10"/>
    <mergeCell ref="A20:M20"/>
    <mergeCell ref="T1:U1"/>
    <mergeCell ref="V1:V3"/>
    <mergeCell ref="W1:W3"/>
    <mergeCell ref="A19:C19"/>
    <mergeCell ref="D19:F19"/>
    <mergeCell ref="G19:M19"/>
    <mergeCell ref="T9:U9"/>
    <mergeCell ref="V9:V19"/>
    <mergeCell ref="O9:R9"/>
    <mergeCell ref="B12:G12"/>
    <mergeCell ref="A15:M15"/>
    <mergeCell ref="A17:M17"/>
    <mergeCell ref="A18:M18"/>
    <mergeCell ref="A1:M9"/>
    <mergeCell ref="W9:W19"/>
    <mergeCell ref="L10:L12"/>
    <mergeCell ref="N37:N38"/>
    <mergeCell ref="E38:F38"/>
    <mergeCell ref="G38:H38"/>
    <mergeCell ref="I38:J38"/>
    <mergeCell ref="A22:M22"/>
    <mergeCell ref="A23:M23"/>
    <mergeCell ref="A24:M24"/>
    <mergeCell ref="A26:M26"/>
    <mergeCell ref="A27:M27"/>
    <mergeCell ref="C29:K29"/>
    <mergeCell ref="A31:G31"/>
    <mergeCell ref="A32:G32"/>
    <mergeCell ref="A37:D38"/>
    <mergeCell ref="E37:J37"/>
    <mergeCell ref="K37:M38"/>
    <mergeCell ref="A40:C40"/>
    <mergeCell ref="E40:F40"/>
    <mergeCell ref="G40:H40"/>
    <mergeCell ref="I40:J40"/>
    <mergeCell ref="K40:M40"/>
    <mergeCell ref="A39:C39"/>
    <mergeCell ref="E39:F39"/>
    <mergeCell ref="G39:H39"/>
    <mergeCell ref="I39:J39"/>
    <mergeCell ref="K39:M39"/>
    <mergeCell ref="A42:C42"/>
    <mergeCell ref="E42:F42"/>
    <mergeCell ref="G42:H42"/>
    <mergeCell ref="I42:J42"/>
    <mergeCell ref="K42:M42"/>
    <mergeCell ref="A41:C41"/>
    <mergeCell ref="E41:F41"/>
    <mergeCell ref="G41:H41"/>
    <mergeCell ref="I41:J41"/>
    <mergeCell ref="K41:M41"/>
    <mergeCell ref="K49:M49"/>
    <mergeCell ref="A43:C43"/>
    <mergeCell ref="E43:F43"/>
    <mergeCell ref="G43:H43"/>
    <mergeCell ref="I43:J43"/>
    <mergeCell ref="K43:M43"/>
    <mergeCell ref="A44:C44"/>
    <mergeCell ref="E44:F44"/>
    <mergeCell ref="G44:H44"/>
    <mergeCell ref="I44:J44"/>
    <mergeCell ref="K44:M44"/>
    <mergeCell ref="K45:M45"/>
    <mergeCell ref="A46:C46"/>
    <mergeCell ref="E46:F46"/>
    <mergeCell ref="G46:H46"/>
    <mergeCell ref="I46:J46"/>
    <mergeCell ref="K46:M46"/>
    <mergeCell ref="A45:C45"/>
    <mergeCell ref="E45:F45"/>
    <mergeCell ref="G45:H45"/>
    <mergeCell ref="I45:J45"/>
    <mergeCell ref="K48:M48"/>
    <mergeCell ref="A47:C47"/>
    <mergeCell ref="E47:F47"/>
    <mergeCell ref="G47:H47"/>
    <mergeCell ref="I47:J47"/>
    <mergeCell ref="K47:M47"/>
    <mergeCell ref="A49:C49"/>
    <mergeCell ref="E49:F49"/>
    <mergeCell ref="G49:H49"/>
    <mergeCell ref="I49:J49"/>
    <mergeCell ref="A48:C48"/>
    <mergeCell ref="E48:F48"/>
    <mergeCell ref="G48:H48"/>
    <mergeCell ref="I48:J48"/>
  </mergeCells>
  <pageMargins left="0.51181102362204722" right="0.51181102362204722" top="0.78740157480314965" bottom="0.78740157480314965" header="0.31496062992125984" footer="0.31496062992125984"/>
  <pageSetup paperSize="9" scale="56" fitToHeight="0" orientation="landscape" r:id="rId1"/>
  <colBreaks count="1" manualBreakCount="1">
    <brk id="1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Drop Down 1">
              <controlPr defaultSize="0" print="0" autoLine="0" autoPict="0">
                <anchor moveWithCells="1">
                  <from>
                    <xdr:col>1</xdr:col>
                    <xdr:colOff>904875</xdr:colOff>
                    <xdr:row>18</xdr:row>
                    <xdr:rowOff>0</xdr:rowOff>
                  </from>
                  <to>
                    <xdr:col>3</xdr:col>
                    <xdr:colOff>76200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Drop Down 2">
              <controlPr defaultSize="0" print="0" autoLine="0" autoPict="0">
                <anchor moveWithCells="1">
                  <from>
                    <xdr:col>1</xdr:col>
                    <xdr:colOff>1190625</xdr:colOff>
                    <xdr:row>27</xdr:row>
                    <xdr:rowOff>76200</xdr:rowOff>
                  </from>
                  <to>
                    <xdr:col>3</xdr:col>
                    <xdr:colOff>504825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1762-89DE-4782-97BB-734060B4AC19}">
  <sheetPr>
    <pageSetUpPr fitToPage="1"/>
  </sheetPr>
  <dimension ref="A1:L75"/>
  <sheetViews>
    <sheetView showGridLines="0" topLeftCell="A28" zoomScale="70" zoomScaleNormal="70" zoomScaleSheetLayoutView="70" workbookViewId="0">
      <selection activeCell="M71" sqref="M71"/>
    </sheetView>
  </sheetViews>
  <sheetFormatPr defaultColWidth="9.140625" defaultRowHeight="15" x14ac:dyDescent="0.2"/>
  <cols>
    <col min="1" max="1" width="12.5703125" style="20" bestFit="1" customWidth="1"/>
    <col min="2" max="2" width="14.85546875" style="20" customWidth="1"/>
    <col min="3" max="3" width="25.140625" style="20" bestFit="1" customWidth="1"/>
    <col min="4" max="4" width="38.28515625" style="20" bestFit="1" customWidth="1"/>
    <col min="5" max="5" width="20.42578125" style="20" bestFit="1" customWidth="1"/>
    <col min="6" max="10" width="21.7109375" style="20" customWidth="1"/>
    <col min="11" max="11" width="16.42578125" style="20" bestFit="1" customWidth="1"/>
    <col min="12" max="12" width="10.28515625" style="20" bestFit="1" customWidth="1"/>
    <col min="13" max="16384" width="9.140625" style="20"/>
  </cols>
  <sheetData>
    <row r="1" spans="1:10" ht="16.5" customHeight="1" x14ac:dyDescent="0.2">
      <c r="A1" s="446" t="str">
        <f>'V-COMPOSIÇÕES PRÓPRIAS'!A1</f>
        <v>GABINETES DOS VEREADORES DE ARAGARÇAS - GO</v>
      </c>
      <c r="B1" s="447"/>
      <c r="C1" s="447"/>
      <c r="D1" s="447"/>
      <c r="E1" s="447"/>
      <c r="F1" s="447"/>
      <c r="G1" s="447"/>
      <c r="H1" s="447"/>
      <c r="I1" s="447"/>
      <c r="J1" s="448"/>
    </row>
    <row r="2" spans="1:10" ht="15" customHeight="1" x14ac:dyDescent="0.2">
      <c r="A2" s="449"/>
      <c r="B2" s="450"/>
      <c r="C2" s="450"/>
      <c r="D2" s="450"/>
      <c r="E2" s="450"/>
      <c r="F2" s="450"/>
      <c r="G2" s="450"/>
      <c r="H2" s="450"/>
      <c r="I2" s="450"/>
      <c r="J2" s="451"/>
    </row>
    <row r="3" spans="1:10" ht="15" customHeight="1" x14ac:dyDescent="0.2">
      <c r="A3" s="449"/>
      <c r="B3" s="450"/>
      <c r="C3" s="450"/>
      <c r="D3" s="450"/>
      <c r="E3" s="450"/>
      <c r="F3" s="450"/>
      <c r="G3" s="450"/>
      <c r="H3" s="450"/>
      <c r="I3" s="450"/>
      <c r="J3" s="451"/>
    </row>
    <row r="4" spans="1:10" ht="15" customHeight="1" x14ac:dyDescent="0.2">
      <c r="A4" s="449"/>
      <c r="B4" s="450"/>
      <c r="C4" s="450"/>
      <c r="D4" s="450"/>
      <c r="E4" s="450"/>
      <c r="F4" s="450"/>
      <c r="G4" s="450"/>
      <c r="H4" s="450"/>
      <c r="I4" s="450"/>
      <c r="J4" s="451"/>
    </row>
    <row r="5" spans="1:10" ht="15" customHeight="1" x14ac:dyDescent="0.2">
      <c r="A5" s="449"/>
      <c r="B5" s="450"/>
      <c r="C5" s="450"/>
      <c r="D5" s="450"/>
      <c r="E5" s="450"/>
      <c r="F5" s="450"/>
      <c r="G5" s="450"/>
      <c r="H5" s="450"/>
      <c r="I5" s="450"/>
      <c r="J5" s="451"/>
    </row>
    <row r="6" spans="1:10" ht="15" customHeight="1" x14ac:dyDescent="0.2">
      <c r="A6" s="449"/>
      <c r="B6" s="450"/>
      <c r="C6" s="450"/>
      <c r="D6" s="450"/>
      <c r="E6" s="450"/>
      <c r="F6" s="450"/>
      <c r="G6" s="450"/>
      <c r="H6" s="450"/>
      <c r="I6" s="450"/>
      <c r="J6" s="451"/>
    </row>
    <row r="7" spans="1:10" ht="15" customHeight="1" x14ac:dyDescent="0.2">
      <c r="A7" s="449"/>
      <c r="B7" s="450"/>
      <c r="C7" s="450"/>
      <c r="D7" s="450"/>
      <c r="E7" s="450"/>
      <c r="F7" s="450"/>
      <c r="G7" s="450"/>
      <c r="H7" s="450"/>
      <c r="I7" s="450"/>
      <c r="J7" s="451"/>
    </row>
    <row r="8" spans="1:10" ht="15" customHeight="1" x14ac:dyDescent="0.2">
      <c r="A8" s="449"/>
      <c r="B8" s="450"/>
      <c r="C8" s="450"/>
      <c r="D8" s="450"/>
      <c r="E8" s="450"/>
      <c r="F8" s="450"/>
      <c r="G8" s="450"/>
      <c r="H8" s="450"/>
      <c r="I8" s="450"/>
      <c r="J8" s="451"/>
    </row>
    <row r="9" spans="1:10" ht="15" customHeight="1" x14ac:dyDescent="0.2">
      <c r="A9" s="449"/>
      <c r="B9" s="450"/>
      <c r="C9" s="450"/>
      <c r="D9" s="450"/>
      <c r="E9" s="450"/>
      <c r="F9" s="450"/>
      <c r="G9" s="450"/>
      <c r="H9" s="450"/>
      <c r="I9" s="450"/>
      <c r="J9" s="451"/>
    </row>
    <row r="10" spans="1:10" ht="15.75" customHeight="1" thickBot="1" x14ac:dyDescent="0.25">
      <c r="A10" s="452"/>
      <c r="B10" s="453"/>
      <c r="C10" s="453"/>
      <c r="D10" s="453"/>
      <c r="E10" s="453"/>
      <c r="F10" s="453"/>
      <c r="G10" s="453"/>
      <c r="H10" s="453"/>
      <c r="I10" s="453"/>
      <c r="J10" s="454"/>
    </row>
    <row r="11" spans="1:10" ht="15.75" x14ac:dyDescent="0.2">
      <c r="A11" s="88" t="s">
        <v>7</v>
      </c>
      <c r="B11" s="30" t="str">
        <f>CAPA!$B$7</f>
        <v>GABINETES DOS VEREADORES DE ARAGARÇAS - GO</v>
      </c>
      <c r="C11" s="1"/>
      <c r="D11" s="1"/>
      <c r="E11" s="1"/>
      <c r="G11" s="160"/>
      <c r="H11" s="302" t="s">
        <v>8</v>
      </c>
      <c r="I11" s="457" t="str">
        <f>'VII-CURVA ABC'!G10</f>
        <v>SINAPI GO 9/2025</v>
      </c>
      <c r="J11" s="458"/>
    </row>
    <row r="12" spans="1:10" ht="15.75" x14ac:dyDescent="0.2">
      <c r="A12" s="88" t="s">
        <v>11</v>
      </c>
      <c r="B12" s="30" t="str">
        <f>CAPA!$B$8</f>
        <v>Rua José de Barros Souza, 09. Setor Centro Administrativo, Aragarças-GO.</v>
      </c>
      <c r="C12" s="1"/>
      <c r="D12" s="1"/>
      <c r="E12" s="1"/>
      <c r="G12" s="160"/>
      <c r="H12" s="303"/>
      <c r="I12" s="459" t="str">
        <f>'VII-CURVA ABC'!G11</f>
        <v>GOINFRA CIVIL (AGETOP) 8/2025</v>
      </c>
      <c r="J12" s="460"/>
    </row>
    <row r="13" spans="1:10" ht="15.75" x14ac:dyDescent="0.2">
      <c r="A13" s="88" t="s">
        <v>16</v>
      </c>
      <c r="B13" s="139">
        <f ca="1">TODAY()</f>
        <v>46071</v>
      </c>
      <c r="C13" s="1"/>
      <c r="D13" s="1"/>
      <c r="E13" s="1"/>
      <c r="G13" s="160"/>
      <c r="H13" s="303"/>
      <c r="I13" s="459" t="str">
        <f>'VII-CURVA ABC'!G12</f>
        <v>SICRO3 GO 7/2025</v>
      </c>
      <c r="J13" s="460"/>
    </row>
    <row r="14" spans="1:10" ht="15.75" x14ac:dyDescent="0.2">
      <c r="A14" s="98"/>
      <c r="C14" s="1"/>
      <c r="D14" s="1"/>
      <c r="E14" s="1"/>
      <c r="G14" s="140"/>
      <c r="H14" s="140" t="s">
        <v>18</v>
      </c>
      <c r="I14" s="459" t="str">
        <f>'I-RESUMO'!F9</f>
        <v>NÃO DESONERADO</v>
      </c>
      <c r="J14" s="460"/>
    </row>
    <row r="15" spans="1:10" ht="31.5" x14ac:dyDescent="0.2">
      <c r="A15" s="88"/>
      <c r="B15" s="139"/>
      <c r="C15" s="1"/>
      <c r="D15" s="1"/>
      <c r="E15" s="1"/>
      <c r="G15" s="31"/>
      <c r="H15" s="31" t="s">
        <v>55</v>
      </c>
      <c r="I15" s="315">
        <f>'I-RESUMO'!F10</f>
        <v>0.252</v>
      </c>
      <c r="J15" s="316"/>
    </row>
    <row r="16" spans="1:10" ht="15.75" thickBot="1" x14ac:dyDescent="0.25">
      <c r="A16" s="86"/>
      <c r="B16" s="1"/>
      <c r="C16" s="1"/>
      <c r="D16" s="1"/>
      <c r="E16" s="1"/>
      <c r="F16" s="1"/>
      <c r="G16" s="1"/>
      <c r="H16" s="1"/>
      <c r="I16" s="1"/>
      <c r="J16" s="141"/>
    </row>
    <row r="17" spans="1:12" ht="16.5" thickBot="1" x14ac:dyDescent="0.25">
      <c r="A17" s="304" t="str">
        <f>CAPA!$A$19</f>
        <v>ANEXO VIII - CRONOGRAMA FÍSICO-FINANCEIRO (CFF)</v>
      </c>
      <c r="B17" s="305"/>
      <c r="C17" s="305"/>
      <c r="D17" s="305"/>
      <c r="E17" s="305"/>
      <c r="F17" s="305"/>
      <c r="G17" s="305"/>
      <c r="H17" s="305"/>
      <c r="I17" s="305"/>
      <c r="J17" s="306"/>
    </row>
    <row r="18" spans="1:12" ht="15.75" x14ac:dyDescent="0.2">
      <c r="A18" s="475" t="s">
        <v>141</v>
      </c>
      <c r="B18" s="477" t="s">
        <v>142</v>
      </c>
      <c r="C18" s="477" t="s">
        <v>78</v>
      </c>
      <c r="D18" s="472" t="s">
        <v>143</v>
      </c>
      <c r="E18" s="480" t="s">
        <v>144</v>
      </c>
      <c r="F18" s="480" t="s">
        <v>727</v>
      </c>
      <c r="G18" s="482"/>
      <c r="H18" s="482"/>
      <c r="I18" s="482"/>
      <c r="J18" s="483"/>
    </row>
    <row r="19" spans="1:12" ht="15.75" x14ac:dyDescent="0.2">
      <c r="A19" s="476"/>
      <c r="B19" s="478"/>
      <c r="C19" s="478"/>
      <c r="D19" s="479"/>
      <c r="E19" s="481"/>
      <c r="F19" s="63">
        <v>30</v>
      </c>
      <c r="G19" s="174">
        <f>F19+30</f>
        <v>60</v>
      </c>
      <c r="H19" s="174">
        <f t="shared" ref="H19:J19" si="0">G19+30</f>
        <v>90</v>
      </c>
      <c r="I19" s="174">
        <f t="shared" si="0"/>
        <v>120</v>
      </c>
      <c r="J19" s="174">
        <f t="shared" si="0"/>
        <v>150</v>
      </c>
    </row>
    <row r="20" spans="1:12" x14ac:dyDescent="0.2">
      <c r="A20" s="465">
        <v>1</v>
      </c>
      <c r="B20" s="467"/>
      <c r="C20" s="468"/>
      <c r="D20" s="471"/>
      <c r="E20" s="64"/>
      <c r="F20" s="64"/>
      <c r="G20" s="175"/>
      <c r="H20" s="175"/>
      <c r="I20" s="175"/>
      <c r="J20" s="142"/>
    </row>
    <row r="21" spans="1:12" x14ac:dyDescent="0.2">
      <c r="A21" s="466"/>
      <c r="B21" s="469"/>
      <c r="C21" s="470"/>
      <c r="D21" s="472"/>
      <c r="E21" s="65"/>
      <c r="F21" s="66"/>
      <c r="G21" s="176"/>
      <c r="H21" s="176"/>
      <c r="I21" s="176"/>
      <c r="J21" s="143"/>
    </row>
    <row r="22" spans="1:12" x14ac:dyDescent="0.2">
      <c r="A22" s="465"/>
      <c r="B22" s="461">
        <v>1</v>
      </c>
      <c r="C22" s="461"/>
      <c r="D22" s="471"/>
      <c r="E22" s="64"/>
      <c r="F22" s="64"/>
      <c r="G22" s="175"/>
      <c r="H22" s="175"/>
      <c r="I22" s="175"/>
      <c r="J22" s="142"/>
    </row>
    <row r="23" spans="1:12" x14ac:dyDescent="0.2">
      <c r="A23" s="473"/>
      <c r="B23" s="462"/>
      <c r="C23" s="462"/>
      <c r="D23" s="472"/>
      <c r="E23" s="65"/>
      <c r="F23" s="66"/>
      <c r="G23" s="176"/>
      <c r="H23" s="176"/>
      <c r="I23" s="176"/>
      <c r="J23" s="143"/>
    </row>
    <row r="24" spans="1:12" ht="15" customHeight="1" x14ac:dyDescent="0.2">
      <c r="A24" s="473"/>
      <c r="B24" s="461"/>
      <c r="C24" s="461">
        <v>1</v>
      </c>
      <c r="D24" s="463" t="str">
        <f>VLOOKUP(C24,'II-PO'!$A$18:$M$295,5,0)</f>
        <v>ADMINISTRAÇÃO E CONTROLE</v>
      </c>
      <c r="E24" s="463">
        <f>VLOOKUP(C24,'II-PO'!$A$18:$M$295,13,0)</f>
        <v>83225.63</v>
      </c>
      <c r="F24" s="67">
        <f>F25*$E24</f>
        <v>14756.164789559691</v>
      </c>
      <c r="G24" s="67">
        <f t="shared" ref="G24:J24" si="1">G25*$E24</f>
        <v>22139.918614574912</v>
      </c>
      <c r="H24" s="67">
        <f t="shared" si="1"/>
        <v>18482.537893661734</v>
      </c>
      <c r="I24" s="67">
        <f t="shared" si="1"/>
        <v>17356.435525983077</v>
      </c>
      <c r="J24" s="67">
        <f t="shared" si="1"/>
        <v>10490.573176220585</v>
      </c>
      <c r="K24" s="20" t="b">
        <f>SUM(F24:J24)=E24</f>
        <v>1</v>
      </c>
    </row>
    <row r="25" spans="1:12" ht="15" customHeight="1" x14ac:dyDescent="0.2">
      <c r="A25" s="473"/>
      <c r="B25" s="474"/>
      <c r="C25" s="462"/>
      <c r="D25" s="464"/>
      <c r="E25" s="464"/>
      <c r="F25" s="68">
        <v>0.17730313113351848</v>
      </c>
      <c r="G25" s="177">
        <v>0.26602284193673165</v>
      </c>
      <c r="H25" s="177">
        <v>0.2220774765377172</v>
      </c>
      <c r="I25" s="177">
        <v>0.20854676048692061</v>
      </c>
      <c r="J25" s="144">
        <v>0.12604978990511198</v>
      </c>
      <c r="K25" s="20" t="b">
        <f>SUM(F25:J25)=1</f>
        <v>1</v>
      </c>
      <c r="L25" s="69"/>
    </row>
    <row r="26" spans="1:12" ht="15" customHeight="1" x14ac:dyDescent="0.2">
      <c r="A26" s="473"/>
      <c r="B26" s="474"/>
      <c r="C26" s="461">
        <v>2</v>
      </c>
      <c r="D26" s="463" t="str">
        <f>VLOOKUP(C26,'II-PO'!$A$18:$M$295,5,0)</f>
        <v>SERVIÇOS PRELIMINARES E CANTEIROS DE OBRAS</v>
      </c>
      <c r="E26" s="463">
        <f>VLOOKUP(C26,'II-PO'!$A$18:$M$295,13,0)</f>
        <v>40567.399999999994</v>
      </c>
      <c r="F26" s="67">
        <f>F27*$E26</f>
        <v>32453.919999999998</v>
      </c>
      <c r="G26" s="67">
        <f t="shared" ref="G26" si="2">G27*$E26</f>
        <v>2028.37</v>
      </c>
      <c r="H26" s="67">
        <f t="shared" ref="H26" si="3">H27*$E26</f>
        <v>2028.37</v>
      </c>
      <c r="I26" s="67">
        <f t="shared" ref="I26" si="4">I27*$E26</f>
        <v>2028.37</v>
      </c>
      <c r="J26" s="67">
        <f t="shared" ref="J26" si="5">J27*$E26</f>
        <v>2028.37</v>
      </c>
      <c r="K26" s="20" t="b">
        <f>SUM(F26:J26)=E26</f>
        <v>1</v>
      </c>
    </row>
    <row r="27" spans="1:12" ht="15" customHeight="1" x14ac:dyDescent="0.2">
      <c r="A27" s="473"/>
      <c r="B27" s="474"/>
      <c r="C27" s="462"/>
      <c r="D27" s="464"/>
      <c r="E27" s="464"/>
      <c r="F27" s="68">
        <v>0.8</v>
      </c>
      <c r="G27" s="177">
        <v>0.05</v>
      </c>
      <c r="H27" s="177">
        <v>0.05</v>
      </c>
      <c r="I27" s="177">
        <v>0.05</v>
      </c>
      <c r="J27" s="144">
        <v>0.05</v>
      </c>
      <c r="K27" s="20" t="b">
        <f>SUM(F27:J27)=1</f>
        <v>1</v>
      </c>
    </row>
    <row r="28" spans="1:12" ht="15" customHeight="1" x14ac:dyDescent="0.2">
      <c r="A28" s="473"/>
      <c r="B28" s="474"/>
      <c r="C28" s="461">
        <v>3</v>
      </c>
      <c r="D28" s="463" t="str">
        <f>VLOOKUP(C28,'II-PO'!$A$18:$M$295,5,0)</f>
        <v>MOVIMENTAÇÃO DE TERRA</v>
      </c>
      <c r="E28" s="463">
        <f>VLOOKUP(C28,'II-PO'!$A$18:$M$295,13,0)</f>
        <v>4977.3899999999994</v>
      </c>
      <c r="F28" s="67">
        <f>F29*$E28</f>
        <v>4977.3899999999994</v>
      </c>
      <c r="G28" s="67">
        <f t="shared" ref="G28" si="6">G29*$E28</f>
        <v>0</v>
      </c>
      <c r="H28" s="67">
        <f t="shared" ref="H28" si="7">H29*$E28</f>
        <v>0</v>
      </c>
      <c r="I28" s="67">
        <f t="shared" ref="I28" si="8">I29*$E28</f>
        <v>0</v>
      </c>
      <c r="J28" s="67">
        <f t="shared" ref="J28" si="9">J29*$E28</f>
        <v>0</v>
      </c>
      <c r="K28" s="20" t="b">
        <f>SUM(F28:J28)=E28</f>
        <v>1</v>
      </c>
    </row>
    <row r="29" spans="1:12" ht="15" customHeight="1" x14ac:dyDescent="0.2">
      <c r="A29" s="473"/>
      <c r="B29" s="474"/>
      <c r="C29" s="462"/>
      <c r="D29" s="464"/>
      <c r="E29" s="464"/>
      <c r="F29" s="68">
        <v>1</v>
      </c>
      <c r="G29" s="177"/>
      <c r="H29" s="177"/>
      <c r="I29" s="177"/>
      <c r="J29" s="144"/>
      <c r="K29" s="20" t="b">
        <f>SUM(F29:J29)=1</f>
        <v>1</v>
      </c>
    </row>
    <row r="30" spans="1:12" ht="15" customHeight="1" x14ac:dyDescent="0.2">
      <c r="A30" s="473"/>
      <c r="B30" s="474"/>
      <c r="C30" s="461">
        <v>4</v>
      </c>
      <c r="D30" s="463" t="str">
        <f>VLOOKUP(C30,'II-PO'!$A$18:$M$295,5,0)</f>
        <v>INFRAESTRUTURA</v>
      </c>
      <c r="E30" s="463">
        <f>VLOOKUP(C30,'II-PO'!$A$18:$M$295,13,0)</f>
        <v>94614.66</v>
      </c>
      <c r="F30" s="67">
        <f>F31*$E30</f>
        <v>75691.728000000003</v>
      </c>
      <c r="G30" s="67">
        <f t="shared" ref="G30" si="10">G31*$E30</f>
        <v>18922.932000000001</v>
      </c>
      <c r="H30" s="67">
        <f t="shared" ref="H30" si="11">H31*$E30</f>
        <v>0</v>
      </c>
      <c r="I30" s="67">
        <f t="shared" ref="I30" si="12">I31*$E30</f>
        <v>0</v>
      </c>
      <c r="J30" s="67">
        <f t="shared" ref="J30" si="13">J31*$E30</f>
        <v>0</v>
      </c>
      <c r="K30" s="20" t="b">
        <f>SUM(F30:J30)=E30</f>
        <v>1</v>
      </c>
    </row>
    <row r="31" spans="1:12" ht="15" customHeight="1" x14ac:dyDescent="0.2">
      <c r="A31" s="473"/>
      <c r="B31" s="474"/>
      <c r="C31" s="462"/>
      <c r="D31" s="464"/>
      <c r="E31" s="464"/>
      <c r="F31" s="68">
        <v>0.8</v>
      </c>
      <c r="G31" s="177">
        <v>0.2</v>
      </c>
      <c r="H31" s="177"/>
      <c r="I31" s="177"/>
      <c r="J31" s="144"/>
      <c r="K31" s="20" t="b">
        <f>SUM(F31:J31)=1</f>
        <v>1</v>
      </c>
    </row>
    <row r="32" spans="1:12" ht="15" customHeight="1" x14ac:dyDescent="0.2">
      <c r="A32" s="473"/>
      <c r="B32" s="474"/>
      <c r="C32" s="461">
        <v>5</v>
      </c>
      <c r="D32" s="463" t="str">
        <f>VLOOKUP(C32,'II-PO'!$A$18:$M$295,5,0)</f>
        <v>SUPERESTRUTURAS</v>
      </c>
      <c r="E32" s="463">
        <f>VLOOKUP(C32,'II-PO'!$A$18:$M$295,13,0)</f>
        <v>171208.69</v>
      </c>
      <c r="F32" s="67">
        <f>F33*$E32</f>
        <v>85604.345000000001</v>
      </c>
      <c r="G32" s="67">
        <f t="shared" ref="G32" si="14">G33*$E32</f>
        <v>85604.345000000001</v>
      </c>
      <c r="H32" s="67">
        <f t="shared" ref="H32" si="15">H33*$E32</f>
        <v>0</v>
      </c>
      <c r="I32" s="67">
        <f t="shared" ref="I32" si="16">I33*$E32</f>
        <v>0</v>
      </c>
      <c r="J32" s="67">
        <f t="shared" ref="J32" si="17">J33*$E32</f>
        <v>0</v>
      </c>
      <c r="K32" s="20" t="b">
        <f>SUM(F32:J32)=E32</f>
        <v>1</v>
      </c>
    </row>
    <row r="33" spans="1:11" ht="15" customHeight="1" x14ac:dyDescent="0.2">
      <c r="A33" s="473"/>
      <c r="B33" s="474"/>
      <c r="C33" s="462"/>
      <c r="D33" s="464"/>
      <c r="E33" s="464"/>
      <c r="F33" s="68">
        <v>0.5</v>
      </c>
      <c r="G33" s="177">
        <v>0.5</v>
      </c>
      <c r="H33" s="177"/>
      <c r="I33" s="177"/>
      <c r="J33" s="144"/>
      <c r="K33" s="20" t="b">
        <f>SUM(F33:J33)=1</f>
        <v>1</v>
      </c>
    </row>
    <row r="34" spans="1:11" ht="15" customHeight="1" x14ac:dyDescent="0.2">
      <c r="A34" s="473"/>
      <c r="B34" s="474"/>
      <c r="C34" s="461">
        <v>6</v>
      </c>
      <c r="D34" s="463" t="str">
        <f>VLOOKUP(C34,'II-PO'!$A$18:$M$295,5,0)</f>
        <v>ALVENARIAS E FECHAMENTOS</v>
      </c>
      <c r="E34" s="463">
        <f>VLOOKUP(C34,'II-PO'!$A$18:$M$295,13,0)</f>
        <v>148188.20000000001</v>
      </c>
      <c r="F34" s="67">
        <f>F35*$E34</f>
        <v>0</v>
      </c>
      <c r="G34" s="67">
        <f t="shared" ref="G34" si="18">G35*$E34</f>
        <v>59275.280000000006</v>
      </c>
      <c r="H34" s="67">
        <f t="shared" ref="H34" si="19">H35*$E34</f>
        <v>88912.92</v>
      </c>
      <c r="I34" s="67">
        <f t="shared" ref="I34" si="20">I35*$E34</f>
        <v>0</v>
      </c>
      <c r="J34" s="67">
        <f t="shared" ref="J34" si="21">J35*$E34</f>
        <v>0</v>
      </c>
      <c r="K34" s="20" t="b">
        <f>SUM(F34:J34)=E34</f>
        <v>1</v>
      </c>
    </row>
    <row r="35" spans="1:11" ht="15" customHeight="1" x14ac:dyDescent="0.2">
      <c r="A35" s="473"/>
      <c r="B35" s="474"/>
      <c r="C35" s="462"/>
      <c r="D35" s="464"/>
      <c r="E35" s="464"/>
      <c r="F35" s="68"/>
      <c r="G35" s="177">
        <v>0.4</v>
      </c>
      <c r="H35" s="177">
        <v>0.6</v>
      </c>
      <c r="I35" s="177"/>
      <c r="J35" s="144"/>
      <c r="K35" s="20" t="b">
        <f>SUM(F35:J35)=1</f>
        <v>1</v>
      </c>
    </row>
    <row r="36" spans="1:11" ht="15" customHeight="1" x14ac:dyDescent="0.2">
      <c r="A36" s="473"/>
      <c r="B36" s="474"/>
      <c r="C36" s="461">
        <v>7</v>
      </c>
      <c r="D36" s="463" t="str">
        <f>VLOOKUP(C36,'II-PO'!$A$18:$M$295,5,0)</f>
        <v>PISOS</v>
      </c>
      <c r="E36" s="463">
        <f>VLOOKUP(C36,'II-PO'!$A$18:$M$295,13,0)</f>
        <v>114325.31999999999</v>
      </c>
      <c r="F36" s="67">
        <f>F37*$E36</f>
        <v>0</v>
      </c>
      <c r="G36" s="67">
        <f t="shared" ref="G36" si="22">G37*$E36</f>
        <v>45730.127999999997</v>
      </c>
      <c r="H36" s="67">
        <f t="shared" ref="H36" si="23">H37*$E36</f>
        <v>68595.191999999995</v>
      </c>
      <c r="I36" s="67">
        <f t="shared" ref="I36" si="24">I37*$E36</f>
        <v>0</v>
      </c>
      <c r="J36" s="67">
        <f t="shared" ref="J36" si="25">J37*$E36</f>
        <v>0</v>
      </c>
      <c r="K36" s="20" t="b">
        <f>SUM(F36:J36)=E36</f>
        <v>1</v>
      </c>
    </row>
    <row r="37" spans="1:11" ht="15" customHeight="1" x14ac:dyDescent="0.2">
      <c r="A37" s="473"/>
      <c r="B37" s="474"/>
      <c r="C37" s="462"/>
      <c r="D37" s="464"/>
      <c r="E37" s="464"/>
      <c r="F37" s="68"/>
      <c r="G37" s="177">
        <v>0.4</v>
      </c>
      <c r="H37" s="177">
        <v>0.6</v>
      </c>
      <c r="I37" s="177"/>
      <c r="J37" s="144"/>
      <c r="K37" s="20" t="b">
        <f>SUM(F37:J37)=1</f>
        <v>1</v>
      </c>
    </row>
    <row r="38" spans="1:11" ht="15" customHeight="1" x14ac:dyDescent="0.2">
      <c r="A38" s="473"/>
      <c r="B38" s="474"/>
      <c r="C38" s="461">
        <v>8</v>
      </c>
      <c r="D38" s="463" t="str">
        <f>VLOOKUP(C38,'II-PO'!$A$18:$M$295,5,0)</f>
        <v>IMPERMEABILIZAÇÃO</v>
      </c>
      <c r="E38" s="463">
        <f>VLOOKUP(C38,'II-PO'!$A$18:$M$295,13,0)</f>
        <v>13845.56</v>
      </c>
      <c r="F38" s="67">
        <f>F39*$E38</f>
        <v>0</v>
      </c>
      <c r="G38" s="67">
        <f t="shared" ref="G38" si="26">G39*$E38</f>
        <v>5538.2240000000002</v>
      </c>
      <c r="H38" s="67">
        <f t="shared" ref="H38" si="27">H39*$E38</f>
        <v>8307.3359999999993</v>
      </c>
      <c r="I38" s="67">
        <f t="shared" ref="I38" si="28">I39*$E38</f>
        <v>0</v>
      </c>
      <c r="J38" s="67">
        <f t="shared" ref="J38" si="29">J39*$E38</f>
        <v>0</v>
      </c>
      <c r="K38" s="20" t="b">
        <f>SUM(F38:J38)=E38</f>
        <v>1</v>
      </c>
    </row>
    <row r="39" spans="1:11" ht="15" customHeight="1" x14ac:dyDescent="0.2">
      <c r="A39" s="473"/>
      <c r="B39" s="474"/>
      <c r="C39" s="462"/>
      <c r="D39" s="464"/>
      <c r="E39" s="464"/>
      <c r="F39" s="68"/>
      <c r="G39" s="177">
        <v>0.4</v>
      </c>
      <c r="H39" s="177">
        <v>0.6</v>
      </c>
      <c r="I39" s="177"/>
      <c r="J39" s="144"/>
      <c r="K39" s="20" t="b">
        <f>SUM(F39:J39)=1</f>
        <v>1</v>
      </c>
    </row>
    <row r="40" spans="1:11" ht="15" customHeight="1" x14ac:dyDescent="0.2">
      <c r="A40" s="473"/>
      <c r="B40" s="474"/>
      <c r="C40" s="461">
        <v>9</v>
      </c>
      <c r="D40" s="463" t="str">
        <f>VLOOKUP(C40,'II-PO'!$A$18:$M$295,5,0)</f>
        <v>ESQUADRIAS</v>
      </c>
      <c r="E40" s="463">
        <f>VLOOKUP(C40,'II-PO'!$A$18:$M$295,13,0)</f>
        <v>61968.319999999992</v>
      </c>
      <c r="F40" s="67">
        <f>F41*$E40</f>
        <v>0</v>
      </c>
      <c r="G40" s="67">
        <f t="shared" ref="G40" si="30">G41*$E40</f>
        <v>0</v>
      </c>
      <c r="H40" s="67">
        <f t="shared" ref="H40" si="31">H41*$E40</f>
        <v>0</v>
      </c>
      <c r="I40" s="67">
        <f t="shared" ref="I40" si="32">I41*$E40</f>
        <v>49574.655999999995</v>
      </c>
      <c r="J40" s="67">
        <f t="shared" ref="J40" si="33">J41*$E40</f>
        <v>12393.663999999999</v>
      </c>
      <c r="K40" s="20" t="b">
        <f>SUM(F40:J40)=E40</f>
        <v>1</v>
      </c>
    </row>
    <row r="41" spans="1:11" ht="15" customHeight="1" x14ac:dyDescent="0.2">
      <c r="A41" s="473"/>
      <c r="B41" s="474"/>
      <c r="C41" s="462"/>
      <c r="D41" s="464"/>
      <c r="E41" s="464"/>
      <c r="F41" s="68"/>
      <c r="G41" s="177"/>
      <c r="H41" s="177"/>
      <c r="I41" s="177">
        <v>0.8</v>
      </c>
      <c r="J41" s="144">
        <v>0.2</v>
      </c>
      <c r="K41" s="20" t="b">
        <f>SUM(F41:J41)=1</f>
        <v>1</v>
      </c>
    </row>
    <row r="42" spans="1:11" ht="15" customHeight="1" x14ac:dyDescent="0.2">
      <c r="A42" s="473"/>
      <c r="B42" s="474"/>
      <c r="C42" s="461">
        <v>10</v>
      </c>
      <c r="D42" s="463" t="str">
        <f>VLOOKUP(C42,'II-PO'!$A$18:$M$295,5,0)</f>
        <v>PINTURA</v>
      </c>
      <c r="E42" s="463">
        <f>VLOOKUP(C42,'II-PO'!$A$18:$M$295,13,0)</f>
        <v>67365.649999999994</v>
      </c>
      <c r="F42" s="67">
        <f>F43*$E42</f>
        <v>0</v>
      </c>
      <c r="G42" s="67">
        <f t="shared" ref="G42" si="34">G43*$E42</f>
        <v>0</v>
      </c>
      <c r="H42" s="67">
        <f t="shared" ref="H42" si="35">H43*$E42</f>
        <v>0</v>
      </c>
      <c r="I42" s="67">
        <f t="shared" ref="I42" si="36">I43*$E42</f>
        <v>53892.52</v>
      </c>
      <c r="J42" s="67">
        <f t="shared" ref="J42" si="37">J43*$E42</f>
        <v>13473.13</v>
      </c>
      <c r="K42" s="20" t="b">
        <f>SUM(F42:J42)=E42</f>
        <v>1</v>
      </c>
    </row>
    <row r="43" spans="1:11" ht="15" customHeight="1" x14ac:dyDescent="0.2">
      <c r="A43" s="473"/>
      <c r="B43" s="474"/>
      <c r="C43" s="462"/>
      <c r="D43" s="464"/>
      <c r="E43" s="464"/>
      <c r="F43" s="68"/>
      <c r="G43" s="177"/>
      <c r="H43" s="177"/>
      <c r="I43" s="177">
        <v>0.8</v>
      </c>
      <c r="J43" s="144">
        <v>0.2</v>
      </c>
      <c r="K43" s="20" t="b">
        <f>SUM(F43:J43)=1</f>
        <v>1</v>
      </c>
    </row>
    <row r="44" spans="1:11" ht="15" customHeight="1" x14ac:dyDescent="0.2">
      <c r="A44" s="473"/>
      <c r="B44" s="474"/>
      <c r="C44" s="461">
        <v>11</v>
      </c>
      <c r="D44" s="463" t="str">
        <f>VLOOKUP(C44,'II-PO'!$A$18:$M$295,5,0)</f>
        <v>COBERTURA</v>
      </c>
      <c r="E44" s="463">
        <f>VLOOKUP(C44,'II-PO'!$A$18:$M$295,13,0)</f>
        <v>162136.35</v>
      </c>
      <c r="F44" s="67">
        <f>F45*$E44</f>
        <v>0</v>
      </c>
      <c r="G44" s="67">
        <f t="shared" ref="G44" si="38">G45*$E44</f>
        <v>81068.175000000003</v>
      </c>
      <c r="H44" s="67">
        <f t="shared" ref="H44" si="39">H45*$E44</f>
        <v>81068.175000000003</v>
      </c>
      <c r="I44" s="67">
        <f t="shared" ref="I44" si="40">I45*$E44</f>
        <v>0</v>
      </c>
      <c r="J44" s="67">
        <f t="shared" ref="J44" si="41">J45*$E44</f>
        <v>0</v>
      </c>
      <c r="K44" s="20" t="b">
        <f>SUM(F44:J44)=E44</f>
        <v>1</v>
      </c>
    </row>
    <row r="45" spans="1:11" ht="15" customHeight="1" x14ac:dyDescent="0.2">
      <c r="A45" s="473"/>
      <c r="B45" s="474"/>
      <c r="C45" s="462"/>
      <c r="D45" s="464"/>
      <c r="E45" s="464"/>
      <c r="F45" s="68"/>
      <c r="G45" s="177">
        <v>0.5</v>
      </c>
      <c r="H45" s="177">
        <v>0.5</v>
      </c>
      <c r="I45" s="177"/>
      <c r="J45" s="144"/>
      <c r="K45" s="20" t="b">
        <f>SUM(F45:J45)=1</f>
        <v>1</v>
      </c>
    </row>
    <row r="46" spans="1:11" ht="15" customHeight="1" x14ac:dyDescent="0.2">
      <c r="A46" s="473"/>
      <c r="B46" s="474"/>
      <c r="C46" s="461">
        <v>12</v>
      </c>
      <c r="D46" s="463" t="str">
        <f>VLOOKUP(C46,'II-PO'!$A$18:$M$295,5,0)</f>
        <v>FORRO</v>
      </c>
      <c r="E46" s="463">
        <f>VLOOKUP(C46,'II-PO'!$A$18:$M$295,13,0)</f>
        <v>74987.19</v>
      </c>
      <c r="F46" s="67">
        <f>F47*$E46</f>
        <v>0</v>
      </c>
      <c r="G46" s="67">
        <f t="shared" ref="G46" si="42">G47*$E46</f>
        <v>0</v>
      </c>
      <c r="H46" s="67">
        <f t="shared" ref="H46" si="43">H47*$E46</f>
        <v>0</v>
      </c>
      <c r="I46" s="67">
        <f t="shared" ref="I46" si="44">I47*$E46</f>
        <v>59989.752000000008</v>
      </c>
      <c r="J46" s="67">
        <f t="shared" ref="J46" si="45">J47*$E46</f>
        <v>14997.438000000002</v>
      </c>
      <c r="K46" s="20" t="b">
        <f>SUM(F46:J46)=E46</f>
        <v>1</v>
      </c>
    </row>
    <row r="47" spans="1:11" ht="15" customHeight="1" x14ac:dyDescent="0.2">
      <c r="A47" s="473"/>
      <c r="B47" s="474"/>
      <c r="C47" s="462"/>
      <c r="D47" s="464"/>
      <c r="E47" s="464"/>
      <c r="F47" s="68"/>
      <c r="G47" s="177"/>
      <c r="H47" s="177"/>
      <c r="I47" s="177">
        <v>0.8</v>
      </c>
      <c r="J47" s="144">
        <v>0.2</v>
      </c>
      <c r="K47" s="20" t="b">
        <f>SUM(F47:J47)=1</f>
        <v>1</v>
      </c>
    </row>
    <row r="48" spans="1:11" ht="15" customHeight="1" x14ac:dyDescent="0.2">
      <c r="A48" s="473"/>
      <c r="B48" s="474"/>
      <c r="C48" s="461">
        <v>13</v>
      </c>
      <c r="D48" s="463" t="str">
        <f>VLOOKUP(C48,'II-PO'!$A$18:$M$295,5,0)</f>
        <v>HIDROSSANITÁRIO</v>
      </c>
      <c r="E48" s="463">
        <f>VLOOKUP(C48,'II-PO'!$A$18:$M$295,13,0)</f>
        <v>38194.050000000003</v>
      </c>
      <c r="F48" s="67">
        <f>F49*$E48</f>
        <v>0</v>
      </c>
      <c r="G48" s="67">
        <f t="shared" ref="G48" si="46">G49*$E48</f>
        <v>0</v>
      </c>
      <c r="H48" s="67">
        <f t="shared" ref="H48" si="47">H49*$E48</f>
        <v>0</v>
      </c>
      <c r="I48" s="67">
        <f t="shared" ref="I48" si="48">I49*$E48</f>
        <v>30555.240000000005</v>
      </c>
      <c r="J48" s="67">
        <f t="shared" ref="J48" si="49">J49*$E48</f>
        <v>7638.8100000000013</v>
      </c>
      <c r="K48" s="20" t="b">
        <f>SUM(F48:J48)=E48</f>
        <v>1</v>
      </c>
    </row>
    <row r="49" spans="1:11" ht="15" customHeight="1" x14ac:dyDescent="0.2">
      <c r="A49" s="473"/>
      <c r="B49" s="474"/>
      <c r="C49" s="462"/>
      <c r="D49" s="464"/>
      <c r="E49" s="464"/>
      <c r="F49" s="68"/>
      <c r="G49" s="177"/>
      <c r="H49" s="177"/>
      <c r="I49" s="177">
        <v>0.8</v>
      </c>
      <c r="J49" s="144">
        <v>0.2</v>
      </c>
      <c r="K49" s="20" t="b">
        <f>SUM(F49:J49)=1</f>
        <v>1</v>
      </c>
    </row>
    <row r="50" spans="1:11" ht="15" customHeight="1" x14ac:dyDescent="0.2">
      <c r="A50" s="473"/>
      <c r="B50" s="474"/>
      <c r="C50" s="461">
        <v>14</v>
      </c>
      <c r="D50" s="463" t="str">
        <f>VLOOKUP(C50,'II-PO'!$A$18:$M$295,5,0)</f>
        <v>ELÉTRICO</v>
      </c>
      <c r="E50" s="463">
        <f>VLOOKUP(C50,'II-PO'!$A$18:$M$295,13,0)</f>
        <v>47132.21</v>
      </c>
      <c r="F50" s="67">
        <f>F51*$E50</f>
        <v>0</v>
      </c>
      <c r="G50" s="67">
        <f t="shared" ref="G50" si="50">G51*$E50</f>
        <v>0</v>
      </c>
      <c r="H50" s="67">
        <f t="shared" ref="H50" si="51">H51*$E50</f>
        <v>0</v>
      </c>
      <c r="I50" s="67">
        <f t="shared" ref="I50" si="52">I51*$E50</f>
        <v>37705.768000000004</v>
      </c>
      <c r="J50" s="67">
        <f t="shared" ref="J50" si="53">J51*$E50</f>
        <v>9426.4420000000009</v>
      </c>
      <c r="K50" s="20" t="b">
        <f>SUM(F50:J50)=E50</f>
        <v>1</v>
      </c>
    </row>
    <row r="51" spans="1:11" ht="15" customHeight="1" x14ac:dyDescent="0.2">
      <c r="A51" s="473"/>
      <c r="B51" s="474"/>
      <c r="C51" s="462"/>
      <c r="D51" s="464"/>
      <c r="E51" s="464"/>
      <c r="F51" s="68"/>
      <c r="G51" s="177"/>
      <c r="H51" s="177"/>
      <c r="I51" s="177">
        <v>0.8</v>
      </c>
      <c r="J51" s="144">
        <v>0.2</v>
      </c>
      <c r="K51" s="20" t="b">
        <f>SUM(F51:J51)=1</f>
        <v>1</v>
      </c>
    </row>
    <row r="52" spans="1:11" ht="15" customHeight="1" x14ac:dyDescent="0.2">
      <c r="A52" s="473"/>
      <c r="B52" s="474"/>
      <c r="C52" s="461">
        <v>15</v>
      </c>
      <c r="D52" s="463" t="str">
        <f>VLOOKUP(C52,'II-PO'!$A$18:$M$295,5,0)</f>
        <v>FACHADA</v>
      </c>
      <c r="E52" s="463">
        <f>VLOOKUP(C52,'II-PO'!$A$18:$M$295,13,0)</f>
        <v>65000.97</v>
      </c>
      <c r="F52" s="67">
        <f>F53*$E52</f>
        <v>0</v>
      </c>
      <c r="G52" s="67">
        <f t="shared" ref="G52" si="54">G53*$E52</f>
        <v>0</v>
      </c>
      <c r="H52" s="67">
        <f t="shared" ref="H52" si="55">H53*$E52</f>
        <v>0</v>
      </c>
      <c r="I52" s="67">
        <f t="shared" ref="I52" si="56">I53*$E52</f>
        <v>0</v>
      </c>
      <c r="J52" s="67">
        <f t="shared" ref="J52" si="57">J53*$E52</f>
        <v>65000.97</v>
      </c>
      <c r="K52" s="20" t="b">
        <f>SUM(F52:J52)=E52</f>
        <v>1</v>
      </c>
    </row>
    <row r="53" spans="1:11" ht="15" customHeight="1" x14ac:dyDescent="0.2">
      <c r="A53" s="473"/>
      <c r="B53" s="474"/>
      <c r="C53" s="462"/>
      <c r="D53" s="464"/>
      <c r="E53" s="464"/>
      <c r="F53" s="68"/>
      <c r="G53" s="177"/>
      <c r="H53" s="177"/>
      <c r="I53" s="177"/>
      <c r="J53" s="144">
        <v>1</v>
      </c>
      <c r="K53" s="20" t="b">
        <f>SUM(F53:J53)=1</f>
        <v>1</v>
      </c>
    </row>
    <row r="54" spans="1:11" ht="15" customHeight="1" x14ac:dyDescent="0.2">
      <c r="A54" s="473"/>
      <c r="B54" s="474"/>
      <c r="C54" s="461">
        <v>16</v>
      </c>
      <c r="D54" s="463" t="str">
        <f>VLOOKUP(C54,'II-PO'!$A$18:$M$295,5,0)</f>
        <v>JARDINAGEM</v>
      </c>
      <c r="E54" s="463">
        <f>VLOOKUP(C54,'II-PO'!$A$18:$M$295,13,0)</f>
        <v>8122.7699999999995</v>
      </c>
      <c r="F54" s="67">
        <f>F55*$E54</f>
        <v>0</v>
      </c>
      <c r="G54" s="67">
        <f t="shared" ref="G54" si="58">G55*$E54</f>
        <v>0</v>
      </c>
      <c r="H54" s="67">
        <f t="shared" ref="H54" si="59">H55*$E54</f>
        <v>0</v>
      </c>
      <c r="I54" s="67">
        <f t="shared" ref="I54" si="60">I55*$E54</f>
        <v>0</v>
      </c>
      <c r="J54" s="67">
        <f t="shared" ref="J54" si="61">J55*$E54</f>
        <v>8122.7699999999995</v>
      </c>
      <c r="K54" s="20" t="b">
        <f>SUM(F54:J54)=E54</f>
        <v>1</v>
      </c>
    </row>
    <row r="55" spans="1:11" ht="15" customHeight="1" x14ac:dyDescent="0.2">
      <c r="A55" s="473"/>
      <c r="B55" s="474"/>
      <c r="C55" s="462"/>
      <c r="D55" s="464"/>
      <c r="E55" s="464"/>
      <c r="F55" s="68"/>
      <c r="G55" s="177"/>
      <c r="H55" s="177"/>
      <c r="I55" s="177"/>
      <c r="J55" s="144">
        <v>1</v>
      </c>
      <c r="K55" s="20" t="b">
        <f>SUM(F55:J55)=1</f>
        <v>1</v>
      </c>
    </row>
    <row r="56" spans="1:11" ht="15" customHeight="1" x14ac:dyDescent="0.2">
      <c r="A56" s="473"/>
      <c r="B56" s="474"/>
      <c r="C56" s="461">
        <v>17</v>
      </c>
      <c r="D56" s="463" t="str">
        <f>VLOOKUP(C56,'II-PO'!$A$18:$M$295,5,0)</f>
        <v>FINALIZAÇÃO E LIMPEZA DE OBRA</v>
      </c>
      <c r="E56" s="463">
        <f>VLOOKUP(C56,'II-PO'!$A$18:$M$295,13,0)</f>
        <v>8199.3000000000011</v>
      </c>
      <c r="F56" s="67">
        <f>F57*$E56</f>
        <v>0</v>
      </c>
      <c r="G56" s="67">
        <f t="shared" ref="G56" si="62">G57*$E56</f>
        <v>0</v>
      </c>
      <c r="H56" s="67">
        <f t="shared" ref="H56" si="63">H57*$E56</f>
        <v>0</v>
      </c>
      <c r="I56" s="67">
        <f t="shared" ref="I56" si="64">I57*$E56</f>
        <v>0</v>
      </c>
      <c r="J56" s="67">
        <f t="shared" ref="J56" si="65">J57*$E56</f>
        <v>8199.3000000000011</v>
      </c>
      <c r="K56" s="20" t="b">
        <f>SUM(F56:J56)=E56</f>
        <v>1</v>
      </c>
    </row>
    <row r="57" spans="1:11" ht="15" customHeight="1" x14ac:dyDescent="0.2">
      <c r="A57" s="473"/>
      <c r="B57" s="474"/>
      <c r="C57" s="462"/>
      <c r="D57" s="464"/>
      <c r="E57" s="464"/>
      <c r="F57" s="68"/>
      <c r="G57" s="177"/>
      <c r="H57" s="177"/>
      <c r="I57" s="177"/>
      <c r="J57" s="144">
        <v>1</v>
      </c>
      <c r="K57" s="20" t="b">
        <f>SUM(F57:J57)=1</f>
        <v>1</v>
      </c>
    </row>
    <row r="58" spans="1:11" x14ac:dyDescent="0.2">
      <c r="A58" s="487" t="s">
        <v>145</v>
      </c>
      <c r="B58" s="488"/>
      <c r="C58" s="488"/>
      <c r="D58" s="489"/>
      <c r="E58" s="71"/>
      <c r="F58" s="70">
        <f>F24+F26+F28+F30+F32+F34+F36+F38+F40+F42+F44+F46+F48+F50+F52+F54+F56</f>
        <v>213483.5477895597</v>
      </c>
      <c r="G58" s="70">
        <f t="shared" ref="G58:J58" si="66">G24+G26+G28+G30+G32+G34+G36+G38+G40+G42+G44+G46+G48+G50+G52+G54+G56</f>
        <v>320307.37261457491</v>
      </c>
      <c r="H58" s="70">
        <f t="shared" si="66"/>
        <v>267394.53089366172</v>
      </c>
      <c r="I58" s="70">
        <f t="shared" si="66"/>
        <v>251102.74152598312</v>
      </c>
      <c r="J58" s="70">
        <f t="shared" si="66"/>
        <v>151771.46717622055</v>
      </c>
    </row>
    <row r="59" spans="1:11" ht="15.75" x14ac:dyDescent="0.2">
      <c r="A59" s="487" t="s">
        <v>146</v>
      </c>
      <c r="B59" s="488"/>
      <c r="C59" s="488"/>
      <c r="D59" s="489"/>
      <c r="E59" s="77">
        <f>E24+E26+E28+E30+E32+E34+E36+E38+E40+E42+E44+E46+E48+E50+E52+E54+E56</f>
        <v>1204059.6599999999</v>
      </c>
      <c r="F59" s="70">
        <f>F58</f>
        <v>213483.5477895597</v>
      </c>
      <c r="G59" s="178">
        <f>G58+F59</f>
        <v>533790.92040413455</v>
      </c>
      <c r="H59" s="178">
        <f t="shared" ref="H59:J59" si="67">H58+G59</f>
        <v>801185.45129779633</v>
      </c>
      <c r="I59" s="178">
        <f t="shared" si="67"/>
        <v>1052288.1928237795</v>
      </c>
      <c r="J59" s="178">
        <f t="shared" si="67"/>
        <v>1204059.6600000001</v>
      </c>
    </row>
    <row r="60" spans="1:11" x14ac:dyDescent="0.2">
      <c r="A60" s="490" t="s">
        <v>147</v>
      </c>
      <c r="B60" s="491"/>
      <c r="C60" s="491"/>
      <c r="D60" s="491"/>
      <c r="E60" s="71"/>
      <c r="F60" s="71">
        <f>F58/$E$59</f>
        <v>0.1773031311335185</v>
      </c>
      <c r="G60" s="71">
        <f t="shared" ref="G60:J60" si="68">G58/$E$59</f>
        <v>0.2660228419367317</v>
      </c>
      <c r="H60" s="71">
        <f t="shared" si="68"/>
        <v>0.2220774765377172</v>
      </c>
      <c r="I60" s="71">
        <f t="shared" si="68"/>
        <v>0.20854676048692067</v>
      </c>
      <c r="J60" s="71">
        <f t="shared" si="68"/>
        <v>0.12604978990511198</v>
      </c>
    </row>
    <row r="61" spans="1:11" ht="15.75" thickBot="1" x14ac:dyDescent="0.25">
      <c r="A61" s="484" t="s">
        <v>148</v>
      </c>
      <c r="B61" s="485"/>
      <c r="C61" s="485"/>
      <c r="D61" s="486"/>
      <c r="E61" s="145"/>
      <c r="F61" s="146">
        <f>F60</f>
        <v>0.1773031311335185</v>
      </c>
      <c r="G61" s="179">
        <f>G60+F61</f>
        <v>0.44332597307025023</v>
      </c>
      <c r="H61" s="179">
        <f t="shared" ref="H61:J61" si="69">H60+G61</f>
        <v>0.66540344960796749</v>
      </c>
      <c r="I61" s="179">
        <f t="shared" si="69"/>
        <v>0.87395021009488816</v>
      </c>
      <c r="J61" s="179">
        <f t="shared" si="69"/>
        <v>1.0000000000000002</v>
      </c>
    </row>
    <row r="63" spans="1:11" x14ac:dyDescent="0.2">
      <c r="E63" s="72"/>
    </row>
    <row r="64" spans="1:11" x14ac:dyDescent="0.2">
      <c r="F64" s="69"/>
      <c r="G64" s="69"/>
      <c r="H64" s="69"/>
      <c r="I64" s="69"/>
      <c r="J64" s="69"/>
    </row>
    <row r="65" spans="5:10" x14ac:dyDescent="0.2">
      <c r="E65" s="73"/>
      <c r="F65" s="73"/>
      <c r="G65" s="73"/>
      <c r="H65" s="73"/>
      <c r="I65" s="73"/>
      <c r="J65" s="73"/>
    </row>
    <row r="66" spans="5:10" x14ac:dyDescent="0.2">
      <c r="E66" s="27"/>
    </row>
    <row r="67" spans="5:10" x14ac:dyDescent="0.2">
      <c r="E67" s="27"/>
    </row>
    <row r="68" spans="5:10" x14ac:dyDescent="0.2">
      <c r="E68" s="27"/>
    </row>
    <row r="70" spans="5:10" x14ac:dyDescent="0.2">
      <c r="J70" s="72"/>
    </row>
    <row r="71" spans="5:10" x14ac:dyDescent="0.2">
      <c r="F71" s="37"/>
      <c r="G71" s="37"/>
      <c r="H71" s="37"/>
      <c r="I71" s="37"/>
      <c r="J71" s="37"/>
    </row>
    <row r="73" spans="5:10" ht="18" x14ac:dyDescent="0.25">
      <c r="H73" s="381" t="s">
        <v>2256</v>
      </c>
      <c r="I73" s="381"/>
      <c r="J73" s="381"/>
    </row>
    <row r="75" spans="5:10" x14ac:dyDescent="0.2">
      <c r="F75" s="74"/>
      <c r="G75" s="74"/>
      <c r="H75" s="74"/>
      <c r="I75" s="74"/>
      <c r="J75" s="74"/>
    </row>
  </sheetData>
  <mergeCells count="78">
    <mergeCell ref="H73:J73"/>
    <mergeCell ref="E24:E25"/>
    <mergeCell ref="C26:C27"/>
    <mergeCell ref="D26:D27"/>
    <mergeCell ref="E26:E27"/>
    <mergeCell ref="C28:C29"/>
    <mergeCell ref="D28:D29"/>
    <mergeCell ref="E28:E29"/>
    <mergeCell ref="E32:E33"/>
    <mergeCell ref="E30:E31"/>
    <mergeCell ref="A61:D61"/>
    <mergeCell ref="A58:D58"/>
    <mergeCell ref="A59:D59"/>
    <mergeCell ref="A60:D60"/>
    <mergeCell ref="E34:E35"/>
    <mergeCell ref="C36:C37"/>
    <mergeCell ref="A17:J17"/>
    <mergeCell ref="A18:A19"/>
    <mergeCell ref="B18:B19"/>
    <mergeCell ref="C18:C19"/>
    <mergeCell ref="D18:D19"/>
    <mergeCell ref="E18:E19"/>
    <mergeCell ref="F18:J18"/>
    <mergeCell ref="A20:A21"/>
    <mergeCell ref="B20:C21"/>
    <mergeCell ref="D20:D21"/>
    <mergeCell ref="A22:A57"/>
    <mergeCell ref="B22:B23"/>
    <mergeCell ref="C22:C23"/>
    <mergeCell ref="D22:D23"/>
    <mergeCell ref="B24:B57"/>
    <mergeCell ref="C24:C25"/>
    <mergeCell ref="D24:D25"/>
    <mergeCell ref="C30:C31"/>
    <mergeCell ref="D30:D31"/>
    <mergeCell ref="C32:C33"/>
    <mergeCell ref="D32:D33"/>
    <mergeCell ref="C34:C35"/>
    <mergeCell ref="D34:D35"/>
    <mergeCell ref="D36:D37"/>
    <mergeCell ref="E36:E37"/>
    <mergeCell ref="E44:E45"/>
    <mergeCell ref="C38:C39"/>
    <mergeCell ref="D38:D39"/>
    <mergeCell ref="E38:E39"/>
    <mergeCell ref="C40:C41"/>
    <mergeCell ref="D40:D41"/>
    <mergeCell ref="E40:E41"/>
    <mergeCell ref="C56:C57"/>
    <mergeCell ref="D56:D57"/>
    <mergeCell ref="E56:E57"/>
    <mergeCell ref="C50:C51"/>
    <mergeCell ref="D50:D51"/>
    <mergeCell ref="E50:E51"/>
    <mergeCell ref="C52:C53"/>
    <mergeCell ref="D52:D53"/>
    <mergeCell ref="E52:E53"/>
    <mergeCell ref="I14:J14"/>
    <mergeCell ref="I15:J15"/>
    <mergeCell ref="C54:C55"/>
    <mergeCell ref="D54:D55"/>
    <mergeCell ref="E54:E55"/>
    <mergeCell ref="C46:C47"/>
    <mergeCell ref="D46:D47"/>
    <mergeCell ref="E46:E47"/>
    <mergeCell ref="C48:C49"/>
    <mergeCell ref="D48:D49"/>
    <mergeCell ref="E48:E49"/>
    <mergeCell ref="C42:C43"/>
    <mergeCell ref="D42:D43"/>
    <mergeCell ref="E42:E43"/>
    <mergeCell ref="C44:C45"/>
    <mergeCell ref="D44:D45"/>
    <mergeCell ref="I11:J11"/>
    <mergeCell ref="I12:J12"/>
    <mergeCell ref="I13:J13"/>
    <mergeCell ref="H11:H13"/>
    <mergeCell ref="A1:J10"/>
  </mergeCells>
  <phoneticPr fontId="13" type="noConversion"/>
  <conditionalFormatting sqref="F24:J24 F26:J26 F28:J28 F30:J30 F32:J32 F34:J34 F36:J36 F38:J38 F40:J40 F42:J42 F44:J44 F46:J46 F48:J48 F50:J50 F52:J52 F54:J54 F56:J56">
    <cfRule type="cellIs" dxfId="1" priority="71" operator="greaterThan">
      <formula>0</formula>
    </cfRule>
  </conditionalFormatting>
  <conditionalFormatting sqref="F24:J57">
    <cfRule type="cellIs" dxfId="0" priority="70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61" fitToHeight="0" orientation="landscape" r:id="rId1"/>
  <rowBreaks count="1" manualBreakCount="1">
    <brk id="49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10</vt:i4>
      </vt:variant>
    </vt:vector>
  </HeadingPairs>
  <TitlesOfParts>
    <vt:vector size="19" baseType="lpstr">
      <vt:lpstr>CAPA</vt:lpstr>
      <vt:lpstr>I-RESUMO</vt:lpstr>
      <vt:lpstr>II-PO</vt:lpstr>
      <vt:lpstr>III-PA</vt:lpstr>
      <vt:lpstr>IV-MEMORIAL</vt:lpstr>
      <vt:lpstr>V-COMPOSIÇÕES PRÓPRIAS</vt:lpstr>
      <vt:lpstr>VII-CURVA ABC</vt:lpstr>
      <vt:lpstr>VI-BDI CONSTRUÇÃO</vt:lpstr>
      <vt:lpstr>VIII-CRONOGRAMA</vt:lpstr>
      <vt:lpstr>CAPA!Area_de_impressao</vt:lpstr>
      <vt:lpstr>'III-PA'!Area_de_impressao</vt:lpstr>
      <vt:lpstr>'II-PO'!Area_de_impressao</vt:lpstr>
      <vt:lpstr>'I-RESUMO'!Area_de_impressao</vt:lpstr>
      <vt:lpstr>'IV-MEMORIAL'!Area_de_impressao</vt:lpstr>
      <vt:lpstr>'V-COMPOSIÇÕES PRÓPRIAS'!Area_de_impressao</vt:lpstr>
      <vt:lpstr>'VI-BDI CONSTRUÇÃO'!Area_de_impressao</vt:lpstr>
      <vt:lpstr>'VII-CURVA ABC'!Area_de_impressao</vt:lpstr>
      <vt:lpstr>'VIII-CRONOGRAMA'!Area_de_impressao</vt:lpstr>
      <vt:lpstr>'V-COMPOSIÇÕES PRÓPRIAS'!Titulos_de_impressao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Silva</dc:creator>
  <cp:lastModifiedBy>giselyvt@gmail.com</cp:lastModifiedBy>
  <cp:lastPrinted>2026-02-10T12:26:29Z</cp:lastPrinted>
  <dcterms:created xsi:type="dcterms:W3CDTF">2024-02-28T21:53:23Z</dcterms:created>
  <dcterms:modified xsi:type="dcterms:W3CDTF">2026-02-18T16:58:48Z</dcterms:modified>
</cp:coreProperties>
</file>