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G:\COMERCIAL\2026\LICITAÇÃO\LIMPEZA\05 MAIO\26 PREFEITURA DE DOURADOS\Planilha de Custos\"/>
    </mc:Choice>
  </mc:AlternateContent>
  <xr:revisionPtr revIDLastSave="0" documentId="13_ncr:1_{0E97DE5A-88E7-4F22-9DE7-DE80147CB028}" xr6:coauthVersionLast="47" xr6:coauthVersionMax="47" xr10:uidLastSave="{00000000-0000-0000-0000-000000000000}"/>
  <bookViews>
    <workbookView xWindow="-28920" yWindow="-1185" windowWidth="29040" windowHeight="15720" tabRatio="988" firstSheet="4" activeTab="8" xr2:uid="{00000000-000D-0000-FFFF-FFFF00000000}"/>
  </bookViews>
  <sheets>
    <sheet name="RAIZ_DADOS" sheetId="1" r:id="rId1"/>
    <sheet name="SEMSUR_TOTALIZADOR GERAL" sheetId="2" r:id="rId2"/>
    <sheet name="SEMSUR 4-A_Servente Insal 30h" sheetId="3" r:id="rId3"/>
    <sheet name="SEMSUR 4-B_Servente Insal 44 h" sheetId="4" r:id="rId4"/>
    <sheet name="SEMSUR 4-C_Servente 30 h" sheetId="5" r:id="rId5"/>
    <sheet name="SEMSUR 4-D_Servente Ext 44 h" sheetId="6" r:id="rId6"/>
    <sheet name="SEMSUR 4-E_Limpador Vidros 30 h" sheetId="7" r:id="rId7"/>
    <sheet name="SEMSUR 4-F_Encarregado 30 h" sheetId="8" r:id="rId8"/>
    <sheet name="SEMSUR 4-G_Jardineiro 44 hs" sheetId="9" r:id="rId9"/>
    <sheet name="SEMSUR 4_Uniformes" sheetId="10" r:id="rId10"/>
    <sheet name="SEMSUR 4_EPI's" sheetId="11" r:id="rId11"/>
    <sheet name="SEMSUR 4_Materiais" sheetId="12" r:id="rId12"/>
    <sheet name="SEMSUR 4_Equipamentos" sheetId="13" r:id="rId13"/>
  </sheets>
  <definedNames>
    <definedName name="_xlnm.Print_Area" localSheetId="10">'SEMSUR 4_EPI''s'!$A$1:$K$65</definedName>
    <definedName name="_xlnm.Print_Area" localSheetId="12">'SEMSUR 4_Equipamentos'!$A$1:$M$33</definedName>
    <definedName name="_xlnm.Print_Area" localSheetId="9">#REF!</definedName>
    <definedName name="_xlnm.Print_Area" localSheetId="2">'SEMSUR 4-A_Servente Insal 30h'!$A$1:$F$138</definedName>
    <definedName name="_xlnm.Print_Area" localSheetId="3">'SEMSUR 4-B_Servente Insal 44 h'!$A$1:$F$138</definedName>
    <definedName name="_xlnm.Print_Area" localSheetId="4">'SEMSUR 4-C_Servente 30 h'!$A$1:$F$138</definedName>
    <definedName name="_xlnm.Print_Area" localSheetId="5">'SEMSUR 4-D_Servente Ext 44 h'!$A$1:$F$138</definedName>
    <definedName name="_xlnm.Print_Area" localSheetId="6">'SEMSUR 4-E_Limpador Vidros 30 h'!$A$1:$F$138</definedName>
    <definedName name="_xlnm.Print_Area" localSheetId="7">'SEMSUR 4-F_Encarregado 30 h'!$A$1:$F$138</definedName>
    <definedName name="_xlnm.Print_Area" localSheetId="8">'SEMSUR 4-G_Jardineiro 44 hs'!$A$1:$F$138</definedName>
  </definedNames>
  <calcPr calcId="191029" fullPrecision="0" concurrentCalc="0"/>
</workbook>
</file>

<file path=xl/calcChain.xml><?xml version="1.0" encoding="utf-8"?>
<calcChain xmlns="http://schemas.openxmlformats.org/spreadsheetml/2006/main">
  <c r="E86" i="9" l="1"/>
  <c r="E86" i="8"/>
  <c r="E86" i="7"/>
  <c r="E86" i="6"/>
  <c r="E86" i="5"/>
  <c r="E86" i="4"/>
  <c r="E86" i="3"/>
  <c r="F29" i="4"/>
  <c r="F29" i="3"/>
  <c r="F32" i="9"/>
  <c r="F105" i="8"/>
  <c r="F106" i="7"/>
  <c r="M30" i="13"/>
  <c r="M29" i="13"/>
  <c r="M28" i="13"/>
  <c r="M26" i="13"/>
  <c r="K26" i="13"/>
  <c r="M24" i="13"/>
  <c r="K24" i="13"/>
  <c r="J24" i="13"/>
  <c r="D24" i="13"/>
  <c r="M22" i="13"/>
  <c r="K22" i="13"/>
  <c r="J22" i="13"/>
  <c r="D22" i="13"/>
  <c r="M20" i="13"/>
  <c r="K20" i="13"/>
  <c r="J20" i="13"/>
  <c r="M18" i="13"/>
  <c r="K18" i="13"/>
  <c r="J18" i="13"/>
  <c r="M16" i="13"/>
  <c r="K16" i="13"/>
  <c r="J16" i="13"/>
  <c r="M14" i="13"/>
  <c r="K14" i="13"/>
  <c r="J14" i="13"/>
  <c r="M12" i="13"/>
  <c r="K12" i="13"/>
  <c r="J12" i="13"/>
  <c r="M10" i="13"/>
  <c r="K10" i="13"/>
  <c r="J10" i="13"/>
  <c r="M8" i="13"/>
  <c r="K8" i="13"/>
  <c r="J8" i="13"/>
  <c r="D8" i="13"/>
  <c r="M6" i="13"/>
  <c r="K6" i="13"/>
  <c r="J6" i="13"/>
  <c r="D6" i="13"/>
  <c r="A1" i="13"/>
  <c r="K26" i="12"/>
  <c r="K25" i="12"/>
  <c r="K24" i="12"/>
  <c r="K22" i="12"/>
  <c r="K20" i="12"/>
  <c r="J20" i="12"/>
  <c r="D20" i="12"/>
  <c r="K18" i="12"/>
  <c r="J18" i="12"/>
  <c r="D18" i="12"/>
  <c r="K16" i="12"/>
  <c r="J16" i="12"/>
  <c r="D16" i="12"/>
  <c r="K14" i="12"/>
  <c r="J14" i="12"/>
  <c r="D14" i="12"/>
  <c r="K12" i="12"/>
  <c r="J12" i="12"/>
  <c r="D12" i="12"/>
  <c r="K10" i="12"/>
  <c r="J10" i="12"/>
  <c r="K8" i="12"/>
  <c r="J8" i="12"/>
  <c r="D8" i="12"/>
  <c r="K6" i="12"/>
  <c r="J6" i="12"/>
  <c r="D6" i="12"/>
  <c r="A1" i="12"/>
  <c r="K65" i="11"/>
  <c r="K63" i="11"/>
  <c r="K61" i="11"/>
  <c r="J61" i="11"/>
  <c r="K59" i="11"/>
  <c r="J59" i="11"/>
  <c r="K57" i="11"/>
  <c r="J57" i="11"/>
  <c r="K55" i="11"/>
  <c r="J55" i="11"/>
  <c r="K53" i="11"/>
  <c r="J53" i="11"/>
  <c r="K51" i="11"/>
  <c r="J51" i="11"/>
  <c r="D51" i="11"/>
  <c r="K49" i="11"/>
  <c r="J49" i="11"/>
  <c r="K44" i="11"/>
  <c r="K42" i="11"/>
  <c r="K40" i="11"/>
  <c r="J40" i="11"/>
  <c r="K38" i="11"/>
  <c r="J38" i="11"/>
  <c r="K36" i="11"/>
  <c r="J36" i="11"/>
  <c r="K34" i="11"/>
  <c r="J34" i="11"/>
  <c r="K32" i="11"/>
  <c r="J32" i="11"/>
  <c r="K30" i="11"/>
  <c r="J30" i="11"/>
  <c r="K28" i="11"/>
  <c r="J28" i="11"/>
  <c r="K26" i="11"/>
  <c r="J26" i="11"/>
  <c r="K24" i="11"/>
  <c r="J24" i="11"/>
  <c r="K22" i="11"/>
  <c r="J22" i="11"/>
  <c r="K17" i="11"/>
  <c r="K15" i="11"/>
  <c r="K13" i="11"/>
  <c r="J13" i="11"/>
  <c r="D13" i="11"/>
  <c r="K11" i="11"/>
  <c r="J11" i="11"/>
  <c r="K9" i="11"/>
  <c r="J9" i="11"/>
  <c r="K7" i="11"/>
  <c r="J7" i="11"/>
  <c r="D7" i="11"/>
  <c r="A1" i="11"/>
  <c r="K66" i="10"/>
  <c r="K64" i="10"/>
  <c r="K62" i="10"/>
  <c r="J62" i="10"/>
  <c r="D62" i="10"/>
  <c r="K60" i="10"/>
  <c r="J60" i="10"/>
  <c r="D60" i="10"/>
  <c r="K58" i="10"/>
  <c r="J58" i="10"/>
  <c r="D58" i="10"/>
  <c r="K56" i="10"/>
  <c r="J56" i="10"/>
  <c r="D56" i="10"/>
  <c r="K54" i="10"/>
  <c r="J54" i="10"/>
  <c r="D54" i="10"/>
  <c r="K49" i="10"/>
  <c r="K47" i="10"/>
  <c r="K45" i="10"/>
  <c r="J45" i="10"/>
  <c r="K43" i="10"/>
  <c r="J43" i="10"/>
  <c r="K41" i="10"/>
  <c r="J41" i="10"/>
  <c r="K39" i="10"/>
  <c r="J39" i="10"/>
  <c r="K37" i="10"/>
  <c r="J37" i="10"/>
  <c r="D37" i="10"/>
  <c r="K32" i="10"/>
  <c r="K30" i="10"/>
  <c r="K28" i="10"/>
  <c r="J28" i="10"/>
  <c r="D28" i="10"/>
  <c r="K26" i="10"/>
  <c r="J26" i="10"/>
  <c r="D26" i="10"/>
  <c r="K24" i="10"/>
  <c r="J24" i="10"/>
  <c r="D24" i="10"/>
  <c r="K22" i="10"/>
  <c r="J22" i="10"/>
  <c r="D22" i="10"/>
  <c r="K17" i="10"/>
  <c r="K15" i="10"/>
  <c r="K13" i="10"/>
  <c r="J13" i="10"/>
  <c r="D13" i="10"/>
  <c r="K11" i="10"/>
  <c r="J11" i="10"/>
  <c r="D11" i="10"/>
  <c r="K9" i="10"/>
  <c r="J9" i="10"/>
  <c r="D9" i="10"/>
  <c r="K7" i="10"/>
  <c r="J7" i="10"/>
  <c r="D7" i="10"/>
  <c r="A1" i="10"/>
  <c r="F33" i="9"/>
  <c r="F86" i="9"/>
  <c r="F87" i="9"/>
  <c r="F88" i="9"/>
  <c r="F89" i="9"/>
  <c r="F90" i="9"/>
  <c r="F91" i="9"/>
  <c r="F92" i="9"/>
  <c r="F99" i="9"/>
  <c r="F101" i="9"/>
  <c r="F128" i="9"/>
  <c r="F125" i="9"/>
  <c r="F38" i="9"/>
  <c r="F39" i="9"/>
  <c r="F40" i="9"/>
  <c r="F68" i="9"/>
  <c r="F45" i="9"/>
  <c r="F46" i="9"/>
  <c r="F47" i="9"/>
  <c r="F48" i="9"/>
  <c r="F49" i="9"/>
  <c r="F50" i="9"/>
  <c r="F51" i="9"/>
  <c r="F52" i="9"/>
  <c r="F53" i="9"/>
  <c r="F41" i="9"/>
  <c r="F69" i="9"/>
  <c r="F71" i="9"/>
  <c r="F126" i="9"/>
  <c r="F75" i="9"/>
  <c r="F76" i="9"/>
  <c r="F77" i="9"/>
  <c r="F78" i="9"/>
  <c r="F79" i="9"/>
  <c r="F80" i="9"/>
  <c r="F81" i="9"/>
  <c r="F127" i="9"/>
  <c r="F130" i="9"/>
  <c r="F113" i="9"/>
  <c r="F114" i="9"/>
  <c r="F117" i="9"/>
  <c r="F118" i="9"/>
  <c r="F120" i="9"/>
  <c r="F121" i="9"/>
  <c r="F131" i="9"/>
  <c r="F132" i="9"/>
  <c r="B136" i="9"/>
  <c r="D136" i="9"/>
  <c r="F136" i="9"/>
  <c r="F137" i="9"/>
  <c r="F138" i="9"/>
  <c r="E136" i="9"/>
  <c r="A136" i="9"/>
  <c r="F129" i="9"/>
  <c r="E115" i="9"/>
  <c r="F109" i="9"/>
  <c r="F108" i="9"/>
  <c r="F107" i="9"/>
  <c r="F106" i="9"/>
  <c r="F105" i="9"/>
  <c r="F100" i="9"/>
  <c r="F96" i="9"/>
  <c r="E90" i="9"/>
  <c r="E89" i="9"/>
  <c r="E88" i="9"/>
  <c r="E87" i="9"/>
  <c r="E80" i="9"/>
  <c r="E79" i="9"/>
  <c r="E78" i="9"/>
  <c r="E77" i="9"/>
  <c r="E76" i="9"/>
  <c r="E75" i="9"/>
  <c r="F70" i="9"/>
  <c r="F65" i="9"/>
  <c r="F64" i="9"/>
  <c r="F62" i="9"/>
  <c r="F61" i="9"/>
  <c r="F60" i="9"/>
  <c r="E59" i="9"/>
  <c r="E57" i="9"/>
  <c r="F56" i="9"/>
  <c r="E53" i="9"/>
  <c r="E47" i="9"/>
  <c r="F42" i="9"/>
  <c r="E42" i="9"/>
  <c r="E41" i="9"/>
  <c r="E40" i="9"/>
  <c r="E39" i="9"/>
  <c r="E38" i="9"/>
  <c r="B32" i="9"/>
  <c r="F27" i="9"/>
  <c r="F22" i="9"/>
  <c r="F21" i="9"/>
  <c r="F15" i="9"/>
  <c r="F86" i="8"/>
  <c r="F92" i="8"/>
  <c r="F99" i="8"/>
  <c r="F101" i="8"/>
  <c r="F128" i="8"/>
  <c r="F109" i="8"/>
  <c r="F129" i="8"/>
  <c r="F130" i="8"/>
  <c r="F113" i="8"/>
  <c r="F114" i="8"/>
  <c r="F117" i="8"/>
  <c r="F118" i="8"/>
  <c r="F120" i="8"/>
  <c r="F121" i="8"/>
  <c r="F131" i="8"/>
  <c r="F132" i="8"/>
  <c r="B136" i="8"/>
  <c r="D136" i="8"/>
  <c r="F136" i="8"/>
  <c r="F137" i="8"/>
  <c r="F138" i="8"/>
  <c r="E136" i="8"/>
  <c r="A136" i="8"/>
  <c r="F127" i="8"/>
  <c r="F126" i="8"/>
  <c r="F125" i="8"/>
  <c r="E115" i="8"/>
  <c r="F100" i="8"/>
  <c r="F96" i="8"/>
  <c r="F91" i="8"/>
  <c r="F90" i="8"/>
  <c r="E90" i="8"/>
  <c r="F89" i="8"/>
  <c r="E89" i="8"/>
  <c r="F88" i="8"/>
  <c r="E88" i="8"/>
  <c r="F87" i="8"/>
  <c r="E87" i="8"/>
  <c r="F81" i="8"/>
  <c r="F80" i="8"/>
  <c r="E80" i="8"/>
  <c r="F79" i="8"/>
  <c r="E79" i="8"/>
  <c r="F78" i="8"/>
  <c r="E78" i="8"/>
  <c r="F77" i="8"/>
  <c r="E77" i="8"/>
  <c r="F76" i="8"/>
  <c r="E76" i="8"/>
  <c r="F75" i="8"/>
  <c r="E75" i="8"/>
  <c r="F71" i="8"/>
  <c r="F70" i="8"/>
  <c r="F69" i="8"/>
  <c r="F68" i="8"/>
  <c r="F65" i="8"/>
  <c r="F64" i="8"/>
  <c r="F62" i="8"/>
  <c r="F61" i="8"/>
  <c r="F60" i="8"/>
  <c r="E59" i="8"/>
  <c r="E58" i="8"/>
  <c r="E57" i="8"/>
  <c r="F56" i="8"/>
  <c r="F53" i="8"/>
  <c r="E53" i="8"/>
  <c r="F52" i="8"/>
  <c r="F51" i="8"/>
  <c r="F50" i="8"/>
  <c r="F49" i="8"/>
  <c r="F48" i="8"/>
  <c r="F47" i="8"/>
  <c r="E47" i="8"/>
  <c r="F46" i="8"/>
  <c r="F45" i="8"/>
  <c r="F42" i="8"/>
  <c r="E42" i="8"/>
  <c r="F41" i="8"/>
  <c r="E41" i="8"/>
  <c r="F40" i="8"/>
  <c r="E40" i="8"/>
  <c r="F39" i="8"/>
  <c r="E39" i="8"/>
  <c r="F38" i="8"/>
  <c r="E38" i="8"/>
  <c r="F33" i="8"/>
  <c r="F32" i="8"/>
  <c r="B32" i="8"/>
  <c r="F27" i="8"/>
  <c r="F22" i="8"/>
  <c r="F21" i="8"/>
  <c r="F15" i="8"/>
  <c r="F86" i="7"/>
  <c r="F92" i="7"/>
  <c r="F99" i="7"/>
  <c r="F101" i="7"/>
  <c r="F128" i="7"/>
  <c r="F109" i="7"/>
  <c r="F129" i="7"/>
  <c r="F130" i="7"/>
  <c r="F113" i="7"/>
  <c r="F114" i="7"/>
  <c r="F117" i="7"/>
  <c r="F118" i="7"/>
  <c r="F120" i="7"/>
  <c r="F121" i="7"/>
  <c r="F131" i="7"/>
  <c r="F132" i="7"/>
  <c r="B136" i="7"/>
  <c r="D136" i="7"/>
  <c r="F136" i="7"/>
  <c r="F137" i="7"/>
  <c r="F138" i="7"/>
  <c r="E136" i="7"/>
  <c r="A136" i="7"/>
  <c r="F127" i="7"/>
  <c r="F126" i="7"/>
  <c r="F125" i="7"/>
  <c r="E115" i="7"/>
  <c r="F108" i="7"/>
  <c r="F107" i="7"/>
  <c r="F105" i="7"/>
  <c r="F100" i="7"/>
  <c r="F96" i="7"/>
  <c r="F91" i="7"/>
  <c r="F90" i="7"/>
  <c r="E90" i="7"/>
  <c r="F89" i="7"/>
  <c r="E89" i="7"/>
  <c r="F88" i="7"/>
  <c r="E88" i="7"/>
  <c r="F87" i="7"/>
  <c r="E87" i="7"/>
  <c r="F81" i="7"/>
  <c r="F80" i="7"/>
  <c r="E80" i="7"/>
  <c r="F79" i="7"/>
  <c r="E79" i="7"/>
  <c r="F78" i="7"/>
  <c r="E78" i="7"/>
  <c r="F77" i="7"/>
  <c r="E77" i="7"/>
  <c r="F76" i="7"/>
  <c r="E76" i="7"/>
  <c r="F75" i="7"/>
  <c r="E75" i="7"/>
  <c r="F71" i="7"/>
  <c r="F70" i="7"/>
  <c r="F69" i="7"/>
  <c r="F68" i="7"/>
  <c r="F65" i="7"/>
  <c r="F64" i="7"/>
  <c r="F62" i="7"/>
  <c r="F61" i="7"/>
  <c r="F60" i="7"/>
  <c r="E59" i="7"/>
  <c r="E58" i="7"/>
  <c r="E57" i="7"/>
  <c r="F56" i="7"/>
  <c r="F53" i="7"/>
  <c r="E53" i="7"/>
  <c r="F52" i="7"/>
  <c r="F51" i="7"/>
  <c r="F50" i="7"/>
  <c r="F49" i="7"/>
  <c r="F48" i="7"/>
  <c r="F47" i="7"/>
  <c r="E47" i="7"/>
  <c r="F46" i="7"/>
  <c r="F45" i="7"/>
  <c r="F42" i="7"/>
  <c r="E42" i="7"/>
  <c r="F41" i="7"/>
  <c r="E41" i="7"/>
  <c r="F40" i="7"/>
  <c r="E40" i="7"/>
  <c r="F39" i="7"/>
  <c r="E39" i="7"/>
  <c r="F38" i="7"/>
  <c r="E38" i="7"/>
  <c r="F33" i="7"/>
  <c r="F32" i="7"/>
  <c r="B32" i="7"/>
  <c r="F27" i="7"/>
  <c r="F21" i="7"/>
  <c r="F15" i="7"/>
  <c r="F86" i="6"/>
  <c r="F92" i="6"/>
  <c r="F99" i="6"/>
  <c r="F101" i="6"/>
  <c r="F128" i="6"/>
  <c r="F130" i="6"/>
  <c r="F113" i="6"/>
  <c r="F114" i="6"/>
  <c r="F117" i="6"/>
  <c r="F118" i="6"/>
  <c r="F120" i="6"/>
  <c r="F121" i="6"/>
  <c r="F131" i="6"/>
  <c r="F132" i="6"/>
  <c r="B136" i="6"/>
  <c r="D136" i="6"/>
  <c r="F136" i="6"/>
  <c r="F137" i="6"/>
  <c r="F138" i="6"/>
  <c r="E136" i="6"/>
  <c r="A136" i="6"/>
  <c r="F129" i="6"/>
  <c r="F127" i="6"/>
  <c r="F126" i="6"/>
  <c r="F125" i="6"/>
  <c r="E115" i="6"/>
  <c r="F109" i="6"/>
  <c r="F108" i="6"/>
  <c r="F107" i="6"/>
  <c r="F106" i="6"/>
  <c r="F105" i="6"/>
  <c r="F100" i="6"/>
  <c r="F96" i="6"/>
  <c r="F91" i="6"/>
  <c r="F90" i="6"/>
  <c r="E90" i="6"/>
  <c r="F89" i="6"/>
  <c r="E89" i="6"/>
  <c r="F88" i="6"/>
  <c r="E88" i="6"/>
  <c r="F87" i="6"/>
  <c r="E87" i="6"/>
  <c r="F81" i="6"/>
  <c r="F80" i="6"/>
  <c r="E80" i="6"/>
  <c r="F79" i="6"/>
  <c r="E79" i="6"/>
  <c r="F78" i="6"/>
  <c r="E78" i="6"/>
  <c r="F77" i="6"/>
  <c r="E77" i="6"/>
  <c r="F76" i="6"/>
  <c r="E76" i="6"/>
  <c r="F75" i="6"/>
  <c r="E75" i="6"/>
  <c r="F71" i="6"/>
  <c r="F70" i="6"/>
  <c r="F69" i="6"/>
  <c r="F68" i="6"/>
  <c r="F65" i="6"/>
  <c r="F64" i="6"/>
  <c r="F62" i="6"/>
  <c r="F61" i="6"/>
  <c r="F60" i="6"/>
  <c r="E59" i="6"/>
  <c r="E57" i="6"/>
  <c r="F56" i="6"/>
  <c r="F53" i="6"/>
  <c r="E53" i="6"/>
  <c r="F52" i="6"/>
  <c r="F51" i="6"/>
  <c r="F50" i="6"/>
  <c r="F49" i="6"/>
  <c r="F48" i="6"/>
  <c r="F47" i="6"/>
  <c r="E47" i="6"/>
  <c r="F46" i="6"/>
  <c r="F45" i="6"/>
  <c r="F42" i="6"/>
  <c r="E42" i="6"/>
  <c r="F41" i="6"/>
  <c r="E41" i="6"/>
  <c r="F40" i="6"/>
  <c r="E40" i="6"/>
  <c r="F39" i="6"/>
  <c r="E39" i="6"/>
  <c r="F38" i="6"/>
  <c r="E38" i="6"/>
  <c r="F33" i="6"/>
  <c r="F27" i="6"/>
  <c r="F21" i="6"/>
  <c r="F15" i="6"/>
  <c r="F86" i="5"/>
  <c r="F92" i="5"/>
  <c r="F99" i="5"/>
  <c r="F101" i="5"/>
  <c r="F128" i="5"/>
  <c r="F130" i="5"/>
  <c r="F113" i="5"/>
  <c r="F114" i="5"/>
  <c r="F117" i="5"/>
  <c r="F118" i="5"/>
  <c r="F120" i="5"/>
  <c r="F121" i="5"/>
  <c r="F131" i="5"/>
  <c r="F132" i="5"/>
  <c r="B136" i="5"/>
  <c r="D136" i="5"/>
  <c r="F136" i="5"/>
  <c r="F137" i="5"/>
  <c r="F138" i="5"/>
  <c r="E136" i="5"/>
  <c r="A136" i="5"/>
  <c r="F129" i="5"/>
  <c r="F127" i="5"/>
  <c r="F126" i="5"/>
  <c r="F125" i="5"/>
  <c r="E115" i="5"/>
  <c r="F109" i="5"/>
  <c r="F108" i="5"/>
  <c r="F107" i="5"/>
  <c r="F106" i="5"/>
  <c r="F105" i="5"/>
  <c r="F100" i="5"/>
  <c r="F96" i="5"/>
  <c r="F91" i="5"/>
  <c r="F90" i="5"/>
  <c r="E90" i="5"/>
  <c r="F89" i="5"/>
  <c r="E89" i="5"/>
  <c r="F88" i="5"/>
  <c r="E88" i="5"/>
  <c r="F87" i="5"/>
  <c r="E87" i="5"/>
  <c r="F81" i="5"/>
  <c r="F80" i="5"/>
  <c r="E80" i="5"/>
  <c r="F79" i="5"/>
  <c r="E79" i="5"/>
  <c r="F78" i="5"/>
  <c r="E78" i="5"/>
  <c r="F77" i="5"/>
  <c r="E77" i="5"/>
  <c r="F76" i="5"/>
  <c r="E76" i="5"/>
  <c r="F75" i="5"/>
  <c r="E75" i="5"/>
  <c r="F71" i="5"/>
  <c r="F70" i="5"/>
  <c r="F69" i="5"/>
  <c r="F68" i="5"/>
  <c r="F65" i="5"/>
  <c r="F64" i="5"/>
  <c r="F62" i="5"/>
  <c r="F61" i="5"/>
  <c r="F60" i="5"/>
  <c r="E59" i="5"/>
  <c r="E58" i="5"/>
  <c r="E57" i="5"/>
  <c r="F56" i="5"/>
  <c r="F53" i="5"/>
  <c r="E53" i="5"/>
  <c r="F52" i="5"/>
  <c r="F51" i="5"/>
  <c r="F50" i="5"/>
  <c r="F49" i="5"/>
  <c r="F48" i="5"/>
  <c r="F47" i="5"/>
  <c r="E47" i="5"/>
  <c r="F46" i="5"/>
  <c r="F45" i="5"/>
  <c r="F42" i="5"/>
  <c r="E42" i="5"/>
  <c r="F41" i="5"/>
  <c r="E41" i="5"/>
  <c r="F40" i="5"/>
  <c r="E40" i="5"/>
  <c r="F39" i="5"/>
  <c r="E39" i="5"/>
  <c r="F38" i="5"/>
  <c r="E38" i="5"/>
  <c r="F33" i="5"/>
  <c r="F27" i="5"/>
  <c r="F21" i="5"/>
  <c r="F15" i="5"/>
  <c r="F33" i="4"/>
  <c r="F86" i="4"/>
  <c r="F87" i="4"/>
  <c r="F88" i="4"/>
  <c r="F89" i="4"/>
  <c r="F90" i="4"/>
  <c r="F91" i="4"/>
  <c r="F92" i="4"/>
  <c r="F99" i="4"/>
  <c r="F101" i="4"/>
  <c r="F128" i="4"/>
  <c r="F125" i="4"/>
  <c r="F38" i="4"/>
  <c r="F39" i="4"/>
  <c r="F40" i="4"/>
  <c r="F68" i="4"/>
  <c r="F45" i="4"/>
  <c r="F46" i="4"/>
  <c r="F47" i="4"/>
  <c r="F48" i="4"/>
  <c r="F49" i="4"/>
  <c r="F50" i="4"/>
  <c r="F51" i="4"/>
  <c r="F52" i="4"/>
  <c r="F53" i="4"/>
  <c r="F41" i="4"/>
  <c r="F69" i="4"/>
  <c r="F71" i="4"/>
  <c r="F126" i="4"/>
  <c r="F75" i="4"/>
  <c r="F76" i="4"/>
  <c r="F77" i="4"/>
  <c r="F78" i="4"/>
  <c r="F79" i="4"/>
  <c r="F80" i="4"/>
  <c r="F81" i="4"/>
  <c r="F127" i="4"/>
  <c r="F130" i="4"/>
  <c r="F113" i="4"/>
  <c r="F114" i="4"/>
  <c r="F117" i="4"/>
  <c r="F118" i="4"/>
  <c r="F120" i="4"/>
  <c r="F121" i="4"/>
  <c r="F131" i="4"/>
  <c r="F132" i="4"/>
  <c r="B136" i="4"/>
  <c r="D136" i="4"/>
  <c r="F136" i="4"/>
  <c r="F137" i="4"/>
  <c r="F138" i="4"/>
  <c r="E136" i="4"/>
  <c r="A136" i="4"/>
  <c r="F129" i="4"/>
  <c r="E115" i="4"/>
  <c r="F109" i="4"/>
  <c r="F108" i="4"/>
  <c r="F107" i="4"/>
  <c r="F106" i="4"/>
  <c r="F105" i="4"/>
  <c r="F100" i="4"/>
  <c r="F96" i="4"/>
  <c r="E90" i="4"/>
  <c r="E89" i="4"/>
  <c r="E88" i="4"/>
  <c r="E87" i="4"/>
  <c r="E80" i="4"/>
  <c r="E79" i="4"/>
  <c r="E78" i="4"/>
  <c r="E77" i="4"/>
  <c r="E76" i="4"/>
  <c r="E75" i="4"/>
  <c r="F70" i="4"/>
  <c r="F65" i="4"/>
  <c r="F64" i="4"/>
  <c r="F62" i="4"/>
  <c r="F61" i="4"/>
  <c r="F60" i="4"/>
  <c r="E59" i="4"/>
  <c r="E57" i="4"/>
  <c r="F56" i="4"/>
  <c r="E53" i="4"/>
  <c r="E47" i="4"/>
  <c r="F42" i="4"/>
  <c r="E42" i="4"/>
  <c r="E41" i="4"/>
  <c r="E40" i="4"/>
  <c r="E39" i="4"/>
  <c r="E38" i="4"/>
  <c r="F27" i="4"/>
  <c r="F21" i="4"/>
  <c r="F15" i="4"/>
  <c r="F33" i="3"/>
  <c r="F86" i="3"/>
  <c r="F87" i="3"/>
  <c r="F88" i="3"/>
  <c r="F89" i="3"/>
  <c r="F90" i="3"/>
  <c r="F91" i="3"/>
  <c r="F92" i="3"/>
  <c r="F99" i="3"/>
  <c r="F101" i="3"/>
  <c r="F128" i="3"/>
  <c r="F125" i="3"/>
  <c r="F38" i="3"/>
  <c r="F39" i="3"/>
  <c r="F40" i="3"/>
  <c r="F68" i="3"/>
  <c r="F45" i="3"/>
  <c r="F46" i="3"/>
  <c r="F47" i="3"/>
  <c r="F48" i="3"/>
  <c r="F49" i="3"/>
  <c r="F50" i="3"/>
  <c r="F51" i="3"/>
  <c r="F52" i="3"/>
  <c r="F53" i="3"/>
  <c r="F41" i="3"/>
  <c r="F69" i="3"/>
  <c r="F71" i="3"/>
  <c r="F126" i="3"/>
  <c r="F75" i="3"/>
  <c r="F76" i="3"/>
  <c r="F77" i="3"/>
  <c r="F78" i="3"/>
  <c r="F79" i="3"/>
  <c r="F80" i="3"/>
  <c r="F81" i="3"/>
  <c r="F127" i="3"/>
  <c r="F130" i="3"/>
  <c r="F113" i="3"/>
  <c r="F114" i="3"/>
  <c r="F117" i="3"/>
  <c r="F118" i="3"/>
  <c r="F120" i="3"/>
  <c r="F121" i="3"/>
  <c r="F131" i="3"/>
  <c r="F132" i="3"/>
  <c r="B136" i="3"/>
  <c r="D136" i="3"/>
  <c r="F136" i="3"/>
  <c r="F137" i="3"/>
  <c r="F138" i="3"/>
  <c r="E136" i="3"/>
  <c r="A136" i="3"/>
  <c r="F129" i="3"/>
  <c r="E115" i="3"/>
  <c r="F109" i="3"/>
  <c r="F108" i="3"/>
  <c r="F107" i="3"/>
  <c r="F106" i="3"/>
  <c r="F105" i="3"/>
  <c r="F100" i="3"/>
  <c r="F96" i="3"/>
  <c r="E90" i="3"/>
  <c r="E89" i="3"/>
  <c r="E88" i="3"/>
  <c r="E87" i="3"/>
  <c r="E80" i="3"/>
  <c r="E79" i="3"/>
  <c r="E78" i="3"/>
  <c r="E77" i="3"/>
  <c r="E76" i="3"/>
  <c r="E75" i="3"/>
  <c r="F70" i="3"/>
  <c r="F65" i="3"/>
  <c r="F64" i="3"/>
  <c r="F62" i="3"/>
  <c r="F61" i="3"/>
  <c r="F60" i="3"/>
  <c r="E59" i="3"/>
  <c r="E58" i="3"/>
  <c r="E57" i="3"/>
  <c r="F56" i="3"/>
  <c r="E53" i="3"/>
  <c r="E47" i="3"/>
  <c r="F42" i="3"/>
  <c r="E42" i="3"/>
  <c r="E41" i="3"/>
  <c r="E40" i="3"/>
  <c r="E39" i="3"/>
  <c r="E38" i="3"/>
  <c r="E29" i="3"/>
  <c r="F27" i="3"/>
  <c r="F21" i="3"/>
  <c r="F15" i="3"/>
  <c r="E19" i="2"/>
  <c r="G19" i="2"/>
  <c r="I19" i="2"/>
  <c r="E20" i="2"/>
  <c r="G20" i="2"/>
  <c r="I20" i="2"/>
  <c r="E21" i="2"/>
  <c r="G21" i="2"/>
  <c r="I21" i="2"/>
  <c r="E22" i="2"/>
  <c r="G22" i="2"/>
  <c r="I22" i="2"/>
  <c r="E23" i="2"/>
  <c r="G23" i="2"/>
  <c r="I23" i="2"/>
  <c r="E24" i="2"/>
  <c r="G24" i="2"/>
  <c r="I24" i="2"/>
  <c r="E25" i="2"/>
  <c r="G25" i="2"/>
  <c r="I25" i="2"/>
  <c r="I26" i="2"/>
  <c r="A43" i="2"/>
  <c r="E43" i="2"/>
  <c r="C43" i="2"/>
  <c r="H37" i="2"/>
  <c r="H36" i="2"/>
  <c r="F36" i="2"/>
  <c r="H35" i="2"/>
  <c r="F35" i="2"/>
  <c r="H34" i="2"/>
  <c r="F34" i="2"/>
  <c r="H33" i="2"/>
  <c r="F33" i="2"/>
  <c r="H32" i="2"/>
  <c r="F32" i="2"/>
  <c r="H31" i="2"/>
  <c r="F31" i="2"/>
  <c r="G26" i="2"/>
  <c r="F26" i="2"/>
  <c r="F25" i="2"/>
  <c r="B25" i="2"/>
  <c r="A25" i="2"/>
  <c r="F24" i="2"/>
  <c r="B24" i="2"/>
  <c r="A24" i="2"/>
  <c r="F23" i="2"/>
  <c r="B23" i="2"/>
  <c r="A23" i="2"/>
  <c r="F22" i="2"/>
  <c r="B22" i="2"/>
  <c r="A22" i="2"/>
  <c r="F21" i="2"/>
  <c r="B21" i="2"/>
  <c r="A21" i="2"/>
  <c r="F20" i="2"/>
  <c r="B20" i="2"/>
  <c r="A20" i="2"/>
  <c r="F19" i="2"/>
  <c r="B19" i="2"/>
  <c r="A19" i="2"/>
  <c r="A16" i="2"/>
  <c r="A11" i="2"/>
  <c r="M6" i="2"/>
  <c r="L6" i="2"/>
  <c r="K6" i="2"/>
  <c r="J6" i="2"/>
  <c r="I6" i="2"/>
  <c r="H6" i="2"/>
  <c r="G6" i="2"/>
  <c r="F6" i="2"/>
  <c r="E6" i="2"/>
  <c r="D6" i="2"/>
  <c r="C6" i="2"/>
  <c r="B6" i="2"/>
  <c r="L5" i="2"/>
  <c r="D23" i="1"/>
  <c r="D22" i="1"/>
  <c r="D21" i="1"/>
  <c r="D20" i="1"/>
  <c r="D19" i="1"/>
  <c r="D18" i="1"/>
  <c r="D17" i="1"/>
  <c r="D16" i="1"/>
  <c r="D15" i="1"/>
  <c r="D14" i="1"/>
  <c r="D13" i="1"/>
  <c r="D12" i="1"/>
  <c r="D11" i="1"/>
  <c r="D10" i="1"/>
  <c r="D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myjob</author>
  </authors>
  <commentList>
    <comment ref="D22" authorId="0" shapeId="0" xr:uid="{00000000-0006-0000-0000-000001000000}">
      <text>
        <r>
          <rPr>
            <sz val="9"/>
            <rFont val="Arial"/>
          </rPr>
          <t xml:space="preserve">Valor referente a 50% de R$ 112,00 conforme §3º da Cláusula 11ª, tendo em vista que os postos a ser lotados na Rodoviária trabalharão 6 horas por dia.
</t>
        </r>
      </text>
    </comment>
  </commentList>
</comments>
</file>

<file path=xl/sharedStrings.xml><?xml version="1.0" encoding="utf-8"?>
<sst xmlns="http://schemas.openxmlformats.org/spreadsheetml/2006/main" count="2227" uniqueCount="504">
  <si>
    <t>SINDICATO(S) DA(S) CATEGORIA(S) PROFISSIONAL(IS) ENVOLVIDA(S) NA PRESTAÇÃO DOS SERVIÇOS</t>
  </si>
  <si>
    <t>Sindicato das Empresa de Asseio e Conservação de MS</t>
  </si>
  <si>
    <t>Entrada de Dados</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</si>
  <si>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</si>
  <si>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</si>
  <si>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</si>
  <si>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</si>
  <si>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</si>
  <si>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</si>
  <si>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</si>
  <si>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</si>
  <si>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</si>
  <si>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</si>
  <si>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</si>
  <si>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</si>
  <si>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</si>
  <si>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</si>
  <si>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</si>
  <si>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</si>
  <si>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</si>
  <si>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</si>
  <si>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</si>
  <si>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</si>
  <si>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</si>
  <si>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</si>
  <si>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</si>
  <si>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</si>
  <si>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</si>
  <si>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PPS - Premiação de Posto de Serviço (Transbordo de ônibus)</t>
  </si>
  <si>
    <t>11ª</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</si>
  <si>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</si>
  <si>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t>
  </si>
  <si>
    <t>Prêmios Especiais por posto de serviço (Escola Capilé e Fazenda Miya?)</t>
  </si>
  <si>
    <t>Benefício Social Familiar</t>
  </si>
  <si>
    <t>19ª</t>
  </si>
  <si>
    <t>Assistência e da inclusão social do trabalhador</t>
  </si>
  <si>
    <t>20ª</t>
  </si>
  <si>
    <t>Jornada de trabalho da CCT: 44horas</t>
  </si>
  <si>
    <t>32ª</t>
  </si>
  <si>
    <t>30 h ou 40 h</t>
  </si>
  <si>
    <t>Ano</t>
  </si>
  <si>
    <t>Salário mínimo (para cálculo insalubridade)</t>
  </si>
  <si>
    <t>Percentual de Insalubridade - limpeza de banheiro</t>
  </si>
  <si>
    <t xml:space="preserve">Vale transporte </t>
  </si>
  <si>
    <t>Decreto Municipal n.º 256 de 15/05/2025. Valor vigente a partir de 1º de junho de 2025</t>
  </si>
  <si>
    <t>RAT x FAP</t>
  </si>
  <si>
    <t xml:space="preserve">Média de dias trabalhados no mês </t>
  </si>
  <si>
    <t>Quantidade de passagens por dia - 30hs</t>
  </si>
  <si>
    <t>Quantidade de passagens por dia - 40hs</t>
  </si>
  <si>
    <t>SEMSUR</t>
  </si>
  <si>
    <t>RESUMO - QUANTIDADE DE POSTOS</t>
  </si>
  <si>
    <t>Secretaria / Órgão</t>
  </si>
  <si>
    <t>Servente</t>
  </si>
  <si>
    <t>Limpador de Vidro</t>
  </si>
  <si>
    <t>Encarregado</t>
  </si>
  <si>
    <t>Jardineiro</t>
  </si>
  <si>
    <t>Total Estimado na Licitação</t>
  </si>
  <si>
    <t>Contratação Imediata</t>
  </si>
  <si>
    <t>Com Adicional</t>
  </si>
  <si>
    <t>Sem Adicional</t>
  </si>
  <si>
    <t>Externo</t>
  </si>
  <si>
    <t>40 h</t>
  </si>
  <si>
    <t>Total</t>
  </si>
  <si>
    <t>CARGA HORÁRIA:</t>
  </si>
  <si>
    <t>30 h</t>
  </si>
  <si>
    <t>PLANILHA :</t>
  </si>
  <si>
    <t>4 - A</t>
  </si>
  <si>
    <t>4 - B</t>
  </si>
  <si>
    <t>4 - C</t>
  </si>
  <si>
    <t>-</t>
  </si>
  <si>
    <t>4 - D</t>
  </si>
  <si>
    <t>4 - E</t>
  </si>
  <si>
    <t>4 - F</t>
  </si>
  <si>
    <t>4 - G</t>
  </si>
  <si>
    <t>Conforme Item 5.5.2 do Termo de Referência, os serviços deverão ser prestados nos seguintes horários:</t>
  </si>
  <si>
    <t xml:space="preserve">a.Sede: das 07:30 às 13:30, perfazendo uma jornada de 30 horas semanais, sendo 6 (seis) horas diárias, de segunda-feira à sexta-feira. </t>
  </si>
  <si>
    <t xml:space="preserve">b.Cemitério Municipal: Limpeza ocorrera diariamente de segunda a sábado das 7:30 às 11:30 e das 13:30 às 17:30, de segunda a sexta, e das 7:30 às 11:30 aos sábados, perfazendo uma jornada de 44 horas semanais. </t>
  </si>
  <si>
    <t xml:space="preserve">RESUMO I - ESTIMATIVA REF.: CUSTEIO M.O. </t>
  </si>
  <si>
    <t>Planilha:</t>
  </si>
  <si>
    <t>Posto</t>
  </si>
  <si>
    <t>Valor Unitário</t>
  </si>
  <si>
    <t>Quantidade depostos</t>
  </si>
  <si>
    <t>Valor Mensal</t>
  </si>
  <si>
    <t>Quant. Meses</t>
  </si>
  <si>
    <t>Valor total estimado da contratação</t>
  </si>
  <si>
    <t>TOTAL GERAL (RESUMO I - ESTIMATIVA REF.: CUSTEIO M.O. SEMSUR ):</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</si>
  <si>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</si>
  <si>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</si>
  <si>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</si>
  <si>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</si>
  <si>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</si>
  <si>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</si>
  <si>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</si>
  <si>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</si>
  <si>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</si>
  <si>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</si>
  <si>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</si>
  <si>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SEMSUR</t>
  </si>
  <si>
    <t>PREÇO FINAL SEMSUR</t>
  </si>
  <si>
    <t>TOTAL DO RESUMO I SEMSUR</t>
  </si>
  <si>
    <t>+</t>
  </si>
  <si>
    <t>TOTAL DO RESUMO II SEMSUR</t>
  </si>
  <si>
    <t>=</t>
  </si>
  <si>
    <t>PREÇO FINAL (12 MESES) SEMSUR</t>
  </si>
  <si>
    <t>PLANILHA DE CUSTOS E FORMAÇÃO DE PREÇOS</t>
  </si>
  <si>
    <t>SEMSUR 4 - SERVENTE COM INSALUBRIDADE - 30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</si>
  <si>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</si>
  <si>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</si>
  <si>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</si>
  <si>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</si>
  <si>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</si>
  <si>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</si>
  <si>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</si>
  <si>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</si>
  <si>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</si>
  <si>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</si>
  <si>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</si>
  <si>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</si>
  <si>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</si>
  <si>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</si>
  <si>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</si>
  <si>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</si>
  <si>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30 h + Insalubridade</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</si>
  <si>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</si>
  <si>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</si>
  <si>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</si>
  <si>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</si>
  <si>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</si>
  <si>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</si>
  <si>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</si>
  <si>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</si>
  <si>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</si>
  <si>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</si>
  <si>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</si>
  <si>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</si>
  <si>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</si>
  <si>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</si>
  <si>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</si>
  <si>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</si>
  <si>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</si>
  <si>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</si>
  <si>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</si>
  <si>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</si>
  <si>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Adicional Noturno</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</si>
  <si>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</si>
  <si>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</si>
  <si>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</si>
  <si>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</si>
  <si>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</si>
  <si>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</si>
  <si>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</si>
  <si>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</si>
  <si>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</si>
  <si>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</si>
  <si>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</si>
  <si>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</si>
  <si>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</si>
  <si>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</si>
  <si>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</si>
  <si>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</si>
  <si>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</si>
  <si>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</si>
  <si>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</si>
  <si>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</si>
  <si>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</si>
  <si>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</si>
  <si>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</si>
  <si>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</si>
  <si>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</si>
  <si>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</si>
  <si>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</si>
  <si>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</si>
  <si>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</si>
  <si>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</si>
  <si>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</si>
  <si>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</si>
  <si>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</si>
  <si>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</si>
  <si>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</si>
  <si>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"Prêmios" (aeroporto, rodoviária e postos de saúde)</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</si>
  <si>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</si>
  <si>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</si>
  <si>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</si>
  <si>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</si>
  <si>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</si>
  <si>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</si>
  <si>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</si>
  <si>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</si>
  <si>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</si>
  <si>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</si>
  <si>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</si>
  <si>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</si>
  <si>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</si>
  <si>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</si>
  <si>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</si>
  <si>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</si>
  <si>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</si>
  <si>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</si>
  <si>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</si>
  <si>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</si>
  <si>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Outros (especificar)</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</si>
  <si>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</si>
  <si>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</si>
  <si>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</si>
  <si>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</si>
  <si>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</si>
  <si>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</si>
  <si>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</si>
  <si>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</si>
  <si>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</si>
  <si>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</si>
  <si>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</si>
  <si>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</si>
  <si>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</si>
  <si>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</si>
  <si>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</si>
  <si>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</si>
  <si>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</si>
  <si>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</si>
  <si>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</si>
  <si>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</si>
  <si>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</si>
  <si>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</si>
  <si>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</si>
  <si>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</si>
  <si>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</si>
  <si>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</si>
  <si>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</si>
  <si>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</si>
  <si>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</si>
  <si>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</si>
  <si>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</si>
  <si>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</si>
  <si>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</si>
  <si>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</si>
  <si>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</si>
  <si>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</si>
  <si>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SEMSUR 4 - SERVENTE  COM INSALUBRIDADE - 44 HORAS</t>
  </si>
  <si>
    <t>Servente Interno: 44 h + Insalubridade</t>
  </si>
  <si>
    <t>SEMSUR 4 - SERVENTE - 30 HORAS</t>
  </si>
  <si>
    <t>Servente Interno: 30 h</t>
  </si>
  <si>
    <t>SEMSUR 4 - SERVENTE - 44 HORAS</t>
  </si>
  <si>
    <t>Servente Externo: 44 h</t>
  </si>
  <si>
    <t>SEMSUR 4 - LIMPADOR DE VIDROS - 30 HORAS</t>
  </si>
  <si>
    <t>Limpador de vidros: 30 h</t>
  </si>
  <si>
    <t>5143-05</t>
  </si>
  <si>
    <t>SEMSUR 4 - ENCARREGADO - 30 HORAS</t>
  </si>
  <si>
    <t>Encarregado de limpeza: 30 h</t>
  </si>
  <si>
    <t>Encarregado de limpeza</t>
  </si>
  <si>
    <t>4101-05</t>
  </si>
  <si>
    <t>SEMSUR 4 - JARDINEIRO - 44 HORAS</t>
  </si>
  <si>
    <t>Jardineiro: 44 h</t>
  </si>
  <si>
    <t>6220-10</t>
  </si>
  <si>
    <t xml:space="preserve"> UNIFORMES POR FUNÇÃO </t>
  </si>
  <si>
    <t>SERVENTE INTERNO</t>
  </si>
  <si>
    <t>Item</t>
  </si>
  <si>
    <t>Descrição</t>
  </si>
  <si>
    <t>Unidade</t>
  </si>
  <si>
    <t>Quantidade Anual por Posto
(A)</t>
  </si>
  <si>
    <t>Pesquisa de Preços</t>
  </si>
  <si>
    <t>Total Anual
(G=A*F))</t>
  </si>
  <si>
    <t>Fornecedor 1</t>
  </si>
  <si>
    <t>Fornecedor 2</t>
  </si>
  <si>
    <t>Fornecedor 3</t>
  </si>
  <si>
    <t>Fornecedor 4</t>
  </si>
  <si>
    <t>Fornecedor 5</t>
  </si>
  <si>
    <t>Média unitária dos preços
(B)</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</si>
  <si>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</si>
  <si>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</si>
  <si>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</si>
  <si>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</si>
  <si>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</si>
  <si>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</si>
  <si>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</si>
  <si>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</si>
  <si>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</si>
  <si>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</si>
  <si>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</si>
  <si>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</si>
  <si>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</si>
  <si>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</si>
  <si>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</si>
  <si>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</si>
  <si>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</si>
  <si>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</si>
  <si>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</si>
  <si>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</si>
  <si>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</si>
  <si>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</si>
  <si>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</si>
  <si>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</si>
  <si>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</si>
  <si>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</si>
  <si>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</si>
  <si>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</si>
  <si>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</si>
  <si>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</si>
  <si>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</si>
  <si>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</si>
  <si>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</si>
  <si>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</si>
  <si>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</si>
  <si>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</si>
  <si>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</si>
  <si>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</si>
  <si>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</si>
  <si>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</si>
  <si>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</si>
  <si>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</si>
  <si>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</si>
  <si>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</si>
  <si>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</si>
  <si>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</si>
  <si>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</si>
  <si>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</si>
  <si>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</si>
  <si>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</si>
  <si>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</si>
  <si>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</si>
  <si>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</si>
  <si>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</si>
  <si>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</si>
  <si>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</si>
  <si>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</si>
  <si>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Quantidade Anual por funcionário
(A)</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</si>
  <si>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</si>
  <si>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</si>
  <si>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</si>
  <si>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</si>
  <si>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</si>
  <si>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</si>
  <si>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</si>
  <si>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</si>
  <si>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</si>
  <si>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</si>
  <si>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</si>
  <si>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</si>
  <si>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</si>
  <si>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</si>
  <si>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</si>
  <si>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</si>
  <si>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</si>
  <si>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</si>
  <si>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</si>
  <si>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</si>
  <si>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</si>
  <si>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</si>
  <si>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</si>
  <si>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</si>
  <si>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</si>
  <si>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</si>
  <si>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</si>
  <si>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</si>
  <si>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</si>
  <si>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</si>
  <si>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</si>
  <si>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</si>
  <si>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</si>
  <si>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</si>
  <si>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</si>
  <si>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</si>
  <si>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</si>
  <si>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</si>
  <si>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</si>
  <si>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</si>
  <si>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</si>
  <si>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</si>
  <si>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</si>
  <si>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</si>
  <si>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</si>
  <si>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</si>
  <si>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</si>
  <si>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</si>
  <si>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</si>
  <si>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</si>
  <si>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</si>
  <si>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</si>
  <si>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</si>
  <si>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</si>
  <si>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</si>
  <si>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</si>
  <si>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</si>
  <si>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</si>
  <si>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</si>
  <si>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</si>
  <si>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</si>
  <si>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</si>
  <si>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</si>
  <si>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</si>
  <si>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</si>
  <si>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</si>
  <si>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</si>
  <si>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</si>
  <si>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</si>
  <si>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</si>
  <si>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</si>
  <si>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</si>
  <si>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</si>
  <si>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</si>
  <si>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</si>
  <si>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</si>
  <si>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</si>
  <si>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</si>
  <si>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</si>
  <si>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</si>
  <si>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</si>
  <si>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</si>
  <si>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</si>
  <si>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</si>
  <si>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</si>
  <si>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</si>
  <si>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</si>
  <si>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</si>
  <si>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</si>
  <si>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</si>
  <si>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</si>
  <si>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</si>
  <si>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</si>
  <si>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</si>
  <si>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</si>
  <si>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</si>
  <si>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</si>
  <si>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</si>
  <si>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</si>
  <si>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</si>
  <si>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</si>
  <si>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</si>
  <si>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</si>
  <si>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</si>
  <si>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</si>
  <si>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</si>
  <si>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</si>
  <si>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</si>
  <si>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</si>
  <si>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</si>
  <si>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</si>
  <si>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</si>
  <si>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</si>
  <si>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</si>
  <si>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</si>
  <si>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</si>
  <si>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</si>
  <si>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</si>
  <si>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</si>
  <si>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</si>
  <si>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</si>
  <si>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</si>
  <si>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</si>
  <si>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</si>
  <si>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</si>
  <si>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</si>
  <si>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</si>
  <si>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</si>
  <si>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</si>
  <si>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</si>
  <si>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</si>
  <si>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</si>
  <si>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</si>
  <si>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</si>
  <si>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</si>
  <si>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</si>
  <si>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</si>
  <si>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</si>
  <si>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</si>
  <si>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</si>
  <si>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</si>
  <si>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</si>
  <si>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</si>
  <si>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</si>
  <si>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</si>
  <si>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</si>
  <si>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</si>
  <si>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</si>
  <si>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</si>
  <si>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</si>
  <si>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</si>
  <si>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</si>
  <si>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</si>
  <si>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</si>
  <si>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</si>
  <si>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</si>
  <si>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</si>
  <si>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</si>
  <si>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</si>
  <si>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</si>
  <si>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</si>
  <si>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</si>
  <si>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</si>
  <si>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</si>
  <si>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</si>
  <si>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</si>
  <si>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</si>
  <si>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</si>
  <si>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</si>
  <si>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</si>
  <si>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</si>
  <si>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</si>
  <si>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</si>
  <si>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</si>
  <si>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Quantidade de meses da contratação</t>
  </si>
  <si>
    <t>Total mensal</t>
  </si>
  <si>
    <t>Valor por posto</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</si>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</sst>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R$&quot;\ #,##0.00;\-&quot;R$&quot;\ #,##0.00"/>
    <numFmt numFmtId="44" formatCode="_-&quot;R$&quot;\ * #,##0.00_-;\-&quot;R$&quot;\ * #,##0.00_-;_-&quot;R$&quot;\ * &quot;-&quot;??_-;_-@_-"/>
    <numFmt numFmtId="43" formatCode="_-* #,##0.00_-;\-* #,##0.00_-;_-* &quot;-&quot;??_-;_-@_-"/>
    <numFmt numFmtId="164" formatCode="&quot;R$&quot;\ #,##0.00_);[Red]\(&quot;R$&quot;\ #,##0.00\)"/>
    <numFmt numFmtId="165" formatCode="[$R$-416]\ #,##0.00;\-[$R$-416]\ #,##0.00"/>
    <numFmt numFmtId="166" formatCode="0_ "/>
    <numFmt numFmtId="167" formatCode="0.000%"/>
    <numFmt numFmtId="168" formatCode="#,##0_ "/>
    <numFmt numFmtId="169" formatCode="mmm\-yy"/>
    <numFmt numFmtId="170" formatCode="&quot;R$&quot;\ #,##0.00"/>
    <numFmt numFmtId="171" formatCode="&quot;R$ &quot;#,##0.00_);[Red]\(&quot;R$ &quot;#,##0.00\)"/>
    <numFmt numFmtId="172" formatCode="&quot;R$&quot;#,##0.00;[Red]&quot;R$&quot;#,##0.00"/>
    <numFmt numFmtId="173" formatCode="0.000000"/>
    <numFmt numFmtId="174" formatCode="_-* #,##0.0000_-;\-* #,##0.0000_-;_-* &quot;-&quot;??_-;_-@_-"/>
    <numFmt numFmtId="175" formatCode="&quot;R$&quot;#,##0.00;[Red]\-&quot;R$&quot;#,##0.00"/>
    <numFmt numFmtId="176" formatCode="_-* #,##0.0000_-;\-* #,##0.0000_-;_-* &quot;-&quot;????_-;_-@_-"/>
    <numFmt numFmtId="177" formatCode="_(&quot;R$ &quot;* #,##0.00_);_(&quot;R$ &quot;* \(#,##0.00\);_(&quot;R$ &quot;* &quot;-&quot;??_);_(@_)"/>
  </numFmts>
  <fonts count="31">
    <font>
      <sz val="11"/>
      <color theme="1"/>
      <name val="Calibri"/>
      <charset val="134"/>
      <scheme val="minor"/>
    </font>
    <font>
      <sz val="10"/>
      <color theme="1"/>
      <name val="Arial"/>
      <charset val="134"/>
    </font>
    <font>
      <sz val="10"/>
      <name val="Arial"/>
      <charset val="134"/>
    </font>
    <font>
      <b/>
      <sz val="14"/>
      <color theme="1"/>
      <name val="Arial"/>
      <charset val="134"/>
    </font>
    <font>
      <b/>
      <sz val="10"/>
      <color rgb="FF000000"/>
      <name val="Arial"/>
      <charset val="134"/>
    </font>
    <font>
      <b/>
      <sz val="10"/>
      <color theme="1"/>
      <name val="Arial"/>
      <charset val="134"/>
    </font>
    <font>
      <b/>
      <sz val="10"/>
      <name val="Arial"/>
      <charset val="134"/>
    </font>
    <font>
      <i/>
      <sz val="10"/>
      <name val="Arial"/>
      <charset val="134"/>
    </font>
    <font>
      <sz val="10"/>
      <color rgb="FF000000"/>
      <name val="Arial"/>
      <charset val="134"/>
    </font>
    <font>
      <b/>
      <sz val="12"/>
      <color theme="1"/>
      <name val="Arial"/>
      <charset val="134"/>
    </font>
    <font>
      <u/>
      <sz val="10"/>
      <color rgb="FF000000"/>
      <name val="Arial"/>
      <charset val="134"/>
    </font>
    <font>
      <b/>
      <sz val="10"/>
      <color indexed="8"/>
      <name val="Arial"/>
      <charset val="134"/>
    </font>
    <font>
      <sz val="10"/>
      <color indexed="8"/>
      <name val="Arial"/>
      <charset val="134"/>
    </font>
    <font>
      <sz val="12"/>
      <color rgb="FF000000"/>
      <name val="Arial"/>
      <charset val="134"/>
    </font>
    <font>
      <sz val="8"/>
      <color theme="1"/>
      <name val="Arial"/>
      <charset val="134"/>
    </font>
    <font>
      <sz val="12"/>
      <name val="Arial"/>
      <charset val="134"/>
    </font>
    <font>
      <b/>
      <sz val="8"/>
      <color theme="1"/>
      <name val="Arial"/>
      <charset val="134"/>
    </font>
    <font>
      <sz val="9"/>
      <color theme="1"/>
      <name val="Arial"/>
      <charset val="134"/>
    </font>
    <font>
      <b/>
      <sz val="9"/>
      <color theme="0"/>
      <name val="Arial"/>
      <charset val="134"/>
    </font>
    <font>
      <b/>
      <sz val="9"/>
      <color theme="1"/>
      <name val="Arial"/>
      <charset val="134"/>
    </font>
    <font>
      <b/>
      <sz val="9"/>
      <name val="Arial"/>
      <charset val="134"/>
    </font>
    <font>
      <sz val="9"/>
      <color rgb="FF000000"/>
      <name val="Arial"/>
      <charset val="134"/>
    </font>
    <font>
      <sz val="12"/>
      <color theme="1"/>
      <name val="Arial"/>
      <charset val="134"/>
    </font>
    <font>
      <b/>
      <sz val="12"/>
      <name val="Arial"/>
      <charset val="134"/>
    </font>
    <font>
      <b/>
      <sz val="8"/>
      <name val="Arial"/>
      <charset val="134"/>
    </font>
    <font>
      <sz val="8"/>
      <name val="Arial"/>
      <charset val="134"/>
    </font>
    <font>
      <sz val="8"/>
      <color rgb="FFFF0000"/>
      <name val="Arial"/>
      <charset val="134"/>
    </font>
    <font>
      <sz val="9"/>
      <color rgb="FFFF0000"/>
      <name val="Arial"/>
      <charset val="134"/>
    </font>
    <font>
      <sz val="11"/>
      <color rgb="FF000000"/>
      <name val="Calibri"/>
      <charset val="1"/>
    </font>
    <font>
      <sz val="9"/>
      <name val="Arial"/>
    </font>
    <font>
      <sz val="11"/>
      <color theme="1"/>
      <name val="Calibri"/>
      <charset val="134"/>
      <scheme val="minor"/>
    </font>
  </fonts>
  <fills count="1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FF"/>
        <bgColor rgb="FFFFFFCC"/>
      </patternFill>
    </fill>
    <fill>
      <patternFill patternType="solid">
        <fgColor theme="2"/>
        <bgColor indexed="64"/>
      </patternFill>
    </fill>
    <fill>
      <patternFill patternType="solid">
        <fgColor rgb="FF0070C0"/>
        <bgColor indexed="64"/>
      </patternFill>
    </fill>
    <fill>
      <patternFill patternType="solid">
        <fgColor theme="5" tint="0.59999389629810485"/>
        <bgColor indexed="64"/>
      </patternFill>
    </fill>
    <fill>
      <patternFill patternType="solid">
        <fgColor theme="9" tint="0.39997558519241921"/>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hair">
        <color auto="1"/>
      </left>
      <right/>
      <top/>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ashed">
        <color auto="1"/>
      </left>
      <right style="dashed">
        <color auto="1"/>
      </right>
      <top style="dashed">
        <color auto="1"/>
      </top>
      <bottom style="dashed">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s>
  <cellStyleXfs count="6">
    <xf numFmtId="0" fontId="0" fillId="0" borderId="0">
      <alignment vertical="center"/>
    </xf>
    <xf numFmtId="43" fontId="30" fillId="0" borderId="0" applyFont="0" applyFill="0" applyBorder="0" applyAlignment="0" applyProtection="0">
      <alignment vertical="center"/>
    </xf>
    <xf numFmtId="44" fontId="30" fillId="0" borderId="0" applyFont="0" applyFill="0" applyBorder="0" applyAlignment="0" applyProtection="0">
      <alignment vertical="center"/>
    </xf>
    <xf numFmtId="9" fontId="30" fillId="0" borderId="0" applyFont="0" applyFill="0" applyBorder="0" applyAlignment="0" applyProtection="0">
      <alignment vertical="center"/>
    </xf>
    <xf numFmtId="0" fontId="28" fillId="0" borderId="0"/>
    <xf numFmtId="0" fontId="2" fillId="0" borderId="0"/>
  </cellStyleXfs>
  <cellXfs count="373">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164" fontId="2" fillId="0" borderId="0" xfId="0" applyNumberFormat="1" applyFont="1">
      <alignment vertical="center"/>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2" applyNumberFormat="1" applyFont="1" applyBorder="1" applyAlignment="1">
      <alignment horizontal="center" vertical="center" wrapText="1"/>
    </xf>
    <xf numFmtId="164" fontId="2" fillId="0" borderId="1" xfId="2" applyNumberFormat="1" applyFont="1" applyFill="1" applyBorder="1" applyAlignment="1">
      <alignment horizontal="center" vertical="center" wrapText="1"/>
    </xf>
    <xf numFmtId="0" fontId="6" fillId="0" borderId="0" xfId="0" applyFont="1" applyAlignment="1">
      <alignment horizontal="center" vertical="center" wrapText="1"/>
    </xf>
    <xf numFmtId="165" fontId="2" fillId="0" borderId="0" xfId="0" applyNumberFormat="1" applyFont="1" applyAlignment="1">
      <alignment horizontal="center" vertical="center" wrapText="1"/>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3" fillId="0" borderId="0" xfId="0" applyFo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165" fontId="2" fillId="0" borderId="5" xfId="0" applyNumberFormat="1" applyFont="1" applyBorder="1" applyAlignment="1">
      <alignment horizontal="center" vertical="center" wrapText="1"/>
    </xf>
    <xf numFmtId="165" fontId="6" fillId="3" borderId="1" xfId="0" applyNumberFormat="1" applyFont="1" applyFill="1" applyBorder="1" applyAlignment="1">
      <alignment horizontal="right" vertical="center" wrapText="1"/>
    </xf>
    <xf numFmtId="165" fontId="6" fillId="3" borderId="1" xfId="0" applyNumberFormat="1" applyFont="1" applyFill="1" applyBorder="1">
      <alignment vertical="center"/>
    </xf>
    <xf numFmtId="165" fontId="6" fillId="3" borderId="1" xfId="0" applyNumberFormat="1" applyFont="1" applyFill="1" applyBorder="1" applyAlignment="1">
      <alignment horizontal="center" vertical="center"/>
    </xf>
    <xf numFmtId="165" fontId="2" fillId="0" borderId="0" xfId="0" applyNumberFormat="1" applyFont="1">
      <alignment vertical="center"/>
    </xf>
    <xf numFmtId="166" fontId="6" fillId="0" borderId="1" xfId="1" applyNumberFormat="1" applyFont="1" applyFill="1" applyBorder="1" applyAlignment="1">
      <alignment horizontal="center" vertical="center"/>
    </xf>
    <xf numFmtId="164" fontId="6" fillId="0" borderId="1" xfId="0" applyNumberFormat="1" applyFont="1" applyBorder="1" applyAlignment="1">
      <alignment horizontal="center" vertical="center"/>
    </xf>
    <xf numFmtId="167" fontId="2" fillId="0" borderId="0" xfId="3" applyNumberFormat="1" applyFont="1">
      <alignment vertical="center"/>
    </xf>
    <xf numFmtId="1" fontId="6" fillId="4" borderId="1" xfId="2"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2" fillId="0" borderId="0" xfId="0" applyNumberFormat="1" applyFont="1" applyAlignment="1">
      <alignment horizontal="center" vertical="center" wrapText="1"/>
    </xf>
    <xf numFmtId="164" fontId="6" fillId="0" borderId="0" xfId="0" applyNumberFormat="1" applyFont="1">
      <alignment vertical="center"/>
    </xf>
    <xf numFmtId="0" fontId="2" fillId="0" borderId="0" xfId="0" applyFont="1" applyAlignment="1">
      <alignment horizontal="left" vertical="center"/>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0" xfId="0" applyFont="1" applyAlignment="1">
      <alignment horizontal="center" vertical="center"/>
    </xf>
    <xf numFmtId="165" fontId="4" fillId="0" borderId="0" xfId="0" applyNumberFormat="1"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justify" vertical="center" wrapText="1"/>
    </xf>
    <xf numFmtId="165" fontId="8" fillId="0" borderId="0" xfId="0" applyNumberFormat="1" applyFont="1" applyAlignment="1">
      <alignment horizontal="center" vertical="center" wrapText="1"/>
    </xf>
    <xf numFmtId="165" fontId="4" fillId="7" borderId="1" xfId="0" applyNumberFormat="1" applyFont="1" applyFill="1" applyBorder="1" applyAlignment="1">
      <alignment horizontal="center" vertical="center" wrapText="1"/>
    </xf>
    <xf numFmtId="168" fontId="4"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0" fontId="1" fillId="0" borderId="0" xfId="0" applyFont="1" applyAlignment="1">
      <alignment horizontal="justify" vertical="center"/>
    </xf>
    <xf numFmtId="0" fontId="9" fillId="0" borderId="0" xfId="0" applyFont="1" applyAlignment="1">
      <alignment horizontal="center" vertical="center"/>
    </xf>
    <xf numFmtId="165" fontId="9"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0" fontId="4"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165" fontId="1" fillId="0" borderId="0" xfId="2" applyNumberFormat="1" applyFont="1" applyFill="1" applyBorder="1" applyAlignment="1">
      <alignment vertical="center" wrapText="1"/>
    </xf>
    <xf numFmtId="165" fontId="1" fillId="0" borderId="0" xfId="0" applyNumberFormat="1" applyFont="1">
      <alignment vertical="center"/>
    </xf>
    <xf numFmtId="0" fontId="1" fillId="0" borderId="0" xfId="0" applyFont="1" applyAlignment="1">
      <alignment vertical="center" wrapText="1"/>
    </xf>
    <xf numFmtId="165" fontId="2" fillId="0" borderId="1" xfId="2" applyNumberFormat="1" applyFont="1" applyFill="1" applyBorder="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3" fillId="0" borderId="0" xfId="4" applyFont="1" applyAlignment="1" applyProtection="1">
      <alignment vertical="center"/>
      <protection locked="0"/>
    </xf>
    <xf numFmtId="10" fontId="11" fillId="0" borderId="0" xfId="0" applyNumberFormat="1" applyFont="1" applyAlignment="1">
      <alignment horizontal="center" vertical="center" wrapText="1"/>
    </xf>
    <xf numFmtId="2" fontId="12" fillId="0" borderId="0" xfId="0" applyNumberFormat="1" applyFont="1" applyAlignment="1">
      <alignment vertical="center" wrapText="1"/>
    </xf>
    <xf numFmtId="0" fontId="12" fillId="0" borderId="0" xfId="0" applyFont="1" applyAlignment="1">
      <alignment horizontal="center" vertical="center" wrapText="1"/>
    </xf>
    <xf numFmtId="0" fontId="14" fillId="0" borderId="0" xfId="0" applyFont="1" applyAlignment="1">
      <alignment vertical="center" wrapText="1"/>
    </xf>
    <xf numFmtId="0" fontId="5" fillId="0" borderId="0" xfId="0" applyFont="1" applyAlignment="1">
      <alignment vertical="center" wrapText="1"/>
    </xf>
    <xf numFmtId="164" fontId="1" fillId="0" borderId="0" xfId="0" applyNumberFormat="1" applyFont="1" applyAlignment="1">
      <alignment horizontal="right" vertical="center" wrapText="1"/>
    </xf>
    <xf numFmtId="0" fontId="5" fillId="6" borderId="12" xfId="0" applyFont="1" applyFill="1" applyBorder="1" applyAlignment="1">
      <alignment horizontal="center" vertical="center" wrapText="1"/>
    </xf>
    <xf numFmtId="0" fontId="2" fillId="0" borderId="0" xfId="0" applyFont="1" applyAlignment="1">
      <alignment vertical="center" wrapText="1"/>
    </xf>
    <xf numFmtId="0" fontId="15" fillId="10" borderId="0" xfId="4" applyFont="1" applyFill="1" applyAlignment="1">
      <alignment vertical="center"/>
    </xf>
    <xf numFmtId="169" fontId="15" fillId="10" borderId="0" xfId="4" applyNumberFormat="1" applyFont="1" applyFill="1" applyAlignment="1">
      <alignment vertical="center"/>
    </xf>
    <xf numFmtId="0" fontId="11" fillId="11" borderId="12" xfId="0" applyFont="1" applyFill="1" applyBorder="1" applyAlignment="1">
      <alignment horizontal="center" vertical="center" wrapText="1"/>
    </xf>
    <xf numFmtId="0" fontId="12" fillId="0" borderId="12" xfId="0" applyFont="1" applyBorder="1" applyAlignment="1">
      <alignment horizontal="right" vertical="center" wrapText="1"/>
    </xf>
    <xf numFmtId="170" fontId="5" fillId="0" borderId="12" xfId="1" applyNumberFormat="1" applyFont="1" applyFill="1" applyBorder="1" applyAlignment="1">
      <alignment horizontal="right" vertical="center" wrapText="1"/>
    </xf>
    <xf numFmtId="3" fontId="5" fillId="0" borderId="12" xfId="0" applyNumberFormat="1" applyFont="1" applyBorder="1" applyAlignment="1">
      <alignment horizontal="center" vertical="center" wrapText="1"/>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0" fontId="1" fillId="0" borderId="12" xfId="0" applyFont="1" applyBorder="1" applyAlignment="1">
      <alignment horizontal="right" vertical="center" wrapText="1"/>
    </xf>
    <xf numFmtId="0" fontId="4" fillId="11" borderId="12" xfId="4" applyFont="1" applyFill="1" applyBorder="1" applyAlignment="1">
      <alignment horizontal="center" vertical="center"/>
    </xf>
    <xf numFmtId="0" fontId="8" fillId="0" borderId="12" xfId="4" applyFont="1" applyBorder="1" applyAlignment="1">
      <alignment horizontal="right" vertical="center"/>
    </xf>
    <xf numFmtId="0" fontId="13" fillId="0" borderId="0" xfId="4" applyFont="1" applyAlignment="1">
      <alignment horizontal="center" vertical="center"/>
    </xf>
    <xf numFmtId="0" fontId="13" fillId="0" borderId="0" xfId="4" applyFont="1" applyAlignment="1">
      <alignment vertical="center"/>
    </xf>
    <xf numFmtId="171" fontId="1" fillId="0" borderId="12" xfId="0" applyNumberFormat="1" applyFont="1" applyBorder="1" applyAlignment="1">
      <alignment horizontal="right" vertical="center" wrapText="1"/>
    </xf>
    <xf numFmtId="0" fontId="5" fillId="11" borderId="12" xfId="0" applyFont="1" applyFill="1" applyBorder="1" applyAlignment="1">
      <alignment horizontal="center" vertical="center" wrapText="1"/>
    </xf>
    <xf numFmtId="164" fontId="5" fillId="11" borderId="12" xfId="0" applyNumberFormat="1" applyFont="1" applyFill="1" applyBorder="1" applyAlignment="1">
      <alignment horizontal="right" vertical="center" wrapText="1"/>
    </xf>
    <xf numFmtId="0" fontId="1" fillId="0" borderId="12" xfId="0" applyFont="1" applyBorder="1" applyAlignment="1">
      <alignment horizontal="center" vertical="center" wrapText="1"/>
    </xf>
    <xf numFmtId="164" fontId="1" fillId="0" borderId="12" xfId="0" applyNumberFormat="1" applyFont="1" applyBorder="1" applyAlignment="1">
      <alignment horizontal="right" vertical="center" wrapText="1"/>
    </xf>
    <xf numFmtId="0" fontId="12" fillId="0" borderId="0" xfId="0" applyFont="1" applyAlignment="1">
      <alignment horizontal="justify" vertical="center" wrapText="1"/>
    </xf>
    <xf numFmtId="9" fontId="1" fillId="0" borderId="12" xfId="0" applyNumberFormat="1" applyFont="1" applyBorder="1" applyAlignment="1">
      <alignment horizontal="center" vertical="center" wrapText="1"/>
    </xf>
    <xf numFmtId="0" fontId="1" fillId="2" borderId="12" xfId="0" applyFont="1" applyFill="1" applyBorder="1" applyAlignment="1">
      <alignment horizontal="center" vertical="center" wrapText="1"/>
    </xf>
    <xf numFmtId="164" fontId="5" fillId="2" borderId="12" xfId="0" applyNumberFormat="1" applyFont="1" applyFill="1" applyBorder="1" applyAlignment="1">
      <alignment horizontal="right" vertical="center" wrapText="1"/>
    </xf>
    <xf numFmtId="172" fontId="12" fillId="0" borderId="0" xfId="0" applyNumberFormat="1" applyFont="1" applyAlignment="1">
      <alignment vertical="center" wrapText="1"/>
    </xf>
    <xf numFmtId="10" fontId="1" fillId="0" borderId="12" xfId="0" applyNumberFormat="1" applyFont="1" applyBorder="1" applyAlignment="1">
      <alignment horizontal="center" vertical="center" wrapText="1"/>
    </xf>
    <xf numFmtId="10" fontId="5" fillId="0" borderId="12" xfId="0" applyNumberFormat="1" applyFont="1" applyBorder="1" applyAlignment="1">
      <alignment horizontal="center" vertical="center" wrapText="1"/>
    </xf>
    <xf numFmtId="164" fontId="5" fillId="0" borderId="12" xfId="0" applyNumberFormat="1" applyFont="1" applyBorder="1" applyAlignment="1">
      <alignment horizontal="right" vertical="center" wrapText="1"/>
    </xf>
    <xf numFmtId="10" fontId="5" fillId="2" borderId="12" xfId="0" applyNumberFormat="1" applyFont="1" applyFill="1" applyBorder="1" applyAlignment="1">
      <alignment horizontal="center" vertical="center" wrapText="1"/>
    </xf>
    <xf numFmtId="164" fontId="11" fillId="0" borderId="0" xfId="0" applyNumberFormat="1" applyFont="1" applyAlignment="1">
      <alignment horizontal="center" vertical="center" wrapText="1"/>
    </xf>
    <xf numFmtId="9" fontId="1" fillId="0" borderId="12" xfId="3" applyFont="1" applyFill="1" applyBorder="1" applyAlignment="1">
      <alignment horizontal="center" vertical="center" wrapText="1"/>
    </xf>
    <xf numFmtId="10" fontId="11" fillId="0" borderId="0" xfId="0" applyNumberFormat="1" applyFont="1" applyAlignment="1">
      <alignment vertical="center" wrapText="1"/>
    </xf>
    <xf numFmtId="7" fontId="1" fillId="0" borderId="12" xfId="1" applyNumberFormat="1" applyFont="1" applyBorder="1" applyAlignment="1">
      <alignment horizontal="center" vertical="center" wrapText="1"/>
    </xf>
    <xf numFmtId="37" fontId="1" fillId="0" borderId="12" xfId="0" applyNumberFormat="1" applyFont="1" applyBorder="1" applyAlignment="1">
      <alignment horizontal="center" vertical="center" wrapText="1"/>
    </xf>
    <xf numFmtId="0" fontId="2" fillId="0" borderId="12" xfId="0" applyFont="1" applyBorder="1" applyAlignment="1">
      <alignment horizontal="center" vertical="center" wrapText="1"/>
    </xf>
    <xf numFmtId="164" fontId="2" fillId="0" borderId="12" xfId="0" applyNumberFormat="1" applyFont="1" applyBorder="1" applyAlignment="1">
      <alignment horizontal="right" vertical="center" wrapText="1"/>
    </xf>
    <xf numFmtId="0" fontId="2" fillId="0" borderId="0" xfId="0" applyFont="1" applyAlignment="1">
      <alignment horizontal="justify" vertical="center" wrapText="1"/>
    </xf>
    <xf numFmtId="0" fontId="5" fillId="2" borderId="12" xfId="0" applyFont="1" applyFill="1" applyBorder="1" applyAlignment="1">
      <alignment horizontal="center" vertical="center" wrapText="1"/>
    </xf>
    <xf numFmtId="10" fontId="1" fillId="0" borderId="12" xfId="3" applyNumberFormat="1" applyFont="1" applyFill="1" applyBorder="1" applyAlignment="1">
      <alignment horizontal="center" vertical="center" wrapText="1"/>
    </xf>
    <xf numFmtId="10" fontId="1" fillId="0" borderId="12" xfId="3" applyNumberFormat="1" applyFont="1" applyBorder="1" applyAlignment="1">
      <alignment horizontal="center" vertical="center" wrapText="1"/>
    </xf>
    <xf numFmtId="0" fontId="1" fillId="0" borderId="15" xfId="0" applyFont="1" applyBorder="1" applyAlignment="1">
      <alignment vertical="center" wrapText="1"/>
    </xf>
    <xf numFmtId="164" fontId="12" fillId="0" borderId="0" xfId="0" applyNumberFormat="1" applyFont="1" applyAlignment="1">
      <alignment vertical="center" wrapText="1"/>
    </xf>
    <xf numFmtId="173" fontId="14" fillId="0" borderId="0" xfId="0" applyNumberFormat="1" applyFont="1" applyAlignment="1">
      <alignment vertical="center" wrapText="1"/>
    </xf>
    <xf numFmtId="10" fontId="1" fillId="2" borderId="12" xfId="3" applyNumberFormat="1" applyFont="1" applyFill="1" applyBorder="1" applyAlignment="1">
      <alignment horizontal="center" vertical="center" wrapText="1"/>
    </xf>
    <xf numFmtId="0" fontId="5" fillId="7" borderId="12" xfId="0" applyFont="1" applyFill="1" applyBorder="1" applyAlignment="1">
      <alignment horizontal="center" vertical="center" wrapText="1"/>
    </xf>
    <xf numFmtId="4" fontId="12" fillId="0" borderId="0" xfId="0" applyNumberFormat="1" applyFont="1" applyAlignment="1">
      <alignment vertical="center" wrapText="1"/>
    </xf>
    <xf numFmtId="174" fontId="12" fillId="0" borderId="0" xfId="1" applyNumberFormat="1" applyFont="1" applyFill="1" applyBorder="1" applyAlignment="1">
      <alignment vertical="center" wrapText="1"/>
    </xf>
    <xf numFmtId="10" fontId="1" fillId="2" borderId="12" xfId="0" applyNumberFormat="1" applyFont="1" applyFill="1" applyBorder="1" applyAlignment="1">
      <alignment horizontal="center" vertical="center" wrapText="1"/>
    </xf>
    <xf numFmtId="164" fontId="5" fillId="6" borderId="12" xfId="0" applyNumberFormat="1" applyFont="1" applyFill="1" applyBorder="1" applyAlignment="1">
      <alignment horizontal="right" vertical="center" wrapText="1"/>
    </xf>
    <xf numFmtId="175" fontId="12" fillId="0" borderId="0" xfId="0" applyNumberFormat="1" applyFont="1" applyAlignment="1">
      <alignment vertical="center" wrapText="1"/>
    </xf>
    <xf numFmtId="176" fontId="12" fillId="0" borderId="0" xfId="0" applyNumberFormat="1" applyFont="1" applyAlignment="1">
      <alignment vertical="center" wrapText="1"/>
    </xf>
    <xf numFmtId="176" fontId="12" fillId="0" borderId="0" xfId="0" applyNumberFormat="1" applyFont="1" applyAlignment="1">
      <alignment horizontal="center" vertical="center" wrapText="1"/>
    </xf>
    <xf numFmtId="164" fontId="5" fillId="3" borderId="12" xfId="0" applyNumberFormat="1" applyFont="1" applyFill="1" applyBorder="1" applyAlignment="1">
      <alignment horizontal="right" vertical="center" wrapText="1"/>
    </xf>
    <xf numFmtId="0" fontId="16" fillId="0" borderId="0" xfId="0" applyFont="1" applyAlignment="1">
      <alignment vertical="center" wrapText="1"/>
    </xf>
    <xf numFmtId="170" fontId="5" fillId="6" borderId="12" xfId="1" applyNumberFormat="1" applyFont="1" applyFill="1" applyBorder="1" applyAlignment="1">
      <alignment horizontal="center" vertical="center" wrapText="1"/>
    </xf>
    <xf numFmtId="0" fontId="14" fillId="0" borderId="12" xfId="0" applyFont="1" applyBorder="1" applyAlignment="1">
      <alignment horizontal="center" vertical="center" wrapText="1"/>
    </xf>
    <xf numFmtId="7" fontId="1" fillId="0" borderId="12" xfId="2" applyNumberFormat="1" applyFont="1" applyBorder="1" applyAlignment="1">
      <alignment horizontal="right" vertical="center" wrapText="1"/>
    </xf>
    <xf numFmtId="1" fontId="1" fillId="0" borderId="12" xfId="0" applyNumberFormat="1" applyFont="1" applyBorder="1" applyAlignment="1">
      <alignment horizontal="center" vertical="center" wrapText="1"/>
    </xf>
    <xf numFmtId="170" fontId="5" fillId="2" borderId="12" xfId="1" applyNumberFormat="1" applyFont="1" applyFill="1" applyBorder="1" applyAlignment="1">
      <alignment horizontal="right" vertical="center" wrapText="1"/>
    </xf>
    <xf numFmtId="170" fontId="5" fillId="3" borderId="12" xfId="2" applyNumberFormat="1" applyFont="1" applyFill="1" applyBorder="1" applyAlignment="1">
      <alignment horizontal="right" vertical="center" wrapText="1"/>
    </xf>
    <xf numFmtId="0" fontId="17" fillId="0" borderId="0" xfId="0" applyFont="1">
      <alignment vertical="center"/>
    </xf>
    <xf numFmtId="0" fontId="17" fillId="0" borderId="0" xfId="0" applyFont="1" applyAlignment="1">
      <alignment horizontal="justify" vertical="center"/>
    </xf>
    <xf numFmtId="0" fontId="17" fillId="0" borderId="0" xfId="0" applyFont="1" applyAlignment="1">
      <alignment vertical="center" wrapText="1"/>
    </xf>
    <xf numFmtId="0" fontId="17" fillId="0" borderId="0" xfId="0" applyFont="1" applyAlignment="1">
      <alignment horizontal="center" vertical="center"/>
    </xf>
    <xf numFmtId="0" fontId="19" fillId="11" borderId="12" xfId="0" applyFont="1" applyFill="1" applyBorder="1" applyAlignment="1">
      <alignment horizontal="center" vertical="center" wrapText="1"/>
    </xf>
    <xf numFmtId="0" fontId="17" fillId="0" borderId="16" xfId="0" applyFont="1" applyBorder="1">
      <alignment vertical="center"/>
    </xf>
    <xf numFmtId="3" fontId="17" fillId="0" borderId="5" xfId="0" applyNumberFormat="1" applyFont="1" applyBorder="1" applyAlignment="1">
      <alignment horizontal="center" vertical="center" wrapText="1"/>
    </xf>
    <xf numFmtId="0" fontId="19" fillId="3" borderId="12" xfId="0" applyFont="1" applyFill="1" applyBorder="1">
      <alignment vertical="center"/>
    </xf>
    <xf numFmtId="3" fontId="19" fillId="3" borderId="12" xfId="0" applyNumberFormat="1" applyFont="1" applyFill="1" applyBorder="1" applyAlignment="1">
      <alignment horizontal="center" vertical="center" wrapText="1"/>
    </xf>
    <xf numFmtId="0" fontId="19" fillId="0" borderId="12" xfId="0" applyFont="1" applyBorder="1" applyAlignment="1">
      <alignment horizontal="center" vertical="center" wrapText="1"/>
    </xf>
    <xf numFmtId="0" fontId="17" fillId="0" borderId="12" xfId="0" applyFont="1" applyBorder="1" applyAlignment="1">
      <alignment horizontal="center" vertical="center" wrapText="1"/>
    </xf>
    <xf numFmtId="0" fontId="19" fillId="0" borderId="12" xfId="0" applyFont="1" applyBorder="1" applyAlignment="1">
      <alignment horizontal="center" vertical="center"/>
    </xf>
    <xf numFmtId="0" fontId="19" fillId="6" borderId="12" xfId="0" applyFont="1" applyFill="1" applyBorder="1" applyAlignment="1">
      <alignment horizontal="center" vertical="center" wrapText="1"/>
    </xf>
    <xf numFmtId="170" fontId="17" fillId="0" borderId="0" xfId="0" applyNumberFormat="1" applyFont="1" applyAlignment="1">
      <alignment vertical="center" wrapText="1"/>
    </xf>
    <xf numFmtId="170" fontId="17" fillId="0" borderId="0" xfId="0" applyNumberFormat="1" applyFont="1" applyAlignment="1">
      <alignment horizontal="center" vertical="center"/>
    </xf>
    <xf numFmtId="0" fontId="19" fillId="11" borderId="12" xfId="0" applyFont="1" applyFill="1" applyBorder="1" applyAlignment="1">
      <alignment horizontal="center" vertical="center"/>
    </xf>
    <xf numFmtId="0" fontId="17" fillId="6" borderId="12" xfId="0" applyFont="1" applyFill="1" applyBorder="1" applyAlignment="1">
      <alignment horizontal="center" vertical="center"/>
    </xf>
    <xf numFmtId="7" fontId="17" fillId="0" borderId="12" xfId="0" applyNumberFormat="1" applyFont="1" applyBorder="1" applyAlignment="1">
      <alignment horizontal="center" vertical="center" wrapText="1"/>
    </xf>
    <xf numFmtId="3" fontId="17" fillId="0" borderId="12" xfId="0" applyNumberFormat="1" applyFont="1" applyBorder="1" applyAlignment="1">
      <alignment horizontal="center" vertical="center" wrapText="1"/>
    </xf>
    <xf numFmtId="0" fontId="19" fillId="3" borderId="12" xfId="0" applyFont="1" applyFill="1" applyBorder="1" applyAlignment="1">
      <alignment horizontal="center" vertical="center" wrapText="1"/>
    </xf>
    <xf numFmtId="7" fontId="19" fillId="3" borderId="12" xfId="0" applyNumberFormat="1"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7" fillId="0" borderId="1" xfId="0" applyFont="1" applyBorder="1" applyAlignment="1">
      <alignment horizontal="center" vertical="center" wrapText="1"/>
    </xf>
    <xf numFmtId="7" fontId="17" fillId="0" borderId="1" xfId="0" applyNumberFormat="1" applyFont="1" applyBorder="1" applyAlignment="1">
      <alignment horizontal="center" vertical="center" wrapText="1"/>
    </xf>
    <xf numFmtId="7" fontId="19" fillId="3" borderId="1" xfId="0" applyNumberFormat="1" applyFont="1" applyFill="1" applyBorder="1" applyAlignment="1">
      <alignment horizontal="center" vertical="center" wrapText="1"/>
    </xf>
    <xf numFmtId="7" fontId="17" fillId="0" borderId="0" xfId="0" applyNumberFormat="1" applyFont="1" applyAlignment="1">
      <alignment vertical="center" wrapText="1"/>
    </xf>
    <xf numFmtId="3" fontId="17" fillId="0" borderId="16" xfId="0" applyNumberFormat="1" applyFont="1" applyBorder="1" applyAlignment="1">
      <alignment horizontal="center" vertical="center"/>
    </xf>
    <xf numFmtId="3" fontId="19" fillId="13" borderId="16" xfId="0" applyNumberFormat="1" applyFont="1" applyFill="1" applyBorder="1" applyAlignment="1">
      <alignment horizontal="center" vertical="center"/>
    </xf>
    <xf numFmtId="3" fontId="19" fillId="13" borderId="12" xfId="0" applyNumberFormat="1" applyFont="1" applyFill="1" applyBorder="1" applyAlignment="1">
      <alignment horizontal="center" vertical="center" wrapText="1"/>
    </xf>
    <xf numFmtId="0" fontId="19" fillId="0" borderId="0" xfId="0" applyFont="1" applyAlignment="1">
      <alignment horizontal="center" vertical="center" wrapText="1"/>
    </xf>
    <xf numFmtId="7" fontId="17" fillId="0" borderId="0" xfId="0" applyNumberFormat="1" applyFont="1">
      <alignment vertical="center"/>
    </xf>
    <xf numFmtId="0" fontId="2" fillId="0" borderId="0" xfId="0" applyFont="1" applyAlignment="1"/>
    <xf numFmtId="0" fontId="2" fillId="0" borderId="0" xfId="0" applyFont="1" applyAlignment="1">
      <alignment wrapText="1"/>
    </xf>
    <xf numFmtId="0" fontId="2" fillId="0" borderId="0" xfId="0" applyFont="1" applyAlignment="1">
      <alignment horizontal="justify" wrapText="1"/>
    </xf>
    <xf numFmtId="0" fontId="22" fillId="0" borderId="0" xfId="0" applyFont="1">
      <alignment vertical="center"/>
    </xf>
    <xf numFmtId="0" fontId="14" fillId="0" borderId="0" xfId="0" applyFont="1">
      <alignment vertical="center"/>
    </xf>
    <xf numFmtId="0" fontId="6" fillId="0" borderId="0" xfId="4" applyFont="1" applyAlignment="1">
      <alignment vertical="center"/>
    </xf>
    <xf numFmtId="0" fontId="23" fillId="0" borderId="0" xfId="4" applyFont="1" applyAlignment="1">
      <alignment vertical="center"/>
    </xf>
    <xf numFmtId="0" fontId="24" fillId="0" borderId="0" xfId="4" applyFont="1" applyAlignment="1">
      <alignment vertical="center"/>
    </xf>
    <xf numFmtId="0" fontId="25" fillId="0" borderId="0" xfId="0" applyFont="1" applyAlignment="1"/>
    <xf numFmtId="0" fontId="15" fillId="0" borderId="0" xfId="0" applyFont="1">
      <alignment vertical="center"/>
    </xf>
    <xf numFmtId="0" fontId="26" fillId="0" borderId="0" xfId="0" applyFont="1" applyAlignment="1"/>
    <xf numFmtId="4" fontId="2" fillId="0" borderId="0" xfId="0" applyNumberFormat="1" applyFont="1" applyAlignment="1"/>
    <xf numFmtId="0" fontId="5" fillId="0" borderId="1" xfId="5"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25"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left" vertical="center" wrapText="1"/>
    </xf>
    <xf numFmtId="14" fontId="15" fillId="0" borderId="1" xfId="0" applyNumberFormat="1" applyFont="1" applyBorder="1" applyAlignment="1">
      <alignment horizontal="center" vertical="center" wrapText="1"/>
    </xf>
    <xf numFmtId="14" fontId="25" fillId="0" borderId="0" xfId="0" applyNumberFormat="1" applyFont="1" applyAlignment="1">
      <alignment horizontal="center" wrapText="1"/>
    </xf>
    <xf numFmtId="14" fontId="2" fillId="0" borderId="0" xfId="0" applyNumberFormat="1" applyFont="1" applyAlignment="1">
      <alignment horizontal="center" wrapText="1"/>
    </xf>
    <xf numFmtId="177" fontId="15" fillId="3" borderId="1" xfId="2" applyNumberFormat="1" applyFont="1" applyFill="1" applyBorder="1" applyAlignment="1">
      <alignment vertical="center" wrapText="1"/>
    </xf>
    <xf numFmtId="177" fontId="26" fillId="0" borderId="0" xfId="2" applyNumberFormat="1" applyFont="1" applyFill="1" applyBorder="1" applyAlignment="1">
      <alignment wrapText="1"/>
    </xf>
    <xf numFmtId="177" fontId="1" fillId="0" borderId="0" xfId="2" applyNumberFormat="1" applyFont="1" applyFill="1" applyBorder="1" applyAlignment="1">
      <alignment wrapText="1"/>
    </xf>
    <xf numFmtId="177" fontId="26" fillId="0" borderId="0" xfId="2" applyNumberFormat="1" applyFont="1" applyFill="1" applyBorder="1" applyAlignment="1">
      <alignment vertical="center" wrapText="1"/>
    </xf>
    <xf numFmtId="177" fontId="15" fillId="3" borderId="1" xfId="2" applyNumberFormat="1" applyFont="1" applyFill="1" applyBorder="1" applyAlignment="1" applyProtection="1">
      <alignment vertical="center" wrapText="1"/>
    </xf>
    <xf numFmtId="177" fontId="27" fillId="0" borderId="0" xfId="2" applyNumberFormat="1" applyFont="1" applyFill="1" applyBorder="1" applyAlignment="1">
      <alignment vertical="center" wrapText="1"/>
    </xf>
    <xf numFmtId="177" fontId="2" fillId="0" borderId="0" xfId="2" applyNumberFormat="1" applyFont="1" applyFill="1" applyBorder="1" applyAlignment="1" applyProtection="1">
      <alignment wrapText="1"/>
    </xf>
    <xf numFmtId="177" fontId="15" fillId="3" borderId="1" xfId="2" applyNumberFormat="1" applyFont="1" applyFill="1" applyBorder="1" applyAlignment="1" applyProtection="1">
      <alignment horizontal="justify" vertical="center" wrapText="1"/>
    </xf>
    <xf numFmtId="177" fontId="1" fillId="0" borderId="0" xfId="2" applyNumberFormat="1" applyFont="1" applyFill="1" applyBorder="1" applyAlignment="1">
      <alignment horizontal="justify" wrapText="1"/>
    </xf>
    <xf numFmtId="177" fontId="1" fillId="0" borderId="0" xfId="2" applyNumberFormat="1" applyFont="1" applyFill="1" applyBorder="1" applyAlignment="1" applyProtection="1">
      <alignment wrapText="1"/>
    </xf>
    <xf numFmtId="177" fontId="15" fillId="3" borderId="1" xfId="2" applyNumberFormat="1" applyFont="1" applyFill="1" applyBorder="1" applyAlignment="1" applyProtection="1">
      <alignment horizontal="center" vertical="center" wrapText="1"/>
    </xf>
    <xf numFmtId="0" fontId="25" fillId="0" borderId="0" xfId="0" applyFont="1" applyAlignment="1">
      <alignment wrapText="1"/>
    </xf>
    <xf numFmtId="9" fontId="15" fillId="3" borderId="1" xfId="3" applyFont="1" applyFill="1" applyBorder="1" applyAlignment="1" applyProtection="1">
      <alignment vertical="center" wrapText="1"/>
    </xf>
    <xf numFmtId="177" fontId="14" fillId="0" borderId="0" xfId="2" applyNumberFormat="1" applyFont="1" applyFill="1" applyBorder="1" applyAlignment="1">
      <alignment vertical="center" wrapText="1"/>
    </xf>
    <xf numFmtId="10" fontId="15" fillId="0" borderId="1" xfId="3" applyNumberFormat="1" applyFont="1" applyFill="1" applyBorder="1" applyAlignment="1">
      <alignment vertical="center" wrapText="1"/>
    </xf>
    <xf numFmtId="10" fontId="14" fillId="0" borderId="0" xfId="3" applyNumberFormat="1" applyFont="1" applyFill="1" applyBorder="1" applyAlignment="1">
      <alignment wrapText="1"/>
    </xf>
    <xf numFmtId="10" fontId="1" fillId="0" borderId="0" xfId="3" applyNumberFormat="1" applyFont="1" applyFill="1" applyBorder="1" applyAlignment="1">
      <alignment wrapText="1"/>
    </xf>
    <xf numFmtId="0" fontId="2" fillId="0" borderId="0" xfId="0" quotePrefix="1" applyFont="1">
      <alignment vertical="center"/>
    </xf>
    <xf numFmtId="0" fontId="2" fillId="0" borderId="0" xfId="4" applyFont="1" applyAlignment="1">
      <alignment horizontal="left" vertical="center" wrapText="1"/>
    </xf>
    <xf numFmtId="0" fontId="15" fillId="0" borderId="0" xfId="4" applyFont="1" applyAlignment="1">
      <alignment horizontal="left" vertical="center" wrapText="1"/>
    </xf>
    <xf numFmtId="177" fontId="26" fillId="0" borderId="0" xfId="2" applyNumberFormat="1" applyFont="1" applyFill="1" applyBorder="1" applyAlignment="1" applyProtection="1">
      <alignment horizontal="justify" vertical="center" wrapText="1"/>
    </xf>
    <xf numFmtId="0" fontId="19" fillId="14" borderId="18" xfId="0" applyFont="1" applyFill="1" applyBorder="1" applyAlignment="1">
      <alignment horizontal="center" vertical="center"/>
    </xf>
    <xf numFmtId="0" fontId="19" fillId="14" borderId="19" xfId="0" applyFont="1" applyFill="1" applyBorder="1" applyAlignment="1">
      <alignment horizontal="center" vertical="center"/>
    </xf>
    <xf numFmtId="0" fontId="19" fillId="14" borderId="20" xfId="0" applyFont="1" applyFill="1" applyBorder="1" applyAlignment="1">
      <alignment horizontal="center" vertical="center"/>
    </xf>
    <xf numFmtId="0" fontId="19" fillId="11" borderId="12" xfId="0"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9" fillId="11" borderId="4" xfId="0" applyFont="1" applyFill="1" applyBorder="1" applyAlignment="1">
      <alignment horizontal="center" vertical="center" wrapText="1"/>
    </xf>
    <xf numFmtId="7" fontId="17" fillId="3" borderId="21" xfId="0" applyNumberFormat="1" applyFont="1" applyFill="1" applyBorder="1" applyAlignment="1">
      <alignment horizontal="center" vertical="center" wrapText="1"/>
    </xf>
    <xf numFmtId="0" fontId="17" fillId="3" borderId="23" xfId="0" applyFont="1" applyFill="1" applyBorder="1" applyAlignment="1">
      <alignment horizontal="center" vertical="center" wrapText="1"/>
    </xf>
    <xf numFmtId="0" fontId="19" fillId="11" borderId="0" xfId="0" applyFont="1" applyFill="1" applyAlignment="1">
      <alignment horizontal="center" vertical="center" wrapText="1"/>
    </xf>
    <xf numFmtId="0" fontId="17" fillId="3" borderId="22"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21" fillId="0" borderId="1" xfId="0" applyFont="1" applyBorder="1" applyAlignment="1">
      <alignment horizontal="justify" vertical="center" wrapText="1"/>
    </xf>
    <xf numFmtId="0" fontId="17" fillId="0" borderId="1" xfId="0" applyFont="1" applyBorder="1" applyAlignment="1">
      <alignment horizontal="justify" vertical="center" wrapText="1"/>
    </xf>
    <xf numFmtId="0" fontId="19" fillId="3" borderId="2" xfId="0" applyFont="1" applyFill="1" applyBorder="1" applyAlignment="1">
      <alignment horizontal="justify" vertical="center"/>
    </xf>
    <xf numFmtId="0" fontId="19" fillId="3" borderId="3" xfId="0" applyFont="1" applyFill="1" applyBorder="1" applyAlignment="1">
      <alignment horizontal="justify" vertical="center"/>
    </xf>
    <xf numFmtId="0" fontId="19" fillId="3" borderId="7" xfId="0" applyFont="1" applyFill="1" applyBorder="1" applyAlignment="1">
      <alignment horizontal="justify" vertical="center"/>
    </xf>
    <xf numFmtId="0" fontId="19" fillId="14" borderId="1" xfId="0" applyFont="1" applyFill="1" applyBorder="1" applyAlignment="1">
      <alignment horizontal="center" vertical="center" wrapText="1"/>
    </xf>
    <xf numFmtId="0" fontId="20" fillId="14" borderId="1" xfId="0" applyFont="1" applyFill="1" applyBorder="1" applyAlignment="1">
      <alignment horizontal="center" vertical="center"/>
    </xf>
    <xf numFmtId="0" fontId="19" fillId="11" borderId="5" xfId="0" applyFont="1" applyFill="1" applyBorder="1" applyAlignment="1">
      <alignment horizontal="justify" vertical="center"/>
    </xf>
    <xf numFmtId="0" fontId="17" fillId="0" borderId="12" xfId="0" applyFont="1" applyBorder="1" applyAlignment="1">
      <alignment horizontal="center" vertical="center" wrapText="1"/>
    </xf>
    <xf numFmtId="7" fontId="17" fillId="0" borderId="12" xfId="0" applyNumberFormat="1" applyFont="1" applyBorder="1" applyAlignment="1">
      <alignment horizontal="center" vertical="center" wrapText="1"/>
    </xf>
    <xf numFmtId="0" fontId="19" fillId="3" borderId="12" xfId="0" applyFont="1" applyFill="1" applyBorder="1" applyAlignment="1">
      <alignment horizontal="center" vertical="center"/>
    </xf>
    <xf numFmtId="7" fontId="19" fillId="3" borderId="12" xfId="0" applyNumberFormat="1" applyFont="1" applyFill="1" applyBorder="1" applyAlignment="1">
      <alignment horizontal="center" vertical="center" wrapText="1"/>
    </xf>
    <xf numFmtId="0" fontId="19" fillId="11" borderId="12" xfId="0" applyFont="1" applyFill="1" applyBorder="1" applyAlignment="1">
      <alignment horizontal="center" vertical="center"/>
    </xf>
    <xf numFmtId="0" fontId="5" fillId="0" borderId="17" xfId="0" applyFont="1" applyBorder="1" applyAlignment="1">
      <alignment horizontal="center" vertical="center"/>
    </xf>
    <xf numFmtId="0" fontId="1" fillId="0" borderId="17" xfId="0" applyFont="1" applyBorder="1" applyAlignment="1">
      <alignment horizontal="center" vertical="center" wrapText="1"/>
    </xf>
    <xf numFmtId="0" fontId="19" fillId="14" borderId="12" xfId="0" applyFont="1" applyFill="1" applyBorder="1" applyAlignment="1">
      <alignment horizontal="center" vertical="center" wrapText="1"/>
    </xf>
    <xf numFmtId="0" fontId="18" fillId="12" borderId="12" xfId="0" applyFont="1" applyFill="1" applyBorder="1" applyAlignment="1">
      <alignment horizontal="center" vertical="center" wrapText="1"/>
    </xf>
    <xf numFmtId="170" fontId="17" fillId="0" borderId="0" xfId="0" applyNumberFormat="1" applyFont="1" applyAlignment="1">
      <alignment horizontal="center" vertical="center" wrapText="1"/>
    </xf>
    <xf numFmtId="0" fontId="17" fillId="0" borderId="0" xfId="0" applyFont="1" applyAlignment="1">
      <alignment horizontal="center" vertical="center" wrapText="1"/>
    </xf>
    <xf numFmtId="0" fontId="5" fillId="13" borderId="17" xfId="0" applyFont="1" applyFill="1" applyBorder="1" applyAlignment="1">
      <alignment horizontal="center" vertical="center"/>
    </xf>
    <xf numFmtId="0" fontId="19" fillId="13" borderId="12" xfId="0" applyFont="1" applyFill="1" applyBorder="1" applyAlignment="1">
      <alignment horizontal="center" vertical="center" wrapText="1"/>
    </xf>
    <xf numFmtId="0" fontId="5" fillId="2" borderId="13" xfId="0" applyFont="1" applyFill="1" applyBorder="1" applyAlignment="1">
      <alignment horizontal="right" vertical="center" wrapText="1"/>
    </xf>
    <xf numFmtId="0" fontId="5" fillId="2" borderId="14" xfId="0" applyFont="1" applyFill="1" applyBorder="1" applyAlignment="1">
      <alignment horizontal="right" vertical="center" wrapText="1"/>
    </xf>
    <xf numFmtId="0" fontId="5" fillId="2" borderId="15" xfId="0" applyFont="1" applyFill="1" applyBorder="1" applyAlignment="1">
      <alignment horizontal="righ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5" fillId="3" borderId="13"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15" xfId="0" applyFont="1" applyFill="1" applyBorder="1" applyAlignment="1">
      <alignment horizontal="right" vertical="center" wrapText="1"/>
    </xf>
    <xf numFmtId="0" fontId="5" fillId="6" borderId="12" xfId="0" applyFont="1" applyFill="1" applyBorder="1" applyAlignment="1">
      <alignment horizontal="center" vertical="center" wrapText="1"/>
    </xf>
    <xf numFmtId="0" fontId="5" fillId="0" borderId="12" xfId="0" applyFont="1" applyBorder="1" applyAlignment="1">
      <alignment horizontal="right" vertical="center" wrapText="1"/>
    </xf>
    <xf numFmtId="49" fontId="12" fillId="0" borderId="0" xfId="0" applyNumberFormat="1" applyFont="1" applyAlignment="1">
      <alignment horizontal="center" vertical="center" wrapText="1"/>
    </xf>
    <xf numFmtId="0" fontId="5" fillId="6" borderId="12" xfId="0" applyFont="1" applyFill="1" applyBorder="1" applyAlignment="1">
      <alignment horizontal="right"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11" borderId="12" xfId="0" applyFont="1" applyFill="1" applyBorder="1" applyAlignment="1">
      <alignment horizontal="center" vertical="center" wrapText="1"/>
    </xf>
    <xf numFmtId="0" fontId="5" fillId="11" borderId="12" xfId="0" applyFont="1" applyFill="1" applyBorder="1" applyAlignment="1">
      <alignment horizontal="right" vertical="center" wrapText="1"/>
    </xf>
    <xf numFmtId="0" fontId="5" fillId="11" borderId="13"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5" fillId="11" borderId="15" xfId="0" applyFont="1" applyFill="1" applyBorder="1" applyAlignment="1">
      <alignment horizontal="center" vertical="center" wrapText="1"/>
    </xf>
    <xf numFmtId="0" fontId="5" fillId="11" borderId="15" xfId="0" applyFont="1" applyFill="1" applyBorder="1" applyAlignment="1">
      <alignment horizontal="righ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11" fillId="11" borderId="12" xfId="0" applyFont="1" applyFill="1" applyBorder="1" applyAlignment="1">
      <alignment horizontal="center" vertical="center" wrapText="1"/>
    </xf>
    <xf numFmtId="0" fontId="11" fillId="11" borderId="12" xfId="0" applyFont="1" applyFill="1" applyBorder="1" applyAlignment="1">
      <alignment horizontal="righ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8" fillId="0" borderId="13" xfId="4" applyFont="1" applyBorder="1" applyAlignment="1">
      <alignment horizontal="left" vertical="center"/>
    </xf>
    <xf numFmtId="0" fontId="8" fillId="0" borderId="14" xfId="4" applyFont="1" applyBorder="1" applyAlignment="1">
      <alignment horizontal="left" vertical="center"/>
    </xf>
    <xf numFmtId="0" fontId="8" fillId="0" borderId="15" xfId="4" applyFont="1" applyBorder="1" applyAlignment="1">
      <alignment horizontal="lef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2" fillId="0" borderId="12" xfId="0" applyFont="1" applyBorder="1" applyAlignment="1">
      <alignment horizontal="left" vertical="center" wrapText="1"/>
    </xf>
    <xf numFmtId="0" fontId="11"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6" fillId="0" borderId="12" xfId="4" applyFont="1" applyBorder="1" applyAlignment="1" applyProtection="1">
      <alignment horizontal="left" vertical="center"/>
      <protection locked="0"/>
    </xf>
    <xf numFmtId="0" fontId="6" fillId="9" borderId="0" xfId="4" applyFont="1" applyFill="1" applyAlignment="1" applyProtection="1">
      <alignment horizontal="center" vertical="center"/>
      <protection locked="0"/>
    </xf>
    <xf numFmtId="0" fontId="6" fillId="9" borderId="0" xfId="4" applyFont="1" applyFill="1" applyAlignment="1" applyProtection="1">
      <alignment horizontal="right" vertical="center"/>
      <protection locked="0"/>
    </xf>
    <xf numFmtId="165" fontId="1" fillId="0" borderId="1" xfId="2" applyNumberFormat="1"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4" fillId="6" borderId="1"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0" xfId="0" applyFont="1" applyBorder="1" applyAlignment="1">
      <alignment horizontal="left" vertical="center" wrapText="1"/>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2" borderId="10" xfId="0" applyFont="1" applyFill="1" applyBorder="1" applyAlignment="1">
      <alignment horizontal="left" vertical="center" wrapText="1"/>
    </xf>
    <xf numFmtId="0" fontId="8" fillId="2" borderId="5" xfId="0" applyFont="1" applyFill="1" applyBorder="1" applyAlignment="1">
      <alignment horizontal="left" vertical="center" wrapText="1"/>
    </xf>
    <xf numFmtId="0" fontId="1" fillId="0" borderId="10" xfId="0" applyFont="1" applyBorder="1" applyAlignment="1">
      <alignment horizontal="left" vertical="center" wrapText="1"/>
    </xf>
    <xf numFmtId="0" fontId="1" fillId="0" borderId="5" xfId="0" applyFont="1" applyBorder="1" applyAlignment="1">
      <alignment horizontal="left" vertical="center" wrapText="1"/>
    </xf>
    <xf numFmtId="0" fontId="1"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5" fillId="6" borderId="1" xfId="0" applyFont="1" applyFill="1" applyBorder="1" applyAlignment="1">
      <alignment horizontal="center" vertical="center" wrapText="1"/>
    </xf>
    <xf numFmtId="165" fontId="4" fillId="7" borderId="1" xfId="0" applyNumberFormat="1" applyFont="1" applyFill="1" applyBorder="1" applyAlignment="1">
      <alignment horizontal="right" vertical="center" wrapText="1"/>
    </xf>
    <xf numFmtId="168" fontId="4" fillId="0" borderId="1" xfId="0" applyNumberFormat="1" applyFont="1" applyBorder="1" applyAlignment="1">
      <alignment horizontal="right" vertical="center" wrapText="1"/>
    </xf>
    <xf numFmtId="165" fontId="5" fillId="3" borderId="1" xfId="0" applyNumberFormat="1" applyFont="1" applyFill="1" applyBorder="1" applyAlignment="1">
      <alignment horizontal="right" vertical="center" wrapText="1"/>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3" fillId="0" borderId="0" xfId="0" applyFont="1" applyAlignment="1">
      <alignment horizontal="center" vertical="center"/>
    </xf>
    <xf numFmtId="0" fontId="3" fillId="0" borderId="11"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7" xfId="0" applyFont="1" applyFill="1" applyBorder="1" applyAlignment="1">
      <alignment horizontal="center" vertical="center" wrapText="1"/>
    </xf>
    <xf numFmtId="165" fontId="1" fillId="0" borderId="0" xfId="2" applyNumberFormat="1" applyFont="1" applyFill="1" applyBorder="1" applyAlignment="1">
      <alignment horizontal="center" vertical="center" wrapText="1"/>
    </xf>
    <xf numFmtId="0" fontId="5" fillId="8"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8" borderId="1" xfId="0" applyFont="1" applyFill="1" applyBorder="1" applyAlignment="1">
      <alignment horizontal="center" vertical="center" wrapText="1"/>
    </xf>
    <xf numFmtId="0" fontId="1" fillId="0" borderId="10" xfId="0" applyFont="1" applyBorder="1" applyAlignment="1">
      <alignment horizontal="center" vertical="center"/>
    </xf>
    <xf numFmtId="0" fontId="1" fillId="0" borderId="5" xfId="0" applyFont="1" applyBorder="1" applyAlignment="1">
      <alignment horizontal="center" vertical="center"/>
    </xf>
    <xf numFmtId="0" fontId="4" fillId="9" borderId="4"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4" fillId="9" borderId="10"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0" fontId="1" fillId="0" borderId="10" xfId="0" applyFont="1" applyBorder="1" applyAlignment="1">
      <alignment horizontal="left" vertical="center"/>
    </xf>
    <xf numFmtId="0" fontId="1" fillId="0" borderId="5" xfId="0" applyFont="1" applyBorder="1" applyAlignment="1">
      <alignment horizontal="left" vertical="center"/>
    </xf>
    <xf numFmtId="0" fontId="1" fillId="0" borderId="4" xfId="0" applyFont="1" applyBorder="1" applyAlignment="1">
      <alignment horizontal="left" vertical="center" wrapText="1"/>
    </xf>
    <xf numFmtId="165"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3" fontId="8" fillId="0" borderId="1" xfId="0" applyNumberFormat="1" applyFont="1" applyBorder="1" applyAlignment="1">
      <alignment horizontal="center" vertical="center" wrapText="1"/>
    </xf>
    <xf numFmtId="0" fontId="4" fillId="2" borderId="1" xfId="0" applyFont="1" applyFill="1" applyBorder="1" applyAlignment="1">
      <alignment horizontal="left" vertical="center" wrapText="1"/>
    </xf>
    <xf numFmtId="0" fontId="8" fillId="0" borderId="1" xfId="0" applyFont="1" applyBorder="1" applyAlignment="1">
      <alignment horizontal="left" vertical="center" wrapText="1"/>
    </xf>
    <xf numFmtId="0" fontId="3" fillId="0" borderId="0" xfId="0" applyFont="1" applyAlignment="1">
      <alignment horizontal="left" vertical="center"/>
    </xf>
    <xf numFmtId="165" fontId="2" fillId="0" borderId="4" xfId="0" applyNumberFormat="1" applyFont="1" applyBorder="1" applyAlignment="1">
      <alignment horizontal="center" vertical="center"/>
    </xf>
    <xf numFmtId="165" fontId="2" fillId="0" borderId="5" xfId="0" applyNumberFormat="1" applyFont="1" applyBorder="1" applyAlignment="1">
      <alignment horizontal="center" vertical="center"/>
    </xf>
    <xf numFmtId="9" fontId="2" fillId="0" borderId="4" xfId="0" applyNumberFormat="1" applyFont="1" applyBorder="1" applyAlignment="1">
      <alignment horizontal="center" vertical="center"/>
    </xf>
    <xf numFmtId="9" fontId="2" fillId="0" borderId="5"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xf>
    <xf numFmtId="165" fontId="2" fillId="0" borderId="4"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165" fontId="6" fillId="0" borderId="2" xfId="0" applyNumberFormat="1" applyFont="1" applyBorder="1" applyAlignment="1">
      <alignment horizontal="right" vertical="center" wrapText="1"/>
    </xf>
    <xf numFmtId="165" fontId="6" fillId="0" borderId="3" xfId="0" applyNumberFormat="1" applyFont="1" applyBorder="1" applyAlignment="1">
      <alignment horizontal="right" vertical="center" wrapText="1"/>
    </xf>
    <xf numFmtId="165" fontId="6" fillId="0" borderId="7" xfId="0" applyNumberFormat="1" applyFont="1" applyBorder="1" applyAlignment="1">
      <alignment horizontal="right" vertical="center" wrapText="1"/>
    </xf>
    <xf numFmtId="164" fontId="6" fillId="0" borderId="2" xfId="0" applyNumberFormat="1" applyFont="1" applyBorder="1" applyAlignment="1">
      <alignment horizontal="right" vertical="center"/>
    </xf>
    <xf numFmtId="164" fontId="6" fillId="0" borderId="3" xfId="0" applyNumberFormat="1" applyFont="1" applyBorder="1" applyAlignment="1">
      <alignment horizontal="right" vertical="center"/>
    </xf>
    <xf numFmtId="164" fontId="6" fillId="0" borderId="7" xfId="0" applyNumberFormat="1" applyFont="1" applyBorder="1" applyAlignment="1">
      <alignment horizontal="right" vertical="center"/>
    </xf>
    <xf numFmtId="164" fontId="2" fillId="4" borderId="2" xfId="0" applyNumberFormat="1" applyFont="1" applyFill="1" applyBorder="1" applyAlignment="1">
      <alignment horizontal="right" vertical="center" wrapText="1"/>
    </xf>
    <xf numFmtId="164" fontId="2" fillId="4" borderId="3" xfId="0" applyNumberFormat="1" applyFont="1" applyFill="1" applyBorder="1" applyAlignment="1">
      <alignment horizontal="right" vertical="center" wrapText="1"/>
    </xf>
    <xf numFmtId="164" fontId="2" fillId="4" borderId="7" xfId="0" applyNumberFormat="1" applyFont="1" applyFill="1" applyBorder="1" applyAlignment="1">
      <alignment horizontal="right" vertical="center" wrapText="1"/>
    </xf>
    <xf numFmtId="164" fontId="6" fillId="5" borderId="2" xfId="0" applyNumberFormat="1" applyFont="1" applyFill="1" applyBorder="1" applyAlignment="1">
      <alignment horizontal="right" vertical="center" wrapText="1"/>
    </xf>
    <xf numFmtId="164" fontId="6" fillId="5" borderId="3" xfId="0" applyNumberFormat="1" applyFont="1" applyFill="1" applyBorder="1" applyAlignment="1">
      <alignment horizontal="right" vertical="center" wrapText="1"/>
    </xf>
    <xf numFmtId="164" fontId="6" fillId="5" borderId="7" xfId="0" applyNumberFormat="1" applyFont="1" applyFill="1" applyBorder="1" applyAlignment="1">
      <alignment horizontal="right" vertical="center" wrapText="1"/>
    </xf>
    <xf numFmtId="0" fontId="7"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6">
    <cellStyle name="Moeda" xfId="2" builtinId="4"/>
    <cellStyle name="Normal" xfId="0" builtinId="0"/>
    <cellStyle name="Normal 24" xfId="5" xr:uid="{00000000-0005-0000-0000-000032000000}"/>
    <cellStyle name="Normal 3" xfId="4" xr:uid="{00000000-0005-0000-0000-000031000000}"/>
    <cellStyle name="Porcentagem" xfId="3" builtinId="5"/>
    <cellStyle name="Vírgula" xfId="1" builtinId="3"/>
  </cellStyles>
  <dxfs count="0"/>
  <tableStyles count="0" defaultTableStyle="TableStyleMedium2"/>
  <colors>
    <mruColors>
      <color rgb="FFCD89F8"/>
      <color rgb="FFF030AE"/>
      <color rgb="FFFBB1F3"/>
      <color rgb="FFFDD0F0"/>
      <color rgb="FFD02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H35"/>
  <sheetViews>
    <sheetView topLeftCell="A23" zoomScale="90" zoomScaleNormal="90" workbookViewId="0">
      <selection activeCell="D29" sqref="D29"/>
    </sheetView>
  </sheetViews>
  <sheetFormatPr defaultColWidth="9.140625" defaultRowHeight="15"/>
  <cols>
    <col min="1" max="1" width="54.7109375" style="1" customWidth="1"/>
    <col min="2" max="3" width="17" style="1" customWidth="1"/>
    <col min="4" max="4" width="21.28515625" style="162" customWidth="1"/>
    <col min="5" max="5" width="151.5703125" style="163" customWidth="1"/>
    <col min="6" max="16384" width="9.140625" style="1"/>
  </cols>
  <sheetData>
    <row r="1" spans="1:8" s="159" customFormat="1" ht="15.75">
      <c r="A1" s="164" t="s">
        <v>0</v>
      </c>
      <c r="B1" s="164"/>
      <c r="C1" s="164"/>
      <c r="D1" s="165"/>
      <c r="E1" s="166"/>
    </row>
    <row r="2" spans="1:8" s="159" customFormat="1" ht="15.75" customHeight="1">
      <c r="A2" s="198" t="s">
        <v>1</v>
      </c>
      <c r="B2" s="198"/>
      <c r="C2" s="198"/>
      <c r="D2" s="199"/>
      <c r="E2" s="167"/>
    </row>
    <row r="3" spans="1:8" s="159" customFormat="1">
      <c r="B3" s="2"/>
      <c r="C3" s="2"/>
      <c r="D3" s="168"/>
      <c r="E3" s="169"/>
      <c r="F3" s="170"/>
    </row>
    <row r="4" spans="1:8" s="159" customFormat="1" ht="24" customHeight="1">
      <c r="A4" s="171" t="s">
        <v>2</v>
      </c>
      <c r="B4" s="172" t="s">
        <v>3</v>
      </c>
      <c r="C4" s="172" t="s">
        <v>4</v>
      </c>
      <c r="D4" s="173" t="s">
        <v>5</v>
      </c>
      <c r="E4" s="174"/>
      <c r="F4" s="175"/>
      <c r="G4" s="175"/>
      <c r="H4" s="175"/>
    </row>
    <row r="5" spans="1:8" s="160" customFormat="1" ht="30.95" customHeight="1">
      <c r="A5" s="176" t="s">
        <v>6</v>
      </c>
      <c r="B5" s="6" t="s">
        <v>7</v>
      </c>
      <c r="C5" s="6"/>
      <c r="D5" s="177" t="s">
        <v>8</v>
      </c>
      <c r="E5" s="178"/>
      <c r="F5" s="179"/>
      <c r="G5" s="179"/>
      <c r="H5" s="179"/>
    </row>
    <row r="6" spans="1:8" s="160" customFormat="1" ht="30.95" customHeight="1">
      <c r="A6" s="176" t="s">
        <v>9</v>
      </c>
      <c r="B6" s="6" t="s">
        <v>10</v>
      </c>
      <c r="C6" s="6" t="s">
        <v>11</v>
      </c>
      <c r="D6" s="180">
        <v>1651</v>
      </c>
      <c r="E6" s="181"/>
      <c r="F6" s="182"/>
      <c r="G6" s="182"/>
      <c r="H6" s="182"/>
    </row>
    <row r="7" spans="1:8" s="160" customFormat="1" ht="30.95" customHeight="1">
      <c r="A7" s="176" t="s">
        <v>12</v>
      </c>
      <c r="B7" s="6" t="s">
        <v>13</v>
      </c>
      <c r="C7" s="6" t="s">
        <v>14</v>
      </c>
      <c r="D7" s="180">
        <v>400</v>
      </c>
      <c r="E7" s="181"/>
      <c r="F7" s="182"/>
      <c r="G7" s="182"/>
      <c r="H7" s="182"/>
    </row>
    <row r="8" spans="1:8" s="160" customFormat="1" ht="45.95" customHeight="1">
      <c r="A8" s="176" t="s">
        <v>15</v>
      </c>
      <c r="B8" s="6" t="s">
        <v>16</v>
      </c>
      <c r="C8" s="6" t="s">
        <v>17</v>
      </c>
      <c r="D8" s="180">
        <v>130</v>
      </c>
      <c r="E8" s="183" t="s">
        <v>18</v>
      </c>
      <c r="F8" s="182"/>
      <c r="G8" s="182"/>
      <c r="H8" s="182"/>
    </row>
    <row r="9" spans="1:8" s="160" customFormat="1" ht="30.95" customHeight="1">
      <c r="A9" s="176" t="s">
        <v>19</v>
      </c>
      <c r="B9" s="6" t="s">
        <v>20</v>
      </c>
      <c r="C9" s="6"/>
      <c r="D9" s="184">
        <f>(135.91)</f>
        <v>135.91</v>
      </c>
      <c r="E9" s="185" t="s">
        <v>21</v>
      </c>
      <c r="F9" s="186"/>
      <c r="G9" s="186"/>
      <c r="H9" s="186"/>
    </row>
    <row r="10" spans="1:8" s="160" customFormat="1" ht="30.95" customHeight="1">
      <c r="A10" s="176" t="s">
        <v>22</v>
      </c>
      <c r="B10" s="6" t="s">
        <v>20</v>
      </c>
      <c r="C10" s="6"/>
      <c r="D10" s="180">
        <f>(203.98)</f>
        <v>203.98</v>
      </c>
      <c r="E10" s="185" t="s">
        <v>21</v>
      </c>
      <c r="F10" s="182"/>
      <c r="G10" s="182"/>
      <c r="H10" s="182"/>
    </row>
    <row r="11" spans="1:8" s="160" customFormat="1" ht="30.95" customHeight="1">
      <c r="A11" s="176" t="s">
        <v>23</v>
      </c>
      <c r="B11" s="6" t="s">
        <v>20</v>
      </c>
      <c r="C11" s="6"/>
      <c r="D11" s="180">
        <f>(339.91)</f>
        <v>339.91</v>
      </c>
      <c r="E11" s="185" t="s">
        <v>21</v>
      </c>
      <c r="F11" s="182"/>
      <c r="G11" s="182"/>
      <c r="H11" s="182"/>
    </row>
    <row r="12" spans="1:8" s="160" customFormat="1" ht="30.95" customHeight="1">
      <c r="A12" s="176" t="s">
        <v>24</v>
      </c>
      <c r="B12" s="6" t="s">
        <v>20</v>
      </c>
      <c r="C12" s="6"/>
      <c r="D12" s="180">
        <f>(475.93)</f>
        <v>475.93</v>
      </c>
      <c r="E12" s="185" t="s">
        <v>21</v>
      </c>
      <c r="F12" s="182"/>
      <c r="G12" s="182"/>
      <c r="H12" s="182"/>
    </row>
    <row r="13" spans="1:8" s="160" customFormat="1" ht="30.95" customHeight="1">
      <c r="A13" s="176" t="s">
        <v>25</v>
      </c>
      <c r="B13" s="6" t="s">
        <v>20</v>
      </c>
      <c r="C13" s="6"/>
      <c r="D13" s="180">
        <f>(381.6)</f>
        <v>381.6</v>
      </c>
      <c r="E13" s="185" t="s">
        <v>21</v>
      </c>
      <c r="F13" s="182"/>
      <c r="G13" s="182"/>
      <c r="H13" s="182"/>
    </row>
    <row r="14" spans="1:8" s="160" customFormat="1" ht="30.95" customHeight="1">
      <c r="A14" s="176" t="s">
        <v>26</v>
      </c>
      <c r="B14" s="6" t="s">
        <v>20</v>
      </c>
      <c r="C14" s="6"/>
      <c r="D14" s="184">
        <f>(135.91)</f>
        <v>135.91</v>
      </c>
      <c r="E14" s="185" t="s">
        <v>21</v>
      </c>
      <c r="F14" s="182"/>
      <c r="G14" s="182"/>
      <c r="H14" s="182"/>
    </row>
    <row r="15" spans="1:8" s="160" customFormat="1" ht="30.95" customHeight="1">
      <c r="A15" s="176" t="s">
        <v>19</v>
      </c>
      <c r="B15" s="6" t="s">
        <v>20</v>
      </c>
      <c r="C15" s="6"/>
      <c r="D15" s="184">
        <f>(135.91/44)*30</f>
        <v>92.67</v>
      </c>
      <c r="E15" s="185" t="s">
        <v>27</v>
      </c>
      <c r="F15" s="186"/>
      <c r="G15" s="186"/>
      <c r="H15" s="186"/>
    </row>
    <row r="16" spans="1:8" s="160" customFormat="1" ht="30.95" customHeight="1">
      <c r="A16" s="176" t="s">
        <v>22</v>
      </c>
      <c r="B16" s="6" t="s">
        <v>20</v>
      </c>
      <c r="C16" s="6"/>
      <c r="D16" s="180">
        <f>(203.98/44)*30</f>
        <v>139.08000000000001</v>
      </c>
      <c r="E16" s="185" t="s">
        <v>27</v>
      </c>
      <c r="F16" s="182"/>
      <c r="G16" s="182"/>
      <c r="H16" s="182"/>
    </row>
    <row r="17" spans="1:8" s="160" customFormat="1" ht="30.95" customHeight="1">
      <c r="A17" s="176" t="s">
        <v>23</v>
      </c>
      <c r="B17" s="6" t="s">
        <v>20</v>
      </c>
      <c r="C17" s="6"/>
      <c r="D17" s="180">
        <f>(339.91/44)*30</f>
        <v>231.76</v>
      </c>
      <c r="E17" s="185" t="s">
        <v>27</v>
      </c>
      <c r="F17" s="182"/>
      <c r="G17" s="182"/>
      <c r="H17" s="182"/>
    </row>
    <row r="18" spans="1:8" s="160" customFormat="1" ht="30.95" customHeight="1">
      <c r="A18" s="176" t="s">
        <v>24</v>
      </c>
      <c r="B18" s="6" t="s">
        <v>20</v>
      </c>
      <c r="C18" s="6"/>
      <c r="D18" s="180">
        <f>(475.93/44)*30</f>
        <v>324.5</v>
      </c>
      <c r="E18" s="185" t="s">
        <v>27</v>
      </c>
      <c r="F18" s="182"/>
      <c r="G18" s="182"/>
      <c r="H18" s="182"/>
    </row>
    <row r="19" spans="1:8" s="160" customFormat="1" ht="30.95" customHeight="1">
      <c r="A19" s="176" t="s">
        <v>25</v>
      </c>
      <c r="B19" s="6" t="s">
        <v>20</v>
      </c>
      <c r="C19" s="6"/>
      <c r="D19" s="180">
        <f>(381.6/44)*30</f>
        <v>260.18</v>
      </c>
      <c r="E19" s="185" t="s">
        <v>27</v>
      </c>
      <c r="F19" s="182"/>
      <c r="G19" s="182"/>
      <c r="H19" s="182"/>
    </row>
    <row r="20" spans="1:8" s="160" customFormat="1" ht="30.95" customHeight="1">
      <c r="A20" s="176" t="s">
        <v>26</v>
      </c>
      <c r="B20" s="6" t="s">
        <v>20</v>
      </c>
      <c r="C20" s="6"/>
      <c r="D20" s="184">
        <f>(135.91/44)*30</f>
        <v>92.67</v>
      </c>
      <c r="E20" s="185" t="s">
        <v>27</v>
      </c>
      <c r="F20" s="182"/>
      <c r="G20" s="182"/>
      <c r="H20" s="182"/>
    </row>
    <row r="21" spans="1:8" s="160" customFormat="1" ht="45.95" customHeight="1">
      <c r="A21" s="8" t="s">
        <v>28</v>
      </c>
      <c r="B21" s="6" t="s">
        <v>29</v>
      </c>
      <c r="C21" s="6"/>
      <c r="D21" s="187">
        <f>112</f>
        <v>112</v>
      </c>
      <c r="E21" s="200" t="s">
        <v>30</v>
      </c>
      <c r="F21" s="182"/>
      <c r="G21" s="182"/>
      <c r="H21" s="182"/>
    </row>
    <row r="22" spans="1:8" s="161" customFormat="1" ht="45.95" customHeight="1">
      <c r="A22" s="8" t="s">
        <v>31</v>
      </c>
      <c r="B22" s="6" t="s">
        <v>29</v>
      </c>
      <c r="C22" s="6"/>
      <c r="D22" s="187">
        <f>112*50%</f>
        <v>56</v>
      </c>
      <c r="E22" s="200"/>
      <c r="F22" s="188"/>
      <c r="G22" s="188"/>
      <c r="H22" s="188"/>
    </row>
    <row r="23" spans="1:8" s="161" customFormat="1" ht="45.95" customHeight="1">
      <c r="A23" s="8" t="s">
        <v>32</v>
      </c>
      <c r="B23" s="6" t="s">
        <v>29</v>
      </c>
      <c r="C23" s="6"/>
      <c r="D23" s="187">
        <f>100</f>
        <v>100</v>
      </c>
      <c r="E23" s="200"/>
      <c r="F23" s="188"/>
      <c r="G23" s="188"/>
      <c r="H23" s="188"/>
    </row>
    <row r="24" spans="1:8" s="160" customFormat="1" ht="30.95" customHeight="1">
      <c r="A24" s="176" t="s">
        <v>33</v>
      </c>
      <c r="B24" s="6" t="s">
        <v>34</v>
      </c>
      <c r="C24" s="6"/>
      <c r="D24" s="184">
        <v>14.66</v>
      </c>
      <c r="E24" s="181"/>
      <c r="F24" s="186"/>
      <c r="G24" s="186"/>
      <c r="H24" s="186"/>
    </row>
    <row r="25" spans="1:8" s="160" customFormat="1" ht="30.95" customHeight="1">
      <c r="A25" s="176" t="s">
        <v>35</v>
      </c>
      <c r="B25" s="6" t="s">
        <v>36</v>
      </c>
      <c r="C25" s="6"/>
      <c r="D25" s="184">
        <v>6.4</v>
      </c>
      <c r="E25" s="181"/>
      <c r="F25" s="189"/>
      <c r="G25" s="189"/>
      <c r="H25" s="189"/>
    </row>
    <row r="26" spans="1:8" s="160" customFormat="1" ht="30.95" customHeight="1">
      <c r="A26" s="176" t="s">
        <v>37</v>
      </c>
      <c r="B26" s="6" t="s">
        <v>38</v>
      </c>
      <c r="C26" s="6"/>
      <c r="D26" s="190" t="s">
        <v>39</v>
      </c>
      <c r="E26" s="181"/>
      <c r="F26" s="189"/>
      <c r="G26" s="189"/>
      <c r="H26" s="189"/>
    </row>
    <row r="28" spans="1:8" ht="12.75">
      <c r="A28" s="171" t="s">
        <v>2</v>
      </c>
      <c r="B28" s="172" t="s">
        <v>40</v>
      </c>
      <c r="C28" s="172"/>
      <c r="D28" s="173" t="s">
        <v>5</v>
      </c>
    </row>
    <row r="29" spans="1:8" s="160" customFormat="1" ht="30.95" customHeight="1">
      <c r="A29" s="176" t="s">
        <v>41</v>
      </c>
      <c r="B29" s="6">
        <v>2026</v>
      </c>
      <c r="C29" s="6"/>
      <c r="D29" s="184">
        <v>1651</v>
      </c>
      <c r="E29" s="191"/>
    </row>
    <row r="30" spans="1:8" s="160" customFormat="1" ht="30.95" customHeight="1">
      <c r="A30" s="176" t="s">
        <v>42</v>
      </c>
      <c r="B30" s="6">
        <v>2026</v>
      </c>
      <c r="C30" s="6"/>
      <c r="D30" s="192">
        <v>0.2</v>
      </c>
      <c r="E30" s="191"/>
    </row>
    <row r="31" spans="1:8" s="160" customFormat="1" ht="30.95" customHeight="1">
      <c r="A31" s="176" t="s">
        <v>43</v>
      </c>
      <c r="B31" s="6">
        <v>2026</v>
      </c>
      <c r="C31" s="6"/>
      <c r="D31" s="180">
        <v>3</v>
      </c>
      <c r="E31" s="193" t="s">
        <v>44</v>
      </c>
      <c r="F31" s="182"/>
      <c r="G31" s="182"/>
      <c r="H31" s="182"/>
    </row>
    <row r="32" spans="1:8" s="160" customFormat="1" ht="30.95" customHeight="1">
      <c r="A32" s="176" t="s">
        <v>45</v>
      </c>
      <c r="B32" s="6"/>
      <c r="C32" s="6"/>
      <c r="D32" s="194">
        <v>0.03</v>
      </c>
      <c r="E32" s="195"/>
      <c r="F32" s="196"/>
      <c r="G32" s="196"/>
      <c r="H32" s="196"/>
    </row>
    <row r="33" spans="1:5" s="160" customFormat="1" ht="30.95" customHeight="1">
      <c r="A33" s="176" t="s">
        <v>46</v>
      </c>
      <c r="B33" s="6"/>
      <c r="C33" s="6"/>
      <c r="D33" s="6">
        <v>22</v>
      </c>
      <c r="E33" s="191"/>
    </row>
    <row r="34" spans="1:5" s="160" customFormat="1" ht="30.95" customHeight="1">
      <c r="A34" s="176" t="s">
        <v>47</v>
      </c>
      <c r="B34" s="6"/>
      <c r="C34" s="6"/>
      <c r="D34" s="6">
        <v>2</v>
      </c>
      <c r="E34" s="191"/>
    </row>
    <row r="35" spans="1:5" s="160" customFormat="1" ht="30.95" customHeight="1">
      <c r="A35" s="176" t="s">
        <v>48</v>
      </c>
      <c r="B35" s="6"/>
      <c r="C35" s="6"/>
      <c r="D35" s="6">
        <v>4</v>
      </c>
      <c r="E35" s="191"/>
    </row>
  </sheetData>
  <mergeCells count="2">
    <mergeCell ref="A2:D2"/>
    <mergeCell ref="E21:E23"/>
  </mergeCells>
  <pageMargins left="0.75" right="0.75" top="1" bottom="1" header="0.5" footer="0.5"/>
  <pageSetup paperSize="9"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N44"/>
  <sheetViews>
    <sheetView workbookViewId="0">
      <selection activeCell="G44" sqref="G44"/>
    </sheetView>
  </sheetViews>
  <sheetFormatPr defaultColWidth="9.140625" defaultRowHeight="12"/>
  <cols>
    <col min="1" max="1" width="14.7109375" style="128" customWidth="1"/>
    <col min="2" max="7" width="13.7109375" style="130" customWidth="1"/>
    <col min="8" max="8" width="13.7109375" style="131" customWidth="1"/>
    <col min="9" max="13" width="13.7109375" style="128" customWidth="1"/>
    <col min="14" max="14" width="15.7109375" style="128" customWidth="1"/>
    <col min="15" max="16384" width="9.140625" style="128"/>
  </cols>
  <sheetData>
    <row r="1" spans="1:14" ht="21" customHeight="1">
      <c r="A1" s="228" t="s">
        <v>49</v>
      </c>
      <c r="B1" s="228"/>
      <c r="C1" s="228"/>
      <c r="D1" s="228"/>
      <c r="E1" s="228"/>
      <c r="F1" s="228"/>
      <c r="G1" s="228"/>
      <c r="H1" s="228"/>
      <c r="I1" s="228"/>
      <c r="J1" s="228"/>
      <c r="K1" s="228"/>
      <c r="L1" s="228"/>
      <c r="M1" s="228"/>
    </row>
    <row r="2" spans="1:14" ht="21" customHeight="1">
      <c r="A2" s="228" t="s">
        <v>50</v>
      </c>
      <c r="B2" s="228"/>
      <c r="C2" s="228"/>
      <c r="D2" s="228"/>
      <c r="E2" s="228"/>
      <c r="F2" s="228"/>
      <c r="G2" s="228"/>
      <c r="H2" s="228"/>
      <c r="I2" s="228"/>
      <c r="J2" s="228"/>
      <c r="K2" s="228"/>
      <c r="L2" s="228"/>
      <c r="M2" s="228"/>
    </row>
    <row r="3" spans="1:14" ht="15" customHeight="1">
      <c r="A3" s="204" t="s">
        <v>51</v>
      </c>
      <c r="B3" s="204" t="s">
        <v>52</v>
      </c>
      <c r="C3" s="204"/>
      <c r="D3" s="204"/>
      <c r="E3" s="204"/>
      <c r="F3" s="204"/>
      <c r="G3" s="204"/>
      <c r="H3" s="204" t="s">
        <v>53</v>
      </c>
      <c r="I3" s="204" t="s">
        <v>54</v>
      </c>
      <c r="J3" s="204" t="s">
        <v>54</v>
      </c>
      <c r="K3" s="204" t="s">
        <v>55</v>
      </c>
      <c r="L3" s="204" t="s">
        <v>56</v>
      </c>
      <c r="M3" s="232" t="s">
        <v>57</v>
      </c>
    </row>
    <row r="4" spans="1:14" ht="18" customHeight="1">
      <c r="A4" s="204"/>
      <c r="B4" s="132" t="s">
        <v>58</v>
      </c>
      <c r="C4" s="132" t="s">
        <v>58</v>
      </c>
      <c r="D4" s="132" t="s">
        <v>59</v>
      </c>
      <c r="E4" s="132" t="s">
        <v>59</v>
      </c>
      <c r="F4" s="132" t="s">
        <v>60</v>
      </c>
      <c r="G4" s="132" t="s">
        <v>60</v>
      </c>
      <c r="H4" s="204"/>
      <c r="I4" s="204"/>
      <c r="J4" s="204"/>
      <c r="K4" s="204"/>
      <c r="L4" s="204"/>
      <c r="M4" s="232"/>
    </row>
    <row r="5" spans="1:14" ht="18.95" customHeight="1">
      <c r="A5" s="133" t="s">
        <v>49</v>
      </c>
      <c r="B5" s="134">
        <v>1</v>
      </c>
      <c r="C5" s="134">
        <v>1</v>
      </c>
      <c r="D5" s="134">
        <v>1</v>
      </c>
      <c r="E5" s="134" t="s">
        <v>61</v>
      </c>
      <c r="F5" s="134">
        <v>0</v>
      </c>
      <c r="G5" s="134">
        <v>2</v>
      </c>
      <c r="H5" s="134">
        <v>1</v>
      </c>
      <c r="I5" s="134">
        <v>1</v>
      </c>
      <c r="J5" s="146">
        <v>0</v>
      </c>
      <c r="K5" s="134">
        <v>1</v>
      </c>
      <c r="L5" s="154">
        <f>SUM(B5:K5)</f>
        <v>8</v>
      </c>
      <c r="M5" s="155">
        <v>7</v>
      </c>
    </row>
    <row r="6" spans="1:14" ht="18.95" customHeight="1">
      <c r="A6" s="135" t="s">
        <v>62</v>
      </c>
      <c r="B6" s="136">
        <f>SUM(B5)</f>
        <v>1</v>
      </c>
      <c r="C6" s="136">
        <f t="shared" ref="C6:L6" si="0">SUM(C5)</f>
        <v>1</v>
      </c>
      <c r="D6" s="136">
        <f t="shared" si="0"/>
        <v>1</v>
      </c>
      <c r="E6" s="136">
        <f t="shared" si="0"/>
        <v>0</v>
      </c>
      <c r="F6" s="136">
        <f t="shared" si="0"/>
        <v>0</v>
      </c>
      <c r="G6" s="136">
        <f t="shared" si="0"/>
        <v>2</v>
      </c>
      <c r="H6" s="136">
        <f t="shared" si="0"/>
        <v>1</v>
      </c>
      <c r="I6" s="136">
        <f t="shared" si="0"/>
        <v>1</v>
      </c>
      <c r="J6" s="136">
        <f t="shared" si="0"/>
        <v>0</v>
      </c>
      <c r="K6" s="136">
        <f t="shared" si="0"/>
        <v>1</v>
      </c>
      <c r="L6" s="136">
        <f t="shared" si="0"/>
        <v>8</v>
      </c>
      <c r="M6" s="156">
        <f>SUM(M5:M5)</f>
        <v>7</v>
      </c>
    </row>
    <row r="7" spans="1:14" ht="29.1" customHeight="1">
      <c r="A7" s="137" t="s">
        <v>63</v>
      </c>
      <c r="B7" s="138" t="s">
        <v>64</v>
      </c>
      <c r="C7" s="138" t="s">
        <v>21</v>
      </c>
      <c r="D7" s="138" t="s">
        <v>64</v>
      </c>
      <c r="E7" s="138" t="s">
        <v>61</v>
      </c>
      <c r="F7" s="138" t="s">
        <v>61</v>
      </c>
      <c r="G7" s="138" t="s">
        <v>21</v>
      </c>
      <c r="H7" s="138" t="s">
        <v>64</v>
      </c>
      <c r="I7" s="138" t="s">
        <v>64</v>
      </c>
      <c r="J7" s="138" t="s">
        <v>61</v>
      </c>
      <c r="K7" s="138" t="s">
        <v>64</v>
      </c>
      <c r="L7" s="131"/>
    </row>
    <row r="8" spans="1:14" ht="33" customHeight="1">
      <c r="A8" s="139" t="s">
        <v>65</v>
      </c>
      <c r="B8" s="140" t="s">
        <v>66</v>
      </c>
      <c r="C8" s="140" t="s">
        <v>67</v>
      </c>
      <c r="D8" s="140" t="s">
        <v>68</v>
      </c>
      <c r="E8" s="140" t="s">
        <v>69</v>
      </c>
      <c r="F8" s="140" t="s">
        <v>69</v>
      </c>
      <c r="G8" s="140" t="s">
        <v>70</v>
      </c>
      <c r="H8" s="140" t="s">
        <v>71</v>
      </c>
      <c r="I8" s="140" t="s">
        <v>72</v>
      </c>
      <c r="J8" s="140" t="s">
        <v>69</v>
      </c>
      <c r="K8" s="140" t="s">
        <v>73</v>
      </c>
      <c r="L8" s="157"/>
    </row>
    <row r="9" spans="1:14">
      <c r="B9" s="141"/>
      <c r="C9" s="229"/>
      <c r="D9" s="230"/>
      <c r="E9" s="141"/>
      <c r="F9" s="141"/>
      <c r="G9" s="141"/>
      <c r="H9" s="142"/>
    </row>
    <row r="10" spans="1:14" ht="24" customHeight="1">
      <c r="A10" s="231" t="s">
        <v>74</v>
      </c>
      <c r="B10" s="231"/>
      <c r="C10" s="231"/>
      <c r="D10" s="231"/>
      <c r="E10" s="231"/>
      <c r="F10" s="231"/>
      <c r="G10" s="231"/>
      <c r="H10" s="231"/>
      <c r="I10" s="231"/>
      <c r="J10" s="231"/>
      <c r="K10" s="231"/>
      <c r="L10" s="231"/>
      <c r="M10" s="231"/>
    </row>
    <row r="11" spans="1:14" ht="24" customHeight="1">
      <c r="A11" s="225" t="str">
        <f>A1</f>
        <v>SEMSUR</v>
      </c>
      <c r="B11" s="225"/>
      <c r="C11" s="225"/>
      <c r="D11" s="225"/>
      <c r="E11" s="225"/>
      <c r="F11" s="225"/>
      <c r="G11" s="225"/>
      <c r="H11" s="225"/>
      <c r="I11" s="225"/>
      <c r="J11" s="225"/>
      <c r="K11" s="225"/>
      <c r="L11" s="225"/>
      <c r="M11" s="225"/>
    </row>
    <row r="12" spans="1:14" s="129" customFormat="1" ht="24" customHeight="1">
      <c r="A12" s="226" t="s">
        <v>75</v>
      </c>
      <c r="B12" s="226"/>
      <c r="C12" s="226"/>
      <c r="D12" s="226"/>
      <c r="E12" s="226"/>
      <c r="F12" s="226"/>
      <c r="G12" s="226"/>
      <c r="H12" s="226"/>
      <c r="I12" s="226"/>
      <c r="J12" s="226"/>
      <c r="K12" s="226"/>
      <c r="L12" s="226"/>
      <c r="M12" s="226"/>
    </row>
    <row r="13" spans="1:14" s="129" customFormat="1" ht="24" customHeight="1">
      <c r="A13" s="226" t="s">
        <v>76</v>
      </c>
      <c r="B13" s="226"/>
      <c r="C13" s="226"/>
      <c r="D13" s="226"/>
      <c r="E13" s="226"/>
      <c r="F13" s="226"/>
      <c r="G13" s="226"/>
      <c r="H13" s="226"/>
      <c r="I13" s="226"/>
      <c r="J13" s="226"/>
      <c r="K13" s="226"/>
      <c r="L13" s="226"/>
      <c r="M13" s="226"/>
    </row>
    <row r="16" spans="1:14" ht="26.1" customHeight="1">
      <c r="A16" s="227" t="str">
        <f>A1</f>
        <v>SEMSUR</v>
      </c>
      <c r="B16" s="227"/>
      <c r="C16" s="227"/>
      <c r="D16" s="227"/>
      <c r="E16" s="227"/>
      <c r="F16" s="227"/>
      <c r="G16" s="227"/>
      <c r="H16" s="227"/>
      <c r="I16" s="227"/>
      <c r="J16" s="227"/>
      <c r="K16"/>
      <c r="L16"/>
      <c r="M16"/>
      <c r="N16"/>
    </row>
    <row r="17" spans="1:14" ht="26.1" customHeight="1">
      <c r="A17" s="227" t="s">
        <v>77</v>
      </c>
      <c r="B17" s="227"/>
      <c r="C17" s="227"/>
      <c r="D17" s="227"/>
      <c r="E17" s="227"/>
      <c r="F17" s="227"/>
      <c r="G17" s="227"/>
      <c r="H17" s="227"/>
      <c r="I17" s="227"/>
      <c r="J17" s="227"/>
      <c r="K17"/>
      <c r="L17"/>
      <c r="M17"/>
      <c r="N17"/>
    </row>
    <row r="18" spans="1:14" ht="26.1" customHeight="1">
      <c r="A18" s="143" t="s">
        <v>78</v>
      </c>
      <c r="B18" s="224" t="s">
        <v>79</v>
      </c>
      <c r="C18" s="224"/>
      <c r="D18" s="224"/>
      <c r="E18" s="132" t="s">
        <v>80</v>
      </c>
      <c r="F18" s="132" t="s">
        <v>81</v>
      </c>
      <c r="G18" s="132" t="s">
        <v>82</v>
      </c>
      <c r="H18" s="132" t="s">
        <v>83</v>
      </c>
      <c r="I18" s="204" t="s">
        <v>84</v>
      </c>
      <c r="J18" s="204"/>
      <c r="K18"/>
      <c r="L18"/>
      <c r="M18"/>
      <c r="N18"/>
    </row>
    <row r="19" spans="1:14" ht="26.1" customHeight="1">
      <c r="A19" s="144" t="str">
        <f>B8</f>
        <v>4 - A</v>
      </c>
      <c r="B19" s="220" t="str">
        <f>'SEMSUR 4-A_Servente Insal 30h'!A136</f>
        <v>Servente Interno: 30 h + Insalubridade</v>
      </c>
      <c r="C19" s="220"/>
      <c r="D19" s="220"/>
      <c r="E19" s="145">
        <f>'SEMSUR 4-A_Servente Insal 30h'!B136</f>
        <v>4543.6000000000004</v>
      </c>
      <c r="F19" s="138">
        <f>'SEMSUR 4-A_Servente Insal 30h'!E136</f>
        <v>1</v>
      </c>
      <c r="G19" s="145">
        <f t="shared" ref="G19:G25" si="1">E19*F19</f>
        <v>4543.6000000000004</v>
      </c>
      <c r="H19" s="138">
        <v>12</v>
      </c>
      <c r="I19" s="221">
        <f t="shared" ref="I19:I25" si="2">H19*G19</f>
        <v>54523.199999999997</v>
      </c>
      <c r="J19" s="221"/>
      <c r="K19"/>
      <c r="L19"/>
      <c r="M19"/>
      <c r="N19"/>
    </row>
    <row r="20" spans="1:14" ht="26.1" customHeight="1">
      <c r="A20" s="144" t="str">
        <f>C8</f>
        <v>4 - B</v>
      </c>
      <c r="B20" s="220" t="str">
        <f>'SEMSUR 4-B_Servente Insal 44 h'!A136</f>
        <v>Servente Interno: 44 h + Insalubridade</v>
      </c>
      <c r="C20" s="220"/>
      <c r="D20" s="220"/>
      <c r="E20" s="145">
        <f>'SEMSUR 4-B_Servente Insal 44 h'!B136</f>
        <v>6058.85</v>
      </c>
      <c r="F20" s="138">
        <f>'SEMSUR 4-B_Servente Insal 44 h'!E136</f>
        <v>1</v>
      </c>
      <c r="G20" s="145">
        <f t="shared" si="1"/>
        <v>6058.85</v>
      </c>
      <c r="H20" s="138">
        <v>12</v>
      </c>
      <c r="I20" s="221">
        <f t="shared" si="2"/>
        <v>72706.2</v>
      </c>
      <c r="J20" s="221"/>
      <c r="K20"/>
      <c r="L20"/>
      <c r="M20"/>
      <c r="N20"/>
    </row>
    <row r="21" spans="1:14" ht="26.1" customHeight="1">
      <c r="A21" s="144" t="str">
        <f>D8</f>
        <v>4 - C</v>
      </c>
      <c r="B21" s="220" t="str">
        <f>'SEMSUR 4-C_Servente 30 h'!A136</f>
        <v>Servente Interno: 30 h</v>
      </c>
      <c r="C21" s="220"/>
      <c r="D21" s="220"/>
      <c r="E21" s="145">
        <f>'SEMSUR 4-C_Servente 30 h'!B136</f>
        <v>3751.81</v>
      </c>
      <c r="F21" s="138">
        <f>'SEMSUR 4-C_Servente 30 h'!E136</f>
        <v>1</v>
      </c>
      <c r="G21" s="145">
        <f t="shared" si="1"/>
        <v>3751.81</v>
      </c>
      <c r="H21" s="138">
        <v>12</v>
      </c>
      <c r="I21" s="221">
        <f t="shared" si="2"/>
        <v>45021.72</v>
      </c>
      <c r="J21" s="221"/>
      <c r="K21"/>
      <c r="L21"/>
      <c r="M21"/>
      <c r="N21"/>
    </row>
    <row r="22" spans="1:14" ht="26.1" customHeight="1">
      <c r="A22" s="144" t="str">
        <f>G8</f>
        <v>4 - D</v>
      </c>
      <c r="B22" s="220" t="str">
        <f>'SEMSUR 4-D_Servente Ext 44 h'!A136</f>
        <v>Servente Externo: 44 h</v>
      </c>
      <c r="C22" s="220"/>
      <c r="D22" s="220"/>
      <c r="E22" s="145">
        <f>'SEMSUR 4-D_Servente Ext 44 h'!B136</f>
        <v>5267.06</v>
      </c>
      <c r="F22" s="146">
        <f>'SEMSUR 4-D_Servente Ext 44 h'!E136</f>
        <v>2</v>
      </c>
      <c r="G22" s="145">
        <f t="shared" si="1"/>
        <v>10534.12</v>
      </c>
      <c r="H22" s="138">
        <v>12</v>
      </c>
      <c r="I22" s="221">
        <f t="shared" si="2"/>
        <v>126409.44</v>
      </c>
      <c r="J22" s="221"/>
      <c r="K22"/>
      <c r="L22"/>
      <c r="M22"/>
      <c r="N22"/>
    </row>
    <row r="23" spans="1:14" ht="26.1" customHeight="1">
      <c r="A23" s="144" t="str">
        <f>H8</f>
        <v>4 - E</v>
      </c>
      <c r="B23" s="220" t="str">
        <f>'SEMSUR 4-E_Limpador Vidros 30 h'!A136</f>
        <v>Limpador de vidros: 30 h</v>
      </c>
      <c r="C23" s="220"/>
      <c r="D23" s="220"/>
      <c r="E23" s="145">
        <f>'SEMSUR 4-E_Limpador Vidros 30 h'!B136</f>
        <v>4138.08</v>
      </c>
      <c r="F23" s="138">
        <f>'SEMSUR 4-E_Limpador Vidros 30 h'!E136</f>
        <v>1</v>
      </c>
      <c r="G23" s="145">
        <f t="shared" si="1"/>
        <v>4138.08</v>
      </c>
      <c r="H23" s="138">
        <v>12</v>
      </c>
      <c r="I23" s="221">
        <f t="shared" si="2"/>
        <v>49656.959999999999</v>
      </c>
      <c r="J23" s="221"/>
      <c r="K23"/>
      <c r="L23"/>
      <c r="M23"/>
      <c r="N23"/>
    </row>
    <row r="24" spans="1:14" ht="26.1" customHeight="1">
      <c r="A24" s="144" t="str">
        <f>I8</f>
        <v>4 - F</v>
      </c>
      <c r="B24" s="220" t="str">
        <f>'SEMSUR 4-F_Encarregado 30 h'!A136</f>
        <v>Encarregado de limpeza: 30 h</v>
      </c>
      <c r="C24" s="220"/>
      <c r="D24" s="220"/>
      <c r="E24" s="145">
        <f>'SEMSUR 4-F_Encarregado 30 h'!B136</f>
        <v>4132.2700000000004</v>
      </c>
      <c r="F24" s="138">
        <f>'SEMSUR 4-F_Encarregado 30 h'!E136</f>
        <v>1</v>
      </c>
      <c r="G24" s="145">
        <f t="shared" si="1"/>
        <v>4132.2700000000004</v>
      </c>
      <c r="H24" s="138">
        <v>12</v>
      </c>
      <c r="I24" s="221">
        <f t="shared" si="2"/>
        <v>49587.24</v>
      </c>
      <c r="J24" s="221"/>
      <c r="K24"/>
      <c r="L24"/>
      <c r="M24"/>
      <c r="N24"/>
    </row>
    <row r="25" spans="1:14" ht="26.1" customHeight="1">
      <c r="A25" s="144" t="str">
        <f>K8</f>
        <v>4 - G</v>
      </c>
      <c r="B25" s="220" t="str">
        <f>'SEMSUR 4-G_Jardineiro 44 hs'!A136</f>
        <v>Jardineiro: 44 h</v>
      </c>
      <c r="C25" s="220"/>
      <c r="D25" s="220"/>
      <c r="E25" s="145">
        <f>'SEMSUR 4-G_Jardineiro 44 hs'!B136</f>
        <v>6182.17</v>
      </c>
      <c r="F25" s="138">
        <f>'SEMSUR 4-G_Jardineiro 44 hs'!E136</f>
        <v>1</v>
      </c>
      <c r="G25" s="145">
        <f t="shared" si="1"/>
        <v>6182.17</v>
      </c>
      <c r="H25" s="138">
        <v>12</v>
      </c>
      <c r="I25" s="221">
        <f t="shared" si="2"/>
        <v>74186.039999999994</v>
      </c>
      <c r="J25" s="221"/>
      <c r="K25"/>
      <c r="L25"/>
      <c r="M25"/>
      <c r="N25"/>
    </row>
    <row r="26" spans="1:14" ht="26.1" customHeight="1">
      <c r="A26" s="222" t="s">
        <v>85</v>
      </c>
      <c r="B26" s="222"/>
      <c r="C26" s="222"/>
      <c r="D26" s="222"/>
      <c r="E26" s="135"/>
      <c r="F26" s="147">
        <f t="shared" ref="F26:I26" si="3">SUM(F19:F25)</f>
        <v>8</v>
      </c>
      <c r="G26" s="148">
        <f t="shared" si="3"/>
        <v>39340.9</v>
      </c>
      <c r="H26" s="147"/>
      <c r="I26" s="223">
        <f t="shared" si="3"/>
        <v>472090.8</v>
      </c>
      <c r="J26" s="223"/>
      <c r="K26"/>
      <c r="L26"/>
      <c r="M26"/>
      <c r="N26"/>
    </row>
    <row r="28" spans="1:14">
      <c r="A28" s="217" t="s">
        <v>49</v>
      </c>
      <c r="B28" s="217"/>
      <c r="C28" s="217"/>
      <c r="D28" s="217"/>
      <c r="E28" s="217"/>
      <c r="F28" s="217"/>
      <c r="G28" s="217"/>
      <c r="H28" s="217"/>
    </row>
    <row r="29" spans="1:14">
      <c r="A29" s="218" t="s">
        <v>86</v>
      </c>
      <c r="B29" s="218"/>
      <c r="C29" s="218"/>
      <c r="D29" s="218"/>
      <c r="E29" s="218"/>
      <c r="F29" s="218"/>
      <c r="G29" s="218"/>
      <c r="H29" s="218"/>
    </row>
    <row r="30" spans="1:14">
      <c r="A30" s="219" t="s">
        <v>87</v>
      </c>
      <c r="B30" s="219"/>
      <c r="C30" s="219"/>
      <c r="D30" s="149" t="s">
        <v>88</v>
      </c>
      <c r="E30" s="149" t="s">
        <v>80</v>
      </c>
      <c r="F30" s="149" t="s">
        <v>89</v>
      </c>
      <c r="G30" s="149" t="s">
        <v>90</v>
      </c>
      <c r="H30" s="149" t="s">
        <v>62</v>
      </c>
    </row>
    <row r="31" spans="1:14">
      <c r="A31" s="212" t="s">
        <v>91</v>
      </c>
      <c r="B31" s="212"/>
      <c r="C31" s="212"/>
      <c r="D31" s="150">
        <v>1</v>
      </c>
      <c r="E31" s="151">
        <v>555.92999999999995</v>
      </c>
      <c r="F31" s="151">
        <f t="shared" ref="F31:F36" si="4">D31*E31</f>
        <v>555.92999999999995</v>
      </c>
      <c r="G31" s="150">
        <v>12</v>
      </c>
      <c r="H31" s="151">
        <f t="shared" ref="H31:H36" si="5">F31*G31</f>
        <v>6671.16</v>
      </c>
    </row>
    <row r="32" spans="1:14" ht="30" customHeight="1">
      <c r="A32" s="212" t="s">
        <v>92</v>
      </c>
      <c r="B32" s="212"/>
      <c r="C32" s="212"/>
      <c r="D32" s="150">
        <v>1</v>
      </c>
      <c r="E32" s="151">
        <v>555.92999999999995</v>
      </c>
      <c r="F32" s="151">
        <f t="shared" si="4"/>
        <v>555.92999999999995</v>
      </c>
      <c r="G32" s="150">
        <v>12</v>
      </c>
      <c r="H32" s="151">
        <f t="shared" si="5"/>
        <v>6671.16</v>
      </c>
    </row>
    <row r="33" spans="1:11">
      <c r="A33" s="212" t="s">
        <v>93</v>
      </c>
      <c r="B33" s="212"/>
      <c r="C33" s="212"/>
      <c r="D33" s="150">
        <v>2</v>
      </c>
      <c r="E33" s="151">
        <v>194.3</v>
      </c>
      <c r="F33" s="151">
        <f t="shared" si="4"/>
        <v>388.6</v>
      </c>
      <c r="G33" s="150">
        <v>12</v>
      </c>
      <c r="H33" s="151">
        <f t="shared" si="5"/>
        <v>4663.2</v>
      </c>
    </row>
    <row r="34" spans="1:11">
      <c r="A34" s="212" t="s">
        <v>94</v>
      </c>
      <c r="B34" s="212"/>
      <c r="C34" s="212"/>
      <c r="D34" s="150">
        <v>8</v>
      </c>
      <c r="E34" s="151">
        <v>280.67</v>
      </c>
      <c r="F34" s="151">
        <f t="shared" si="4"/>
        <v>2245.36</v>
      </c>
      <c r="G34" s="150">
        <v>12</v>
      </c>
      <c r="H34" s="151">
        <f t="shared" si="5"/>
        <v>26944.32</v>
      </c>
    </row>
    <row r="35" spans="1:11">
      <c r="A35" s="212" t="s">
        <v>95</v>
      </c>
      <c r="B35" s="212"/>
      <c r="C35" s="212"/>
      <c r="D35" s="150">
        <v>10</v>
      </c>
      <c r="E35" s="151">
        <v>86.36</v>
      </c>
      <c r="F35" s="151">
        <f t="shared" si="4"/>
        <v>863.6</v>
      </c>
      <c r="G35" s="150">
        <v>12</v>
      </c>
      <c r="H35" s="151">
        <f t="shared" si="5"/>
        <v>10363.200000000001</v>
      </c>
    </row>
    <row r="36" spans="1:11" ht="48.95" customHeight="1">
      <c r="A36" s="213" t="s">
        <v>96</v>
      </c>
      <c r="B36" s="213"/>
      <c r="C36" s="213"/>
      <c r="D36" s="150">
        <v>1</v>
      </c>
      <c r="E36" s="151">
        <v>269.87</v>
      </c>
      <c r="F36" s="151">
        <f t="shared" si="4"/>
        <v>269.87</v>
      </c>
      <c r="G36" s="150">
        <v>12</v>
      </c>
      <c r="H36" s="151">
        <f t="shared" si="5"/>
        <v>3238.44</v>
      </c>
    </row>
    <row r="37" spans="1:11">
      <c r="A37" s="214" t="s">
        <v>97</v>
      </c>
      <c r="B37" s="215"/>
      <c r="C37" s="215"/>
      <c r="D37" s="215"/>
      <c r="E37" s="215"/>
      <c r="F37" s="215"/>
      <c r="G37" s="216"/>
      <c r="H37" s="152">
        <f>SUM(H31:H36)</f>
        <v>58551.48</v>
      </c>
    </row>
    <row r="39" spans="1:11">
      <c r="K39" s="158"/>
    </row>
    <row r="40" spans="1:11">
      <c r="A40" s="201" t="s">
        <v>98</v>
      </c>
      <c r="B40" s="202"/>
      <c r="C40" s="202"/>
      <c r="D40" s="202"/>
      <c r="E40" s="203"/>
      <c r="K40" s="158"/>
    </row>
    <row r="41" spans="1:11">
      <c r="A41" s="205" t="s">
        <v>99</v>
      </c>
      <c r="B41" s="209" t="s">
        <v>100</v>
      </c>
      <c r="C41" s="205" t="s">
        <v>101</v>
      </c>
      <c r="D41" s="209" t="s">
        <v>102</v>
      </c>
      <c r="E41" s="205" t="s">
        <v>103</v>
      </c>
    </row>
    <row r="42" spans="1:11">
      <c r="A42" s="206"/>
      <c r="B42" s="209"/>
      <c r="C42" s="206"/>
      <c r="D42" s="209"/>
      <c r="E42" s="206"/>
    </row>
    <row r="43" spans="1:11">
      <c r="A43" s="207">
        <f>I26</f>
        <v>472090.8</v>
      </c>
      <c r="B43" s="210" t="s">
        <v>100</v>
      </c>
      <c r="C43" s="207">
        <f>H37</f>
        <v>58551.48</v>
      </c>
      <c r="D43" s="210" t="s">
        <v>102</v>
      </c>
      <c r="E43" s="207">
        <f>A43+C43</f>
        <v>530642.28</v>
      </c>
    </row>
    <row r="44" spans="1:11">
      <c r="A44" s="208"/>
      <c r="B44" s="211"/>
      <c r="C44" s="208"/>
      <c r="D44" s="211"/>
      <c r="E44" s="208"/>
      <c r="G44" s="153"/>
    </row>
  </sheetData>
  <mergeCells count="56">
    <mergeCell ref="A1:M1"/>
    <mergeCell ref="A2:M2"/>
    <mergeCell ref="B3:G3"/>
    <mergeCell ref="C9:D9"/>
    <mergeCell ref="A10:M10"/>
    <mergeCell ref="H3:H4"/>
    <mergeCell ref="I3:I4"/>
    <mergeCell ref="J3:J4"/>
    <mergeCell ref="K3:K4"/>
    <mergeCell ref="L3:L4"/>
    <mergeCell ref="M3:M4"/>
    <mergeCell ref="A11:M11"/>
    <mergeCell ref="A12:M12"/>
    <mergeCell ref="A13:M13"/>
    <mergeCell ref="A16:J16"/>
    <mergeCell ref="A17:J17"/>
    <mergeCell ref="B18:D18"/>
    <mergeCell ref="I18:J18"/>
    <mergeCell ref="B19:D19"/>
    <mergeCell ref="I19:J19"/>
    <mergeCell ref="B20:D20"/>
    <mergeCell ref="I20:J20"/>
    <mergeCell ref="B21:D21"/>
    <mergeCell ref="I21:J21"/>
    <mergeCell ref="B22:D22"/>
    <mergeCell ref="I22:J22"/>
    <mergeCell ref="B23:D23"/>
    <mergeCell ref="I23:J23"/>
    <mergeCell ref="B24:D24"/>
    <mergeCell ref="I24:J24"/>
    <mergeCell ref="B25:D25"/>
    <mergeCell ref="I25:J25"/>
    <mergeCell ref="A26:D26"/>
    <mergeCell ref="I26:J26"/>
    <mergeCell ref="A37:G37"/>
    <mergeCell ref="A28:H28"/>
    <mergeCell ref="A29:H29"/>
    <mergeCell ref="A30:C30"/>
    <mergeCell ref="A31:C31"/>
    <mergeCell ref="A32:C32"/>
    <mergeCell ref="A40:E40"/>
    <mergeCell ref="A3:A4"/>
    <mergeCell ref="A41:A42"/>
    <mergeCell ref="A43:A44"/>
    <mergeCell ref="B41:B42"/>
    <mergeCell ref="B43:B44"/>
    <mergeCell ref="C41:C42"/>
    <mergeCell ref="C43:C44"/>
    <mergeCell ref="D41:D42"/>
    <mergeCell ref="D43:D44"/>
    <mergeCell ref="E41:E42"/>
    <mergeCell ref="E43:E44"/>
    <mergeCell ref="A33:C33"/>
    <mergeCell ref="A34:C34"/>
    <mergeCell ref="A35:C35"/>
    <mergeCell ref="A36:C36"/>
  </mergeCells>
  <pageMargins left="0.55416666666666703" right="0.35763888888888901" top="0.80277777777777803" bottom="0.60555555555555596" header="0.5" footer="0.5"/>
  <pageSetup paperSize="9" scale="7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A1:K138"/>
  <sheetViews>
    <sheetView view="pageBreakPreview" topLeftCell="A78" zoomScale="110" zoomScaleNormal="115" workbookViewId="0">
      <selection activeCell="F88" sqref="F88"/>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105</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122</v>
      </c>
      <c r="B15" s="276"/>
      <c r="C15" s="276"/>
      <c r="D15" s="277" t="s">
        <v>79</v>
      </c>
      <c r="E15" s="277"/>
      <c r="F15" s="77">
        <f>'SEMSUR_TOTALIZADOR GERAL'!B6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126</v>
      </c>
    </row>
    <row r="20" spans="1:9" ht="15">
      <c r="A20" s="79">
        <v>2</v>
      </c>
      <c r="B20" s="269" t="s">
        <v>127</v>
      </c>
      <c r="C20" s="270"/>
      <c r="D20" s="270"/>
      <c r="E20" s="271"/>
      <c r="F20" s="80" t="s">
        <v>128</v>
      </c>
      <c r="G20" s="81"/>
      <c r="H20" s="82"/>
      <c r="I20" s="82"/>
    </row>
    <row r="21" spans="1:9">
      <c r="A21" s="72">
        <v>3</v>
      </c>
      <c r="B21" s="266" t="s">
        <v>129</v>
      </c>
      <c r="C21" s="267"/>
      <c r="D21" s="267"/>
      <c r="E21" s="268"/>
      <c r="F21" s="83">
        <f>RAIZ_DADOS!D6</f>
        <v>1651</v>
      </c>
    </row>
    <row r="22" spans="1:9">
      <c r="A22" s="72">
        <v>4</v>
      </c>
      <c r="B22" s="266" t="s">
        <v>130</v>
      </c>
      <c r="C22" s="267"/>
      <c r="D22" s="267"/>
      <c r="E22" s="268"/>
      <c r="F22" s="78" t="s">
        <v>52</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64</v>
      </c>
      <c r="F27" s="87">
        <f>(F21/44)*30</f>
        <v>1125.68</v>
      </c>
      <c r="H27" s="88"/>
    </row>
    <row r="28" spans="1:9">
      <c r="A28" s="84" t="s">
        <v>138</v>
      </c>
      <c r="B28" s="236" t="s">
        <v>139</v>
      </c>
      <c r="C28" s="237"/>
      <c r="D28" s="238"/>
      <c r="E28" s="86"/>
      <c r="F28" s="87"/>
    </row>
    <row r="29" spans="1:9">
      <c r="A29" s="84" t="s">
        <v>140</v>
      </c>
      <c r="B29" s="236" t="s">
        <v>141</v>
      </c>
      <c r="C29" s="237"/>
      <c r="D29" s="238"/>
      <c r="E29" s="89">
        <f>RAIZ_DADOS!D30</f>
        <v>0.2</v>
      </c>
      <c r="F29" s="87">
        <f>E29*RAIZ_DADOS!D29</f>
        <v>330.2</v>
      </c>
    </row>
    <row r="30" spans="1:9">
      <c r="A30" s="84" t="s">
        <v>142</v>
      </c>
      <c r="B30" s="236" t="s">
        <v>143</v>
      </c>
      <c r="C30" s="237"/>
      <c r="D30" s="238"/>
      <c r="E30" s="86"/>
      <c r="F30" s="87"/>
    </row>
    <row r="31" spans="1:9">
      <c r="A31" s="84" t="s">
        <v>144</v>
      </c>
      <c r="B31" s="236" t="s">
        <v>145</v>
      </c>
      <c r="C31" s="237"/>
      <c r="D31" s="238"/>
      <c r="E31" s="86"/>
      <c r="F31" s="87"/>
    </row>
    <row r="32" spans="1:9">
      <c r="A32" s="84" t="s">
        <v>146</v>
      </c>
      <c r="B32" s="236" t="s">
        <v>147</v>
      </c>
      <c r="C32" s="237"/>
      <c r="D32" s="238"/>
      <c r="E32" s="86"/>
      <c r="F32" s="87"/>
    </row>
    <row r="33" spans="1:8">
      <c r="A33" s="233" t="s">
        <v>62</v>
      </c>
      <c r="B33" s="234"/>
      <c r="C33" s="234"/>
      <c r="D33" s="235"/>
      <c r="E33" s="90"/>
      <c r="F33" s="91">
        <f>SUM(F27:F32)</f>
        <v>1455.88</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121.27</v>
      </c>
    </row>
    <row r="39" spans="1:8">
      <c r="A39" s="84" t="s">
        <v>138</v>
      </c>
      <c r="B39" s="236" t="s">
        <v>154</v>
      </c>
      <c r="C39" s="237"/>
      <c r="D39" s="238"/>
      <c r="E39" s="93">
        <f>(1/12)+(1/3)/12</f>
        <v>0.1111</v>
      </c>
      <c r="F39" s="87">
        <f>F33*E39</f>
        <v>161.75</v>
      </c>
    </row>
    <row r="40" spans="1:8">
      <c r="A40" s="258" t="s">
        <v>62</v>
      </c>
      <c r="B40" s="259"/>
      <c r="C40" s="259"/>
      <c r="D40" s="260"/>
      <c r="E40" s="94">
        <f>SUM(E38:E39)</f>
        <v>0.19439999999999999</v>
      </c>
      <c r="F40" s="95">
        <f>SUM(F38:F39)</f>
        <v>283.02</v>
      </c>
    </row>
    <row r="41" spans="1:8">
      <c r="A41" s="84" t="s">
        <v>140</v>
      </c>
      <c r="B41" s="236" t="s">
        <v>155</v>
      </c>
      <c r="C41" s="237"/>
      <c r="D41" s="238"/>
      <c r="E41" s="93">
        <f>E40*E53</f>
        <v>7.7399999999999997E-2</v>
      </c>
      <c r="F41" s="95">
        <f>E41*F33</f>
        <v>112.69</v>
      </c>
    </row>
    <row r="42" spans="1:8">
      <c r="A42" s="233" t="s">
        <v>62</v>
      </c>
      <c r="B42" s="234"/>
      <c r="C42" s="234"/>
      <c r="D42" s="235"/>
      <c r="E42" s="96">
        <f>SUM(E40:E41)</f>
        <v>0.27179999999999999</v>
      </c>
      <c r="F42" s="91">
        <f>SUM(F40:F41)</f>
        <v>395.71</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291.18</v>
      </c>
    </row>
    <row r="46" spans="1:8">
      <c r="A46" s="84" t="s">
        <v>138</v>
      </c>
      <c r="B46" s="236" t="s">
        <v>160</v>
      </c>
      <c r="C46" s="237"/>
      <c r="D46" s="238"/>
      <c r="E46" s="93">
        <v>2.5000000000000001E-2</v>
      </c>
      <c r="F46" s="87">
        <f t="shared" si="0"/>
        <v>36.4</v>
      </c>
      <c r="G46" s="62"/>
      <c r="H46" s="97"/>
    </row>
    <row r="47" spans="1:8">
      <c r="A47" s="84" t="s">
        <v>140</v>
      </c>
      <c r="B47" s="236" t="s">
        <v>161</v>
      </c>
      <c r="C47" s="237"/>
      <c r="D47" s="238"/>
      <c r="E47" s="98">
        <f>(2*3)/100</f>
        <v>0.06</v>
      </c>
      <c r="F47" s="87">
        <f t="shared" si="0"/>
        <v>87.35</v>
      </c>
      <c r="G47" s="99"/>
      <c r="H47" s="99"/>
    </row>
    <row r="48" spans="1:8">
      <c r="A48" s="84" t="s">
        <v>142</v>
      </c>
      <c r="B48" s="236" t="s">
        <v>162</v>
      </c>
      <c r="C48" s="237"/>
      <c r="D48" s="238"/>
      <c r="E48" s="93">
        <v>1.4999999999999999E-2</v>
      </c>
      <c r="F48" s="87">
        <f t="shared" si="0"/>
        <v>21.84</v>
      </c>
    </row>
    <row r="49" spans="1:8">
      <c r="A49" s="84" t="s">
        <v>144</v>
      </c>
      <c r="B49" s="236" t="s">
        <v>163</v>
      </c>
      <c r="C49" s="237"/>
      <c r="D49" s="238"/>
      <c r="E49" s="93">
        <v>0.01</v>
      </c>
      <c r="F49" s="87">
        <f t="shared" si="0"/>
        <v>14.56</v>
      </c>
    </row>
    <row r="50" spans="1:8">
      <c r="A50" s="84" t="s">
        <v>146</v>
      </c>
      <c r="B50" s="236" t="s">
        <v>164</v>
      </c>
      <c r="C50" s="237"/>
      <c r="D50" s="238"/>
      <c r="E50" s="93">
        <v>6.0000000000000001E-3</v>
      </c>
      <c r="F50" s="87">
        <f t="shared" si="0"/>
        <v>8.74</v>
      </c>
    </row>
    <row r="51" spans="1:8">
      <c r="A51" s="84" t="s">
        <v>165</v>
      </c>
      <c r="B51" s="236" t="s">
        <v>166</v>
      </c>
      <c r="C51" s="237"/>
      <c r="D51" s="238"/>
      <c r="E51" s="93">
        <v>2E-3</v>
      </c>
      <c r="F51" s="87">
        <f t="shared" si="0"/>
        <v>2.91</v>
      </c>
    </row>
    <row r="52" spans="1:8">
      <c r="A52" s="84" t="s">
        <v>167</v>
      </c>
      <c r="B52" s="236" t="s">
        <v>168</v>
      </c>
      <c r="C52" s="237"/>
      <c r="D52" s="238"/>
      <c r="E52" s="93">
        <v>0.08</v>
      </c>
      <c r="F52" s="87">
        <f t="shared" si="0"/>
        <v>116.47</v>
      </c>
    </row>
    <row r="53" spans="1:8">
      <c r="A53" s="233" t="s">
        <v>169</v>
      </c>
      <c r="B53" s="234"/>
      <c r="C53" s="234"/>
      <c r="D53" s="235"/>
      <c r="E53" s="96">
        <f>SUM(E45:E52)</f>
        <v>0.39800000000000002</v>
      </c>
      <c r="F53" s="91">
        <f>SUM(F45:F52)</f>
        <v>579.45000000000005</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64.459999999999994</v>
      </c>
      <c r="H56" s="69"/>
    </row>
    <row r="57" spans="1:8">
      <c r="A57" s="84"/>
      <c r="B57" s="236" t="s">
        <v>174</v>
      </c>
      <c r="C57" s="237"/>
      <c r="D57" s="238"/>
      <c r="E57" s="100">
        <f>RAIZ_DADOS!D31</f>
        <v>3</v>
      </c>
      <c r="F57" s="78" t="s">
        <v>69</v>
      </c>
      <c r="H57" s="69"/>
    </row>
    <row r="58" spans="1:8">
      <c r="A58" s="84"/>
      <c r="B58" s="236" t="s">
        <v>175</v>
      </c>
      <c r="C58" s="237"/>
      <c r="D58" s="238"/>
      <c r="E58" s="101">
        <f>RAIZ_DADOS!D34</f>
        <v>2</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615.52</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283.02</v>
      </c>
      <c r="G68" s="63"/>
      <c r="H68" s="63"/>
    </row>
    <row r="69" spans="1:10">
      <c r="A69" s="84" t="s">
        <v>157</v>
      </c>
      <c r="B69" s="236" t="s">
        <v>183</v>
      </c>
      <c r="C69" s="237"/>
      <c r="D69" s="238"/>
      <c r="E69" s="107"/>
      <c r="F69" s="87">
        <f>F53+F41</f>
        <v>692.14</v>
      </c>
      <c r="G69" s="63"/>
      <c r="H69" s="63"/>
    </row>
    <row r="70" spans="1:10">
      <c r="A70" s="84" t="s">
        <v>171</v>
      </c>
      <c r="B70" s="236" t="s">
        <v>172</v>
      </c>
      <c r="C70" s="237"/>
      <c r="D70" s="238"/>
      <c r="E70" s="108"/>
      <c r="F70" s="87">
        <f>F65</f>
        <v>615.52</v>
      </c>
      <c r="G70" s="63"/>
      <c r="H70" s="63"/>
    </row>
    <row r="71" spans="1:10">
      <c r="A71" s="233" t="s">
        <v>62</v>
      </c>
      <c r="B71" s="234"/>
      <c r="C71" s="234"/>
      <c r="D71" s="235"/>
      <c r="E71" s="90"/>
      <c r="F71" s="91">
        <f>SUM(F68:F70)</f>
        <v>1590.68</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6.11</v>
      </c>
    </row>
    <row r="76" spans="1:10">
      <c r="A76" s="84" t="s">
        <v>138</v>
      </c>
      <c r="B76" s="236" t="s">
        <v>187</v>
      </c>
      <c r="C76" s="237"/>
      <c r="D76" s="238"/>
      <c r="E76" s="106">
        <f>E75*E52</f>
        <v>2.9999999999999997E-4</v>
      </c>
      <c r="F76" s="87">
        <f>E76*F33</f>
        <v>0.44</v>
      </c>
      <c r="G76" s="109"/>
    </row>
    <row r="77" spans="1:10">
      <c r="A77" s="84" t="s">
        <v>140</v>
      </c>
      <c r="B77" s="236" t="s">
        <v>188</v>
      </c>
      <c r="C77" s="237"/>
      <c r="D77" s="238"/>
      <c r="E77" s="106">
        <f>((8%*(40%)*90%)*(1+5/56+5/56+(1/3*5/56)))</f>
        <v>3.4799999999999998E-2</v>
      </c>
      <c r="F77" s="87">
        <f>E77*(F33+F40)</f>
        <v>60.51</v>
      </c>
      <c r="G77" s="109"/>
      <c r="H77" s="110"/>
    </row>
    <row r="78" spans="1:10">
      <c r="A78" s="84" t="s">
        <v>142</v>
      </c>
      <c r="B78" s="236" t="s">
        <v>189</v>
      </c>
      <c r="C78" s="237"/>
      <c r="D78" s="238"/>
      <c r="E78" s="106">
        <f>((7/30)/12)</f>
        <v>1.9400000000000001E-2</v>
      </c>
      <c r="F78" s="87">
        <f>E78*F33</f>
        <v>28.24</v>
      </c>
      <c r="G78" s="63"/>
      <c r="H78" s="63"/>
    </row>
    <row r="79" spans="1:10">
      <c r="A79" s="84" t="s">
        <v>144</v>
      </c>
      <c r="B79" s="236" t="s">
        <v>190</v>
      </c>
      <c r="C79" s="237"/>
      <c r="D79" s="238"/>
      <c r="E79" s="106">
        <f>E78*E53</f>
        <v>7.7000000000000002E-3</v>
      </c>
      <c r="F79" s="87">
        <f>E79*F33</f>
        <v>11.21</v>
      </c>
    </row>
    <row r="80" spans="1:10">
      <c r="A80" s="84" t="s">
        <v>146</v>
      </c>
      <c r="B80" s="236" t="s">
        <v>191</v>
      </c>
      <c r="C80" s="237"/>
      <c r="D80" s="238"/>
      <c r="E80" s="106">
        <f>(40%*8%*E78)</f>
        <v>5.9999999999999995E-4</v>
      </c>
      <c r="F80" s="87">
        <f>E80*F33</f>
        <v>0.87</v>
      </c>
    </row>
    <row r="81" spans="1:10">
      <c r="A81" s="233" t="s">
        <v>62</v>
      </c>
      <c r="B81" s="234"/>
      <c r="C81" s="234"/>
      <c r="D81" s="235"/>
      <c r="E81" s="111"/>
      <c r="F81" s="91">
        <f>SUM(F75:F80)</f>
        <v>107.38</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121.27</v>
      </c>
    </row>
    <row r="87" spans="1:10">
      <c r="A87" s="84" t="s">
        <v>138</v>
      </c>
      <c r="B87" s="236" t="s">
        <v>195</v>
      </c>
      <c r="C87" s="237"/>
      <c r="D87" s="238"/>
      <c r="E87" s="106">
        <f>(1/30)/12</f>
        <v>2.8E-3</v>
      </c>
      <c r="F87" s="87">
        <f t="shared" si="1"/>
        <v>4.08</v>
      </c>
    </row>
    <row r="88" spans="1:10">
      <c r="A88" s="84" t="s">
        <v>140</v>
      </c>
      <c r="B88" s="236" t="s">
        <v>197</v>
      </c>
      <c r="C88" s="237"/>
      <c r="D88" s="238"/>
      <c r="E88" s="106">
        <f>((5/30)/12)*1.5%</f>
        <v>2.0000000000000001E-4</v>
      </c>
      <c r="F88" s="87">
        <f t="shared" si="1"/>
        <v>0.28999999999999998</v>
      </c>
    </row>
    <row r="89" spans="1:10">
      <c r="A89" s="84" t="s">
        <v>142</v>
      </c>
      <c r="B89" s="236" t="s">
        <v>198</v>
      </c>
      <c r="C89" s="237"/>
      <c r="D89" s="238"/>
      <c r="E89" s="106">
        <f>((15/365)*8%)</f>
        <v>3.3E-3</v>
      </c>
      <c r="F89" s="87">
        <f t="shared" si="1"/>
        <v>4.8</v>
      </c>
    </row>
    <row r="90" spans="1:10">
      <c r="A90" s="84" t="s">
        <v>144</v>
      </c>
      <c r="B90" s="236" t="s">
        <v>199</v>
      </c>
      <c r="C90" s="237"/>
      <c r="D90" s="238"/>
      <c r="E90" s="106">
        <f>(11.11%*2%*(4/12))</f>
        <v>6.9999999999999999E-4</v>
      </c>
      <c r="F90" s="87">
        <f t="shared" si="1"/>
        <v>1.02</v>
      </c>
    </row>
    <row r="91" spans="1:10">
      <c r="A91" s="84" t="s">
        <v>146</v>
      </c>
      <c r="B91" s="236" t="s">
        <v>200</v>
      </c>
      <c r="C91" s="237"/>
      <c r="D91" s="238"/>
      <c r="E91" s="106"/>
      <c r="F91" s="87">
        <f t="shared" si="1"/>
        <v>0</v>
      </c>
    </row>
    <row r="92" spans="1:10" s="63" customFormat="1">
      <c r="A92" s="233" t="s">
        <v>169</v>
      </c>
      <c r="B92" s="234"/>
      <c r="C92" s="234"/>
      <c r="D92" s="235"/>
      <c r="E92" s="111"/>
      <c r="F92" s="91">
        <f>SUM(F86:F91)</f>
        <v>131.46</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131.46</v>
      </c>
    </row>
    <row r="100" spans="1:10">
      <c r="A100" s="84" t="s">
        <v>202</v>
      </c>
      <c r="B100" s="236" t="s">
        <v>203</v>
      </c>
      <c r="C100" s="237"/>
      <c r="D100" s="238"/>
      <c r="E100" s="86"/>
      <c r="F100" s="87">
        <f>F96</f>
        <v>0</v>
      </c>
    </row>
    <row r="101" spans="1:10">
      <c r="A101" s="233" t="s">
        <v>62</v>
      </c>
      <c r="B101" s="234"/>
      <c r="C101" s="234"/>
      <c r="D101" s="235"/>
      <c r="E101" s="90"/>
      <c r="F101" s="91">
        <f>SUM(F99:F100)</f>
        <v>131.46</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4_Uniformes'!K17</f>
        <v>48.8</v>
      </c>
      <c r="H105" s="113"/>
    </row>
    <row r="106" spans="1:10">
      <c r="A106" s="84" t="s">
        <v>138</v>
      </c>
      <c r="B106" s="236" t="s">
        <v>210</v>
      </c>
      <c r="C106" s="237"/>
      <c r="D106" s="237"/>
      <c r="E106" s="238"/>
      <c r="F106" s="87">
        <f>'SEMSUR 4_EPI''s'!K17</f>
        <v>31.73</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189.28</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173.73</v>
      </c>
    </row>
    <row r="114" spans="1:10">
      <c r="A114" s="84" t="s">
        <v>138</v>
      </c>
      <c r="B114" s="236" t="s">
        <v>216</v>
      </c>
      <c r="C114" s="237"/>
      <c r="D114" s="238"/>
      <c r="E114" s="106">
        <v>6.7900000000000002E-2</v>
      </c>
      <c r="F114" s="87">
        <f>E114*(F130+F113)</f>
        <v>247.73</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74.97</v>
      </c>
      <c r="H117" s="244"/>
      <c r="J117" s="118"/>
    </row>
    <row r="118" spans="1:10">
      <c r="A118" s="84"/>
      <c r="B118" s="236" t="s">
        <v>220</v>
      </c>
      <c r="C118" s="237"/>
      <c r="D118" s="238"/>
      <c r="E118" s="106">
        <v>7.5999999999999998E-2</v>
      </c>
      <c r="F118" s="87">
        <f>E118*(($F$130+$F$113+$F$114)/(1-$E$115))</f>
        <v>345.31</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227.18</v>
      </c>
      <c r="H120" s="244"/>
      <c r="J120" s="118"/>
    </row>
    <row r="121" spans="1:10">
      <c r="A121" s="233" t="s">
        <v>169</v>
      </c>
      <c r="B121" s="234"/>
      <c r="C121" s="234"/>
      <c r="D121" s="235"/>
      <c r="E121" s="115"/>
      <c r="F121" s="91">
        <f>SUM(F113:F120)</f>
        <v>1068.92</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1455.88</v>
      </c>
      <c r="H125" s="109"/>
    </row>
    <row r="126" spans="1:10">
      <c r="A126" s="84" t="s">
        <v>138</v>
      </c>
      <c r="B126" s="236" t="s">
        <v>148</v>
      </c>
      <c r="C126" s="237"/>
      <c r="D126" s="237"/>
      <c r="E126" s="238"/>
      <c r="F126" s="87">
        <f>F71</f>
        <v>1590.68</v>
      </c>
    </row>
    <row r="127" spans="1:10">
      <c r="A127" s="84" t="s">
        <v>140</v>
      </c>
      <c r="B127" s="236" t="s">
        <v>184</v>
      </c>
      <c r="C127" s="237"/>
      <c r="D127" s="237"/>
      <c r="E127" s="238"/>
      <c r="F127" s="87">
        <f>F81</f>
        <v>107.38</v>
      </c>
    </row>
    <row r="128" spans="1:10">
      <c r="A128" s="84" t="s">
        <v>142</v>
      </c>
      <c r="B128" s="236" t="s">
        <v>192</v>
      </c>
      <c r="C128" s="237"/>
      <c r="D128" s="237"/>
      <c r="E128" s="238"/>
      <c r="F128" s="87">
        <f>F101</f>
        <v>131.46</v>
      </c>
      <c r="H128" s="109"/>
    </row>
    <row r="129" spans="1:10">
      <c r="A129" s="84" t="s">
        <v>144</v>
      </c>
      <c r="B129" s="236" t="s">
        <v>207</v>
      </c>
      <c r="C129" s="237"/>
      <c r="D129" s="237"/>
      <c r="E129" s="238"/>
      <c r="F129" s="87">
        <f>F109</f>
        <v>189.28</v>
      </c>
      <c r="H129" s="109"/>
    </row>
    <row r="130" spans="1:10">
      <c r="A130" s="233" t="s">
        <v>225</v>
      </c>
      <c r="B130" s="234"/>
      <c r="C130" s="234"/>
      <c r="D130" s="234"/>
      <c r="E130" s="235"/>
      <c r="F130" s="91">
        <f>SUM(F125:F129)</f>
        <v>3474.68</v>
      </c>
      <c r="I130" s="113"/>
      <c r="J130" s="113"/>
    </row>
    <row r="131" spans="1:10">
      <c r="A131" s="84" t="s">
        <v>146</v>
      </c>
      <c r="B131" s="236" t="s">
        <v>226</v>
      </c>
      <c r="C131" s="237"/>
      <c r="D131" s="237"/>
      <c r="E131" s="238"/>
      <c r="F131" s="87">
        <f>F121</f>
        <v>1068.92</v>
      </c>
    </row>
    <row r="132" spans="1:10">
      <c r="A132" s="239" t="s">
        <v>227</v>
      </c>
      <c r="B132" s="240"/>
      <c r="C132" s="240"/>
      <c r="D132" s="240"/>
      <c r="E132" s="241"/>
      <c r="F132" s="120">
        <f>SUM(F130:F131)</f>
        <v>4543.6000000000004</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30 h + Insalubridade</v>
      </c>
      <c r="B136" s="124">
        <f>F132</f>
        <v>4543.6000000000004</v>
      </c>
      <c r="C136" s="125">
        <v>1</v>
      </c>
      <c r="D136" s="124">
        <f>B136*C136</f>
        <v>4543.6000000000004</v>
      </c>
      <c r="E136" s="86">
        <f>F15</f>
        <v>1</v>
      </c>
      <c r="F136" s="124">
        <f>D136*E136</f>
        <v>4543.6000000000004</v>
      </c>
    </row>
    <row r="137" spans="1:10" s="65" customFormat="1" ht="21" customHeight="1">
      <c r="A137" s="233" t="s">
        <v>235</v>
      </c>
      <c r="B137" s="234"/>
      <c r="C137" s="234"/>
      <c r="D137" s="234"/>
      <c r="E137" s="235"/>
      <c r="F137" s="126">
        <f>SUM(F136)</f>
        <v>4543.6000000000004</v>
      </c>
    </row>
    <row r="138" spans="1:10" s="65" customFormat="1" ht="21" customHeight="1">
      <c r="A138" s="239" t="s">
        <v>236</v>
      </c>
      <c r="B138" s="240"/>
      <c r="C138" s="240"/>
      <c r="D138" s="240"/>
      <c r="E138" s="241"/>
      <c r="F138" s="127">
        <f>F137*F11</f>
        <v>54523.199999999997</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030AE"/>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237</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238</v>
      </c>
      <c r="B15" s="276"/>
      <c r="C15" s="276"/>
      <c r="D15" s="277" t="s">
        <v>79</v>
      </c>
      <c r="E15" s="277"/>
      <c r="F15" s="77">
        <f>'SEMSUR_TOTALIZADOR GERAL'!C6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126</v>
      </c>
    </row>
    <row r="20" spans="1:9" ht="15">
      <c r="A20" s="79">
        <v>2</v>
      </c>
      <c r="B20" s="269" t="s">
        <v>127</v>
      </c>
      <c r="C20" s="270"/>
      <c r="D20" s="270"/>
      <c r="E20" s="271"/>
      <c r="F20" s="80" t="s">
        <v>128</v>
      </c>
      <c r="G20" s="81"/>
      <c r="H20" s="82"/>
      <c r="I20" s="82"/>
    </row>
    <row r="21" spans="1:9">
      <c r="A21" s="72">
        <v>3</v>
      </c>
      <c r="B21" s="266" t="s">
        <v>129</v>
      </c>
      <c r="C21" s="267"/>
      <c r="D21" s="267"/>
      <c r="E21" s="268"/>
      <c r="F21" s="83">
        <f>RAIZ_DADOS!D6</f>
        <v>1651</v>
      </c>
    </row>
    <row r="22" spans="1:9">
      <c r="A22" s="72">
        <v>4</v>
      </c>
      <c r="B22" s="266" t="s">
        <v>130</v>
      </c>
      <c r="C22" s="267"/>
      <c r="D22" s="267"/>
      <c r="E22" s="268"/>
      <c r="F22" s="78" t="s">
        <v>52</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21</v>
      </c>
      <c r="F27" s="87">
        <f>F21</f>
        <v>1651</v>
      </c>
      <c r="H27" s="88"/>
    </row>
    <row r="28" spans="1:9">
      <c r="A28" s="84" t="s">
        <v>138</v>
      </c>
      <c r="B28" s="236" t="s">
        <v>139</v>
      </c>
      <c r="C28" s="237"/>
      <c r="D28" s="238"/>
      <c r="E28" s="86"/>
      <c r="F28" s="87"/>
    </row>
    <row r="29" spans="1:9">
      <c r="A29" s="84" t="s">
        <v>140</v>
      </c>
      <c r="B29" s="236" t="s">
        <v>141</v>
      </c>
      <c r="C29" s="237"/>
      <c r="D29" s="238"/>
      <c r="E29" s="89">
        <v>0.2</v>
      </c>
      <c r="F29" s="87">
        <f>E29*RAIZ_DADOS!D29</f>
        <v>330.2</v>
      </c>
    </row>
    <row r="30" spans="1:9">
      <c r="A30" s="84" t="s">
        <v>142</v>
      </c>
      <c r="B30" s="236" t="s">
        <v>143</v>
      </c>
      <c r="C30" s="237"/>
      <c r="D30" s="238"/>
      <c r="E30" s="86"/>
      <c r="F30" s="87"/>
    </row>
    <row r="31" spans="1:9">
      <c r="A31" s="84" t="s">
        <v>144</v>
      </c>
      <c r="B31" s="236" t="s">
        <v>145</v>
      </c>
      <c r="C31" s="237"/>
      <c r="D31" s="238"/>
      <c r="E31" s="86"/>
      <c r="F31" s="87"/>
    </row>
    <row r="32" spans="1:9">
      <c r="A32" s="84" t="s">
        <v>146</v>
      </c>
      <c r="B32" s="236" t="s">
        <v>147</v>
      </c>
      <c r="C32" s="237"/>
      <c r="D32" s="238"/>
      <c r="E32" s="86"/>
      <c r="F32" s="87"/>
    </row>
    <row r="33" spans="1:8">
      <c r="A33" s="233" t="s">
        <v>62</v>
      </c>
      <c r="B33" s="234"/>
      <c r="C33" s="234"/>
      <c r="D33" s="235"/>
      <c r="E33" s="90"/>
      <c r="F33" s="91">
        <f>SUM(F27:F32)</f>
        <v>1981.2</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165.03</v>
      </c>
    </row>
    <row r="39" spans="1:8">
      <c r="A39" s="84" t="s">
        <v>138</v>
      </c>
      <c r="B39" s="236" t="s">
        <v>154</v>
      </c>
      <c r="C39" s="237"/>
      <c r="D39" s="238"/>
      <c r="E39" s="93">
        <f>(1/12)+(1/3)/12</f>
        <v>0.1111</v>
      </c>
      <c r="F39" s="87">
        <f>F33*E39</f>
        <v>220.11</v>
      </c>
    </row>
    <row r="40" spans="1:8">
      <c r="A40" s="258" t="s">
        <v>62</v>
      </c>
      <c r="B40" s="259"/>
      <c r="C40" s="259"/>
      <c r="D40" s="260"/>
      <c r="E40" s="94">
        <f>SUM(E38:E39)</f>
        <v>0.19439999999999999</v>
      </c>
      <c r="F40" s="95">
        <f>SUM(F38:F39)</f>
        <v>385.14</v>
      </c>
    </row>
    <row r="41" spans="1:8">
      <c r="A41" s="84" t="s">
        <v>140</v>
      </c>
      <c r="B41" s="236" t="s">
        <v>155</v>
      </c>
      <c r="C41" s="237"/>
      <c r="D41" s="238"/>
      <c r="E41" s="93">
        <f>E40*E53</f>
        <v>7.7399999999999997E-2</v>
      </c>
      <c r="F41" s="95">
        <f>E41*F33</f>
        <v>153.34</v>
      </c>
    </row>
    <row r="42" spans="1:8">
      <c r="A42" s="233" t="s">
        <v>62</v>
      </c>
      <c r="B42" s="234"/>
      <c r="C42" s="234"/>
      <c r="D42" s="235"/>
      <c r="E42" s="96">
        <f>SUM(E40:E41)</f>
        <v>0.27179999999999999</v>
      </c>
      <c r="F42" s="91">
        <f>SUM(F40:F41)</f>
        <v>538.48</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396.24</v>
      </c>
    </row>
    <row r="46" spans="1:8">
      <c r="A46" s="84" t="s">
        <v>138</v>
      </c>
      <c r="B46" s="236" t="s">
        <v>160</v>
      </c>
      <c r="C46" s="237"/>
      <c r="D46" s="238"/>
      <c r="E46" s="93">
        <v>2.5000000000000001E-2</v>
      </c>
      <c r="F46" s="87">
        <f t="shared" si="0"/>
        <v>49.53</v>
      </c>
      <c r="G46" s="62"/>
      <c r="H46" s="97"/>
    </row>
    <row r="47" spans="1:8">
      <c r="A47" s="84" t="s">
        <v>140</v>
      </c>
      <c r="B47" s="236" t="s">
        <v>161</v>
      </c>
      <c r="C47" s="237"/>
      <c r="D47" s="238"/>
      <c r="E47" s="98">
        <f>(2*3)/100</f>
        <v>0.06</v>
      </c>
      <c r="F47" s="87">
        <f t="shared" si="0"/>
        <v>118.87</v>
      </c>
      <c r="G47" s="99"/>
      <c r="H47" s="99"/>
    </row>
    <row r="48" spans="1:8">
      <c r="A48" s="84" t="s">
        <v>142</v>
      </c>
      <c r="B48" s="236" t="s">
        <v>162</v>
      </c>
      <c r="C48" s="237"/>
      <c r="D48" s="238"/>
      <c r="E48" s="93">
        <v>1.4999999999999999E-2</v>
      </c>
      <c r="F48" s="87">
        <f t="shared" si="0"/>
        <v>29.72</v>
      </c>
    </row>
    <row r="49" spans="1:8">
      <c r="A49" s="84" t="s">
        <v>144</v>
      </c>
      <c r="B49" s="236" t="s">
        <v>163</v>
      </c>
      <c r="C49" s="237"/>
      <c r="D49" s="238"/>
      <c r="E49" s="93">
        <v>0.01</v>
      </c>
      <c r="F49" s="87">
        <f t="shared" si="0"/>
        <v>19.809999999999999</v>
      </c>
    </row>
    <row r="50" spans="1:8">
      <c r="A50" s="84" t="s">
        <v>146</v>
      </c>
      <c r="B50" s="236" t="s">
        <v>164</v>
      </c>
      <c r="C50" s="237"/>
      <c r="D50" s="238"/>
      <c r="E50" s="93">
        <v>6.0000000000000001E-3</v>
      </c>
      <c r="F50" s="87">
        <f t="shared" si="0"/>
        <v>11.89</v>
      </c>
    </row>
    <row r="51" spans="1:8">
      <c r="A51" s="84" t="s">
        <v>165</v>
      </c>
      <c r="B51" s="236" t="s">
        <v>166</v>
      </c>
      <c r="C51" s="237"/>
      <c r="D51" s="238"/>
      <c r="E51" s="93">
        <v>2E-3</v>
      </c>
      <c r="F51" s="87">
        <f t="shared" si="0"/>
        <v>3.96</v>
      </c>
    </row>
    <row r="52" spans="1:8">
      <c r="A52" s="84" t="s">
        <v>167</v>
      </c>
      <c r="B52" s="236" t="s">
        <v>168</v>
      </c>
      <c r="C52" s="237"/>
      <c r="D52" s="238"/>
      <c r="E52" s="93">
        <v>0.08</v>
      </c>
      <c r="F52" s="87">
        <f t="shared" si="0"/>
        <v>158.5</v>
      </c>
    </row>
    <row r="53" spans="1:8">
      <c r="A53" s="233" t="s">
        <v>169</v>
      </c>
      <c r="B53" s="234"/>
      <c r="C53" s="234"/>
      <c r="D53" s="235"/>
      <c r="E53" s="96">
        <f>SUM(E45:E52)</f>
        <v>0.39800000000000002</v>
      </c>
      <c r="F53" s="91">
        <f>SUM(F45:F52)</f>
        <v>788.52</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164.94</v>
      </c>
      <c r="H56" s="69"/>
    </row>
    <row r="57" spans="1:8">
      <c r="A57" s="84"/>
      <c r="B57" s="236" t="s">
        <v>174</v>
      </c>
      <c r="C57" s="237"/>
      <c r="D57" s="238"/>
      <c r="E57" s="100">
        <f>RAIZ_DADOS!D31</f>
        <v>3</v>
      </c>
      <c r="F57" s="78" t="s">
        <v>69</v>
      </c>
      <c r="H57" s="69"/>
    </row>
    <row r="58" spans="1:8">
      <c r="A58" s="84"/>
      <c r="B58" s="236" t="s">
        <v>175</v>
      </c>
      <c r="C58" s="237"/>
      <c r="D58" s="238"/>
      <c r="E58" s="101">
        <v>4</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716</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385.14</v>
      </c>
      <c r="G68" s="63"/>
      <c r="H68" s="63"/>
    </row>
    <row r="69" spans="1:10">
      <c r="A69" s="84" t="s">
        <v>157</v>
      </c>
      <c r="B69" s="236" t="s">
        <v>183</v>
      </c>
      <c r="C69" s="237"/>
      <c r="D69" s="238"/>
      <c r="E69" s="107"/>
      <c r="F69" s="87">
        <f>F53+F41</f>
        <v>941.86</v>
      </c>
      <c r="G69" s="63"/>
      <c r="H69" s="63"/>
    </row>
    <row r="70" spans="1:10">
      <c r="A70" s="84" t="s">
        <v>171</v>
      </c>
      <c r="B70" s="236" t="s">
        <v>172</v>
      </c>
      <c r="C70" s="237"/>
      <c r="D70" s="238"/>
      <c r="E70" s="108"/>
      <c r="F70" s="87">
        <f>F65</f>
        <v>716</v>
      </c>
      <c r="G70" s="63"/>
      <c r="H70" s="63"/>
    </row>
    <row r="71" spans="1:10">
      <c r="A71" s="233" t="s">
        <v>62</v>
      </c>
      <c r="B71" s="234"/>
      <c r="C71" s="234"/>
      <c r="D71" s="235"/>
      <c r="E71" s="90"/>
      <c r="F71" s="91">
        <f>SUM(F68:F70)</f>
        <v>2043</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8.32</v>
      </c>
    </row>
    <row r="76" spans="1:10">
      <c r="A76" s="84" t="s">
        <v>138</v>
      </c>
      <c r="B76" s="236" t="s">
        <v>187</v>
      </c>
      <c r="C76" s="237"/>
      <c r="D76" s="238"/>
      <c r="E76" s="106">
        <f>E75*E52</f>
        <v>2.9999999999999997E-4</v>
      </c>
      <c r="F76" s="87">
        <f>E76*F33</f>
        <v>0.59</v>
      </c>
      <c r="G76" s="109"/>
    </row>
    <row r="77" spans="1:10">
      <c r="A77" s="84" t="s">
        <v>140</v>
      </c>
      <c r="B77" s="236" t="s">
        <v>188</v>
      </c>
      <c r="C77" s="237"/>
      <c r="D77" s="238"/>
      <c r="E77" s="106">
        <f>((8%*(40%)*90%)*(1+5/56+5/56+(1/3*5/56)))</f>
        <v>3.4799999999999998E-2</v>
      </c>
      <c r="F77" s="87">
        <f>E77*(F33+F40)</f>
        <v>82.35</v>
      </c>
      <c r="G77" s="109"/>
      <c r="H77" s="110"/>
    </row>
    <row r="78" spans="1:10">
      <c r="A78" s="84" t="s">
        <v>142</v>
      </c>
      <c r="B78" s="236" t="s">
        <v>189</v>
      </c>
      <c r="C78" s="237"/>
      <c r="D78" s="238"/>
      <c r="E78" s="106">
        <f>((7/30)/12)</f>
        <v>1.9400000000000001E-2</v>
      </c>
      <c r="F78" s="87">
        <f>E78*F33</f>
        <v>38.44</v>
      </c>
      <c r="G78" s="63"/>
      <c r="H78" s="63"/>
    </row>
    <row r="79" spans="1:10">
      <c r="A79" s="84" t="s">
        <v>144</v>
      </c>
      <c r="B79" s="236" t="s">
        <v>190</v>
      </c>
      <c r="C79" s="237"/>
      <c r="D79" s="238"/>
      <c r="E79" s="106">
        <f>E78*E53</f>
        <v>7.7000000000000002E-3</v>
      </c>
      <c r="F79" s="87">
        <f>E79*F33</f>
        <v>15.26</v>
      </c>
    </row>
    <row r="80" spans="1:10">
      <c r="A80" s="84" t="s">
        <v>146</v>
      </c>
      <c r="B80" s="236" t="s">
        <v>191</v>
      </c>
      <c r="C80" s="237"/>
      <c r="D80" s="238"/>
      <c r="E80" s="106">
        <f>(40%*8%*E78)</f>
        <v>5.9999999999999995E-4</v>
      </c>
      <c r="F80" s="87">
        <f>E80*F33</f>
        <v>1.19</v>
      </c>
    </row>
    <row r="81" spans="1:10">
      <c r="A81" s="233" t="s">
        <v>62</v>
      </c>
      <c r="B81" s="234"/>
      <c r="C81" s="234"/>
      <c r="D81" s="235"/>
      <c r="E81" s="111"/>
      <c r="F81" s="91">
        <f>SUM(F75:F80)</f>
        <v>146.15</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165.03</v>
      </c>
    </row>
    <row r="87" spans="1:10">
      <c r="A87" s="84" t="s">
        <v>138</v>
      </c>
      <c r="B87" s="236" t="s">
        <v>195</v>
      </c>
      <c r="C87" s="237"/>
      <c r="D87" s="238"/>
      <c r="E87" s="106">
        <f>(1/30)/12</f>
        <v>2.8E-3</v>
      </c>
      <c r="F87" s="87">
        <f t="shared" si="1"/>
        <v>5.55</v>
      </c>
    </row>
    <row r="88" spans="1:10">
      <c r="A88" s="84" t="s">
        <v>140</v>
      </c>
      <c r="B88" s="236" t="s">
        <v>197</v>
      </c>
      <c r="C88" s="237"/>
      <c r="D88" s="238"/>
      <c r="E88" s="106">
        <f>((5/30)/12)*1.5%</f>
        <v>2.0000000000000001E-4</v>
      </c>
      <c r="F88" s="87">
        <f t="shared" si="1"/>
        <v>0.4</v>
      </c>
    </row>
    <row r="89" spans="1:10">
      <c r="A89" s="84" t="s">
        <v>142</v>
      </c>
      <c r="B89" s="236" t="s">
        <v>198</v>
      </c>
      <c r="C89" s="237"/>
      <c r="D89" s="238"/>
      <c r="E89" s="106">
        <f>((15/365)*8%)</f>
        <v>3.3E-3</v>
      </c>
      <c r="F89" s="87">
        <f t="shared" si="1"/>
        <v>6.54</v>
      </c>
    </row>
    <row r="90" spans="1:10">
      <c r="A90" s="84" t="s">
        <v>144</v>
      </c>
      <c r="B90" s="236" t="s">
        <v>199</v>
      </c>
      <c r="C90" s="237"/>
      <c r="D90" s="238"/>
      <c r="E90" s="106">
        <f>(11.11%*2%*(4/12))</f>
        <v>6.9999999999999999E-4</v>
      </c>
      <c r="F90" s="87">
        <f t="shared" si="1"/>
        <v>1.39</v>
      </c>
    </row>
    <row r="91" spans="1:10">
      <c r="A91" s="84" t="s">
        <v>146</v>
      </c>
      <c r="B91" s="236" t="s">
        <v>200</v>
      </c>
      <c r="C91" s="237"/>
      <c r="D91" s="238"/>
      <c r="E91" s="106"/>
      <c r="F91" s="87">
        <f t="shared" si="1"/>
        <v>0</v>
      </c>
    </row>
    <row r="92" spans="1:10" s="63" customFormat="1">
      <c r="A92" s="233" t="s">
        <v>169</v>
      </c>
      <c r="B92" s="234"/>
      <c r="C92" s="234"/>
      <c r="D92" s="235"/>
      <c r="E92" s="111"/>
      <c r="F92" s="91">
        <f>SUM(F86:F91)</f>
        <v>178.91</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178.91</v>
      </c>
    </row>
    <row r="100" spans="1:10">
      <c r="A100" s="84" t="s">
        <v>202</v>
      </c>
      <c r="B100" s="236" t="s">
        <v>203</v>
      </c>
      <c r="C100" s="237"/>
      <c r="D100" s="238"/>
      <c r="E100" s="86"/>
      <c r="F100" s="87">
        <f>F96</f>
        <v>0</v>
      </c>
    </row>
    <row r="101" spans="1:10">
      <c r="A101" s="233" t="s">
        <v>62</v>
      </c>
      <c r="B101" s="234"/>
      <c r="C101" s="234"/>
      <c r="D101" s="235"/>
      <c r="E101" s="90"/>
      <c r="F101" s="91">
        <f>SUM(F99:F100)</f>
        <v>178.91</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4_Uniformes'!K66</f>
        <v>65.89</v>
      </c>
      <c r="H105" s="113"/>
    </row>
    <row r="106" spans="1:10">
      <c r="A106" s="84" t="s">
        <v>138</v>
      </c>
      <c r="B106" s="236" t="s">
        <v>210</v>
      </c>
      <c r="C106" s="237"/>
      <c r="D106" s="237"/>
      <c r="E106" s="238"/>
      <c r="F106" s="87">
        <f>'SEMSUR 4_EPI''s'!K65</f>
        <v>109.56</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284.2</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231.67</v>
      </c>
    </row>
    <row r="114" spans="1:10">
      <c r="A114" s="84" t="s">
        <v>138</v>
      </c>
      <c r="B114" s="236" t="s">
        <v>216</v>
      </c>
      <c r="C114" s="237"/>
      <c r="D114" s="238"/>
      <c r="E114" s="106">
        <v>6.7900000000000002E-2</v>
      </c>
      <c r="F114" s="87">
        <f>E114*(F130+F113)</f>
        <v>330.34</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99.97</v>
      </c>
      <c r="H117" s="244"/>
      <c r="J117" s="118"/>
    </row>
    <row r="118" spans="1:10">
      <c r="A118" s="84"/>
      <c r="B118" s="236" t="s">
        <v>220</v>
      </c>
      <c r="C118" s="237"/>
      <c r="D118" s="238"/>
      <c r="E118" s="106">
        <v>7.5999999999999998E-2</v>
      </c>
      <c r="F118" s="87">
        <f>E118*(($F$130+$F$113+$F$114)/(1-$E$115))</f>
        <v>460.47</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302.94</v>
      </c>
      <c r="H120" s="244"/>
      <c r="J120" s="118"/>
    </row>
    <row r="121" spans="1:10">
      <c r="A121" s="233" t="s">
        <v>169</v>
      </c>
      <c r="B121" s="234"/>
      <c r="C121" s="234"/>
      <c r="D121" s="235"/>
      <c r="E121" s="115"/>
      <c r="F121" s="91">
        <f>SUM(F113:F120)</f>
        <v>1425.39</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1981.2</v>
      </c>
      <c r="H125" s="109"/>
    </row>
    <row r="126" spans="1:10">
      <c r="A126" s="84" t="s">
        <v>138</v>
      </c>
      <c r="B126" s="236" t="s">
        <v>148</v>
      </c>
      <c r="C126" s="237"/>
      <c r="D126" s="237"/>
      <c r="E126" s="238"/>
      <c r="F126" s="87">
        <f>F71</f>
        <v>2043</v>
      </c>
    </row>
    <row r="127" spans="1:10">
      <c r="A127" s="84" t="s">
        <v>140</v>
      </c>
      <c r="B127" s="236" t="s">
        <v>184</v>
      </c>
      <c r="C127" s="237"/>
      <c r="D127" s="237"/>
      <c r="E127" s="238"/>
      <c r="F127" s="87">
        <f>F81</f>
        <v>146.15</v>
      </c>
    </row>
    <row r="128" spans="1:10">
      <c r="A128" s="84" t="s">
        <v>142</v>
      </c>
      <c r="B128" s="236" t="s">
        <v>192</v>
      </c>
      <c r="C128" s="237"/>
      <c r="D128" s="237"/>
      <c r="E128" s="238"/>
      <c r="F128" s="87">
        <f>F101</f>
        <v>178.91</v>
      </c>
      <c r="H128" s="109"/>
    </row>
    <row r="129" spans="1:10">
      <c r="A129" s="84" t="s">
        <v>144</v>
      </c>
      <c r="B129" s="236" t="s">
        <v>207</v>
      </c>
      <c r="C129" s="237"/>
      <c r="D129" s="237"/>
      <c r="E129" s="238"/>
      <c r="F129" s="87">
        <f>F109</f>
        <v>284.2</v>
      </c>
      <c r="H129" s="109"/>
    </row>
    <row r="130" spans="1:10">
      <c r="A130" s="233" t="s">
        <v>225</v>
      </c>
      <c r="B130" s="234"/>
      <c r="C130" s="234"/>
      <c r="D130" s="234"/>
      <c r="E130" s="235"/>
      <c r="F130" s="91">
        <f>SUM(F125:F129)</f>
        <v>4633.46</v>
      </c>
      <c r="I130" s="113"/>
      <c r="J130" s="113"/>
    </row>
    <row r="131" spans="1:10">
      <c r="A131" s="84" t="s">
        <v>146</v>
      </c>
      <c r="B131" s="236" t="s">
        <v>226</v>
      </c>
      <c r="C131" s="237"/>
      <c r="D131" s="237"/>
      <c r="E131" s="238"/>
      <c r="F131" s="87">
        <f>F121</f>
        <v>1425.39</v>
      </c>
    </row>
    <row r="132" spans="1:10">
      <c r="A132" s="239" t="s">
        <v>227</v>
      </c>
      <c r="B132" s="240"/>
      <c r="C132" s="240"/>
      <c r="D132" s="240"/>
      <c r="E132" s="241"/>
      <c r="F132" s="120">
        <f>SUM(F130:F131)</f>
        <v>6058.85</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44 h + Insalubridade</v>
      </c>
      <c r="B136" s="124">
        <f>F132</f>
        <v>6058.85</v>
      </c>
      <c r="C136" s="125">
        <v>1</v>
      </c>
      <c r="D136" s="124">
        <f>B136*C136</f>
        <v>6058.85</v>
      </c>
      <c r="E136" s="86">
        <f>F15</f>
        <v>1</v>
      </c>
      <c r="F136" s="124">
        <f>D136*E136</f>
        <v>6058.85</v>
      </c>
    </row>
    <row r="137" spans="1:10" s="65" customFormat="1" ht="21" customHeight="1">
      <c r="A137" s="233" t="s">
        <v>235</v>
      </c>
      <c r="B137" s="234"/>
      <c r="C137" s="234"/>
      <c r="D137" s="234"/>
      <c r="E137" s="235"/>
      <c r="F137" s="126">
        <f>SUM(F136)</f>
        <v>6058.85</v>
      </c>
    </row>
    <row r="138" spans="1:10" s="65" customFormat="1" ht="21" customHeight="1">
      <c r="A138" s="239" t="s">
        <v>236</v>
      </c>
      <c r="B138" s="240"/>
      <c r="C138" s="240"/>
      <c r="D138" s="240"/>
      <c r="E138" s="241"/>
      <c r="F138" s="127">
        <f>F137*F11</f>
        <v>72706.2</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59999389629810485"/>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239</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240</v>
      </c>
      <c r="B15" s="276"/>
      <c r="C15" s="276"/>
      <c r="D15" s="277" t="s">
        <v>79</v>
      </c>
      <c r="E15" s="277"/>
      <c r="F15" s="77">
        <f>'SEMSUR_TOTALIZADOR GERAL'!D6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126</v>
      </c>
    </row>
    <row r="20" spans="1:9" ht="15">
      <c r="A20" s="79">
        <v>2</v>
      </c>
      <c r="B20" s="269" t="s">
        <v>127</v>
      </c>
      <c r="C20" s="270"/>
      <c r="D20" s="270"/>
      <c r="E20" s="271"/>
      <c r="F20" s="80" t="s">
        <v>128</v>
      </c>
      <c r="G20" s="81"/>
      <c r="H20" s="82"/>
      <c r="I20" s="82"/>
    </row>
    <row r="21" spans="1:9">
      <c r="A21" s="72">
        <v>3</v>
      </c>
      <c r="B21" s="266" t="s">
        <v>129</v>
      </c>
      <c r="C21" s="267"/>
      <c r="D21" s="267"/>
      <c r="E21" s="268"/>
      <c r="F21" s="83">
        <f>RAIZ_DADOS!D6</f>
        <v>1651</v>
      </c>
    </row>
    <row r="22" spans="1:9">
      <c r="A22" s="72">
        <v>4</v>
      </c>
      <c r="B22" s="266" t="s">
        <v>130</v>
      </c>
      <c r="C22" s="267"/>
      <c r="D22" s="267"/>
      <c r="E22" s="268"/>
      <c r="F22" s="78" t="s">
        <v>52</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64</v>
      </c>
      <c r="F27" s="87">
        <f>(F21/44)*30</f>
        <v>1125.68</v>
      </c>
      <c r="H27" s="88"/>
    </row>
    <row r="28" spans="1:9">
      <c r="A28" s="84" t="s">
        <v>138</v>
      </c>
      <c r="B28" s="236" t="s">
        <v>139</v>
      </c>
      <c r="C28" s="237"/>
      <c r="D28" s="238"/>
      <c r="E28" s="86"/>
      <c r="F28" s="87"/>
    </row>
    <row r="29" spans="1:9">
      <c r="A29" s="84" t="s">
        <v>140</v>
      </c>
      <c r="B29" s="236" t="s">
        <v>141</v>
      </c>
      <c r="C29" s="237"/>
      <c r="D29" s="238"/>
      <c r="E29" s="89"/>
      <c r="F29" s="87"/>
    </row>
    <row r="30" spans="1:9">
      <c r="A30" s="84" t="s">
        <v>142</v>
      </c>
      <c r="B30" s="236" t="s">
        <v>143</v>
      </c>
      <c r="C30" s="237"/>
      <c r="D30" s="238"/>
      <c r="E30" s="86"/>
      <c r="F30" s="87"/>
    </row>
    <row r="31" spans="1:9">
      <c r="A31" s="84" t="s">
        <v>144</v>
      </c>
      <c r="B31" s="236" t="s">
        <v>145</v>
      </c>
      <c r="C31" s="237"/>
      <c r="D31" s="238"/>
      <c r="E31" s="86"/>
      <c r="F31" s="87"/>
    </row>
    <row r="32" spans="1:9">
      <c r="A32" s="84" t="s">
        <v>146</v>
      </c>
      <c r="B32" s="236" t="s">
        <v>147</v>
      </c>
      <c r="C32" s="237"/>
      <c r="D32" s="238"/>
      <c r="E32" s="86"/>
      <c r="F32" s="87"/>
    </row>
    <row r="33" spans="1:8">
      <c r="A33" s="233" t="s">
        <v>62</v>
      </c>
      <c r="B33" s="234"/>
      <c r="C33" s="234"/>
      <c r="D33" s="235"/>
      <c r="E33" s="90"/>
      <c r="F33" s="91">
        <f>SUM(F27:F32)</f>
        <v>1125.68</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93.77</v>
      </c>
    </row>
    <row r="39" spans="1:8">
      <c r="A39" s="84" t="s">
        <v>138</v>
      </c>
      <c r="B39" s="236" t="s">
        <v>154</v>
      </c>
      <c r="C39" s="237"/>
      <c r="D39" s="238"/>
      <c r="E39" s="93">
        <f>(1/12)+(1/3)/12</f>
        <v>0.1111</v>
      </c>
      <c r="F39" s="87">
        <f>F33*E39</f>
        <v>125.06</v>
      </c>
    </row>
    <row r="40" spans="1:8">
      <c r="A40" s="258" t="s">
        <v>62</v>
      </c>
      <c r="B40" s="259"/>
      <c r="C40" s="259"/>
      <c r="D40" s="260"/>
      <c r="E40" s="94">
        <f>SUM(E38:E39)</f>
        <v>0.19439999999999999</v>
      </c>
      <c r="F40" s="95">
        <f>SUM(F38:F39)</f>
        <v>218.83</v>
      </c>
    </row>
    <row r="41" spans="1:8">
      <c r="A41" s="84" t="s">
        <v>140</v>
      </c>
      <c r="B41" s="236" t="s">
        <v>155</v>
      </c>
      <c r="C41" s="237"/>
      <c r="D41" s="238"/>
      <c r="E41" s="93">
        <f>E40*E53</f>
        <v>7.7399999999999997E-2</v>
      </c>
      <c r="F41" s="95">
        <f>E41*F33</f>
        <v>87.13</v>
      </c>
    </row>
    <row r="42" spans="1:8">
      <c r="A42" s="233" t="s">
        <v>62</v>
      </c>
      <c r="B42" s="234"/>
      <c r="C42" s="234"/>
      <c r="D42" s="235"/>
      <c r="E42" s="96">
        <f>SUM(E40:E41)</f>
        <v>0.27179999999999999</v>
      </c>
      <c r="F42" s="91">
        <f>SUM(F40:F41)</f>
        <v>305.95999999999998</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225.14</v>
      </c>
    </row>
    <row r="46" spans="1:8">
      <c r="A46" s="84" t="s">
        <v>138</v>
      </c>
      <c r="B46" s="236" t="s">
        <v>160</v>
      </c>
      <c r="C46" s="237"/>
      <c r="D46" s="238"/>
      <c r="E46" s="93">
        <v>2.5000000000000001E-2</v>
      </c>
      <c r="F46" s="87">
        <f t="shared" si="0"/>
        <v>28.14</v>
      </c>
      <c r="G46" s="62"/>
      <c r="H46" s="97"/>
    </row>
    <row r="47" spans="1:8">
      <c r="A47" s="84" t="s">
        <v>140</v>
      </c>
      <c r="B47" s="236" t="s">
        <v>161</v>
      </c>
      <c r="C47" s="237"/>
      <c r="D47" s="238"/>
      <c r="E47" s="98">
        <f>(2*3)/100</f>
        <v>0.06</v>
      </c>
      <c r="F47" s="87">
        <f t="shared" si="0"/>
        <v>67.540000000000006</v>
      </c>
      <c r="G47" s="99"/>
      <c r="H47" s="99"/>
    </row>
    <row r="48" spans="1:8">
      <c r="A48" s="84" t="s">
        <v>142</v>
      </c>
      <c r="B48" s="236" t="s">
        <v>162</v>
      </c>
      <c r="C48" s="237"/>
      <c r="D48" s="238"/>
      <c r="E48" s="93">
        <v>1.4999999999999999E-2</v>
      </c>
      <c r="F48" s="87">
        <f t="shared" si="0"/>
        <v>16.89</v>
      </c>
    </row>
    <row r="49" spans="1:8">
      <c r="A49" s="84" t="s">
        <v>144</v>
      </c>
      <c r="B49" s="236" t="s">
        <v>163</v>
      </c>
      <c r="C49" s="237"/>
      <c r="D49" s="238"/>
      <c r="E49" s="93">
        <v>0.01</v>
      </c>
      <c r="F49" s="87">
        <f t="shared" si="0"/>
        <v>11.26</v>
      </c>
    </row>
    <row r="50" spans="1:8">
      <c r="A50" s="84" t="s">
        <v>146</v>
      </c>
      <c r="B50" s="236" t="s">
        <v>164</v>
      </c>
      <c r="C50" s="237"/>
      <c r="D50" s="238"/>
      <c r="E50" s="93">
        <v>6.0000000000000001E-3</v>
      </c>
      <c r="F50" s="87">
        <f t="shared" si="0"/>
        <v>6.75</v>
      </c>
    </row>
    <row r="51" spans="1:8">
      <c r="A51" s="84" t="s">
        <v>165</v>
      </c>
      <c r="B51" s="236" t="s">
        <v>166</v>
      </c>
      <c r="C51" s="237"/>
      <c r="D51" s="238"/>
      <c r="E51" s="93">
        <v>2E-3</v>
      </c>
      <c r="F51" s="87">
        <f t="shared" si="0"/>
        <v>2.25</v>
      </c>
    </row>
    <row r="52" spans="1:8">
      <c r="A52" s="84" t="s">
        <v>167</v>
      </c>
      <c r="B52" s="236" t="s">
        <v>168</v>
      </c>
      <c r="C52" s="237"/>
      <c r="D52" s="238"/>
      <c r="E52" s="93">
        <v>0.08</v>
      </c>
      <c r="F52" s="87">
        <f t="shared" si="0"/>
        <v>90.05</v>
      </c>
    </row>
    <row r="53" spans="1:8">
      <c r="A53" s="233" t="s">
        <v>169</v>
      </c>
      <c r="B53" s="234"/>
      <c r="C53" s="234"/>
      <c r="D53" s="235"/>
      <c r="E53" s="96">
        <f>SUM(E45:E52)</f>
        <v>0.39800000000000002</v>
      </c>
      <c r="F53" s="91">
        <f>SUM(F45:F52)</f>
        <v>448.02</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64.459999999999994</v>
      </c>
      <c r="H56" s="69"/>
    </row>
    <row r="57" spans="1:8">
      <c r="A57" s="84"/>
      <c r="B57" s="236" t="s">
        <v>174</v>
      </c>
      <c r="C57" s="237"/>
      <c r="D57" s="238"/>
      <c r="E57" s="100">
        <f>RAIZ_DADOS!D31</f>
        <v>3</v>
      </c>
      <c r="F57" s="78" t="s">
        <v>69</v>
      </c>
      <c r="H57" s="69"/>
    </row>
    <row r="58" spans="1:8">
      <c r="A58" s="84"/>
      <c r="B58" s="236" t="s">
        <v>175</v>
      </c>
      <c r="C58" s="237"/>
      <c r="D58" s="238"/>
      <c r="E58" s="101">
        <f>RAIZ_DADOS!D34</f>
        <v>2</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615.52</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218.83</v>
      </c>
      <c r="G68" s="63"/>
      <c r="H68" s="63"/>
    </row>
    <row r="69" spans="1:10">
      <c r="A69" s="84" t="s">
        <v>157</v>
      </c>
      <c r="B69" s="236" t="s">
        <v>183</v>
      </c>
      <c r="C69" s="237"/>
      <c r="D69" s="238"/>
      <c r="E69" s="107"/>
      <c r="F69" s="87">
        <f>F53+F41</f>
        <v>535.15</v>
      </c>
      <c r="G69" s="63"/>
      <c r="H69" s="63"/>
    </row>
    <row r="70" spans="1:10">
      <c r="A70" s="84" t="s">
        <v>171</v>
      </c>
      <c r="B70" s="236" t="s">
        <v>172</v>
      </c>
      <c r="C70" s="237"/>
      <c r="D70" s="238"/>
      <c r="E70" s="108"/>
      <c r="F70" s="87">
        <f>F65</f>
        <v>615.52</v>
      </c>
      <c r="G70" s="63"/>
      <c r="H70" s="63"/>
    </row>
    <row r="71" spans="1:10">
      <c r="A71" s="233" t="s">
        <v>62</v>
      </c>
      <c r="B71" s="234"/>
      <c r="C71" s="234"/>
      <c r="D71" s="235"/>
      <c r="E71" s="90"/>
      <c r="F71" s="91">
        <f>SUM(F68:F70)</f>
        <v>1369.5</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4.7300000000000004</v>
      </c>
    </row>
    <row r="76" spans="1:10">
      <c r="A76" s="84" t="s">
        <v>138</v>
      </c>
      <c r="B76" s="236" t="s">
        <v>187</v>
      </c>
      <c r="C76" s="237"/>
      <c r="D76" s="238"/>
      <c r="E76" s="106">
        <f>E75*E52</f>
        <v>2.9999999999999997E-4</v>
      </c>
      <c r="F76" s="87">
        <f>E76*F33</f>
        <v>0.34</v>
      </c>
      <c r="G76" s="109"/>
    </row>
    <row r="77" spans="1:10">
      <c r="A77" s="84" t="s">
        <v>140</v>
      </c>
      <c r="B77" s="236" t="s">
        <v>188</v>
      </c>
      <c r="C77" s="237"/>
      <c r="D77" s="238"/>
      <c r="E77" s="106">
        <f>((8%*(40%)*90%)*(1+5/56+5/56+(1/3*5/56)))</f>
        <v>3.4799999999999998E-2</v>
      </c>
      <c r="F77" s="87">
        <f>E77*(F33+F40)</f>
        <v>46.79</v>
      </c>
      <c r="G77" s="109"/>
      <c r="H77" s="110"/>
    </row>
    <row r="78" spans="1:10">
      <c r="A78" s="84" t="s">
        <v>142</v>
      </c>
      <c r="B78" s="236" t="s">
        <v>189</v>
      </c>
      <c r="C78" s="237"/>
      <c r="D78" s="238"/>
      <c r="E78" s="106">
        <f>((7/30)/12)</f>
        <v>1.9400000000000001E-2</v>
      </c>
      <c r="F78" s="87">
        <f>E78*F33</f>
        <v>21.84</v>
      </c>
      <c r="G78" s="63"/>
      <c r="H78" s="63"/>
    </row>
    <row r="79" spans="1:10">
      <c r="A79" s="84" t="s">
        <v>144</v>
      </c>
      <c r="B79" s="236" t="s">
        <v>190</v>
      </c>
      <c r="C79" s="237"/>
      <c r="D79" s="238"/>
      <c r="E79" s="106">
        <f>E78*E53</f>
        <v>7.7000000000000002E-3</v>
      </c>
      <c r="F79" s="87">
        <f>E79*F33</f>
        <v>8.67</v>
      </c>
    </row>
    <row r="80" spans="1:10">
      <c r="A80" s="84" t="s">
        <v>146</v>
      </c>
      <c r="B80" s="236" t="s">
        <v>191</v>
      </c>
      <c r="C80" s="237"/>
      <c r="D80" s="238"/>
      <c r="E80" s="106">
        <f>(40%*8%*E78)</f>
        <v>5.9999999999999995E-4</v>
      </c>
      <c r="F80" s="87">
        <f>E80*F33</f>
        <v>0.68</v>
      </c>
    </row>
    <row r="81" spans="1:10">
      <c r="A81" s="233" t="s">
        <v>62</v>
      </c>
      <c r="B81" s="234"/>
      <c r="C81" s="234"/>
      <c r="D81" s="235"/>
      <c r="E81" s="111"/>
      <c r="F81" s="91">
        <f>SUM(F75:F80)</f>
        <v>83.05</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93.77</v>
      </c>
    </row>
    <row r="87" spans="1:10">
      <c r="A87" s="84" t="s">
        <v>138</v>
      </c>
      <c r="B87" s="236" t="s">
        <v>195</v>
      </c>
      <c r="C87" s="237"/>
      <c r="D87" s="238"/>
      <c r="E87" s="106">
        <f>(1/30)/12</f>
        <v>2.8E-3</v>
      </c>
      <c r="F87" s="87">
        <f t="shared" si="1"/>
        <v>3.15</v>
      </c>
    </row>
    <row r="88" spans="1:10">
      <c r="A88" s="84" t="s">
        <v>140</v>
      </c>
      <c r="B88" s="236" t="s">
        <v>197</v>
      </c>
      <c r="C88" s="237"/>
      <c r="D88" s="238"/>
      <c r="E88" s="106">
        <f>((5/30)/12)*1.5%</f>
        <v>2.0000000000000001E-4</v>
      </c>
      <c r="F88" s="87">
        <f t="shared" si="1"/>
        <v>0.23</v>
      </c>
    </row>
    <row r="89" spans="1:10">
      <c r="A89" s="84" t="s">
        <v>142</v>
      </c>
      <c r="B89" s="236" t="s">
        <v>198</v>
      </c>
      <c r="C89" s="237"/>
      <c r="D89" s="238"/>
      <c r="E89" s="106">
        <f>((15/365)*8%)</f>
        <v>3.3E-3</v>
      </c>
      <c r="F89" s="87">
        <f t="shared" si="1"/>
        <v>3.71</v>
      </c>
    </row>
    <row r="90" spans="1:10">
      <c r="A90" s="84" t="s">
        <v>144</v>
      </c>
      <c r="B90" s="236" t="s">
        <v>199</v>
      </c>
      <c r="C90" s="237"/>
      <c r="D90" s="238"/>
      <c r="E90" s="106">
        <f>(11.11%*2%*(4/12))</f>
        <v>6.9999999999999999E-4</v>
      </c>
      <c r="F90" s="87">
        <f t="shared" si="1"/>
        <v>0.79</v>
      </c>
    </row>
    <row r="91" spans="1:10">
      <c r="A91" s="84" t="s">
        <v>146</v>
      </c>
      <c r="B91" s="236" t="s">
        <v>200</v>
      </c>
      <c r="C91" s="237"/>
      <c r="D91" s="238"/>
      <c r="E91" s="106"/>
      <c r="F91" s="87">
        <f t="shared" si="1"/>
        <v>0</v>
      </c>
    </row>
    <row r="92" spans="1:10" s="63" customFormat="1">
      <c r="A92" s="233" t="s">
        <v>169</v>
      </c>
      <c r="B92" s="234"/>
      <c r="C92" s="234"/>
      <c r="D92" s="235"/>
      <c r="E92" s="111"/>
      <c r="F92" s="91">
        <f>SUM(F86:F91)</f>
        <v>101.65</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101.65</v>
      </c>
    </row>
    <row r="100" spans="1:10">
      <c r="A100" s="84" t="s">
        <v>202</v>
      </c>
      <c r="B100" s="236" t="s">
        <v>203</v>
      </c>
      <c r="C100" s="237"/>
      <c r="D100" s="238"/>
      <c r="E100" s="86"/>
      <c r="F100" s="87">
        <f>F96</f>
        <v>0</v>
      </c>
    </row>
    <row r="101" spans="1:10">
      <c r="A101" s="233" t="s">
        <v>62</v>
      </c>
      <c r="B101" s="234"/>
      <c r="C101" s="234"/>
      <c r="D101" s="235"/>
      <c r="E101" s="90"/>
      <c r="F101" s="91">
        <f>SUM(F99:F100)</f>
        <v>101.65</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4_Uniformes'!K17</f>
        <v>48.8</v>
      </c>
      <c r="H105" s="113"/>
    </row>
    <row r="106" spans="1:10">
      <c r="A106" s="84" t="s">
        <v>138</v>
      </c>
      <c r="B106" s="236" t="s">
        <v>210</v>
      </c>
      <c r="C106" s="237"/>
      <c r="D106" s="237"/>
      <c r="E106" s="238"/>
      <c r="F106" s="87">
        <f>'SEMSUR 4_EPI''s'!K17</f>
        <v>31.73</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189.28</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143.46</v>
      </c>
    </row>
    <row r="114" spans="1:10">
      <c r="A114" s="84" t="s">
        <v>138</v>
      </c>
      <c r="B114" s="236" t="s">
        <v>216</v>
      </c>
      <c r="C114" s="237"/>
      <c r="D114" s="238"/>
      <c r="E114" s="106">
        <v>6.7900000000000002E-2</v>
      </c>
      <c r="F114" s="87">
        <f>E114*(F130+F113)</f>
        <v>204.56</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61.9</v>
      </c>
      <c r="H117" s="244"/>
      <c r="J117" s="118"/>
    </row>
    <row r="118" spans="1:10">
      <c r="A118" s="84"/>
      <c r="B118" s="236" t="s">
        <v>220</v>
      </c>
      <c r="C118" s="237"/>
      <c r="D118" s="238"/>
      <c r="E118" s="106">
        <v>7.5999999999999998E-2</v>
      </c>
      <c r="F118" s="87">
        <f>E118*(($F$130+$F$113+$F$114)/(1-$E$115))</f>
        <v>285.14</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187.59</v>
      </c>
      <c r="H120" s="244"/>
      <c r="J120" s="118"/>
    </row>
    <row r="121" spans="1:10">
      <c r="A121" s="233" t="s">
        <v>169</v>
      </c>
      <c r="B121" s="234"/>
      <c r="C121" s="234"/>
      <c r="D121" s="235"/>
      <c r="E121" s="115"/>
      <c r="F121" s="91">
        <f>SUM(F113:F120)</f>
        <v>882.65</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1125.68</v>
      </c>
      <c r="H125" s="109"/>
    </row>
    <row r="126" spans="1:10">
      <c r="A126" s="84" t="s">
        <v>138</v>
      </c>
      <c r="B126" s="236" t="s">
        <v>148</v>
      </c>
      <c r="C126" s="237"/>
      <c r="D126" s="237"/>
      <c r="E126" s="238"/>
      <c r="F126" s="87">
        <f>F71</f>
        <v>1369.5</v>
      </c>
    </row>
    <row r="127" spans="1:10">
      <c r="A127" s="84" t="s">
        <v>140</v>
      </c>
      <c r="B127" s="236" t="s">
        <v>184</v>
      </c>
      <c r="C127" s="237"/>
      <c r="D127" s="237"/>
      <c r="E127" s="238"/>
      <c r="F127" s="87">
        <f>F81</f>
        <v>83.05</v>
      </c>
    </row>
    <row r="128" spans="1:10">
      <c r="A128" s="84" t="s">
        <v>142</v>
      </c>
      <c r="B128" s="236" t="s">
        <v>192</v>
      </c>
      <c r="C128" s="237"/>
      <c r="D128" s="237"/>
      <c r="E128" s="238"/>
      <c r="F128" s="87">
        <f>F101</f>
        <v>101.65</v>
      </c>
      <c r="H128" s="109"/>
    </row>
    <row r="129" spans="1:10">
      <c r="A129" s="84" t="s">
        <v>144</v>
      </c>
      <c r="B129" s="236" t="s">
        <v>207</v>
      </c>
      <c r="C129" s="237"/>
      <c r="D129" s="237"/>
      <c r="E129" s="238"/>
      <c r="F129" s="87">
        <f>F109</f>
        <v>189.28</v>
      </c>
      <c r="H129" s="109"/>
    </row>
    <row r="130" spans="1:10">
      <c r="A130" s="233" t="s">
        <v>225</v>
      </c>
      <c r="B130" s="234"/>
      <c r="C130" s="234"/>
      <c r="D130" s="234"/>
      <c r="E130" s="235"/>
      <c r="F130" s="91">
        <f>SUM(F125:F129)</f>
        <v>2869.16</v>
      </c>
      <c r="I130" s="113"/>
      <c r="J130" s="113"/>
    </row>
    <row r="131" spans="1:10">
      <c r="A131" s="84" t="s">
        <v>146</v>
      </c>
      <c r="B131" s="236" t="s">
        <v>226</v>
      </c>
      <c r="C131" s="237"/>
      <c r="D131" s="237"/>
      <c r="E131" s="238"/>
      <c r="F131" s="87">
        <f>F121</f>
        <v>882.65</v>
      </c>
    </row>
    <row r="132" spans="1:10">
      <c r="A132" s="239" t="s">
        <v>227</v>
      </c>
      <c r="B132" s="240"/>
      <c r="C132" s="240"/>
      <c r="D132" s="240"/>
      <c r="E132" s="241"/>
      <c r="F132" s="120">
        <f>SUM(F130:F131)</f>
        <v>3751.81</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Interno: 30 h</v>
      </c>
      <c r="B136" s="124">
        <f>F132</f>
        <v>3751.81</v>
      </c>
      <c r="C136" s="125">
        <v>1</v>
      </c>
      <c r="D136" s="124">
        <f>B136*C136</f>
        <v>3751.81</v>
      </c>
      <c r="E136" s="86">
        <f>F15</f>
        <v>1</v>
      </c>
      <c r="F136" s="124">
        <f>D136*E136</f>
        <v>3751.81</v>
      </c>
    </row>
    <row r="137" spans="1:10" s="65" customFormat="1" ht="21" customHeight="1">
      <c r="A137" s="233" t="s">
        <v>235</v>
      </c>
      <c r="B137" s="234"/>
      <c r="C137" s="234"/>
      <c r="D137" s="234"/>
      <c r="E137" s="235"/>
      <c r="F137" s="126">
        <f>SUM(F136)</f>
        <v>3751.81</v>
      </c>
    </row>
    <row r="138" spans="1:10" s="65" customFormat="1" ht="21" customHeight="1">
      <c r="A138" s="239" t="s">
        <v>236</v>
      </c>
      <c r="B138" s="240"/>
      <c r="C138" s="240"/>
      <c r="D138" s="240"/>
      <c r="E138" s="241"/>
      <c r="F138" s="127">
        <f>F137*F11</f>
        <v>45021.72</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030AE"/>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21.5703125" style="60" customWidth="1"/>
    <col min="8" max="8" width="85.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241</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242</v>
      </c>
      <c r="B15" s="276"/>
      <c r="C15" s="276"/>
      <c r="D15" s="277" t="s">
        <v>79</v>
      </c>
      <c r="E15" s="277"/>
      <c r="F15" s="77">
        <f>'SEMSUR_TOTALIZADOR GERAL'!G6</f>
        <v>2</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126</v>
      </c>
    </row>
    <row r="20" spans="1:9" ht="15">
      <c r="A20" s="79">
        <v>2</v>
      </c>
      <c r="B20" s="269" t="s">
        <v>127</v>
      </c>
      <c r="C20" s="270"/>
      <c r="D20" s="270"/>
      <c r="E20" s="271"/>
      <c r="F20" s="80" t="s">
        <v>128</v>
      </c>
      <c r="G20" s="81"/>
      <c r="H20" s="82"/>
      <c r="I20" s="82"/>
    </row>
    <row r="21" spans="1:9">
      <c r="A21" s="72">
        <v>3</v>
      </c>
      <c r="B21" s="266" t="s">
        <v>129</v>
      </c>
      <c r="C21" s="267"/>
      <c r="D21" s="267"/>
      <c r="E21" s="268"/>
      <c r="F21" s="83">
        <f>RAIZ_DADOS!D6</f>
        <v>1651</v>
      </c>
    </row>
    <row r="22" spans="1:9">
      <c r="A22" s="72">
        <v>4</v>
      </c>
      <c r="B22" s="266" t="s">
        <v>130</v>
      </c>
      <c r="C22" s="267"/>
      <c r="D22" s="267"/>
      <c r="E22" s="268"/>
      <c r="F22" s="78" t="s">
        <v>52</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21</v>
      </c>
      <c r="F27" s="87">
        <f>F21</f>
        <v>1651</v>
      </c>
      <c r="H27" s="88"/>
    </row>
    <row r="28" spans="1:9">
      <c r="A28" s="84" t="s">
        <v>138</v>
      </c>
      <c r="B28" s="236" t="s">
        <v>139</v>
      </c>
      <c r="C28" s="237"/>
      <c r="D28" s="238"/>
      <c r="E28" s="86"/>
      <c r="F28" s="87"/>
    </row>
    <row r="29" spans="1:9">
      <c r="A29" s="84" t="s">
        <v>140</v>
      </c>
      <c r="B29" s="236" t="s">
        <v>141</v>
      </c>
      <c r="C29" s="237"/>
      <c r="D29" s="238"/>
      <c r="E29" s="89"/>
      <c r="F29" s="87"/>
    </row>
    <row r="30" spans="1:9">
      <c r="A30" s="84" t="s">
        <v>142</v>
      </c>
      <c r="B30" s="236" t="s">
        <v>143</v>
      </c>
      <c r="C30" s="237"/>
      <c r="D30" s="238"/>
      <c r="E30" s="86"/>
      <c r="F30" s="87"/>
    </row>
    <row r="31" spans="1:9">
      <c r="A31" s="84" t="s">
        <v>144</v>
      </c>
      <c r="B31" s="236" t="s">
        <v>145</v>
      </c>
      <c r="C31" s="237"/>
      <c r="D31" s="238"/>
      <c r="E31" s="86"/>
      <c r="F31" s="87"/>
    </row>
    <row r="32" spans="1:9">
      <c r="A32" s="84" t="s">
        <v>146</v>
      </c>
      <c r="B32" s="236" t="s">
        <v>147</v>
      </c>
      <c r="C32" s="237"/>
      <c r="D32" s="238"/>
      <c r="E32" s="86"/>
      <c r="F32" s="87"/>
    </row>
    <row r="33" spans="1:8">
      <c r="A33" s="233" t="s">
        <v>62</v>
      </c>
      <c r="B33" s="234"/>
      <c r="C33" s="234"/>
      <c r="D33" s="235"/>
      <c r="E33" s="90"/>
      <c r="F33" s="91">
        <f>SUM(F27:F32)</f>
        <v>1651</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137.53</v>
      </c>
    </row>
    <row r="39" spans="1:8">
      <c r="A39" s="84" t="s">
        <v>138</v>
      </c>
      <c r="B39" s="236" t="s">
        <v>154</v>
      </c>
      <c r="C39" s="237"/>
      <c r="D39" s="238"/>
      <c r="E39" s="93">
        <f>(1/12)+(1/3)/12</f>
        <v>0.1111</v>
      </c>
      <c r="F39" s="87">
        <f>F33*E39</f>
        <v>183.43</v>
      </c>
    </row>
    <row r="40" spans="1:8">
      <c r="A40" s="258" t="s">
        <v>62</v>
      </c>
      <c r="B40" s="259"/>
      <c r="C40" s="259"/>
      <c r="D40" s="260"/>
      <c r="E40" s="94">
        <f>SUM(E38:E39)</f>
        <v>0.19439999999999999</v>
      </c>
      <c r="F40" s="95">
        <f>SUM(F38:F39)</f>
        <v>320.95999999999998</v>
      </c>
    </row>
    <row r="41" spans="1:8">
      <c r="A41" s="84" t="s">
        <v>140</v>
      </c>
      <c r="B41" s="236" t="s">
        <v>155</v>
      </c>
      <c r="C41" s="237"/>
      <c r="D41" s="238"/>
      <c r="E41" s="93">
        <f>E40*E53</f>
        <v>7.7399999999999997E-2</v>
      </c>
      <c r="F41" s="95">
        <f>E41*F33</f>
        <v>127.79</v>
      </c>
    </row>
    <row r="42" spans="1:8">
      <c r="A42" s="233" t="s">
        <v>62</v>
      </c>
      <c r="B42" s="234"/>
      <c r="C42" s="234"/>
      <c r="D42" s="235"/>
      <c r="E42" s="96">
        <f>SUM(E40:E41)</f>
        <v>0.27179999999999999</v>
      </c>
      <c r="F42" s="91">
        <f>SUM(F40:F41)</f>
        <v>448.75</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330.2</v>
      </c>
    </row>
    <row r="46" spans="1:8">
      <c r="A46" s="84" t="s">
        <v>138</v>
      </c>
      <c r="B46" s="236" t="s">
        <v>160</v>
      </c>
      <c r="C46" s="237"/>
      <c r="D46" s="238"/>
      <c r="E46" s="93">
        <v>2.5000000000000001E-2</v>
      </c>
      <c r="F46" s="87">
        <f t="shared" si="0"/>
        <v>41.28</v>
      </c>
      <c r="G46" s="62"/>
      <c r="H46" s="97"/>
    </row>
    <row r="47" spans="1:8">
      <c r="A47" s="84" t="s">
        <v>140</v>
      </c>
      <c r="B47" s="236" t="s">
        <v>161</v>
      </c>
      <c r="C47" s="237"/>
      <c r="D47" s="238"/>
      <c r="E47" s="98">
        <f>(2*3)/100</f>
        <v>0.06</v>
      </c>
      <c r="F47" s="87">
        <f t="shared" si="0"/>
        <v>99.06</v>
      </c>
      <c r="G47" s="99"/>
      <c r="H47" s="99"/>
    </row>
    <row r="48" spans="1:8">
      <c r="A48" s="84" t="s">
        <v>142</v>
      </c>
      <c r="B48" s="236" t="s">
        <v>162</v>
      </c>
      <c r="C48" s="237"/>
      <c r="D48" s="238"/>
      <c r="E48" s="93">
        <v>1.4999999999999999E-2</v>
      </c>
      <c r="F48" s="87">
        <f t="shared" si="0"/>
        <v>24.77</v>
      </c>
    </row>
    <row r="49" spans="1:8">
      <c r="A49" s="84" t="s">
        <v>144</v>
      </c>
      <c r="B49" s="236" t="s">
        <v>163</v>
      </c>
      <c r="C49" s="237"/>
      <c r="D49" s="238"/>
      <c r="E49" s="93">
        <v>0.01</v>
      </c>
      <c r="F49" s="87">
        <f t="shared" si="0"/>
        <v>16.510000000000002</v>
      </c>
    </row>
    <row r="50" spans="1:8">
      <c r="A50" s="84" t="s">
        <v>146</v>
      </c>
      <c r="B50" s="236" t="s">
        <v>164</v>
      </c>
      <c r="C50" s="237"/>
      <c r="D50" s="238"/>
      <c r="E50" s="93">
        <v>6.0000000000000001E-3</v>
      </c>
      <c r="F50" s="87">
        <f t="shared" si="0"/>
        <v>9.91</v>
      </c>
    </row>
    <row r="51" spans="1:8">
      <c r="A51" s="84" t="s">
        <v>165</v>
      </c>
      <c r="B51" s="236" t="s">
        <v>166</v>
      </c>
      <c r="C51" s="237"/>
      <c r="D51" s="238"/>
      <c r="E51" s="93">
        <v>2E-3</v>
      </c>
      <c r="F51" s="87">
        <f t="shared" si="0"/>
        <v>3.3</v>
      </c>
    </row>
    <row r="52" spans="1:8">
      <c r="A52" s="84" t="s">
        <v>167</v>
      </c>
      <c r="B52" s="236" t="s">
        <v>168</v>
      </c>
      <c r="C52" s="237"/>
      <c r="D52" s="238"/>
      <c r="E52" s="93">
        <v>0.08</v>
      </c>
      <c r="F52" s="87">
        <f t="shared" si="0"/>
        <v>132.08000000000001</v>
      </c>
    </row>
    <row r="53" spans="1:8">
      <c r="A53" s="233" t="s">
        <v>169</v>
      </c>
      <c r="B53" s="234"/>
      <c r="C53" s="234"/>
      <c r="D53" s="235"/>
      <c r="E53" s="96">
        <f>SUM(E45:E52)</f>
        <v>0.39800000000000002</v>
      </c>
      <c r="F53" s="91">
        <f>SUM(F45:F52)</f>
        <v>657.11</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164.94</v>
      </c>
      <c r="H56" s="69"/>
    </row>
    <row r="57" spans="1:8">
      <c r="A57" s="84"/>
      <c r="B57" s="236" t="s">
        <v>174</v>
      </c>
      <c r="C57" s="237"/>
      <c r="D57" s="238"/>
      <c r="E57" s="100">
        <f>RAIZ_DADOS!D31</f>
        <v>3</v>
      </c>
      <c r="F57" s="78" t="s">
        <v>69</v>
      </c>
      <c r="H57" s="69"/>
    </row>
    <row r="58" spans="1:8">
      <c r="A58" s="84"/>
      <c r="B58" s="236" t="s">
        <v>175</v>
      </c>
      <c r="C58" s="237"/>
      <c r="D58" s="238"/>
      <c r="E58" s="101">
        <v>4</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716</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320.95999999999998</v>
      </c>
      <c r="G68" s="63"/>
      <c r="H68" s="63"/>
    </row>
    <row r="69" spans="1:10">
      <c r="A69" s="84" t="s">
        <v>157</v>
      </c>
      <c r="B69" s="236" t="s">
        <v>183</v>
      </c>
      <c r="C69" s="237"/>
      <c r="D69" s="238"/>
      <c r="E69" s="107"/>
      <c r="F69" s="87">
        <f>F53+F41</f>
        <v>784.9</v>
      </c>
      <c r="G69" s="63"/>
      <c r="H69" s="63"/>
    </row>
    <row r="70" spans="1:10">
      <c r="A70" s="84" t="s">
        <v>171</v>
      </c>
      <c r="B70" s="236" t="s">
        <v>172</v>
      </c>
      <c r="C70" s="237"/>
      <c r="D70" s="238"/>
      <c r="E70" s="108"/>
      <c r="F70" s="87">
        <f>F65</f>
        <v>716</v>
      </c>
      <c r="G70" s="63"/>
      <c r="H70" s="63"/>
    </row>
    <row r="71" spans="1:10">
      <c r="A71" s="233" t="s">
        <v>62</v>
      </c>
      <c r="B71" s="234"/>
      <c r="C71" s="234"/>
      <c r="D71" s="235"/>
      <c r="E71" s="90"/>
      <c r="F71" s="91">
        <f>SUM(F68:F70)</f>
        <v>1821.86</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6.93</v>
      </c>
    </row>
    <row r="76" spans="1:10">
      <c r="A76" s="84" t="s">
        <v>138</v>
      </c>
      <c r="B76" s="236" t="s">
        <v>187</v>
      </c>
      <c r="C76" s="237"/>
      <c r="D76" s="238"/>
      <c r="E76" s="106">
        <f>E75*E52</f>
        <v>2.9999999999999997E-4</v>
      </c>
      <c r="F76" s="87">
        <f>E76*F33</f>
        <v>0.5</v>
      </c>
      <c r="G76" s="109"/>
    </row>
    <row r="77" spans="1:10">
      <c r="A77" s="84" t="s">
        <v>140</v>
      </c>
      <c r="B77" s="236" t="s">
        <v>188</v>
      </c>
      <c r="C77" s="237"/>
      <c r="D77" s="238"/>
      <c r="E77" s="106">
        <f>((8%*(40%)*90%)*(1+5/56+5/56+(1/3*5/56)))</f>
        <v>3.4799999999999998E-2</v>
      </c>
      <c r="F77" s="87">
        <f>E77*(F33+F40)</f>
        <v>68.62</v>
      </c>
      <c r="G77" s="109"/>
      <c r="H77" s="110"/>
    </row>
    <row r="78" spans="1:10">
      <c r="A78" s="84" t="s">
        <v>142</v>
      </c>
      <c r="B78" s="236" t="s">
        <v>189</v>
      </c>
      <c r="C78" s="237"/>
      <c r="D78" s="238"/>
      <c r="E78" s="106">
        <f>((7/30)/12)</f>
        <v>1.9400000000000001E-2</v>
      </c>
      <c r="F78" s="87">
        <f>E78*F33</f>
        <v>32.03</v>
      </c>
      <c r="G78" s="63"/>
      <c r="H78" s="63"/>
    </row>
    <row r="79" spans="1:10">
      <c r="A79" s="84" t="s">
        <v>144</v>
      </c>
      <c r="B79" s="236" t="s">
        <v>190</v>
      </c>
      <c r="C79" s="237"/>
      <c r="D79" s="238"/>
      <c r="E79" s="106">
        <f>E78*E53</f>
        <v>7.7000000000000002E-3</v>
      </c>
      <c r="F79" s="87">
        <f>E79*F33</f>
        <v>12.71</v>
      </c>
    </row>
    <row r="80" spans="1:10">
      <c r="A80" s="84" t="s">
        <v>146</v>
      </c>
      <c r="B80" s="236" t="s">
        <v>191</v>
      </c>
      <c r="C80" s="237"/>
      <c r="D80" s="238"/>
      <c r="E80" s="106">
        <f>(40%*8%*E78)</f>
        <v>5.9999999999999995E-4</v>
      </c>
      <c r="F80" s="87">
        <f>E80*F33</f>
        <v>0.99</v>
      </c>
    </row>
    <row r="81" spans="1:10">
      <c r="A81" s="233" t="s">
        <v>62</v>
      </c>
      <c r="B81" s="234"/>
      <c r="C81" s="234"/>
      <c r="D81" s="235"/>
      <c r="E81" s="111"/>
      <c r="F81" s="91">
        <f>SUM(F75:F80)</f>
        <v>121.78</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137.53</v>
      </c>
    </row>
    <row r="87" spans="1:10">
      <c r="A87" s="84" t="s">
        <v>138</v>
      </c>
      <c r="B87" s="236" t="s">
        <v>195</v>
      </c>
      <c r="C87" s="237"/>
      <c r="D87" s="238"/>
      <c r="E87" s="106">
        <f>(1/30)/12</f>
        <v>2.8E-3</v>
      </c>
      <c r="F87" s="87">
        <f t="shared" si="1"/>
        <v>4.62</v>
      </c>
    </row>
    <row r="88" spans="1:10">
      <c r="A88" s="84" t="s">
        <v>140</v>
      </c>
      <c r="B88" s="236" t="s">
        <v>197</v>
      </c>
      <c r="C88" s="237"/>
      <c r="D88" s="238"/>
      <c r="E88" s="106">
        <f>((5/30)/12)*1.5%</f>
        <v>2.0000000000000001E-4</v>
      </c>
      <c r="F88" s="87">
        <f t="shared" si="1"/>
        <v>0.33</v>
      </c>
    </row>
    <row r="89" spans="1:10">
      <c r="A89" s="84" t="s">
        <v>142</v>
      </c>
      <c r="B89" s="236" t="s">
        <v>198</v>
      </c>
      <c r="C89" s="237"/>
      <c r="D89" s="238"/>
      <c r="E89" s="106">
        <f>((15/365)*8%)</f>
        <v>3.3E-3</v>
      </c>
      <c r="F89" s="87">
        <f t="shared" si="1"/>
        <v>5.45</v>
      </c>
    </row>
    <row r="90" spans="1:10">
      <c r="A90" s="84" t="s">
        <v>144</v>
      </c>
      <c r="B90" s="236" t="s">
        <v>199</v>
      </c>
      <c r="C90" s="237"/>
      <c r="D90" s="238"/>
      <c r="E90" s="106">
        <f>(11.11%*2%*(4/12))</f>
        <v>6.9999999999999999E-4</v>
      </c>
      <c r="F90" s="87">
        <f t="shared" si="1"/>
        <v>1.1599999999999999</v>
      </c>
    </row>
    <row r="91" spans="1:10">
      <c r="A91" s="84" t="s">
        <v>146</v>
      </c>
      <c r="B91" s="236" t="s">
        <v>200</v>
      </c>
      <c r="C91" s="237"/>
      <c r="D91" s="238"/>
      <c r="E91" s="106"/>
      <c r="F91" s="87">
        <f t="shared" si="1"/>
        <v>0</v>
      </c>
    </row>
    <row r="92" spans="1:10" s="63" customFormat="1">
      <c r="A92" s="233" t="s">
        <v>169</v>
      </c>
      <c r="B92" s="234"/>
      <c r="C92" s="234"/>
      <c r="D92" s="235"/>
      <c r="E92" s="111"/>
      <c r="F92" s="91">
        <f>SUM(F86:F91)</f>
        <v>149.09</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149.09</v>
      </c>
    </row>
    <row r="100" spans="1:10">
      <c r="A100" s="84" t="s">
        <v>202</v>
      </c>
      <c r="B100" s="236" t="s">
        <v>203</v>
      </c>
      <c r="C100" s="237"/>
      <c r="D100" s="238"/>
      <c r="E100" s="86"/>
      <c r="F100" s="87">
        <f>F96</f>
        <v>0</v>
      </c>
    </row>
    <row r="101" spans="1:10">
      <c r="A101" s="233" t="s">
        <v>62</v>
      </c>
      <c r="B101" s="234"/>
      <c r="C101" s="234"/>
      <c r="D101" s="235"/>
      <c r="E101" s="90"/>
      <c r="F101" s="91">
        <f>SUM(F99:F100)</f>
        <v>149.09</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4_Uniformes'!K66</f>
        <v>65.89</v>
      </c>
      <c r="H105" s="113"/>
    </row>
    <row r="106" spans="1:10">
      <c r="A106" s="84" t="s">
        <v>138</v>
      </c>
      <c r="B106" s="236" t="s">
        <v>210</v>
      </c>
      <c r="C106" s="237"/>
      <c r="D106" s="237"/>
      <c r="E106" s="238"/>
      <c r="F106" s="87">
        <f>'SEMSUR 4_EPI''s'!K65</f>
        <v>109.56</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284.2</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201.4</v>
      </c>
    </row>
    <row r="114" spans="1:10">
      <c r="A114" s="84" t="s">
        <v>138</v>
      </c>
      <c r="B114" s="236" t="s">
        <v>216</v>
      </c>
      <c r="C114" s="237"/>
      <c r="D114" s="238"/>
      <c r="E114" s="106">
        <v>6.7900000000000002E-2</v>
      </c>
      <c r="F114" s="87">
        <f>E114*(F130+F113)</f>
        <v>287.17</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86.91</v>
      </c>
      <c r="H117" s="244"/>
      <c r="J117" s="118"/>
    </row>
    <row r="118" spans="1:10">
      <c r="A118" s="84"/>
      <c r="B118" s="236" t="s">
        <v>220</v>
      </c>
      <c r="C118" s="237"/>
      <c r="D118" s="238"/>
      <c r="E118" s="106">
        <v>7.5999999999999998E-2</v>
      </c>
      <c r="F118" s="87">
        <f>E118*(($F$130+$F$113+$F$114)/(1-$E$115))</f>
        <v>400.3</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263.35000000000002</v>
      </c>
      <c r="H120" s="244"/>
      <c r="J120" s="118"/>
    </row>
    <row r="121" spans="1:10">
      <c r="A121" s="233" t="s">
        <v>169</v>
      </c>
      <c r="B121" s="234"/>
      <c r="C121" s="234"/>
      <c r="D121" s="235"/>
      <c r="E121" s="115"/>
      <c r="F121" s="91">
        <f>SUM(F113:F120)</f>
        <v>1239.1300000000001</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1651</v>
      </c>
      <c r="H125" s="109"/>
    </row>
    <row r="126" spans="1:10">
      <c r="A126" s="84" t="s">
        <v>138</v>
      </c>
      <c r="B126" s="236" t="s">
        <v>148</v>
      </c>
      <c r="C126" s="237"/>
      <c r="D126" s="237"/>
      <c r="E126" s="238"/>
      <c r="F126" s="87">
        <f>F71</f>
        <v>1821.86</v>
      </c>
    </row>
    <row r="127" spans="1:10">
      <c r="A127" s="84" t="s">
        <v>140</v>
      </c>
      <c r="B127" s="236" t="s">
        <v>184</v>
      </c>
      <c r="C127" s="237"/>
      <c r="D127" s="237"/>
      <c r="E127" s="238"/>
      <c r="F127" s="87">
        <f>F81</f>
        <v>121.78</v>
      </c>
    </row>
    <row r="128" spans="1:10">
      <c r="A128" s="84" t="s">
        <v>142</v>
      </c>
      <c r="B128" s="236" t="s">
        <v>192</v>
      </c>
      <c r="C128" s="237"/>
      <c r="D128" s="237"/>
      <c r="E128" s="238"/>
      <c r="F128" s="87">
        <f>F101</f>
        <v>149.09</v>
      </c>
      <c r="H128" s="109"/>
    </row>
    <row r="129" spans="1:10">
      <c r="A129" s="84" t="s">
        <v>144</v>
      </c>
      <c r="B129" s="236" t="s">
        <v>207</v>
      </c>
      <c r="C129" s="237"/>
      <c r="D129" s="237"/>
      <c r="E129" s="238"/>
      <c r="F129" s="87">
        <f>F109</f>
        <v>284.2</v>
      </c>
      <c r="H129" s="109"/>
    </row>
    <row r="130" spans="1:10">
      <c r="A130" s="233" t="s">
        <v>225</v>
      </c>
      <c r="B130" s="234"/>
      <c r="C130" s="234"/>
      <c r="D130" s="234"/>
      <c r="E130" s="235"/>
      <c r="F130" s="91">
        <f>SUM(F125:F129)</f>
        <v>4027.93</v>
      </c>
      <c r="I130" s="113"/>
      <c r="J130" s="113"/>
    </row>
    <row r="131" spans="1:10">
      <c r="A131" s="84" t="s">
        <v>146</v>
      </c>
      <c r="B131" s="236" t="s">
        <v>226</v>
      </c>
      <c r="C131" s="237"/>
      <c r="D131" s="237"/>
      <c r="E131" s="238"/>
      <c r="F131" s="87">
        <f>F121</f>
        <v>1239.1300000000001</v>
      </c>
    </row>
    <row r="132" spans="1:10">
      <c r="A132" s="239" t="s">
        <v>227</v>
      </c>
      <c r="B132" s="240"/>
      <c r="C132" s="240"/>
      <c r="D132" s="240"/>
      <c r="E132" s="241"/>
      <c r="F132" s="120">
        <f>SUM(F130:F131)</f>
        <v>5267.06</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Servente Externo: 44 h</v>
      </c>
      <c r="B136" s="124">
        <f>F132</f>
        <v>5267.06</v>
      </c>
      <c r="C136" s="125">
        <v>1</v>
      </c>
      <c r="D136" s="124">
        <f>B136*C136</f>
        <v>5267.06</v>
      </c>
      <c r="E136" s="86">
        <f>F15</f>
        <v>2</v>
      </c>
      <c r="F136" s="124">
        <f>D136*E136</f>
        <v>10534.12</v>
      </c>
    </row>
    <row r="137" spans="1:10" s="65" customFormat="1" ht="21" customHeight="1">
      <c r="A137" s="233" t="s">
        <v>235</v>
      </c>
      <c r="B137" s="234"/>
      <c r="C137" s="234"/>
      <c r="D137" s="234"/>
      <c r="E137" s="235"/>
      <c r="F137" s="126">
        <f>SUM(F136)</f>
        <v>10534.12</v>
      </c>
    </row>
    <row r="138" spans="1:10" s="65" customFormat="1" ht="21" customHeight="1">
      <c r="A138" s="239" t="s">
        <v>236</v>
      </c>
      <c r="B138" s="240"/>
      <c r="C138" s="240"/>
      <c r="D138" s="240"/>
      <c r="E138" s="241"/>
      <c r="F138" s="127">
        <f>F137*F11</f>
        <v>126409.44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59999389629810485"/>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10.140625" style="60" customWidth="1"/>
    <col min="8" max="8" width="9.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243</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244</v>
      </c>
      <c r="B15" s="276"/>
      <c r="C15" s="276"/>
      <c r="D15" s="277" t="s">
        <v>79</v>
      </c>
      <c r="E15" s="277"/>
      <c r="F15" s="77">
        <f>'SEMSUR_TOTALIZADOR GERAL'!H6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53</v>
      </c>
    </row>
    <row r="20" spans="1:9" ht="15">
      <c r="A20" s="79">
        <v>2</v>
      </c>
      <c r="B20" s="269" t="s">
        <v>127</v>
      </c>
      <c r="C20" s="270"/>
      <c r="D20" s="270"/>
      <c r="E20" s="271"/>
      <c r="F20" s="80" t="s">
        <v>245</v>
      </c>
      <c r="G20" s="81"/>
      <c r="H20" s="82"/>
      <c r="I20" s="82"/>
    </row>
    <row r="21" spans="1:9">
      <c r="A21" s="72">
        <v>3</v>
      </c>
      <c r="B21" s="266" t="s">
        <v>129</v>
      </c>
      <c r="C21" s="267"/>
      <c r="D21" s="267"/>
      <c r="E21" s="268"/>
      <c r="F21" s="83">
        <f>RAIZ_DADOS!D6</f>
        <v>1651</v>
      </c>
    </row>
    <row r="22" spans="1:9">
      <c r="A22" s="72">
        <v>4</v>
      </c>
      <c r="B22" s="266" t="s">
        <v>130</v>
      </c>
      <c r="C22" s="267"/>
      <c r="D22" s="267"/>
      <c r="E22" s="268"/>
      <c r="F22" s="78" t="s">
        <v>53</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64</v>
      </c>
      <c r="F27" s="87">
        <f>(F21/44)*30</f>
        <v>1125.68</v>
      </c>
      <c r="H27" s="88"/>
    </row>
    <row r="28" spans="1:9">
      <c r="A28" s="84" t="s">
        <v>138</v>
      </c>
      <c r="B28" s="236" t="s">
        <v>139</v>
      </c>
      <c r="C28" s="237"/>
      <c r="D28" s="238"/>
      <c r="E28" s="86"/>
      <c r="F28" s="87"/>
    </row>
    <row r="29" spans="1:9">
      <c r="A29" s="84" t="s">
        <v>140</v>
      </c>
      <c r="B29" s="236" t="s">
        <v>141</v>
      </c>
      <c r="C29" s="237"/>
      <c r="D29" s="238"/>
      <c r="E29" s="89"/>
      <c r="F29" s="87"/>
    </row>
    <row r="30" spans="1:9">
      <c r="A30" s="84" t="s">
        <v>142</v>
      </c>
      <c r="B30" s="236" t="s">
        <v>143</v>
      </c>
      <c r="C30" s="237"/>
      <c r="D30" s="238"/>
      <c r="E30" s="86"/>
      <c r="F30" s="87"/>
    </row>
    <row r="31" spans="1:9">
      <c r="A31" s="84" t="s">
        <v>144</v>
      </c>
      <c r="B31" s="236" t="s">
        <v>145</v>
      </c>
      <c r="C31" s="237"/>
      <c r="D31" s="238"/>
      <c r="E31" s="86"/>
      <c r="F31" s="87"/>
    </row>
    <row r="32" spans="1:9">
      <c r="A32" s="84" t="s">
        <v>146</v>
      </c>
      <c r="B32" s="236" t="str">
        <f>RAIZ_DADOS!A20</f>
        <v>Gratificação Limpador de Vidros</v>
      </c>
      <c r="C32" s="237"/>
      <c r="D32" s="238"/>
      <c r="E32" s="86"/>
      <c r="F32" s="87">
        <f>RAIZ_DADOS!D20</f>
        <v>92.67</v>
      </c>
    </row>
    <row r="33" spans="1:8">
      <c r="A33" s="233" t="s">
        <v>62</v>
      </c>
      <c r="B33" s="234"/>
      <c r="C33" s="234"/>
      <c r="D33" s="235"/>
      <c r="E33" s="90"/>
      <c r="F33" s="91">
        <f>SUM(F27:F32)</f>
        <v>1218.3499999999999</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101.49</v>
      </c>
    </row>
    <row r="39" spans="1:8">
      <c r="A39" s="84" t="s">
        <v>138</v>
      </c>
      <c r="B39" s="236" t="s">
        <v>154</v>
      </c>
      <c r="C39" s="237"/>
      <c r="D39" s="238"/>
      <c r="E39" s="93">
        <f>(1/12)+(1/3)/12</f>
        <v>0.1111</v>
      </c>
      <c r="F39" s="87">
        <f>F33*E39</f>
        <v>135.36000000000001</v>
      </c>
    </row>
    <row r="40" spans="1:8">
      <c r="A40" s="258" t="s">
        <v>62</v>
      </c>
      <c r="B40" s="259"/>
      <c r="C40" s="259"/>
      <c r="D40" s="260"/>
      <c r="E40" s="94">
        <f>SUM(E38:E39)</f>
        <v>0.19439999999999999</v>
      </c>
      <c r="F40" s="95">
        <f>SUM(F38:F39)</f>
        <v>236.85</v>
      </c>
    </row>
    <row r="41" spans="1:8">
      <c r="A41" s="84" t="s">
        <v>140</v>
      </c>
      <c r="B41" s="236" t="s">
        <v>155</v>
      </c>
      <c r="C41" s="237"/>
      <c r="D41" s="238"/>
      <c r="E41" s="93">
        <f>E40*E53</f>
        <v>7.7399999999999997E-2</v>
      </c>
      <c r="F41" s="95">
        <f>E41*F33</f>
        <v>94.3</v>
      </c>
    </row>
    <row r="42" spans="1:8">
      <c r="A42" s="233" t="s">
        <v>62</v>
      </c>
      <c r="B42" s="234"/>
      <c r="C42" s="234"/>
      <c r="D42" s="235"/>
      <c r="E42" s="96">
        <f>SUM(E40:E41)</f>
        <v>0.27179999999999999</v>
      </c>
      <c r="F42" s="91">
        <f>SUM(F40:F41)</f>
        <v>331.15</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243.67</v>
      </c>
    </row>
    <row r="46" spans="1:8">
      <c r="A46" s="84" t="s">
        <v>138</v>
      </c>
      <c r="B46" s="236" t="s">
        <v>160</v>
      </c>
      <c r="C46" s="237"/>
      <c r="D46" s="238"/>
      <c r="E46" s="93">
        <v>2.5000000000000001E-2</v>
      </c>
      <c r="F46" s="87">
        <f t="shared" si="0"/>
        <v>30.46</v>
      </c>
      <c r="G46" s="62"/>
      <c r="H46" s="97"/>
    </row>
    <row r="47" spans="1:8">
      <c r="A47" s="84" t="s">
        <v>140</v>
      </c>
      <c r="B47" s="236" t="s">
        <v>161</v>
      </c>
      <c r="C47" s="237"/>
      <c r="D47" s="238"/>
      <c r="E47" s="98">
        <f>(2*3)/100</f>
        <v>0.06</v>
      </c>
      <c r="F47" s="87">
        <f t="shared" si="0"/>
        <v>73.099999999999994</v>
      </c>
      <c r="G47" s="99"/>
      <c r="H47" s="99"/>
    </row>
    <row r="48" spans="1:8">
      <c r="A48" s="84" t="s">
        <v>142</v>
      </c>
      <c r="B48" s="236" t="s">
        <v>162</v>
      </c>
      <c r="C48" s="237"/>
      <c r="D48" s="238"/>
      <c r="E48" s="93">
        <v>1.4999999999999999E-2</v>
      </c>
      <c r="F48" s="87">
        <f t="shared" si="0"/>
        <v>18.28</v>
      </c>
    </row>
    <row r="49" spans="1:8">
      <c r="A49" s="84" t="s">
        <v>144</v>
      </c>
      <c r="B49" s="236" t="s">
        <v>163</v>
      </c>
      <c r="C49" s="237"/>
      <c r="D49" s="238"/>
      <c r="E49" s="93">
        <v>0.01</v>
      </c>
      <c r="F49" s="87">
        <f t="shared" si="0"/>
        <v>12.18</v>
      </c>
    </row>
    <row r="50" spans="1:8">
      <c r="A50" s="84" t="s">
        <v>146</v>
      </c>
      <c r="B50" s="236" t="s">
        <v>164</v>
      </c>
      <c r="C50" s="237"/>
      <c r="D50" s="238"/>
      <c r="E50" s="93">
        <v>6.0000000000000001E-3</v>
      </c>
      <c r="F50" s="87">
        <f t="shared" si="0"/>
        <v>7.31</v>
      </c>
    </row>
    <row r="51" spans="1:8">
      <c r="A51" s="84" t="s">
        <v>165</v>
      </c>
      <c r="B51" s="236" t="s">
        <v>166</v>
      </c>
      <c r="C51" s="237"/>
      <c r="D51" s="238"/>
      <c r="E51" s="93">
        <v>2E-3</v>
      </c>
      <c r="F51" s="87">
        <f t="shared" si="0"/>
        <v>2.44</v>
      </c>
    </row>
    <row r="52" spans="1:8">
      <c r="A52" s="84" t="s">
        <v>167</v>
      </c>
      <c r="B52" s="236" t="s">
        <v>168</v>
      </c>
      <c r="C52" s="237"/>
      <c r="D52" s="238"/>
      <c r="E52" s="93">
        <v>0.08</v>
      </c>
      <c r="F52" s="87">
        <f t="shared" si="0"/>
        <v>97.47</v>
      </c>
    </row>
    <row r="53" spans="1:8">
      <c r="A53" s="233" t="s">
        <v>169</v>
      </c>
      <c r="B53" s="234"/>
      <c r="C53" s="234"/>
      <c r="D53" s="235"/>
      <c r="E53" s="96">
        <f>SUM(E45:E52)</f>
        <v>0.39800000000000002</v>
      </c>
      <c r="F53" s="91">
        <f>SUM(F45:F52)</f>
        <v>484.91</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64.459999999999994</v>
      </c>
      <c r="H56" s="69"/>
    </row>
    <row r="57" spans="1:8">
      <c r="A57" s="84"/>
      <c r="B57" s="236" t="s">
        <v>174</v>
      </c>
      <c r="C57" s="237"/>
      <c r="D57" s="238"/>
      <c r="E57" s="100">
        <f>RAIZ_DADOS!D31</f>
        <v>3</v>
      </c>
      <c r="F57" s="78" t="s">
        <v>69</v>
      </c>
      <c r="H57" s="69"/>
    </row>
    <row r="58" spans="1:8">
      <c r="A58" s="84"/>
      <c r="B58" s="236" t="s">
        <v>175</v>
      </c>
      <c r="C58" s="237"/>
      <c r="D58" s="238"/>
      <c r="E58" s="101">
        <f>RAIZ_DADOS!D34</f>
        <v>2</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615.52</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236.85</v>
      </c>
      <c r="G68" s="63"/>
      <c r="H68" s="63"/>
    </row>
    <row r="69" spans="1:10">
      <c r="A69" s="84" t="s">
        <v>157</v>
      </c>
      <c r="B69" s="236" t="s">
        <v>183</v>
      </c>
      <c r="C69" s="237"/>
      <c r="D69" s="238"/>
      <c r="E69" s="107"/>
      <c r="F69" s="87">
        <f>F53+F41</f>
        <v>579.21</v>
      </c>
      <c r="G69" s="63"/>
      <c r="H69" s="63"/>
    </row>
    <row r="70" spans="1:10">
      <c r="A70" s="84" t="s">
        <v>171</v>
      </c>
      <c r="B70" s="236" t="s">
        <v>172</v>
      </c>
      <c r="C70" s="237"/>
      <c r="D70" s="238"/>
      <c r="E70" s="108"/>
      <c r="F70" s="87">
        <f>F65</f>
        <v>615.52</v>
      </c>
      <c r="G70" s="63"/>
      <c r="H70" s="63"/>
    </row>
    <row r="71" spans="1:10">
      <c r="A71" s="233" t="s">
        <v>62</v>
      </c>
      <c r="B71" s="234"/>
      <c r="C71" s="234"/>
      <c r="D71" s="235"/>
      <c r="E71" s="90"/>
      <c r="F71" s="91">
        <f>SUM(F68:F70)</f>
        <v>1431.58</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5.12</v>
      </c>
    </row>
    <row r="76" spans="1:10">
      <c r="A76" s="84" t="s">
        <v>138</v>
      </c>
      <c r="B76" s="236" t="s">
        <v>187</v>
      </c>
      <c r="C76" s="237"/>
      <c r="D76" s="238"/>
      <c r="E76" s="106">
        <f>E75*E52</f>
        <v>2.9999999999999997E-4</v>
      </c>
      <c r="F76" s="87">
        <f>E76*F33</f>
        <v>0.37</v>
      </c>
      <c r="G76" s="109"/>
    </row>
    <row r="77" spans="1:10">
      <c r="A77" s="84" t="s">
        <v>140</v>
      </c>
      <c r="B77" s="236" t="s">
        <v>188</v>
      </c>
      <c r="C77" s="237"/>
      <c r="D77" s="238"/>
      <c r="E77" s="106">
        <f>((8%*(40%)*90%)*(1+5/56+5/56+(1/3*5/56)))</f>
        <v>3.4799999999999998E-2</v>
      </c>
      <c r="F77" s="87">
        <f>E77*(F33+F40)</f>
        <v>50.64</v>
      </c>
      <c r="G77" s="109"/>
      <c r="H77" s="110"/>
    </row>
    <row r="78" spans="1:10">
      <c r="A78" s="84" t="s">
        <v>142</v>
      </c>
      <c r="B78" s="236" t="s">
        <v>189</v>
      </c>
      <c r="C78" s="237"/>
      <c r="D78" s="238"/>
      <c r="E78" s="106">
        <f>((7/30)/12)</f>
        <v>1.9400000000000001E-2</v>
      </c>
      <c r="F78" s="87">
        <f>E78*F33</f>
        <v>23.64</v>
      </c>
      <c r="G78" s="63"/>
      <c r="H78" s="63"/>
    </row>
    <row r="79" spans="1:10">
      <c r="A79" s="84" t="s">
        <v>144</v>
      </c>
      <c r="B79" s="236" t="s">
        <v>190</v>
      </c>
      <c r="C79" s="237"/>
      <c r="D79" s="238"/>
      <c r="E79" s="106">
        <f>E78*E53</f>
        <v>7.7000000000000002E-3</v>
      </c>
      <c r="F79" s="87">
        <f>E79*F33</f>
        <v>9.3800000000000008</v>
      </c>
    </row>
    <row r="80" spans="1:10">
      <c r="A80" s="84" t="s">
        <v>146</v>
      </c>
      <c r="B80" s="236" t="s">
        <v>191</v>
      </c>
      <c r="C80" s="237"/>
      <c r="D80" s="238"/>
      <c r="E80" s="106">
        <f>(40%*8%*E78)</f>
        <v>5.9999999999999995E-4</v>
      </c>
      <c r="F80" s="87">
        <f>E80*F33</f>
        <v>0.73</v>
      </c>
    </row>
    <row r="81" spans="1:10">
      <c r="A81" s="233" t="s">
        <v>62</v>
      </c>
      <c r="B81" s="234"/>
      <c r="C81" s="234"/>
      <c r="D81" s="235"/>
      <c r="E81" s="111"/>
      <c r="F81" s="91">
        <f>SUM(F75:F80)</f>
        <v>89.88</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101.49</v>
      </c>
    </row>
    <row r="87" spans="1:10">
      <c r="A87" s="84" t="s">
        <v>138</v>
      </c>
      <c r="B87" s="236" t="s">
        <v>195</v>
      </c>
      <c r="C87" s="237"/>
      <c r="D87" s="238"/>
      <c r="E87" s="106">
        <f>(1/30)/12</f>
        <v>2.8E-3</v>
      </c>
      <c r="F87" s="87">
        <f t="shared" si="1"/>
        <v>3.41</v>
      </c>
    </row>
    <row r="88" spans="1:10">
      <c r="A88" s="84" t="s">
        <v>140</v>
      </c>
      <c r="B88" s="236" t="s">
        <v>197</v>
      </c>
      <c r="C88" s="237"/>
      <c r="D88" s="238"/>
      <c r="E88" s="106">
        <f>((5/30)/12)*1.5%</f>
        <v>2.0000000000000001E-4</v>
      </c>
      <c r="F88" s="87">
        <f t="shared" si="1"/>
        <v>0.24</v>
      </c>
    </row>
    <row r="89" spans="1:10">
      <c r="A89" s="84" t="s">
        <v>142</v>
      </c>
      <c r="B89" s="236" t="s">
        <v>198</v>
      </c>
      <c r="C89" s="237"/>
      <c r="D89" s="238"/>
      <c r="E89" s="106">
        <f>((15/365)*8%)</f>
        <v>3.3E-3</v>
      </c>
      <c r="F89" s="87">
        <f t="shared" si="1"/>
        <v>4.0199999999999996</v>
      </c>
    </row>
    <row r="90" spans="1:10">
      <c r="A90" s="84" t="s">
        <v>144</v>
      </c>
      <c r="B90" s="236" t="s">
        <v>199</v>
      </c>
      <c r="C90" s="237"/>
      <c r="D90" s="238"/>
      <c r="E90" s="106">
        <f>(11.11%*2%*(4/12))</f>
        <v>6.9999999999999999E-4</v>
      </c>
      <c r="F90" s="87">
        <f t="shared" si="1"/>
        <v>0.85</v>
      </c>
    </row>
    <row r="91" spans="1:10">
      <c r="A91" s="84" t="s">
        <v>146</v>
      </c>
      <c r="B91" s="236" t="s">
        <v>200</v>
      </c>
      <c r="C91" s="237"/>
      <c r="D91" s="238"/>
      <c r="E91" s="106"/>
      <c r="F91" s="87">
        <f t="shared" si="1"/>
        <v>0</v>
      </c>
    </row>
    <row r="92" spans="1:10" s="63" customFormat="1">
      <c r="A92" s="233" t="s">
        <v>169</v>
      </c>
      <c r="B92" s="234"/>
      <c r="C92" s="234"/>
      <c r="D92" s="235"/>
      <c r="E92" s="111"/>
      <c r="F92" s="91">
        <f>SUM(F86:F91)</f>
        <v>110.01</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110.01</v>
      </c>
    </row>
    <row r="100" spans="1:10">
      <c r="A100" s="84" t="s">
        <v>202</v>
      </c>
      <c r="B100" s="236" t="s">
        <v>203</v>
      </c>
      <c r="C100" s="237"/>
      <c r="D100" s="238"/>
      <c r="E100" s="86"/>
      <c r="F100" s="87">
        <f>F96</f>
        <v>0</v>
      </c>
    </row>
    <row r="101" spans="1:10">
      <c r="A101" s="233" t="s">
        <v>62</v>
      </c>
      <c r="B101" s="234"/>
      <c r="C101" s="234"/>
      <c r="D101" s="235"/>
      <c r="E101" s="90"/>
      <c r="F101" s="91">
        <f>SUM(F99:F100)</f>
        <v>110.01</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4_Uniformes'!K32</f>
        <v>50.36</v>
      </c>
      <c r="H105" s="113"/>
    </row>
    <row r="106" spans="1:10">
      <c r="A106" s="84" t="s">
        <v>138</v>
      </c>
      <c r="B106" s="236" t="s">
        <v>210</v>
      </c>
      <c r="C106" s="237"/>
      <c r="D106" s="237"/>
      <c r="E106" s="238"/>
      <c r="F106" s="87">
        <f>'SEMSUR 4_EPI''s'!K44</f>
        <v>155.63</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314.74</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158.22999999999999</v>
      </c>
    </row>
    <row r="114" spans="1:10">
      <c r="A114" s="84" t="s">
        <v>138</v>
      </c>
      <c r="B114" s="236" t="s">
        <v>216</v>
      </c>
      <c r="C114" s="237"/>
      <c r="D114" s="238"/>
      <c r="E114" s="106">
        <v>6.7900000000000002E-2</v>
      </c>
      <c r="F114" s="87">
        <f>E114*(F130+F113)</f>
        <v>225.62</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68.28</v>
      </c>
      <c r="H117" s="244"/>
      <c r="J117" s="118"/>
    </row>
    <row r="118" spans="1:10">
      <c r="A118" s="84"/>
      <c r="B118" s="236" t="s">
        <v>220</v>
      </c>
      <c r="C118" s="237"/>
      <c r="D118" s="238"/>
      <c r="E118" s="106">
        <v>7.5999999999999998E-2</v>
      </c>
      <c r="F118" s="87">
        <f>E118*(($F$130+$F$113+$F$114)/(1-$E$115))</f>
        <v>314.49</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206.9</v>
      </c>
      <c r="H120" s="244"/>
      <c r="J120" s="118"/>
    </row>
    <row r="121" spans="1:10">
      <c r="A121" s="233" t="s">
        <v>169</v>
      </c>
      <c r="B121" s="234"/>
      <c r="C121" s="234"/>
      <c r="D121" s="235"/>
      <c r="E121" s="115"/>
      <c r="F121" s="91">
        <f>SUM(F113:F120)</f>
        <v>973.52</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1218.3499999999999</v>
      </c>
      <c r="H125" s="109"/>
    </row>
    <row r="126" spans="1:10">
      <c r="A126" s="84" t="s">
        <v>138</v>
      </c>
      <c r="B126" s="236" t="s">
        <v>148</v>
      </c>
      <c r="C126" s="237"/>
      <c r="D126" s="237"/>
      <c r="E126" s="238"/>
      <c r="F126" s="87">
        <f>F71</f>
        <v>1431.58</v>
      </c>
    </row>
    <row r="127" spans="1:10">
      <c r="A127" s="84" t="s">
        <v>140</v>
      </c>
      <c r="B127" s="236" t="s">
        <v>184</v>
      </c>
      <c r="C127" s="237"/>
      <c r="D127" s="237"/>
      <c r="E127" s="238"/>
      <c r="F127" s="87">
        <f>F81</f>
        <v>89.88</v>
      </c>
    </row>
    <row r="128" spans="1:10">
      <c r="A128" s="84" t="s">
        <v>142</v>
      </c>
      <c r="B128" s="236" t="s">
        <v>192</v>
      </c>
      <c r="C128" s="237"/>
      <c r="D128" s="237"/>
      <c r="E128" s="238"/>
      <c r="F128" s="87">
        <f>F101</f>
        <v>110.01</v>
      </c>
      <c r="H128" s="109"/>
    </row>
    <row r="129" spans="1:10">
      <c r="A129" s="84" t="s">
        <v>144</v>
      </c>
      <c r="B129" s="236" t="s">
        <v>207</v>
      </c>
      <c r="C129" s="237"/>
      <c r="D129" s="237"/>
      <c r="E129" s="238"/>
      <c r="F129" s="87">
        <f>F109</f>
        <v>314.74</v>
      </c>
      <c r="H129" s="109"/>
    </row>
    <row r="130" spans="1:10">
      <c r="A130" s="233" t="s">
        <v>225</v>
      </c>
      <c r="B130" s="234"/>
      <c r="C130" s="234"/>
      <c r="D130" s="234"/>
      <c r="E130" s="235"/>
      <c r="F130" s="91">
        <f>SUM(F125:F129)</f>
        <v>3164.56</v>
      </c>
      <c r="I130" s="113"/>
      <c r="J130" s="113"/>
    </row>
    <row r="131" spans="1:10">
      <c r="A131" s="84" t="s">
        <v>146</v>
      </c>
      <c r="B131" s="236" t="s">
        <v>226</v>
      </c>
      <c r="C131" s="237"/>
      <c r="D131" s="237"/>
      <c r="E131" s="238"/>
      <c r="F131" s="87">
        <f>F121</f>
        <v>973.52</v>
      </c>
    </row>
    <row r="132" spans="1:10">
      <c r="A132" s="239" t="s">
        <v>227</v>
      </c>
      <c r="B132" s="240"/>
      <c r="C132" s="240"/>
      <c r="D132" s="240"/>
      <c r="E132" s="241"/>
      <c r="F132" s="120">
        <f>SUM(F130:F131)</f>
        <v>4138.08</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Limpador de vidros: 30 h</v>
      </c>
      <c r="B136" s="124">
        <f>F132</f>
        <v>4138.08</v>
      </c>
      <c r="C136" s="125">
        <v>1</v>
      </c>
      <c r="D136" s="124">
        <f>B136*C136</f>
        <v>4138.08</v>
      </c>
      <c r="E136" s="86">
        <f>F15</f>
        <v>1</v>
      </c>
      <c r="F136" s="124">
        <f>D136*E136</f>
        <v>4138.08</v>
      </c>
    </row>
    <row r="137" spans="1:10" s="65" customFormat="1" ht="21" customHeight="1">
      <c r="A137" s="233" t="s">
        <v>235</v>
      </c>
      <c r="B137" s="234"/>
      <c r="C137" s="234"/>
      <c r="D137" s="234"/>
      <c r="E137" s="235"/>
      <c r="F137" s="126">
        <f>SUM(F136)</f>
        <v>4138.08</v>
      </c>
    </row>
    <row r="138" spans="1:10" s="65" customFormat="1" ht="21" customHeight="1">
      <c r="A138" s="239" t="s">
        <v>236</v>
      </c>
      <c r="B138" s="240"/>
      <c r="C138" s="240"/>
      <c r="D138" s="240"/>
      <c r="E138" s="241"/>
      <c r="F138" s="127">
        <f>F137*F11</f>
        <v>49656.959999999999</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sheetPr>
  <dimension ref="A1:K138"/>
  <sheetViews>
    <sheetView view="pageBreakPreview" topLeftCell="A56" zoomScale="110" zoomScaleNormal="115" workbookViewId="0">
      <selection activeCell="E87" sqref="E87"/>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10.140625" style="60" customWidth="1"/>
    <col min="8" max="8" width="9.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246</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247</v>
      </c>
      <c r="B15" s="276"/>
      <c r="C15" s="276"/>
      <c r="D15" s="277" t="s">
        <v>79</v>
      </c>
      <c r="E15" s="277"/>
      <c r="F15" s="77">
        <f>'SEMSUR_TOTALIZADOR GERAL'!I6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248</v>
      </c>
    </row>
    <row r="20" spans="1:9" ht="15">
      <c r="A20" s="79">
        <v>2</v>
      </c>
      <c r="B20" s="269" t="s">
        <v>127</v>
      </c>
      <c r="C20" s="270"/>
      <c r="D20" s="270"/>
      <c r="E20" s="271"/>
      <c r="F20" s="80" t="s">
        <v>249</v>
      </c>
      <c r="G20" s="81"/>
      <c r="H20" s="82"/>
      <c r="I20" s="82"/>
    </row>
    <row r="21" spans="1:9">
      <c r="A21" s="72">
        <v>3</v>
      </c>
      <c r="B21" s="266" t="s">
        <v>129</v>
      </c>
      <c r="C21" s="267"/>
      <c r="D21" s="267"/>
      <c r="E21" s="268"/>
      <c r="F21" s="83">
        <f>RAIZ_DADOS!D6</f>
        <v>1651</v>
      </c>
    </row>
    <row r="22" spans="1:9">
      <c r="A22" s="72">
        <v>4</v>
      </c>
      <c r="B22" s="266" t="s">
        <v>130</v>
      </c>
      <c r="C22" s="267"/>
      <c r="D22" s="267"/>
      <c r="E22" s="268"/>
      <c r="F22" s="78" t="str">
        <f>F19</f>
        <v>Encarregado de limpeza</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64</v>
      </c>
      <c r="F27" s="87">
        <f>(F21/44)*30</f>
        <v>1125.68</v>
      </c>
      <c r="H27" s="88"/>
    </row>
    <row r="28" spans="1:9">
      <c r="A28" s="84" t="s">
        <v>138</v>
      </c>
      <c r="B28" s="236" t="s">
        <v>139</v>
      </c>
      <c r="C28" s="237"/>
      <c r="D28" s="238"/>
      <c r="E28" s="86"/>
      <c r="F28" s="87"/>
    </row>
    <row r="29" spans="1:9">
      <c r="A29" s="84" t="s">
        <v>140</v>
      </c>
      <c r="B29" s="236" t="s">
        <v>141</v>
      </c>
      <c r="C29" s="237"/>
      <c r="D29" s="238"/>
      <c r="E29" s="89"/>
      <c r="F29" s="87"/>
    </row>
    <row r="30" spans="1:9">
      <c r="A30" s="84" t="s">
        <v>142</v>
      </c>
      <c r="B30" s="236" t="s">
        <v>143</v>
      </c>
      <c r="C30" s="237"/>
      <c r="D30" s="238"/>
      <c r="E30" s="86"/>
      <c r="F30" s="87"/>
    </row>
    <row r="31" spans="1:9">
      <c r="A31" s="84" t="s">
        <v>144</v>
      </c>
      <c r="B31" s="236" t="s">
        <v>145</v>
      </c>
      <c r="C31" s="237"/>
      <c r="D31" s="238"/>
      <c r="E31" s="86"/>
      <c r="F31" s="87"/>
    </row>
    <row r="32" spans="1:9">
      <c r="A32" s="84" t="s">
        <v>146</v>
      </c>
      <c r="B32" s="236" t="str">
        <f>RAIZ_DADOS!A17</f>
        <v>Gratificação Encarregado - de 21 até 40 empregados</v>
      </c>
      <c r="C32" s="237"/>
      <c r="D32" s="238"/>
      <c r="E32" s="86"/>
      <c r="F32" s="87">
        <f>RAIZ_DADOS!D17</f>
        <v>231.76</v>
      </c>
    </row>
    <row r="33" spans="1:8">
      <c r="A33" s="233" t="s">
        <v>62</v>
      </c>
      <c r="B33" s="234"/>
      <c r="C33" s="234"/>
      <c r="D33" s="235"/>
      <c r="E33" s="90"/>
      <c r="F33" s="91">
        <f>SUM(F27:F32)</f>
        <v>1357.44</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113.07</v>
      </c>
    </row>
    <row r="39" spans="1:8">
      <c r="A39" s="84" t="s">
        <v>138</v>
      </c>
      <c r="B39" s="236" t="s">
        <v>154</v>
      </c>
      <c r="C39" s="237"/>
      <c r="D39" s="238"/>
      <c r="E39" s="93">
        <f>(1/12)+(1/3)/12</f>
        <v>0.1111</v>
      </c>
      <c r="F39" s="87">
        <f>F33*E39</f>
        <v>150.81</v>
      </c>
    </row>
    <row r="40" spans="1:8">
      <c r="A40" s="258" t="s">
        <v>62</v>
      </c>
      <c r="B40" s="259"/>
      <c r="C40" s="259"/>
      <c r="D40" s="260"/>
      <c r="E40" s="94">
        <f>SUM(E38:E39)</f>
        <v>0.19439999999999999</v>
      </c>
      <c r="F40" s="95">
        <f>SUM(F38:F39)</f>
        <v>263.88</v>
      </c>
    </row>
    <row r="41" spans="1:8">
      <c r="A41" s="84" t="s">
        <v>140</v>
      </c>
      <c r="B41" s="236" t="s">
        <v>155</v>
      </c>
      <c r="C41" s="237"/>
      <c r="D41" s="238"/>
      <c r="E41" s="93">
        <f>E40*E53</f>
        <v>7.7399999999999997E-2</v>
      </c>
      <c r="F41" s="95">
        <f>E41*F33</f>
        <v>105.07</v>
      </c>
    </row>
    <row r="42" spans="1:8">
      <c r="A42" s="233" t="s">
        <v>62</v>
      </c>
      <c r="B42" s="234"/>
      <c r="C42" s="234"/>
      <c r="D42" s="235"/>
      <c r="E42" s="96">
        <f>SUM(E40:E41)</f>
        <v>0.27179999999999999</v>
      </c>
      <c r="F42" s="91">
        <f>SUM(F40:F41)</f>
        <v>368.95</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271.49</v>
      </c>
    </row>
    <row r="46" spans="1:8">
      <c r="A46" s="84" t="s">
        <v>138</v>
      </c>
      <c r="B46" s="236" t="s">
        <v>160</v>
      </c>
      <c r="C46" s="237"/>
      <c r="D46" s="238"/>
      <c r="E46" s="93">
        <v>2.5000000000000001E-2</v>
      </c>
      <c r="F46" s="87">
        <f t="shared" si="0"/>
        <v>33.94</v>
      </c>
      <c r="G46" s="62"/>
      <c r="H46" s="97"/>
    </row>
    <row r="47" spans="1:8">
      <c r="A47" s="84" t="s">
        <v>140</v>
      </c>
      <c r="B47" s="236" t="s">
        <v>161</v>
      </c>
      <c r="C47" s="237"/>
      <c r="D47" s="238"/>
      <c r="E47" s="98">
        <f>(2*3)/100</f>
        <v>0.06</v>
      </c>
      <c r="F47" s="87">
        <f t="shared" si="0"/>
        <v>81.45</v>
      </c>
      <c r="G47" s="99"/>
      <c r="H47" s="99"/>
    </row>
    <row r="48" spans="1:8">
      <c r="A48" s="84" t="s">
        <v>142</v>
      </c>
      <c r="B48" s="236" t="s">
        <v>162</v>
      </c>
      <c r="C48" s="237"/>
      <c r="D48" s="238"/>
      <c r="E48" s="93">
        <v>1.4999999999999999E-2</v>
      </c>
      <c r="F48" s="87">
        <f t="shared" si="0"/>
        <v>20.36</v>
      </c>
    </row>
    <row r="49" spans="1:8">
      <c r="A49" s="84" t="s">
        <v>144</v>
      </c>
      <c r="B49" s="236" t="s">
        <v>163</v>
      </c>
      <c r="C49" s="237"/>
      <c r="D49" s="238"/>
      <c r="E49" s="93">
        <v>0.01</v>
      </c>
      <c r="F49" s="87">
        <f t="shared" si="0"/>
        <v>13.57</v>
      </c>
    </row>
    <row r="50" spans="1:8">
      <c r="A50" s="84" t="s">
        <v>146</v>
      </c>
      <c r="B50" s="236" t="s">
        <v>164</v>
      </c>
      <c r="C50" s="237"/>
      <c r="D50" s="238"/>
      <c r="E50" s="93">
        <v>6.0000000000000001E-3</v>
      </c>
      <c r="F50" s="87">
        <f t="shared" si="0"/>
        <v>8.14</v>
      </c>
    </row>
    <row r="51" spans="1:8">
      <c r="A51" s="84" t="s">
        <v>165</v>
      </c>
      <c r="B51" s="236" t="s">
        <v>166</v>
      </c>
      <c r="C51" s="237"/>
      <c r="D51" s="238"/>
      <c r="E51" s="93">
        <v>2E-3</v>
      </c>
      <c r="F51" s="87">
        <f t="shared" si="0"/>
        <v>2.71</v>
      </c>
    </row>
    <row r="52" spans="1:8">
      <c r="A52" s="84" t="s">
        <v>167</v>
      </c>
      <c r="B52" s="236" t="s">
        <v>168</v>
      </c>
      <c r="C52" s="237"/>
      <c r="D52" s="238"/>
      <c r="E52" s="93">
        <v>0.08</v>
      </c>
      <c r="F52" s="87">
        <f t="shared" si="0"/>
        <v>108.6</v>
      </c>
    </row>
    <row r="53" spans="1:8">
      <c r="A53" s="233" t="s">
        <v>169</v>
      </c>
      <c r="B53" s="234"/>
      <c r="C53" s="234"/>
      <c r="D53" s="235"/>
      <c r="E53" s="96">
        <f>SUM(E45:E52)</f>
        <v>0.39800000000000002</v>
      </c>
      <c r="F53" s="91">
        <f>SUM(F45:F52)</f>
        <v>540.26</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64.459999999999994</v>
      </c>
      <c r="H56" s="69"/>
    </row>
    <row r="57" spans="1:8">
      <c r="A57" s="84"/>
      <c r="B57" s="236" t="s">
        <v>174</v>
      </c>
      <c r="C57" s="237"/>
      <c r="D57" s="238"/>
      <c r="E57" s="100">
        <f>RAIZ_DADOS!D31</f>
        <v>3</v>
      </c>
      <c r="F57" s="78" t="s">
        <v>69</v>
      </c>
      <c r="H57" s="69"/>
    </row>
    <row r="58" spans="1:8">
      <c r="A58" s="84"/>
      <c r="B58" s="236" t="s">
        <v>175</v>
      </c>
      <c r="C58" s="237"/>
      <c r="D58" s="238"/>
      <c r="E58" s="101">
        <f>RAIZ_DADOS!D34</f>
        <v>2</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615.52</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263.88</v>
      </c>
      <c r="G68" s="63"/>
      <c r="H68" s="63"/>
    </row>
    <row r="69" spans="1:10">
      <c r="A69" s="84" t="s">
        <v>157</v>
      </c>
      <c r="B69" s="236" t="s">
        <v>183</v>
      </c>
      <c r="C69" s="237"/>
      <c r="D69" s="238"/>
      <c r="E69" s="107"/>
      <c r="F69" s="87">
        <f>F53+F41</f>
        <v>645.33000000000004</v>
      </c>
      <c r="G69" s="63"/>
      <c r="H69" s="63"/>
    </row>
    <row r="70" spans="1:10">
      <c r="A70" s="84" t="s">
        <v>171</v>
      </c>
      <c r="B70" s="236" t="s">
        <v>172</v>
      </c>
      <c r="C70" s="237"/>
      <c r="D70" s="238"/>
      <c r="E70" s="108"/>
      <c r="F70" s="87">
        <f>F65</f>
        <v>615.52</v>
      </c>
      <c r="G70" s="63"/>
      <c r="H70" s="63"/>
    </row>
    <row r="71" spans="1:10">
      <c r="A71" s="233" t="s">
        <v>62</v>
      </c>
      <c r="B71" s="234"/>
      <c r="C71" s="234"/>
      <c r="D71" s="235"/>
      <c r="E71" s="90"/>
      <c r="F71" s="91">
        <f>SUM(F68:F70)</f>
        <v>1524.73</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5.7</v>
      </c>
    </row>
    <row r="76" spans="1:10">
      <c r="A76" s="84" t="s">
        <v>138</v>
      </c>
      <c r="B76" s="236" t="s">
        <v>187</v>
      </c>
      <c r="C76" s="237"/>
      <c r="D76" s="238"/>
      <c r="E76" s="106">
        <f>E75*E52</f>
        <v>2.9999999999999997E-4</v>
      </c>
      <c r="F76" s="87">
        <f>E76*F33</f>
        <v>0.41</v>
      </c>
      <c r="G76" s="109"/>
    </row>
    <row r="77" spans="1:10">
      <c r="A77" s="84" t="s">
        <v>140</v>
      </c>
      <c r="B77" s="236" t="s">
        <v>188</v>
      </c>
      <c r="C77" s="237"/>
      <c r="D77" s="238"/>
      <c r="E77" s="106">
        <f>((8%*(40%)*90%)*(1+5/56+5/56+(1/3*5/56)))</f>
        <v>3.4799999999999998E-2</v>
      </c>
      <c r="F77" s="87">
        <f>E77*(F33+F40)</f>
        <v>56.42</v>
      </c>
      <c r="G77" s="109"/>
      <c r="H77" s="110"/>
    </row>
    <row r="78" spans="1:10">
      <c r="A78" s="84" t="s">
        <v>142</v>
      </c>
      <c r="B78" s="236" t="s">
        <v>189</v>
      </c>
      <c r="C78" s="237"/>
      <c r="D78" s="238"/>
      <c r="E78" s="106">
        <f>((7/30)/12)</f>
        <v>1.9400000000000001E-2</v>
      </c>
      <c r="F78" s="87">
        <f>E78*F33</f>
        <v>26.33</v>
      </c>
      <c r="G78" s="63"/>
      <c r="H78" s="63"/>
    </row>
    <row r="79" spans="1:10">
      <c r="A79" s="84" t="s">
        <v>144</v>
      </c>
      <c r="B79" s="236" t="s">
        <v>190</v>
      </c>
      <c r="C79" s="237"/>
      <c r="D79" s="238"/>
      <c r="E79" s="106">
        <f>E78*E53</f>
        <v>7.7000000000000002E-3</v>
      </c>
      <c r="F79" s="87">
        <f>E79*F33</f>
        <v>10.45</v>
      </c>
    </row>
    <row r="80" spans="1:10">
      <c r="A80" s="84" t="s">
        <v>146</v>
      </c>
      <c r="B80" s="236" t="s">
        <v>191</v>
      </c>
      <c r="C80" s="237"/>
      <c r="D80" s="238"/>
      <c r="E80" s="106">
        <f>(40%*8%*E78)</f>
        <v>5.9999999999999995E-4</v>
      </c>
      <c r="F80" s="87">
        <f>E80*F33</f>
        <v>0.81</v>
      </c>
    </row>
    <row r="81" spans="1:10">
      <c r="A81" s="233" t="s">
        <v>62</v>
      </c>
      <c r="B81" s="234"/>
      <c r="C81" s="234"/>
      <c r="D81" s="235"/>
      <c r="E81" s="111"/>
      <c r="F81" s="91">
        <f>SUM(F75:F80)</f>
        <v>100.12</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113.07</v>
      </c>
    </row>
    <row r="87" spans="1:10">
      <c r="A87" s="84" t="s">
        <v>138</v>
      </c>
      <c r="B87" s="236" t="s">
        <v>195</v>
      </c>
      <c r="C87" s="237"/>
      <c r="D87" s="238"/>
      <c r="E87" s="106">
        <f>(1/30)/12</f>
        <v>2.8E-3</v>
      </c>
      <c r="F87" s="87">
        <f t="shared" si="1"/>
        <v>3.8</v>
      </c>
    </row>
    <row r="88" spans="1:10">
      <c r="A88" s="84" t="s">
        <v>140</v>
      </c>
      <c r="B88" s="236" t="s">
        <v>197</v>
      </c>
      <c r="C88" s="237"/>
      <c r="D88" s="238"/>
      <c r="E88" s="106">
        <f>((5/30)/12)*1.5%</f>
        <v>2.0000000000000001E-4</v>
      </c>
      <c r="F88" s="87">
        <f t="shared" si="1"/>
        <v>0.27</v>
      </c>
    </row>
    <row r="89" spans="1:10">
      <c r="A89" s="84" t="s">
        <v>142</v>
      </c>
      <c r="B89" s="236" t="s">
        <v>198</v>
      </c>
      <c r="C89" s="237"/>
      <c r="D89" s="238"/>
      <c r="E89" s="106">
        <f>((15/365)*8%)</f>
        <v>3.3E-3</v>
      </c>
      <c r="F89" s="87">
        <f t="shared" si="1"/>
        <v>4.4800000000000004</v>
      </c>
    </row>
    <row r="90" spans="1:10">
      <c r="A90" s="84" t="s">
        <v>144</v>
      </c>
      <c r="B90" s="236" t="s">
        <v>199</v>
      </c>
      <c r="C90" s="237"/>
      <c r="D90" s="238"/>
      <c r="E90" s="106">
        <f>(11.11%*2%*(4/12))</f>
        <v>6.9999999999999999E-4</v>
      </c>
      <c r="F90" s="87">
        <f t="shared" si="1"/>
        <v>0.95</v>
      </c>
    </row>
    <row r="91" spans="1:10">
      <c r="A91" s="84" t="s">
        <v>146</v>
      </c>
      <c r="B91" s="236" t="s">
        <v>200</v>
      </c>
      <c r="C91" s="237"/>
      <c r="D91" s="238"/>
      <c r="E91" s="106"/>
      <c r="F91" s="87">
        <f t="shared" si="1"/>
        <v>0</v>
      </c>
    </row>
    <row r="92" spans="1:10" s="63" customFormat="1">
      <c r="A92" s="233" t="s">
        <v>169</v>
      </c>
      <c r="B92" s="234"/>
      <c r="C92" s="234"/>
      <c r="D92" s="235"/>
      <c r="E92" s="111"/>
      <c r="F92" s="91">
        <f>SUM(F86:F91)</f>
        <v>122.57</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122.57</v>
      </c>
    </row>
    <row r="100" spans="1:10">
      <c r="A100" s="84" t="s">
        <v>202</v>
      </c>
      <c r="B100" s="236" t="s">
        <v>203</v>
      </c>
      <c r="C100" s="237"/>
      <c r="D100" s="238"/>
      <c r="E100" s="86"/>
      <c r="F100" s="87">
        <f>F96</f>
        <v>0</v>
      </c>
    </row>
    <row r="101" spans="1:10">
      <c r="A101" s="233" t="s">
        <v>62</v>
      </c>
      <c r="B101" s="234"/>
      <c r="C101" s="234"/>
      <c r="D101" s="235"/>
      <c r="E101" s="90"/>
      <c r="F101" s="91">
        <f>SUM(F99:F100)</f>
        <v>122.57</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4_Uniformes'!K49</f>
        <v>55.26</v>
      </c>
      <c r="H105" s="113"/>
    </row>
    <row r="106" spans="1:10">
      <c r="A106" s="84" t="s">
        <v>138</v>
      </c>
      <c r="B106" s="236" t="s">
        <v>210</v>
      </c>
      <c r="C106" s="237"/>
      <c r="D106" s="237"/>
      <c r="E106" s="238"/>
      <c r="F106" s="87">
        <v>0</v>
      </c>
    </row>
    <row r="107" spans="1:10">
      <c r="A107" s="84" t="s">
        <v>140</v>
      </c>
      <c r="B107" s="236" t="s">
        <v>211</v>
      </c>
      <c r="C107" s="237"/>
      <c r="D107" s="237"/>
      <c r="E107" s="238"/>
      <c r="F107" s="87">
        <v>0</v>
      </c>
    </row>
    <row r="108" spans="1:10">
      <c r="A108" s="84" t="s">
        <v>142</v>
      </c>
      <c r="B108" s="236" t="s">
        <v>212</v>
      </c>
      <c r="C108" s="237"/>
      <c r="D108" s="237"/>
      <c r="E108" s="238"/>
      <c r="F108" s="87">
        <v>0</v>
      </c>
      <c r="H108" s="113"/>
    </row>
    <row r="109" spans="1:10">
      <c r="A109" s="233" t="s">
        <v>169</v>
      </c>
      <c r="B109" s="234"/>
      <c r="C109" s="234"/>
      <c r="D109" s="234"/>
      <c r="E109" s="235"/>
      <c r="F109" s="91">
        <f>SUM(F105:F108)</f>
        <v>55.26</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158.01</v>
      </c>
    </row>
    <row r="114" spans="1:10">
      <c r="A114" s="84" t="s">
        <v>138</v>
      </c>
      <c r="B114" s="236" t="s">
        <v>216</v>
      </c>
      <c r="C114" s="237"/>
      <c r="D114" s="238"/>
      <c r="E114" s="106">
        <v>6.7900000000000002E-2</v>
      </c>
      <c r="F114" s="87">
        <f>E114*(F130+F113)</f>
        <v>225.3</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68.180000000000007</v>
      </c>
      <c r="H117" s="244"/>
      <c r="J117" s="118"/>
    </row>
    <row r="118" spans="1:10">
      <c r="A118" s="84"/>
      <c r="B118" s="236" t="s">
        <v>220</v>
      </c>
      <c r="C118" s="237"/>
      <c r="D118" s="238"/>
      <c r="E118" s="106">
        <v>7.5999999999999998E-2</v>
      </c>
      <c r="F118" s="87">
        <f>E118*(($F$130+$F$113+$F$114)/(1-$E$115))</f>
        <v>314.05</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206.61</v>
      </c>
      <c r="H120" s="244"/>
      <c r="J120" s="118"/>
    </row>
    <row r="121" spans="1:10">
      <c r="A121" s="233" t="s">
        <v>169</v>
      </c>
      <c r="B121" s="234"/>
      <c r="C121" s="234"/>
      <c r="D121" s="235"/>
      <c r="E121" s="115"/>
      <c r="F121" s="91">
        <f>SUM(F113:F120)</f>
        <v>972.15</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1357.44</v>
      </c>
      <c r="H125" s="109"/>
    </row>
    <row r="126" spans="1:10">
      <c r="A126" s="84" t="s">
        <v>138</v>
      </c>
      <c r="B126" s="236" t="s">
        <v>148</v>
      </c>
      <c r="C126" s="237"/>
      <c r="D126" s="237"/>
      <c r="E126" s="238"/>
      <c r="F126" s="87">
        <f>F71</f>
        <v>1524.73</v>
      </c>
    </row>
    <row r="127" spans="1:10">
      <c r="A127" s="84" t="s">
        <v>140</v>
      </c>
      <c r="B127" s="236" t="s">
        <v>184</v>
      </c>
      <c r="C127" s="237"/>
      <c r="D127" s="237"/>
      <c r="E127" s="238"/>
      <c r="F127" s="87">
        <f>F81</f>
        <v>100.12</v>
      </c>
    </row>
    <row r="128" spans="1:10">
      <c r="A128" s="84" t="s">
        <v>142</v>
      </c>
      <c r="B128" s="236" t="s">
        <v>192</v>
      </c>
      <c r="C128" s="237"/>
      <c r="D128" s="237"/>
      <c r="E128" s="238"/>
      <c r="F128" s="87">
        <f>F101</f>
        <v>122.57</v>
      </c>
      <c r="H128" s="109"/>
    </row>
    <row r="129" spans="1:10">
      <c r="A129" s="84" t="s">
        <v>144</v>
      </c>
      <c r="B129" s="236" t="s">
        <v>207</v>
      </c>
      <c r="C129" s="237"/>
      <c r="D129" s="237"/>
      <c r="E129" s="238"/>
      <c r="F129" s="87">
        <f>F109</f>
        <v>55.26</v>
      </c>
      <c r="H129" s="109"/>
    </row>
    <row r="130" spans="1:10">
      <c r="A130" s="233" t="s">
        <v>225</v>
      </c>
      <c r="B130" s="234"/>
      <c r="C130" s="234"/>
      <c r="D130" s="234"/>
      <c r="E130" s="235"/>
      <c r="F130" s="91">
        <f>SUM(F125:F129)</f>
        <v>3160.12</v>
      </c>
      <c r="I130" s="113"/>
      <c r="J130" s="113"/>
    </row>
    <row r="131" spans="1:10">
      <c r="A131" s="84" t="s">
        <v>146</v>
      </c>
      <c r="B131" s="236" t="s">
        <v>226</v>
      </c>
      <c r="C131" s="237"/>
      <c r="D131" s="237"/>
      <c r="E131" s="238"/>
      <c r="F131" s="87">
        <f>F121</f>
        <v>972.15</v>
      </c>
    </row>
    <row r="132" spans="1:10">
      <c r="A132" s="239" t="s">
        <v>227</v>
      </c>
      <c r="B132" s="240"/>
      <c r="C132" s="240"/>
      <c r="D132" s="240"/>
      <c r="E132" s="241"/>
      <c r="F132" s="120">
        <f>SUM(F130:F131)</f>
        <v>4132.2700000000004</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Encarregado de limpeza: 30 h</v>
      </c>
      <c r="B136" s="124">
        <f>F132</f>
        <v>4132.2700000000004</v>
      </c>
      <c r="C136" s="125">
        <v>1</v>
      </c>
      <c r="D136" s="124">
        <f>B136*C136</f>
        <v>4132.2700000000004</v>
      </c>
      <c r="E136" s="86">
        <f>F15</f>
        <v>1</v>
      </c>
      <c r="F136" s="124">
        <f>D136*E136</f>
        <v>4132.2700000000004</v>
      </c>
    </row>
    <row r="137" spans="1:10" s="65" customFormat="1" ht="21" customHeight="1">
      <c r="A137" s="233" t="s">
        <v>235</v>
      </c>
      <c r="B137" s="234"/>
      <c r="C137" s="234"/>
      <c r="D137" s="234"/>
      <c r="E137" s="235"/>
      <c r="F137" s="126">
        <f>SUM(F136)</f>
        <v>4132.2700000000004</v>
      </c>
    </row>
    <row r="138" spans="1:10" s="65" customFormat="1" ht="21" customHeight="1">
      <c r="A138" s="239" t="s">
        <v>236</v>
      </c>
      <c r="B138" s="240"/>
      <c r="C138" s="240"/>
      <c r="D138" s="240"/>
      <c r="E138" s="241"/>
      <c r="F138" s="127">
        <f>F137*F11</f>
        <v>49587.24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030AE"/>
  </sheetPr>
  <dimension ref="A1:K138"/>
  <sheetViews>
    <sheetView tabSelected="1" view="pageBreakPreview" topLeftCell="A56" zoomScale="110" zoomScaleNormal="115" workbookViewId="0">
      <selection activeCell="H75" sqref="H75"/>
    </sheetView>
  </sheetViews>
  <sheetFormatPr defaultColWidth="2.5703125" defaultRowHeight="12.75"/>
  <cols>
    <col min="1" max="1" width="12.85546875" style="66" customWidth="1"/>
    <col min="2" max="2" width="24.5703125" style="55" customWidth="1"/>
    <col min="3" max="3" width="24.28515625" style="55" customWidth="1"/>
    <col min="4" max="4" width="15.7109375" style="55" customWidth="1"/>
    <col min="5" max="5" width="15.140625" style="55" customWidth="1"/>
    <col min="6" max="6" width="30.140625" style="67" customWidth="1"/>
    <col min="7" max="7" width="10.140625" style="60" customWidth="1"/>
    <col min="8" max="8" width="9.28515625" style="60" customWidth="1"/>
    <col min="9" max="9" width="18.28515625" style="60" customWidth="1"/>
    <col min="10" max="10" width="25.7109375" style="60" customWidth="1"/>
    <col min="11" max="16384" width="2.5703125" style="60"/>
  </cols>
  <sheetData>
    <row r="1" spans="1:11" s="59" customFormat="1" ht="23.1" customHeight="1">
      <c r="A1" s="242" t="s">
        <v>104</v>
      </c>
      <c r="B1" s="242"/>
      <c r="C1" s="242"/>
      <c r="D1" s="242"/>
      <c r="E1" s="242"/>
      <c r="F1" s="243"/>
      <c r="G1" s="66"/>
      <c r="H1" s="66"/>
    </row>
    <row r="2" spans="1:11" ht="21" customHeight="1">
      <c r="A2" s="242" t="s">
        <v>250</v>
      </c>
      <c r="B2" s="242"/>
      <c r="C2" s="242"/>
      <c r="D2" s="242"/>
      <c r="E2" s="242"/>
      <c r="F2" s="243"/>
      <c r="G2" s="69"/>
      <c r="H2" s="69"/>
    </row>
    <row r="3" spans="1:11" s="61" customFormat="1" ht="15">
      <c r="A3" s="278" t="s">
        <v>106</v>
      </c>
      <c r="B3" s="278"/>
      <c r="C3" s="278"/>
      <c r="D3" s="278"/>
      <c r="E3" s="278"/>
      <c r="F3" s="243"/>
      <c r="G3" s="70"/>
      <c r="H3" s="70"/>
      <c r="I3" s="70"/>
      <c r="J3" s="70"/>
      <c r="K3" s="70"/>
    </row>
    <row r="4" spans="1:11" s="61" customFormat="1" ht="15">
      <c r="A4" s="278" t="s">
        <v>107</v>
      </c>
      <c r="B4" s="278"/>
      <c r="C4" s="278"/>
      <c r="D4" s="278"/>
      <c r="E4" s="278"/>
      <c r="F4" s="243"/>
      <c r="G4" s="70"/>
      <c r="H4" s="71"/>
      <c r="I4" s="70"/>
      <c r="J4" s="70"/>
      <c r="K4" s="70"/>
    </row>
    <row r="5" spans="1:11" s="61" customFormat="1" ht="15">
      <c r="A5" s="278" t="s">
        <v>108</v>
      </c>
      <c r="B5" s="278"/>
      <c r="C5" s="278"/>
      <c r="D5" s="278"/>
      <c r="E5" s="278"/>
      <c r="F5" s="243"/>
      <c r="G5" s="70"/>
      <c r="H5" s="70"/>
      <c r="I5" s="70"/>
      <c r="J5" s="70"/>
      <c r="K5" s="70"/>
    </row>
    <row r="6" spans="1:11" s="61" customFormat="1" ht="15">
      <c r="A6" s="279"/>
      <c r="B6" s="279"/>
      <c r="C6" s="279"/>
      <c r="D6" s="279"/>
      <c r="E6" s="279"/>
      <c r="F6" s="280"/>
      <c r="G6" s="70"/>
      <c r="H6" s="70"/>
      <c r="I6" s="70"/>
      <c r="J6" s="70"/>
      <c r="K6" s="70"/>
    </row>
    <row r="7" spans="1:11">
      <c r="A7" s="264" t="s">
        <v>109</v>
      </c>
      <c r="B7" s="264"/>
      <c r="C7" s="264"/>
      <c r="D7" s="264"/>
      <c r="E7" s="264"/>
      <c r="F7" s="265"/>
      <c r="G7" s="59"/>
      <c r="H7" s="59"/>
    </row>
    <row r="8" spans="1:11" ht="18" customHeight="1">
      <c r="A8" s="72" t="s">
        <v>110</v>
      </c>
      <c r="B8" s="275" t="s">
        <v>111</v>
      </c>
      <c r="C8" s="275"/>
      <c r="D8" s="275"/>
      <c r="E8" s="275"/>
      <c r="F8" s="73" t="s">
        <v>112</v>
      </c>
    </row>
    <row r="9" spans="1:11" ht="18" customHeight="1">
      <c r="A9" s="72" t="s">
        <v>110</v>
      </c>
      <c r="B9" s="275" t="s">
        <v>113</v>
      </c>
      <c r="C9" s="275"/>
      <c r="D9" s="275"/>
      <c r="E9" s="275"/>
      <c r="F9" s="74" t="s">
        <v>114</v>
      </c>
    </row>
    <row r="10" spans="1:11" ht="18" customHeight="1">
      <c r="A10" s="72" t="s">
        <v>110</v>
      </c>
      <c r="B10" s="275" t="s">
        <v>115</v>
      </c>
      <c r="C10" s="275"/>
      <c r="D10" s="275"/>
      <c r="E10" s="275"/>
      <c r="F10" s="73" t="s">
        <v>116</v>
      </c>
    </row>
    <row r="11" spans="1:11" ht="18" customHeight="1">
      <c r="A11" s="72" t="s">
        <v>110</v>
      </c>
      <c r="B11" s="275" t="s">
        <v>117</v>
      </c>
      <c r="C11" s="275"/>
      <c r="D11" s="275"/>
      <c r="E11" s="275"/>
      <c r="F11" s="75">
        <v>12</v>
      </c>
    </row>
    <row r="12" spans="1:11" customFormat="1" ht="15">
      <c r="A12" s="272"/>
      <c r="B12" s="273"/>
      <c r="C12" s="273"/>
      <c r="D12" s="273"/>
      <c r="E12" s="273"/>
      <c r="F12" s="274"/>
      <c r="G12" s="60"/>
      <c r="H12" s="60"/>
    </row>
    <row r="13" spans="1:11" s="59" customFormat="1">
      <c r="A13" s="264" t="s">
        <v>118</v>
      </c>
      <c r="B13" s="264"/>
      <c r="C13" s="264"/>
      <c r="D13" s="264"/>
      <c r="E13" s="264"/>
      <c r="F13" s="265"/>
    </row>
    <row r="14" spans="1:11">
      <c r="A14" s="276" t="s">
        <v>119</v>
      </c>
      <c r="B14" s="276"/>
      <c r="C14" s="276"/>
      <c r="D14" s="276" t="s">
        <v>120</v>
      </c>
      <c r="E14" s="276"/>
      <c r="F14" s="76" t="s">
        <v>121</v>
      </c>
      <c r="H14" s="59"/>
    </row>
    <row r="15" spans="1:11">
      <c r="A15" s="276" t="s">
        <v>251</v>
      </c>
      <c r="B15" s="276"/>
      <c r="C15" s="276"/>
      <c r="D15" s="277" t="s">
        <v>79</v>
      </c>
      <c r="E15" s="277"/>
      <c r="F15" s="77">
        <f>'SEMSUR_TOTALIZADOR GERAL'!I6</f>
        <v>1</v>
      </c>
      <c r="H15" s="59"/>
    </row>
    <row r="16" spans="1:11" customFormat="1" ht="15">
      <c r="A16" s="272"/>
      <c r="B16" s="273"/>
      <c r="C16" s="273"/>
      <c r="D16" s="273"/>
      <c r="E16" s="273"/>
      <c r="F16" s="274"/>
      <c r="G16" s="60"/>
      <c r="H16" s="59"/>
    </row>
    <row r="17" spans="1:9" s="59" customFormat="1">
      <c r="A17" s="264" t="s">
        <v>123</v>
      </c>
      <c r="B17" s="264"/>
      <c r="C17" s="264"/>
      <c r="D17" s="264"/>
      <c r="E17" s="264"/>
      <c r="F17" s="265"/>
    </row>
    <row r="18" spans="1:9">
      <c r="A18" s="264" t="s">
        <v>124</v>
      </c>
      <c r="B18" s="264"/>
      <c r="C18" s="264"/>
      <c r="D18" s="264"/>
      <c r="E18" s="264"/>
      <c r="F18" s="265"/>
      <c r="G18" s="59"/>
      <c r="H18" s="59"/>
    </row>
    <row r="19" spans="1:9">
      <c r="A19" s="72">
        <v>1</v>
      </c>
      <c r="B19" s="266" t="s">
        <v>125</v>
      </c>
      <c r="C19" s="267"/>
      <c r="D19" s="267"/>
      <c r="E19" s="268"/>
      <c r="F19" s="78" t="s">
        <v>55</v>
      </c>
    </row>
    <row r="20" spans="1:9" ht="15">
      <c r="A20" s="79">
        <v>2</v>
      </c>
      <c r="B20" s="269" t="s">
        <v>127</v>
      </c>
      <c r="C20" s="270"/>
      <c r="D20" s="270"/>
      <c r="E20" s="271"/>
      <c r="F20" s="80" t="s">
        <v>252</v>
      </c>
      <c r="G20" s="81"/>
      <c r="H20" s="82"/>
      <c r="I20" s="82"/>
    </row>
    <row r="21" spans="1:9">
      <c r="A21" s="72">
        <v>3</v>
      </c>
      <c r="B21" s="266" t="s">
        <v>129</v>
      </c>
      <c r="C21" s="267"/>
      <c r="D21" s="267"/>
      <c r="E21" s="268"/>
      <c r="F21" s="83">
        <f>RAIZ_DADOS!D6</f>
        <v>1651</v>
      </c>
    </row>
    <row r="22" spans="1:9">
      <c r="A22" s="72">
        <v>4</v>
      </c>
      <c r="B22" s="266" t="s">
        <v>130</v>
      </c>
      <c r="C22" s="267"/>
      <c r="D22" s="267"/>
      <c r="E22" s="268"/>
      <c r="F22" s="78" t="str">
        <f>F19</f>
        <v>Jardineiro</v>
      </c>
    </row>
    <row r="23" spans="1:9">
      <c r="A23" s="72">
        <v>5</v>
      </c>
      <c r="B23" s="266" t="s">
        <v>131</v>
      </c>
      <c r="C23" s="267"/>
      <c r="D23" s="267"/>
      <c r="E23" s="268"/>
      <c r="F23" s="78" t="s">
        <v>132</v>
      </c>
    </row>
    <row r="24" spans="1:9">
      <c r="A24" s="272"/>
      <c r="B24" s="273"/>
      <c r="C24" s="273"/>
      <c r="D24" s="273"/>
      <c r="E24" s="273"/>
      <c r="F24" s="274"/>
    </row>
    <row r="25" spans="1:9">
      <c r="A25" s="251" t="s">
        <v>133</v>
      </c>
      <c r="B25" s="252"/>
      <c r="C25" s="252"/>
      <c r="D25" s="252"/>
      <c r="E25" s="252"/>
      <c r="F25" s="254"/>
    </row>
    <row r="26" spans="1:9">
      <c r="A26" s="84">
        <v>1</v>
      </c>
      <c r="B26" s="251" t="s">
        <v>134</v>
      </c>
      <c r="C26" s="252"/>
      <c r="D26" s="253"/>
      <c r="E26" s="84"/>
      <c r="F26" s="85" t="s">
        <v>135</v>
      </c>
    </row>
    <row r="27" spans="1:9">
      <c r="A27" s="84" t="s">
        <v>136</v>
      </c>
      <c r="B27" s="236" t="s">
        <v>137</v>
      </c>
      <c r="C27" s="237"/>
      <c r="D27" s="238"/>
      <c r="E27" s="86" t="s">
        <v>21</v>
      </c>
      <c r="F27" s="87">
        <f>F21</f>
        <v>1651</v>
      </c>
      <c r="H27" s="88"/>
    </row>
    <row r="28" spans="1:9">
      <c r="A28" s="84" t="s">
        <v>138</v>
      </c>
      <c r="B28" s="236" t="s">
        <v>139</v>
      </c>
      <c r="C28" s="237"/>
      <c r="D28" s="238"/>
      <c r="E28" s="86"/>
      <c r="F28" s="87"/>
    </row>
    <row r="29" spans="1:9">
      <c r="A29" s="84" t="s">
        <v>140</v>
      </c>
      <c r="B29" s="236" t="s">
        <v>141</v>
      </c>
      <c r="C29" s="237"/>
      <c r="D29" s="238"/>
      <c r="E29" s="89"/>
      <c r="F29" s="87"/>
    </row>
    <row r="30" spans="1:9">
      <c r="A30" s="84" t="s">
        <v>142</v>
      </c>
      <c r="B30" s="236" t="s">
        <v>143</v>
      </c>
      <c r="C30" s="237"/>
      <c r="D30" s="238"/>
      <c r="E30" s="86"/>
      <c r="F30" s="87"/>
    </row>
    <row r="31" spans="1:9">
      <c r="A31" s="84" t="s">
        <v>144</v>
      </c>
      <c r="B31" s="236" t="s">
        <v>145</v>
      </c>
      <c r="C31" s="237"/>
      <c r="D31" s="238"/>
      <c r="E31" s="86"/>
      <c r="F31" s="87"/>
    </row>
    <row r="32" spans="1:9">
      <c r="A32" s="84" t="s">
        <v>146</v>
      </c>
      <c r="B32" s="236" t="str">
        <f>RAIZ_DADOS!A19</f>
        <v>Gratificação Jardineiro</v>
      </c>
      <c r="C32" s="237"/>
      <c r="D32" s="238"/>
      <c r="E32" s="86"/>
      <c r="F32" s="87">
        <f>RAIZ_DADOS!D13</f>
        <v>381.6</v>
      </c>
    </row>
    <row r="33" spans="1:8">
      <c r="A33" s="233" t="s">
        <v>62</v>
      </c>
      <c r="B33" s="234"/>
      <c r="C33" s="234"/>
      <c r="D33" s="235"/>
      <c r="E33" s="90"/>
      <c r="F33" s="91">
        <f>SUM(F27:F32)</f>
        <v>2032.6</v>
      </c>
    </row>
    <row r="34" spans="1:8">
      <c r="A34" s="261"/>
      <c r="B34" s="262"/>
      <c r="C34" s="262"/>
      <c r="D34" s="262"/>
      <c r="E34" s="262"/>
      <c r="F34" s="263"/>
    </row>
    <row r="35" spans="1:8">
      <c r="A35" s="249" t="s">
        <v>148</v>
      </c>
      <c r="B35" s="249"/>
      <c r="C35" s="249"/>
      <c r="D35" s="249"/>
      <c r="E35" s="249"/>
      <c r="F35" s="250"/>
    </row>
    <row r="36" spans="1:8">
      <c r="A36" s="249" t="s">
        <v>149</v>
      </c>
      <c r="B36" s="249"/>
      <c r="C36" s="249"/>
      <c r="D36" s="249"/>
      <c r="E36" s="249"/>
      <c r="F36" s="250"/>
      <c r="H36" s="92"/>
    </row>
    <row r="37" spans="1:8">
      <c r="A37" s="84" t="s">
        <v>150</v>
      </c>
      <c r="B37" s="251" t="s">
        <v>151</v>
      </c>
      <c r="C37" s="252"/>
      <c r="D37" s="253"/>
      <c r="E37" s="84" t="s">
        <v>152</v>
      </c>
      <c r="F37" s="85" t="s">
        <v>135</v>
      </c>
    </row>
    <row r="38" spans="1:8">
      <c r="A38" s="84" t="s">
        <v>136</v>
      </c>
      <c r="B38" s="236" t="s">
        <v>153</v>
      </c>
      <c r="C38" s="237"/>
      <c r="D38" s="238"/>
      <c r="E38" s="93">
        <f>1/12</f>
        <v>8.3299999999999999E-2</v>
      </c>
      <c r="F38" s="87">
        <f>F33*E38</f>
        <v>169.32</v>
      </c>
    </row>
    <row r="39" spans="1:8">
      <c r="A39" s="84" t="s">
        <v>138</v>
      </c>
      <c r="B39" s="236" t="s">
        <v>154</v>
      </c>
      <c r="C39" s="237"/>
      <c r="D39" s="238"/>
      <c r="E39" s="93">
        <f>(1/12)+(1/3)/12</f>
        <v>0.1111</v>
      </c>
      <c r="F39" s="87">
        <f>F33*E39</f>
        <v>225.82</v>
      </c>
    </row>
    <row r="40" spans="1:8">
      <c r="A40" s="258" t="s">
        <v>62</v>
      </c>
      <c r="B40" s="259"/>
      <c r="C40" s="259"/>
      <c r="D40" s="260"/>
      <c r="E40" s="94">
        <f>SUM(E38:E39)</f>
        <v>0.19439999999999999</v>
      </c>
      <c r="F40" s="95">
        <f>SUM(F38:F39)</f>
        <v>395.14</v>
      </c>
    </row>
    <row r="41" spans="1:8">
      <c r="A41" s="84" t="s">
        <v>140</v>
      </c>
      <c r="B41" s="236" t="s">
        <v>155</v>
      </c>
      <c r="C41" s="237"/>
      <c r="D41" s="238"/>
      <c r="E41" s="93">
        <f>E40*E53</f>
        <v>7.7399999999999997E-2</v>
      </c>
      <c r="F41" s="95">
        <f>E41*F33</f>
        <v>157.32</v>
      </c>
    </row>
    <row r="42" spans="1:8">
      <c r="A42" s="233" t="s">
        <v>62</v>
      </c>
      <c r="B42" s="234"/>
      <c r="C42" s="234"/>
      <c r="D42" s="235"/>
      <c r="E42" s="96">
        <f>SUM(E40:E41)</f>
        <v>0.27179999999999999</v>
      </c>
      <c r="F42" s="91">
        <f>SUM(F40:F41)</f>
        <v>552.46</v>
      </c>
      <c r="H42" s="92"/>
    </row>
    <row r="43" spans="1:8">
      <c r="A43" s="249" t="s">
        <v>156</v>
      </c>
      <c r="B43" s="249"/>
      <c r="C43" s="249"/>
      <c r="D43" s="249"/>
      <c r="E43" s="249"/>
      <c r="F43" s="250"/>
    </row>
    <row r="44" spans="1:8">
      <c r="A44" s="84" t="s">
        <v>157</v>
      </c>
      <c r="B44" s="251" t="s">
        <v>158</v>
      </c>
      <c r="C44" s="252"/>
      <c r="D44" s="253"/>
      <c r="E44" s="84" t="s">
        <v>152</v>
      </c>
      <c r="F44" s="85" t="s">
        <v>135</v>
      </c>
    </row>
    <row r="45" spans="1:8">
      <c r="A45" s="84" t="s">
        <v>136</v>
      </c>
      <c r="B45" s="236" t="s">
        <v>159</v>
      </c>
      <c r="C45" s="237"/>
      <c r="D45" s="238"/>
      <c r="E45" s="93">
        <v>0.2</v>
      </c>
      <c r="F45" s="87">
        <f t="shared" ref="F45:F52" si="0">E45*F$33</f>
        <v>406.52</v>
      </c>
    </row>
    <row r="46" spans="1:8">
      <c r="A46" s="84" t="s">
        <v>138</v>
      </c>
      <c r="B46" s="236" t="s">
        <v>160</v>
      </c>
      <c r="C46" s="237"/>
      <c r="D46" s="238"/>
      <c r="E46" s="93">
        <v>2.5000000000000001E-2</v>
      </c>
      <c r="F46" s="87">
        <f t="shared" si="0"/>
        <v>50.82</v>
      </c>
      <c r="G46" s="62"/>
      <c r="H46" s="97"/>
    </row>
    <row r="47" spans="1:8">
      <c r="A47" s="84" t="s">
        <v>140</v>
      </c>
      <c r="B47" s="236" t="s">
        <v>161</v>
      </c>
      <c r="C47" s="237"/>
      <c r="D47" s="238"/>
      <c r="E47" s="98">
        <f>(2*3)/100</f>
        <v>0.06</v>
      </c>
      <c r="F47" s="87">
        <f t="shared" si="0"/>
        <v>121.96</v>
      </c>
      <c r="G47" s="99"/>
      <c r="H47" s="99"/>
    </row>
    <row r="48" spans="1:8">
      <c r="A48" s="84" t="s">
        <v>142</v>
      </c>
      <c r="B48" s="236" t="s">
        <v>162</v>
      </c>
      <c r="C48" s="237"/>
      <c r="D48" s="238"/>
      <c r="E48" s="93">
        <v>1.4999999999999999E-2</v>
      </c>
      <c r="F48" s="87">
        <f t="shared" si="0"/>
        <v>30.49</v>
      </c>
    </row>
    <row r="49" spans="1:8">
      <c r="A49" s="84" t="s">
        <v>144</v>
      </c>
      <c r="B49" s="236" t="s">
        <v>163</v>
      </c>
      <c r="C49" s="237"/>
      <c r="D49" s="238"/>
      <c r="E49" s="93">
        <v>0.01</v>
      </c>
      <c r="F49" s="87">
        <f t="shared" si="0"/>
        <v>20.329999999999998</v>
      </c>
    </row>
    <row r="50" spans="1:8">
      <c r="A50" s="84" t="s">
        <v>146</v>
      </c>
      <c r="B50" s="236" t="s">
        <v>164</v>
      </c>
      <c r="C50" s="237"/>
      <c r="D50" s="238"/>
      <c r="E50" s="93">
        <v>6.0000000000000001E-3</v>
      </c>
      <c r="F50" s="87">
        <f t="shared" si="0"/>
        <v>12.2</v>
      </c>
    </row>
    <row r="51" spans="1:8">
      <c r="A51" s="84" t="s">
        <v>165</v>
      </c>
      <c r="B51" s="236" t="s">
        <v>166</v>
      </c>
      <c r="C51" s="237"/>
      <c r="D51" s="238"/>
      <c r="E51" s="93">
        <v>2E-3</v>
      </c>
      <c r="F51" s="87">
        <f t="shared" si="0"/>
        <v>4.07</v>
      </c>
    </row>
    <row r="52" spans="1:8">
      <c r="A52" s="84" t="s">
        <v>167</v>
      </c>
      <c r="B52" s="236" t="s">
        <v>168</v>
      </c>
      <c r="C52" s="237"/>
      <c r="D52" s="238"/>
      <c r="E52" s="93">
        <v>0.08</v>
      </c>
      <c r="F52" s="87">
        <f t="shared" si="0"/>
        <v>162.61000000000001</v>
      </c>
    </row>
    <row r="53" spans="1:8">
      <c r="A53" s="233" t="s">
        <v>169</v>
      </c>
      <c r="B53" s="234"/>
      <c r="C53" s="234"/>
      <c r="D53" s="235"/>
      <c r="E53" s="96">
        <f>SUM(E45:E52)</f>
        <v>0.39800000000000002</v>
      </c>
      <c r="F53" s="91">
        <f>SUM(F45:F52)</f>
        <v>809</v>
      </c>
    </row>
    <row r="54" spans="1:8">
      <c r="A54" s="251" t="s">
        <v>170</v>
      </c>
      <c r="B54" s="252"/>
      <c r="C54" s="252"/>
      <c r="D54" s="252"/>
      <c r="E54" s="252"/>
      <c r="F54" s="254"/>
    </row>
    <row r="55" spans="1:8">
      <c r="A55" s="84" t="s">
        <v>171</v>
      </c>
      <c r="B55" s="251" t="s">
        <v>172</v>
      </c>
      <c r="C55" s="252"/>
      <c r="D55" s="253"/>
      <c r="E55" s="84"/>
      <c r="F55" s="85" t="s">
        <v>135</v>
      </c>
    </row>
    <row r="56" spans="1:8">
      <c r="A56" s="84" t="s">
        <v>136</v>
      </c>
      <c r="B56" s="236" t="s">
        <v>173</v>
      </c>
      <c r="C56" s="237"/>
      <c r="D56" s="238"/>
      <c r="E56" s="86"/>
      <c r="F56" s="87">
        <f>((E57*E58)*E59)-(6%*F27)</f>
        <v>164.94</v>
      </c>
      <c r="H56" s="69"/>
    </row>
    <row r="57" spans="1:8">
      <c r="A57" s="84"/>
      <c r="B57" s="236" t="s">
        <v>174</v>
      </c>
      <c r="C57" s="237"/>
      <c r="D57" s="238"/>
      <c r="E57" s="100">
        <f>RAIZ_DADOS!D31</f>
        <v>3</v>
      </c>
      <c r="F57" s="78" t="s">
        <v>69</v>
      </c>
      <c r="H57" s="69"/>
    </row>
    <row r="58" spans="1:8">
      <c r="A58" s="84"/>
      <c r="B58" s="236" t="s">
        <v>175</v>
      </c>
      <c r="C58" s="237"/>
      <c r="D58" s="238"/>
      <c r="E58" s="101">
        <v>4</v>
      </c>
      <c r="F58" s="78" t="s">
        <v>69</v>
      </c>
      <c r="H58" s="69"/>
    </row>
    <row r="59" spans="1:8">
      <c r="A59" s="84"/>
      <c r="B59" s="236" t="s">
        <v>176</v>
      </c>
      <c r="C59" s="237"/>
      <c r="D59" s="238"/>
      <c r="E59" s="101">
        <f>RAIZ_DADOS!D33</f>
        <v>22</v>
      </c>
      <c r="F59" s="78" t="s">
        <v>69</v>
      </c>
      <c r="H59" s="69"/>
    </row>
    <row r="60" spans="1:8">
      <c r="A60" s="84" t="s">
        <v>138</v>
      </c>
      <c r="B60" s="236" t="s">
        <v>177</v>
      </c>
      <c r="C60" s="237"/>
      <c r="D60" s="238"/>
      <c r="E60" s="86"/>
      <c r="F60" s="87">
        <f>RAIZ_DADOS!D7</f>
        <v>400</v>
      </c>
      <c r="H60" s="69"/>
    </row>
    <row r="61" spans="1:8">
      <c r="A61" s="84" t="s">
        <v>140</v>
      </c>
      <c r="B61" s="236" t="s">
        <v>33</v>
      </c>
      <c r="C61" s="237"/>
      <c r="D61" s="238"/>
      <c r="E61" s="86"/>
      <c r="F61" s="87">
        <f>RAIZ_DADOS!D24</f>
        <v>14.66</v>
      </c>
      <c r="H61" s="69"/>
    </row>
    <row r="62" spans="1:8">
      <c r="A62" s="84" t="s">
        <v>142</v>
      </c>
      <c r="B62" s="236" t="s">
        <v>178</v>
      </c>
      <c r="C62" s="237"/>
      <c r="D62" s="238"/>
      <c r="E62" s="86"/>
      <c r="F62" s="87">
        <f>RAIZ_DADOS!D25</f>
        <v>6.4</v>
      </c>
      <c r="H62" s="69"/>
    </row>
    <row r="63" spans="1:8">
      <c r="A63" s="84" t="s">
        <v>144</v>
      </c>
      <c r="B63" s="255" t="s">
        <v>179</v>
      </c>
      <c r="C63" s="256"/>
      <c r="D63" s="257"/>
      <c r="E63" s="102"/>
      <c r="F63" s="103">
        <v>0</v>
      </c>
      <c r="H63" s="104"/>
    </row>
    <row r="64" spans="1:8">
      <c r="A64" s="84" t="s">
        <v>146</v>
      </c>
      <c r="B64" s="255" t="s">
        <v>180</v>
      </c>
      <c r="C64" s="256"/>
      <c r="D64" s="257"/>
      <c r="E64" s="102"/>
      <c r="F64" s="103">
        <f>RAIZ_DADOS!D8</f>
        <v>130</v>
      </c>
      <c r="H64" s="104"/>
    </row>
    <row r="65" spans="1:10" s="62" customFormat="1">
      <c r="A65" s="233" t="s">
        <v>62</v>
      </c>
      <c r="B65" s="234"/>
      <c r="C65" s="234"/>
      <c r="D65" s="235"/>
      <c r="E65" s="105"/>
      <c r="F65" s="91">
        <f>SUM(F56:F64)</f>
        <v>716</v>
      </c>
      <c r="G65" s="60"/>
      <c r="H65" s="60"/>
    </row>
    <row r="66" spans="1:10">
      <c r="A66" s="251" t="s">
        <v>181</v>
      </c>
      <c r="B66" s="252"/>
      <c r="C66" s="252"/>
      <c r="D66" s="252"/>
      <c r="E66" s="252"/>
      <c r="F66" s="254"/>
    </row>
    <row r="67" spans="1:10">
      <c r="A67" s="84">
        <v>2</v>
      </c>
      <c r="B67" s="251" t="s">
        <v>182</v>
      </c>
      <c r="C67" s="252"/>
      <c r="D67" s="253"/>
      <c r="E67" s="84"/>
      <c r="F67" s="85" t="s">
        <v>135</v>
      </c>
    </row>
    <row r="68" spans="1:10">
      <c r="A68" s="84" t="s">
        <v>150</v>
      </c>
      <c r="B68" s="236" t="s">
        <v>151</v>
      </c>
      <c r="C68" s="237"/>
      <c r="D68" s="238"/>
      <c r="E68" s="106"/>
      <c r="F68" s="87">
        <f>F40</f>
        <v>395.14</v>
      </c>
      <c r="G68" s="63"/>
      <c r="H68" s="63"/>
    </row>
    <row r="69" spans="1:10">
      <c r="A69" s="84" t="s">
        <v>157</v>
      </c>
      <c r="B69" s="236" t="s">
        <v>183</v>
      </c>
      <c r="C69" s="237"/>
      <c r="D69" s="238"/>
      <c r="E69" s="107"/>
      <c r="F69" s="87">
        <f>F53+F41</f>
        <v>966.32</v>
      </c>
      <c r="G69" s="63"/>
      <c r="H69" s="63"/>
    </row>
    <row r="70" spans="1:10">
      <c r="A70" s="84" t="s">
        <v>171</v>
      </c>
      <c r="B70" s="236" t="s">
        <v>172</v>
      </c>
      <c r="C70" s="237"/>
      <c r="D70" s="238"/>
      <c r="E70" s="108"/>
      <c r="F70" s="87">
        <f>F65</f>
        <v>716</v>
      </c>
      <c r="G70" s="63"/>
      <c r="H70" s="63"/>
    </row>
    <row r="71" spans="1:10">
      <c r="A71" s="233" t="s">
        <v>62</v>
      </c>
      <c r="B71" s="234"/>
      <c r="C71" s="234"/>
      <c r="D71" s="235"/>
      <c r="E71" s="90"/>
      <c r="F71" s="91">
        <f>SUM(F68:F70)</f>
        <v>2077.46</v>
      </c>
      <c r="J71" s="117"/>
    </row>
    <row r="73" spans="1:10">
      <c r="A73" s="249" t="s">
        <v>184</v>
      </c>
      <c r="B73" s="249"/>
      <c r="C73" s="249"/>
      <c r="D73" s="249"/>
      <c r="E73" s="249"/>
      <c r="F73" s="250"/>
    </row>
    <row r="74" spans="1:10">
      <c r="A74" s="84">
        <v>3</v>
      </c>
      <c r="B74" s="251" t="s">
        <v>185</v>
      </c>
      <c r="C74" s="252"/>
      <c r="D74" s="253"/>
      <c r="E74" s="84" t="s">
        <v>152</v>
      </c>
      <c r="F74" s="85" t="s">
        <v>135</v>
      </c>
    </row>
    <row r="75" spans="1:10">
      <c r="A75" s="84" t="s">
        <v>136</v>
      </c>
      <c r="B75" s="236" t="s">
        <v>186</v>
      </c>
      <c r="C75" s="237"/>
      <c r="D75" s="238"/>
      <c r="E75" s="106">
        <f>(1/12)*5%</f>
        <v>4.1999999999999997E-3</v>
      </c>
      <c r="F75" s="87">
        <f>E75*F33</f>
        <v>8.5399999999999991</v>
      </c>
    </row>
    <row r="76" spans="1:10">
      <c r="A76" s="84" t="s">
        <v>138</v>
      </c>
      <c r="B76" s="236" t="s">
        <v>187</v>
      </c>
      <c r="C76" s="237"/>
      <c r="D76" s="238"/>
      <c r="E76" s="106">
        <f>E75*E52</f>
        <v>2.9999999999999997E-4</v>
      </c>
      <c r="F76" s="87">
        <f>E76*F33</f>
        <v>0.61</v>
      </c>
      <c r="G76" s="109"/>
    </row>
    <row r="77" spans="1:10">
      <c r="A77" s="84" t="s">
        <v>140</v>
      </c>
      <c r="B77" s="236" t="s">
        <v>188</v>
      </c>
      <c r="C77" s="237"/>
      <c r="D77" s="238"/>
      <c r="E77" s="106">
        <f>((8%*(40%)*90%)*(1+5/56+5/56+(1/3*5/56)))</f>
        <v>3.4799999999999998E-2</v>
      </c>
      <c r="F77" s="87">
        <f>E77*(F33+F40)</f>
        <v>84.49</v>
      </c>
      <c r="G77" s="109"/>
      <c r="H77" s="110"/>
    </row>
    <row r="78" spans="1:10">
      <c r="A78" s="84" t="s">
        <v>142</v>
      </c>
      <c r="B78" s="236" t="s">
        <v>189</v>
      </c>
      <c r="C78" s="237"/>
      <c r="D78" s="238"/>
      <c r="E78" s="106">
        <f>((7/30)/12)</f>
        <v>1.9400000000000001E-2</v>
      </c>
      <c r="F78" s="87">
        <f>E78*F33</f>
        <v>39.43</v>
      </c>
      <c r="G78" s="63"/>
      <c r="H78" s="63"/>
    </row>
    <row r="79" spans="1:10">
      <c r="A79" s="84" t="s">
        <v>144</v>
      </c>
      <c r="B79" s="236" t="s">
        <v>190</v>
      </c>
      <c r="C79" s="237"/>
      <c r="D79" s="238"/>
      <c r="E79" s="106">
        <f>E78*E53</f>
        <v>7.7000000000000002E-3</v>
      </c>
      <c r="F79" s="87">
        <f>E79*F33</f>
        <v>15.65</v>
      </c>
    </row>
    <row r="80" spans="1:10">
      <c r="A80" s="84" t="s">
        <v>146</v>
      </c>
      <c r="B80" s="236" t="s">
        <v>191</v>
      </c>
      <c r="C80" s="237"/>
      <c r="D80" s="238"/>
      <c r="E80" s="106">
        <f>(40%*8%*E78)</f>
        <v>5.9999999999999995E-4</v>
      </c>
      <c r="F80" s="87">
        <f>E80*F33</f>
        <v>1.22</v>
      </c>
    </row>
    <row r="81" spans="1:10">
      <c r="A81" s="233" t="s">
        <v>62</v>
      </c>
      <c r="B81" s="234"/>
      <c r="C81" s="234"/>
      <c r="D81" s="235"/>
      <c r="E81" s="111"/>
      <c r="F81" s="91">
        <f>SUM(F75:F80)</f>
        <v>149.94</v>
      </c>
      <c r="J81" s="117"/>
    </row>
    <row r="82" spans="1:10" s="63" customFormat="1">
      <c r="A82" s="66"/>
      <c r="B82" s="55"/>
      <c r="C82" s="55"/>
      <c r="D82" s="55"/>
      <c r="E82" s="55"/>
      <c r="F82" s="67"/>
      <c r="G82" s="60"/>
      <c r="H82" s="60"/>
    </row>
    <row r="83" spans="1:10" s="63" customFormat="1">
      <c r="A83" s="251" t="s">
        <v>192</v>
      </c>
      <c r="B83" s="252"/>
      <c r="C83" s="252"/>
      <c r="D83" s="252"/>
      <c r="E83" s="252"/>
      <c r="F83" s="254"/>
      <c r="G83" s="60"/>
      <c r="H83" s="60"/>
    </row>
    <row r="84" spans="1:10">
      <c r="A84" s="251" t="s">
        <v>193</v>
      </c>
      <c r="B84" s="252"/>
      <c r="C84" s="252"/>
      <c r="D84" s="252"/>
      <c r="E84" s="252"/>
      <c r="F84" s="254"/>
    </row>
    <row r="85" spans="1:10">
      <c r="A85" s="84" t="s">
        <v>194</v>
      </c>
      <c r="B85" s="251" t="s">
        <v>195</v>
      </c>
      <c r="C85" s="252"/>
      <c r="D85" s="253"/>
      <c r="E85" s="84" t="s">
        <v>152</v>
      </c>
      <c r="F85" s="85" t="s">
        <v>135</v>
      </c>
    </row>
    <row r="86" spans="1:10">
      <c r="A86" s="84" t="s">
        <v>136</v>
      </c>
      <c r="B86" s="236" t="s">
        <v>196</v>
      </c>
      <c r="C86" s="237"/>
      <c r="D86" s="238"/>
      <c r="E86" s="106">
        <f>(1/12)</f>
        <v>8.3299999999999999E-2</v>
      </c>
      <c r="F86" s="87">
        <f t="shared" ref="F86:F91" si="1">E86*F$33</f>
        <v>169.32</v>
      </c>
    </row>
    <row r="87" spans="1:10">
      <c r="A87" s="84" t="s">
        <v>138</v>
      </c>
      <c r="B87" s="236" t="s">
        <v>195</v>
      </c>
      <c r="C87" s="237"/>
      <c r="D87" s="238"/>
      <c r="E87" s="106">
        <f>(1/30)/12</f>
        <v>2.8E-3</v>
      </c>
      <c r="F87" s="87">
        <f t="shared" si="1"/>
        <v>5.69</v>
      </c>
    </row>
    <row r="88" spans="1:10">
      <c r="A88" s="84" t="s">
        <v>140</v>
      </c>
      <c r="B88" s="236" t="s">
        <v>197</v>
      </c>
      <c r="C88" s="237"/>
      <c r="D88" s="238"/>
      <c r="E88" s="106">
        <f>((5/30)/12)*1.5%</f>
        <v>2.0000000000000001E-4</v>
      </c>
      <c r="F88" s="87">
        <f t="shared" si="1"/>
        <v>0.41</v>
      </c>
    </row>
    <row r="89" spans="1:10">
      <c r="A89" s="84" t="s">
        <v>142</v>
      </c>
      <c r="B89" s="236" t="s">
        <v>198</v>
      </c>
      <c r="C89" s="237"/>
      <c r="D89" s="238"/>
      <c r="E89" s="106">
        <f>((15/365)*8%)</f>
        <v>3.3E-3</v>
      </c>
      <c r="F89" s="87">
        <f t="shared" si="1"/>
        <v>6.71</v>
      </c>
    </row>
    <row r="90" spans="1:10">
      <c r="A90" s="84" t="s">
        <v>144</v>
      </c>
      <c r="B90" s="236" t="s">
        <v>199</v>
      </c>
      <c r="C90" s="237"/>
      <c r="D90" s="238"/>
      <c r="E90" s="106">
        <f>(11.11%*2%*(4/12))</f>
        <v>6.9999999999999999E-4</v>
      </c>
      <c r="F90" s="87">
        <f t="shared" si="1"/>
        <v>1.42</v>
      </c>
    </row>
    <row r="91" spans="1:10">
      <c r="A91" s="84" t="s">
        <v>146</v>
      </c>
      <c r="B91" s="236" t="s">
        <v>200</v>
      </c>
      <c r="C91" s="237"/>
      <c r="D91" s="238"/>
      <c r="E91" s="106"/>
      <c r="F91" s="87">
        <f t="shared" si="1"/>
        <v>0</v>
      </c>
    </row>
    <row r="92" spans="1:10" s="63" customFormat="1">
      <c r="A92" s="233" t="s">
        <v>169</v>
      </c>
      <c r="B92" s="234"/>
      <c r="C92" s="234"/>
      <c r="D92" s="235"/>
      <c r="E92" s="111"/>
      <c r="F92" s="91">
        <f>SUM(F86:F91)</f>
        <v>183.55</v>
      </c>
      <c r="G92" s="60"/>
      <c r="H92" s="60"/>
      <c r="J92" s="117"/>
    </row>
    <row r="93" spans="1:10">
      <c r="A93" s="251" t="s">
        <v>201</v>
      </c>
      <c r="B93" s="252"/>
      <c r="C93" s="252"/>
      <c r="D93" s="252"/>
      <c r="E93" s="252"/>
      <c r="F93" s="254"/>
    </row>
    <row r="94" spans="1:10">
      <c r="A94" s="84" t="s">
        <v>202</v>
      </c>
      <c r="B94" s="251" t="s">
        <v>203</v>
      </c>
      <c r="C94" s="252"/>
      <c r="D94" s="253"/>
      <c r="E94" s="84"/>
      <c r="F94" s="85" t="s">
        <v>135</v>
      </c>
    </row>
    <row r="95" spans="1:10">
      <c r="A95" s="84" t="s">
        <v>136</v>
      </c>
      <c r="B95" s="236" t="s">
        <v>204</v>
      </c>
      <c r="C95" s="237"/>
      <c r="D95" s="238"/>
      <c r="E95" s="86"/>
      <c r="F95" s="87">
        <v>0</v>
      </c>
    </row>
    <row r="96" spans="1:10">
      <c r="A96" s="233" t="s">
        <v>62</v>
      </c>
      <c r="B96" s="234"/>
      <c r="C96" s="234"/>
      <c r="D96" s="235"/>
      <c r="E96" s="90"/>
      <c r="F96" s="91">
        <f>SUM(F95:F95)</f>
        <v>0</v>
      </c>
    </row>
    <row r="97" spans="1:10">
      <c r="A97" s="251" t="s">
        <v>205</v>
      </c>
      <c r="B97" s="252"/>
      <c r="C97" s="252"/>
      <c r="D97" s="252"/>
      <c r="E97" s="252"/>
      <c r="F97" s="254"/>
    </row>
    <row r="98" spans="1:10">
      <c r="A98" s="84">
        <v>4</v>
      </c>
      <c r="B98" s="251" t="s">
        <v>206</v>
      </c>
      <c r="C98" s="252"/>
      <c r="D98" s="253"/>
      <c r="E98" s="84"/>
      <c r="F98" s="85" t="s">
        <v>135</v>
      </c>
    </row>
    <row r="99" spans="1:10">
      <c r="A99" s="84" t="s">
        <v>194</v>
      </c>
      <c r="B99" s="236" t="s">
        <v>195</v>
      </c>
      <c r="C99" s="237"/>
      <c r="D99" s="238"/>
      <c r="E99" s="86"/>
      <c r="F99" s="87">
        <f>F92</f>
        <v>183.55</v>
      </c>
    </row>
    <row r="100" spans="1:10">
      <c r="A100" s="84" t="s">
        <v>202</v>
      </c>
      <c r="B100" s="236" t="s">
        <v>203</v>
      </c>
      <c r="C100" s="237"/>
      <c r="D100" s="238"/>
      <c r="E100" s="86"/>
      <c r="F100" s="87">
        <f>F96</f>
        <v>0</v>
      </c>
    </row>
    <row r="101" spans="1:10">
      <c r="A101" s="233" t="s">
        <v>62</v>
      </c>
      <c r="B101" s="234"/>
      <c r="C101" s="234"/>
      <c r="D101" s="235"/>
      <c r="E101" s="90"/>
      <c r="F101" s="91">
        <f>SUM(F99:F100)</f>
        <v>183.55</v>
      </c>
      <c r="J101" s="117"/>
    </row>
    <row r="103" spans="1:10">
      <c r="A103" s="251" t="s">
        <v>207</v>
      </c>
      <c r="B103" s="252"/>
      <c r="C103" s="252"/>
      <c r="D103" s="252"/>
      <c r="E103" s="252"/>
      <c r="F103" s="254"/>
    </row>
    <row r="104" spans="1:10">
      <c r="A104" s="84">
        <v>5</v>
      </c>
      <c r="B104" s="251" t="s">
        <v>208</v>
      </c>
      <c r="C104" s="252"/>
      <c r="D104" s="252"/>
      <c r="E104" s="253"/>
      <c r="F104" s="85" t="s">
        <v>135</v>
      </c>
    </row>
    <row r="105" spans="1:10">
      <c r="A105" s="112" t="s">
        <v>136</v>
      </c>
      <c r="B105" s="236" t="s">
        <v>209</v>
      </c>
      <c r="C105" s="237"/>
      <c r="D105" s="237"/>
      <c r="E105" s="238"/>
      <c r="F105" s="87">
        <f>'SEMSUR 4_Uniformes'!K66</f>
        <v>65.89</v>
      </c>
      <c r="H105" s="113"/>
    </row>
    <row r="106" spans="1:10">
      <c r="A106" s="84" t="s">
        <v>138</v>
      </c>
      <c r="B106" s="236" t="s">
        <v>210</v>
      </c>
      <c r="C106" s="237"/>
      <c r="D106" s="237"/>
      <c r="E106" s="238"/>
      <c r="F106" s="87">
        <f>'SEMSUR 4_EPI''s'!K65</f>
        <v>109.56</v>
      </c>
    </row>
    <row r="107" spans="1:10">
      <c r="A107" s="84" t="s">
        <v>140</v>
      </c>
      <c r="B107" s="236" t="s">
        <v>211</v>
      </c>
      <c r="C107" s="237"/>
      <c r="D107" s="237"/>
      <c r="E107" s="238"/>
      <c r="F107" s="87">
        <f>'SEMSUR 4_Materiais'!K26</f>
        <v>26.15</v>
      </c>
    </row>
    <row r="108" spans="1:10">
      <c r="A108" s="84" t="s">
        <v>142</v>
      </c>
      <c r="B108" s="236" t="s">
        <v>212</v>
      </c>
      <c r="C108" s="237"/>
      <c r="D108" s="237"/>
      <c r="E108" s="238"/>
      <c r="F108" s="87">
        <f>'SEMSUR 4_Equipamentos'!M30</f>
        <v>82.6</v>
      </c>
      <c r="H108" s="113"/>
    </row>
    <row r="109" spans="1:10">
      <c r="A109" s="233" t="s">
        <v>169</v>
      </c>
      <c r="B109" s="234"/>
      <c r="C109" s="234"/>
      <c r="D109" s="234"/>
      <c r="E109" s="235"/>
      <c r="F109" s="91">
        <f>SUM(F105:F108)</f>
        <v>284.2</v>
      </c>
      <c r="J109" s="117"/>
    </row>
    <row r="111" spans="1:10">
      <c r="A111" s="249" t="s">
        <v>213</v>
      </c>
      <c r="B111" s="249"/>
      <c r="C111" s="249"/>
      <c r="D111" s="249"/>
      <c r="E111" s="249"/>
      <c r="F111" s="250"/>
    </row>
    <row r="112" spans="1:10">
      <c r="A112" s="84">
        <v>6</v>
      </c>
      <c r="B112" s="251" t="s">
        <v>214</v>
      </c>
      <c r="C112" s="252"/>
      <c r="D112" s="253"/>
      <c r="E112" s="84" t="s">
        <v>152</v>
      </c>
      <c r="F112" s="85" t="s">
        <v>135</v>
      </c>
    </row>
    <row r="113" spans="1:10">
      <c r="A113" s="84" t="s">
        <v>136</v>
      </c>
      <c r="B113" s="236" t="s">
        <v>215</v>
      </c>
      <c r="C113" s="237"/>
      <c r="D113" s="238"/>
      <c r="E113" s="106">
        <v>0.05</v>
      </c>
      <c r="F113" s="87">
        <f>E113*F130</f>
        <v>236.39</v>
      </c>
    </row>
    <row r="114" spans="1:10">
      <c r="A114" s="84" t="s">
        <v>138</v>
      </c>
      <c r="B114" s="236" t="s">
        <v>216</v>
      </c>
      <c r="C114" s="237"/>
      <c r="D114" s="238"/>
      <c r="E114" s="106">
        <v>6.7900000000000002E-2</v>
      </c>
      <c r="F114" s="87">
        <f>E114*(F130+F113)</f>
        <v>337.07</v>
      </c>
    </row>
    <row r="115" spans="1:10">
      <c r="A115" s="84" t="s">
        <v>140</v>
      </c>
      <c r="B115" s="236" t="s">
        <v>217</v>
      </c>
      <c r="C115" s="237"/>
      <c r="D115" s="238"/>
      <c r="E115" s="106">
        <f>SUM(E116:E120)</f>
        <v>0.14249999999999999</v>
      </c>
      <c r="F115" s="87"/>
    </row>
    <row r="116" spans="1:10">
      <c r="A116" s="84"/>
      <c r="B116" s="236" t="s">
        <v>218</v>
      </c>
      <c r="C116" s="237"/>
      <c r="D116" s="238"/>
      <c r="E116" s="106"/>
      <c r="F116" s="87"/>
      <c r="H116" s="114"/>
    </row>
    <row r="117" spans="1:10">
      <c r="A117" s="84"/>
      <c r="B117" s="236" t="s">
        <v>219</v>
      </c>
      <c r="C117" s="237"/>
      <c r="D117" s="238"/>
      <c r="E117" s="106">
        <v>1.6500000000000001E-2</v>
      </c>
      <c r="F117" s="87">
        <f>E117*((F130+F113+F114)/(1-$E$115))</f>
        <v>102.01</v>
      </c>
      <c r="H117" s="244"/>
      <c r="J117" s="118"/>
    </row>
    <row r="118" spans="1:10">
      <c r="A118" s="84"/>
      <c r="B118" s="236" t="s">
        <v>220</v>
      </c>
      <c r="C118" s="237"/>
      <c r="D118" s="238"/>
      <c r="E118" s="106">
        <v>7.5999999999999998E-2</v>
      </c>
      <c r="F118" s="87">
        <f>E118*(($F$130+$F$113+$F$114)/(1-$E$115))</f>
        <v>469.84</v>
      </c>
      <c r="H118" s="244"/>
      <c r="J118" s="118"/>
    </row>
    <row r="119" spans="1:10" s="64" customFormat="1">
      <c r="A119" s="84"/>
      <c r="B119" s="236" t="s">
        <v>221</v>
      </c>
      <c r="C119" s="237"/>
      <c r="D119" s="238"/>
      <c r="E119" s="106"/>
      <c r="F119" s="87"/>
      <c r="H119" s="244"/>
      <c r="J119" s="119"/>
    </row>
    <row r="120" spans="1:10">
      <c r="A120" s="84"/>
      <c r="B120" s="236" t="s">
        <v>222</v>
      </c>
      <c r="C120" s="237"/>
      <c r="D120" s="238"/>
      <c r="E120" s="106">
        <v>0.05</v>
      </c>
      <c r="F120" s="87">
        <f>E120*(($F$130+$F$113+$F$114)/(1-$E$115))</f>
        <v>309.11</v>
      </c>
      <c r="H120" s="244"/>
      <c r="J120" s="118"/>
    </row>
    <row r="121" spans="1:10">
      <c r="A121" s="233" t="s">
        <v>169</v>
      </c>
      <c r="B121" s="234"/>
      <c r="C121" s="234"/>
      <c r="D121" s="235"/>
      <c r="E121" s="115"/>
      <c r="F121" s="91">
        <f>SUM(F113:F120)</f>
        <v>1454.42</v>
      </c>
      <c r="J121" s="117"/>
    </row>
    <row r="123" spans="1:10">
      <c r="A123" s="242" t="s">
        <v>223</v>
      </c>
      <c r="B123" s="242"/>
      <c r="C123" s="242"/>
      <c r="D123" s="242"/>
      <c r="E123" s="242"/>
      <c r="F123" s="245"/>
    </row>
    <row r="124" spans="1:10">
      <c r="A124" s="68"/>
      <c r="B124" s="246" t="s">
        <v>224</v>
      </c>
      <c r="C124" s="247"/>
      <c r="D124" s="247"/>
      <c r="E124" s="248"/>
      <c r="F124" s="116" t="s">
        <v>135</v>
      </c>
    </row>
    <row r="125" spans="1:10">
      <c r="A125" s="84" t="s">
        <v>136</v>
      </c>
      <c r="B125" s="236" t="s">
        <v>133</v>
      </c>
      <c r="C125" s="237"/>
      <c r="D125" s="237"/>
      <c r="E125" s="238"/>
      <c r="F125" s="87">
        <f>F33</f>
        <v>2032.6</v>
      </c>
      <c r="H125" s="109"/>
    </row>
    <row r="126" spans="1:10">
      <c r="A126" s="84" t="s">
        <v>138</v>
      </c>
      <c r="B126" s="236" t="s">
        <v>148</v>
      </c>
      <c r="C126" s="237"/>
      <c r="D126" s="237"/>
      <c r="E126" s="238"/>
      <c r="F126" s="87">
        <f>F71</f>
        <v>2077.46</v>
      </c>
    </row>
    <row r="127" spans="1:10">
      <c r="A127" s="84" t="s">
        <v>140</v>
      </c>
      <c r="B127" s="236" t="s">
        <v>184</v>
      </c>
      <c r="C127" s="237"/>
      <c r="D127" s="237"/>
      <c r="E127" s="238"/>
      <c r="F127" s="87">
        <f>F81</f>
        <v>149.94</v>
      </c>
    </row>
    <row r="128" spans="1:10">
      <c r="A128" s="84" t="s">
        <v>142</v>
      </c>
      <c r="B128" s="236" t="s">
        <v>192</v>
      </c>
      <c r="C128" s="237"/>
      <c r="D128" s="237"/>
      <c r="E128" s="238"/>
      <c r="F128" s="87">
        <f>F101</f>
        <v>183.55</v>
      </c>
      <c r="H128" s="109"/>
    </row>
    <row r="129" spans="1:10">
      <c r="A129" s="84" t="s">
        <v>144</v>
      </c>
      <c r="B129" s="236" t="s">
        <v>207</v>
      </c>
      <c r="C129" s="237"/>
      <c r="D129" s="237"/>
      <c r="E129" s="238"/>
      <c r="F129" s="87">
        <f>F109</f>
        <v>284.2</v>
      </c>
      <c r="H129" s="109"/>
    </row>
    <row r="130" spans="1:10">
      <c r="A130" s="233" t="s">
        <v>225</v>
      </c>
      <c r="B130" s="234"/>
      <c r="C130" s="234"/>
      <c r="D130" s="234"/>
      <c r="E130" s="235"/>
      <c r="F130" s="91">
        <f>SUM(F125:F129)</f>
        <v>4727.75</v>
      </c>
      <c r="I130" s="113"/>
      <c r="J130" s="113"/>
    </row>
    <row r="131" spans="1:10">
      <c r="A131" s="84" t="s">
        <v>146</v>
      </c>
      <c r="B131" s="236" t="s">
        <v>226</v>
      </c>
      <c r="C131" s="237"/>
      <c r="D131" s="237"/>
      <c r="E131" s="238"/>
      <c r="F131" s="87">
        <f>F121</f>
        <v>1454.42</v>
      </c>
    </row>
    <row r="132" spans="1:10">
      <c r="A132" s="239" t="s">
        <v>227</v>
      </c>
      <c r="B132" s="240"/>
      <c r="C132" s="240"/>
      <c r="D132" s="240"/>
      <c r="E132" s="241"/>
      <c r="F132" s="120">
        <f>SUM(F130:F131)</f>
        <v>6182.17</v>
      </c>
      <c r="H132" s="109"/>
    </row>
    <row r="134" spans="1:10" s="65" customFormat="1">
      <c r="A134" s="242" t="s">
        <v>228</v>
      </c>
      <c r="B134" s="242"/>
      <c r="C134" s="242"/>
      <c r="D134" s="242"/>
      <c r="E134" s="242"/>
      <c r="F134" s="242"/>
      <c r="G134" s="121"/>
      <c r="H134" s="121"/>
      <c r="I134" s="121"/>
    </row>
    <row r="135" spans="1:10" s="65" customFormat="1" ht="38.25">
      <c r="A135" s="68" t="s">
        <v>229</v>
      </c>
      <c r="B135" s="68" t="s">
        <v>230</v>
      </c>
      <c r="C135" s="68" t="s">
        <v>231</v>
      </c>
      <c r="D135" s="68" t="s">
        <v>232</v>
      </c>
      <c r="E135" s="68" t="s">
        <v>233</v>
      </c>
      <c r="F135" s="122" t="s">
        <v>234</v>
      </c>
    </row>
    <row r="136" spans="1:10" s="65" customFormat="1" ht="45" customHeight="1">
      <c r="A136" s="123" t="str">
        <f>A15</f>
        <v>Jardineiro: 44 h</v>
      </c>
      <c r="B136" s="124">
        <f>F132</f>
        <v>6182.17</v>
      </c>
      <c r="C136" s="125">
        <v>1</v>
      </c>
      <c r="D136" s="124">
        <f>B136*C136</f>
        <v>6182.17</v>
      </c>
      <c r="E136" s="86">
        <f>F15</f>
        <v>1</v>
      </c>
      <c r="F136" s="124">
        <f>D136*E136</f>
        <v>6182.17</v>
      </c>
    </row>
    <row r="137" spans="1:10" s="65" customFormat="1" ht="21" customHeight="1">
      <c r="A137" s="233" t="s">
        <v>235</v>
      </c>
      <c r="B137" s="234"/>
      <c r="C137" s="234"/>
      <c r="D137" s="234"/>
      <c r="E137" s="235"/>
      <c r="F137" s="126">
        <f>SUM(F136)</f>
        <v>6182.17</v>
      </c>
    </row>
    <row r="138" spans="1:10" s="65" customFormat="1" ht="21" customHeight="1">
      <c r="A138" s="239" t="s">
        <v>236</v>
      </c>
      <c r="B138" s="240"/>
      <c r="C138" s="240"/>
      <c r="D138" s="240"/>
      <c r="E138" s="241"/>
      <c r="F138" s="127">
        <f>F137*F11</f>
        <v>74186.039999999994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K67"/>
  <sheetViews>
    <sheetView view="pageBreakPreview" topLeftCell="A23" zoomScale="70" zoomScaleNormal="70" workbookViewId="0">
      <selection activeCell="E54" sqref="E54:J63"/>
    </sheetView>
  </sheetViews>
  <sheetFormatPr defaultColWidth="9.140625" defaultRowHeight="12.75"/>
  <cols>
    <col min="1" max="1" width="5" style="38" customWidth="1"/>
    <col min="2" max="2" width="23.28515625" style="46" customWidth="1"/>
    <col min="3" max="3" width="9.7109375" style="38" customWidth="1"/>
    <col min="4" max="4" width="12.42578125" style="38" customWidth="1"/>
    <col min="5" max="9" width="32.42578125" style="1" customWidth="1"/>
    <col min="10" max="10" width="18.5703125" style="1" customWidth="1"/>
    <col min="11" max="11" width="20.28515625" style="1" customWidth="1"/>
    <col min="12" max="13" width="12.28515625" style="1" customWidth="1"/>
    <col min="14" max="16384" width="9.140625" style="1"/>
  </cols>
  <sheetData>
    <row r="1" spans="1:11" ht="18">
      <c r="A1" s="309" t="str">
        <f>'SEMSUR_TOTALIZADOR GERAL'!A1</f>
        <v>SEMSUR</v>
      </c>
      <c r="B1" s="309"/>
      <c r="C1" s="309"/>
      <c r="D1" s="309"/>
      <c r="E1" s="309"/>
      <c r="F1" s="309"/>
      <c r="G1" s="309"/>
      <c r="H1" s="309"/>
      <c r="I1" s="309"/>
      <c r="J1" s="309"/>
      <c r="K1" s="309"/>
    </row>
    <row r="2" spans="1:11" ht="18">
      <c r="A2" s="310" t="s">
        <v>253</v>
      </c>
      <c r="B2" s="309"/>
      <c r="C2" s="309"/>
      <c r="D2" s="309"/>
      <c r="E2" s="309"/>
      <c r="F2" s="309"/>
      <c r="G2" s="309"/>
      <c r="H2" s="309"/>
      <c r="I2" s="309"/>
      <c r="J2" s="309"/>
      <c r="K2" s="309"/>
    </row>
    <row r="3" spans="1:11">
      <c r="F3" s="55"/>
      <c r="G3" s="55"/>
      <c r="H3" s="55"/>
      <c r="I3" s="55"/>
      <c r="J3" s="55"/>
      <c r="K3" s="55"/>
    </row>
    <row r="4" spans="1:11">
      <c r="A4" s="311" t="s">
        <v>254</v>
      </c>
      <c r="B4" s="312"/>
      <c r="C4" s="312"/>
      <c r="D4" s="312"/>
      <c r="E4" s="312"/>
      <c r="F4" s="312"/>
      <c r="G4" s="312"/>
      <c r="H4" s="312"/>
      <c r="I4" s="312"/>
      <c r="J4" s="312"/>
      <c r="K4" s="313"/>
    </row>
    <row r="5" spans="1:11">
      <c r="A5" s="289" t="s">
        <v>255</v>
      </c>
      <c r="B5" s="289" t="s">
        <v>256</v>
      </c>
      <c r="C5" s="289" t="s">
        <v>257</v>
      </c>
      <c r="D5" s="289" t="s">
        <v>258</v>
      </c>
      <c r="E5" s="302" t="s">
        <v>259</v>
      </c>
      <c r="F5" s="302"/>
      <c r="G5" s="302"/>
      <c r="H5" s="302"/>
      <c r="I5" s="302"/>
      <c r="J5" s="302"/>
      <c r="K5" s="282" t="s">
        <v>260</v>
      </c>
    </row>
    <row r="6" spans="1:11" ht="38.25">
      <c r="A6" s="289"/>
      <c r="B6" s="289"/>
      <c r="C6" s="289"/>
      <c r="D6" s="289"/>
      <c r="E6" s="35" t="s">
        <v>261</v>
      </c>
      <c r="F6" s="35" t="s">
        <v>262</v>
      </c>
      <c r="G6" s="35" t="s">
        <v>263</v>
      </c>
      <c r="H6" s="35" t="s">
        <v>264</v>
      </c>
      <c r="I6" s="35" t="s">
        <v>265</v>
      </c>
      <c r="J6" s="34" t="s">
        <v>266</v>
      </c>
      <c r="K6" s="283"/>
    </row>
    <row r="7" spans="1:11" ht="51">
      <c r="A7" s="291">
        <v>1</v>
      </c>
      <c r="B7" s="292" t="s">
        <v>267</v>
      </c>
      <c r="C7" s="291" t="s">
        <v>257</v>
      </c>
      <c r="D7" s="291">
        <f t="shared" ref="D7:D11" si="0">12/3</f>
        <v>4</v>
      </c>
      <c r="E7" s="6" t="s">
        <v>268</v>
      </c>
      <c r="F7" s="6" t="s">
        <v>269</v>
      </c>
      <c r="G7" s="6" t="s">
        <v>270</v>
      </c>
      <c r="H7" s="6" t="s">
        <v>271</v>
      </c>
      <c r="I7" s="6" t="s">
        <v>272</v>
      </c>
      <c r="J7" s="281">
        <f t="shared" ref="J7:J11" si="1">AVERAGE(E8:I8)</f>
        <v>28.37</v>
      </c>
      <c r="K7" s="281">
        <f t="shared" ref="K7:K11" si="2">D7*J7</f>
        <v>113.48</v>
      </c>
    </row>
    <row r="8" spans="1:11">
      <c r="A8" s="291"/>
      <c r="B8" s="292"/>
      <c r="C8" s="291"/>
      <c r="D8" s="291"/>
      <c r="E8" s="7">
        <v>29.61</v>
      </c>
      <c r="F8" s="7">
        <v>29.85</v>
      </c>
      <c r="G8" s="7">
        <v>25.5</v>
      </c>
      <c r="H8" s="7">
        <v>28.88</v>
      </c>
      <c r="I8" s="7">
        <v>28</v>
      </c>
      <c r="J8" s="281"/>
      <c r="K8" s="281"/>
    </row>
    <row r="9" spans="1:11" ht="38.25">
      <c r="A9" s="291">
        <v>2</v>
      </c>
      <c r="B9" s="292" t="s">
        <v>273</v>
      </c>
      <c r="C9" s="291" t="s">
        <v>257</v>
      </c>
      <c r="D9" s="291">
        <f t="shared" si="0"/>
        <v>4</v>
      </c>
      <c r="E9" s="7" t="s">
        <v>274</v>
      </c>
      <c r="F9" s="6" t="s">
        <v>275</v>
      </c>
      <c r="G9" s="7" t="s">
        <v>276</v>
      </c>
      <c r="H9" s="7" t="s">
        <v>277</v>
      </c>
      <c r="I9" s="7" t="s">
        <v>278</v>
      </c>
      <c r="J9" s="281">
        <f t="shared" si="1"/>
        <v>73</v>
      </c>
      <c r="K9" s="281">
        <f t="shared" si="2"/>
        <v>292</v>
      </c>
    </row>
    <row r="10" spans="1:11">
      <c r="A10" s="291"/>
      <c r="B10" s="292"/>
      <c r="C10" s="291"/>
      <c r="D10" s="291"/>
      <c r="E10" s="7">
        <v>75</v>
      </c>
      <c r="F10" s="7">
        <v>70</v>
      </c>
      <c r="G10" s="7">
        <v>69</v>
      </c>
      <c r="H10" s="7">
        <v>72</v>
      </c>
      <c r="I10" s="7">
        <v>79</v>
      </c>
      <c r="J10" s="281"/>
      <c r="K10" s="281"/>
    </row>
    <row r="11" spans="1:11" ht="38.25">
      <c r="A11" s="291">
        <v>3</v>
      </c>
      <c r="B11" s="292" t="s">
        <v>279</v>
      </c>
      <c r="C11" s="291" t="s">
        <v>280</v>
      </c>
      <c r="D11" s="291">
        <f t="shared" si="0"/>
        <v>4</v>
      </c>
      <c r="E11" s="6" t="s">
        <v>268</v>
      </c>
      <c r="F11" s="7" t="s">
        <v>281</v>
      </c>
      <c r="G11" s="7" t="s">
        <v>282</v>
      </c>
      <c r="H11" s="7"/>
      <c r="I11" s="7"/>
      <c r="J11" s="281">
        <f t="shared" si="1"/>
        <v>8.0500000000000007</v>
      </c>
      <c r="K11" s="281">
        <f t="shared" si="2"/>
        <v>32.200000000000003</v>
      </c>
    </row>
    <row r="12" spans="1:11">
      <c r="A12" s="291"/>
      <c r="B12" s="292"/>
      <c r="C12" s="291"/>
      <c r="D12" s="291"/>
      <c r="E12" s="7">
        <v>10.65</v>
      </c>
      <c r="F12" s="7">
        <v>8.5</v>
      </c>
      <c r="G12" s="7">
        <v>5</v>
      </c>
      <c r="H12" s="7"/>
      <c r="I12" s="7"/>
      <c r="J12" s="281"/>
      <c r="K12" s="281"/>
    </row>
    <row r="13" spans="1:11" ht="38.25">
      <c r="A13" s="291">
        <v>4</v>
      </c>
      <c r="B13" s="292" t="s">
        <v>283</v>
      </c>
      <c r="C13" s="291" t="s">
        <v>257</v>
      </c>
      <c r="D13" s="291">
        <f>12/6</f>
        <v>2</v>
      </c>
      <c r="E13" s="6" t="s">
        <v>284</v>
      </c>
      <c r="F13" s="7" t="s">
        <v>276</v>
      </c>
      <c r="G13" s="7" t="s">
        <v>285</v>
      </c>
      <c r="H13" s="7"/>
      <c r="I13" s="7"/>
      <c r="J13" s="281">
        <f>AVERAGE(E14:I14)</f>
        <v>73.94</v>
      </c>
      <c r="K13" s="281">
        <f>D13*J13</f>
        <v>147.88</v>
      </c>
    </row>
    <row r="14" spans="1:11">
      <c r="A14" s="291"/>
      <c r="B14" s="292"/>
      <c r="C14" s="291"/>
      <c r="D14" s="291"/>
      <c r="E14" s="7">
        <v>76</v>
      </c>
      <c r="F14" s="7">
        <v>66.989999999999995</v>
      </c>
      <c r="G14" s="7">
        <v>78.84</v>
      </c>
      <c r="H14" s="19"/>
      <c r="I14" s="19"/>
      <c r="J14" s="281"/>
      <c r="K14" s="281"/>
    </row>
    <row r="15" spans="1:11">
      <c r="A15" s="1"/>
      <c r="B15" s="1"/>
      <c r="C15" s="1"/>
      <c r="D15" s="1"/>
      <c r="F15" s="303" t="s">
        <v>286</v>
      </c>
      <c r="G15" s="303"/>
      <c r="H15" s="303"/>
      <c r="I15" s="303"/>
      <c r="J15" s="303"/>
      <c r="K15" s="43">
        <f>SUM(K7:K14)</f>
        <v>585.55999999999995</v>
      </c>
    </row>
    <row r="16" spans="1:11">
      <c r="B16" s="39"/>
      <c r="C16" s="39"/>
      <c r="D16" s="39"/>
      <c r="E16" s="39"/>
      <c r="F16" s="304" t="s">
        <v>287</v>
      </c>
      <c r="G16" s="304"/>
      <c r="H16" s="304"/>
      <c r="I16" s="304"/>
      <c r="J16" s="304"/>
      <c r="K16" s="44">
        <v>12</v>
      </c>
    </row>
    <row r="17" spans="1:11">
      <c r="A17" s="40"/>
      <c r="B17" s="41"/>
      <c r="C17" s="40"/>
      <c r="D17" s="40"/>
      <c r="E17" s="42"/>
      <c r="F17" s="305" t="s">
        <v>288</v>
      </c>
      <c r="G17" s="305"/>
      <c r="H17" s="305"/>
      <c r="I17" s="305"/>
      <c r="J17" s="305"/>
      <c r="K17" s="45">
        <f>K15/K16</f>
        <v>48.8</v>
      </c>
    </row>
    <row r="18" spans="1:11">
      <c r="E18" s="49"/>
      <c r="F18" s="49"/>
      <c r="G18" s="49"/>
      <c r="H18" s="49"/>
      <c r="I18" s="49"/>
      <c r="J18" s="53"/>
      <c r="K18" s="53"/>
    </row>
    <row r="19" spans="1:11" customFormat="1" ht="15">
      <c r="A19" s="311" t="s">
        <v>289</v>
      </c>
      <c r="B19" s="312"/>
      <c r="C19" s="312"/>
      <c r="D19" s="312"/>
      <c r="E19" s="312"/>
      <c r="F19" s="312"/>
      <c r="G19" s="312"/>
      <c r="H19" s="312"/>
      <c r="I19" s="312"/>
      <c r="J19" s="312"/>
      <c r="K19" s="313"/>
    </row>
    <row r="20" spans="1:11" customFormat="1" ht="15">
      <c r="A20" s="289" t="s">
        <v>255</v>
      </c>
      <c r="B20" s="289" t="s">
        <v>256</v>
      </c>
      <c r="C20" s="289" t="s">
        <v>257</v>
      </c>
      <c r="D20" s="289" t="s">
        <v>258</v>
      </c>
      <c r="E20" s="302" t="s">
        <v>259</v>
      </c>
      <c r="F20" s="302"/>
      <c r="G20" s="302"/>
      <c r="H20" s="302"/>
      <c r="I20" s="302"/>
      <c r="J20" s="302"/>
      <c r="K20" s="282" t="s">
        <v>260</v>
      </c>
    </row>
    <row r="21" spans="1:11" customFormat="1" ht="38.25">
      <c r="A21" s="289"/>
      <c r="B21" s="289"/>
      <c r="C21" s="289"/>
      <c r="D21" s="289"/>
      <c r="E21" s="35" t="s">
        <v>261</v>
      </c>
      <c r="F21" s="35" t="s">
        <v>262</v>
      </c>
      <c r="G21" s="35" t="s">
        <v>263</v>
      </c>
      <c r="H21" s="35" t="s">
        <v>264</v>
      </c>
      <c r="I21" s="35" t="s">
        <v>265</v>
      </c>
      <c r="J21" s="34" t="s">
        <v>266</v>
      </c>
      <c r="K21" s="283"/>
    </row>
    <row r="22" spans="1:11" customFormat="1" ht="38.25">
      <c r="A22" s="291">
        <v>1</v>
      </c>
      <c r="B22" s="293" t="s">
        <v>290</v>
      </c>
      <c r="C22" s="291" t="s">
        <v>257</v>
      </c>
      <c r="D22" s="291">
        <f t="shared" ref="D22:D26" si="3">12/3</f>
        <v>4</v>
      </c>
      <c r="E22" s="6" t="s">
        <v>274</v>
      </c>
      <c r="F22" s="7" t="s">
        <v>291</v>
      </c>
      <c r="G22" s="7" t="s">
        <v>292</v>
      </c>
      <c r="H22" s="7" t="s">
        <v>293</v>
      </c>
      <c r="I22" s="7"/>
      <c r="J22" s="281">
        <f t="shared" ref="J22:J26" si="4">AVERAGE(E23:I23)</f>
        <v>33.06</v>
      </c>
      <c r="K22" s="281">
        <f t="shared" ref="K22:K26" si="5">D22*J22</f>
        <v>132.24</v>
      </c>
    </row>
    <row r="23" spans="1:11" customFormat="1" ht="15">
      <c r="A23" s="291"/>
      <c r="B23" s="294"/>
      <c r="C23" s="291"/>
      <c r="D23" s="291"/>
      <c r="E23" s="56">
        <v>28</v>
      </c>
      <c r="F23" s="56">
        <v>34.4</v>
      </c>
      <c r="G23" s="56">
        <v>34.619999999999997</v>
      </c>
      <c r="H23" s="56">
        <v>35.200000000000003</v>
      </c>
      <c r="I23" s="56"/>
      <c r="J23" s="281"/>
      <c r="K23" s="281"/>
    </row>
    <row r="24" spans="1:11" customFormat="1" ht="38.25">
      <c r="A24" s="291">
        <v>2</v>
      </c>
      <c r="B24" s="292" t="s">
        <v>273</v>
      </c>
      <c r="C24" s="291" t="s">
        <v>257</v>
      </c>
      <c r="D24" s="291">
        <f t="shared" si="3"/>
        <v>4</v>
      </c>
      <c r="E24" s="7" t="s">
        <v>274</v>
      </c>
      <c r="F24" s="6" t="s">
        <v>275</v>
      </c>
      <c r="G24" s="7" t="s">
        <v>276</v>
      </c>
      <c r="H24" s="7" t="s">
        <v>277</v>
      </c>
      <c r="I24" s="7" t="s">
        <v>278</v>
      </c>
      <c r="J24" s="281">
        <f t="shared" si="4"/>
        <v>73</v>
      </c>
      <c r="K24" s="281">
        <f t="shared" si="5"/>
        <v>292</v>
      </c>
    </row>
    <row r="25" spans="1:11" customFormat="1" ht="15">
      <c r="A25" s="291"/>
      <c r="B25" s="292"/>
      <c r="C25" s="291"/>
      <c r="D25" s="291"/>
      <c r="E25" s="7">
        <v>75</v>
      </c>
      <c r="F25" s="7">
        <v>70</v>
      </c>
      <c r="G25" s="7">
        <v>69</v>
      </c>
      <c r="H25" s="7">
        <v>72</v>
      </c>
      <c r="I25" s="7">
        <v>79</v>
      </c>
      <c r="J25" s="281"/>
      <c r="K25" s="281"/>
    </row>
    <row r="26" spans="1:11" customFormat="1" ht="38.25">
      <c r="A26" s="291">
        <v>3</v>
      </c>
      <c r="B26" s="292" t="s">
        <v>279</v>
      </c>
      <c r="C26" s="291" t="s">
        <v>280</v>
      </c>
      <c r="D26" s="291">
        <f t="shared" si="3"/>
        <v>4</v>
      </c>
      <c r="E26" s="6" t="s">
        <v>268</v>
      </c>
      <c r="F26" s="7" t="s">
        <v>281</v>
      </c>
      <c r="G26" s="7" t="s">
        <v>282</v>
      </c>
      <c r="H26" s="7"/>
      <c r="I26" s="7"/>
      <c r="J26" s="281">
        <f t="shared" si="4"/>
        <v>8.0500000000000007</v>
      </c>
      <c r="K26" s="281">
        <f t="shared" si="5"/>
        <v>32.200000000000003</v>
      </c>
    </row>
    <row r="27" spans="1:11" customFormat="1" ht="15">
      <c r="A27" s="291"/>
      <c r="B27" s="292"/>
      <c r="C27" s="291"/>
      <c r="D27" s="291"/>
      <c r="E27" s="7">
        <v>10.65</v>
      </c>
      <c r="F27" s="7">
        <v>8.5</v>
      </c>
      <c r="G27" s="7">
        <v>5</v>
      </c>
      <c r="H27" s="7"/>
      <c r="I27" s="7"/>
      <c r="J27" s="281"/>
      <c r="K27" s="281"/>
    </row>
    <row r="28" spans="1:11" customFormat="1" ht="38.25">
      <c r="A28" s="291">
        <v>4</v>
      </c>
      <c r="B28" s="292" t="s">
        <v>283</v>
      </c>
      <c r="C28" s="291" t="s">
        <v>257</v>
      </c>
      <c r="D28" s="291">
        <f>12/6</f>
        <v>2</v>
      </c>
      <c r="E28" s="6" t="s">
        <v>284</v>
      </c>
      <c r="F28" s="7" t="s">
        <v>276</v>
      </c>
      <c r="G28" s="7" t="s">
        <v>285</v>
      </c>
      <c r="H28" s="7"/>
      <c r="I28" s="7"/>
      <c r="J28" s="281">
        <f>AVERAGE(E29:I29)</f>
        <v>73.94</v>
      </c>
      <c r="K28" s="281">
        <f>D28*J28</f>
        <v>147.88</v>
      </c>
    </row>
    <row r="29" spans="1:11" customFormat="1" ht="15">
      <c r="A29" s="291"/>
      <c r="B29" s="292"/>
      <c r="C29" s="291"/>
      <c r="D29" s="291"/>
      <c r="E29" s="7">
        <v>76</v>
      </c>
      <c r="F29" s="7">
        <v>66.989999999999995</v>
      </c>
      <c r="G29" s="7">
        <v>78.84</v>
      </c>
      <c r="H29" s="19"/>
      <c r="I29" s="19"/>
      <c r="J29" s="281"/>
      <c r="K29" s="281"/>
    </row>
    <row r="30" spans="1:11" customFormat="1" ht="15">
      <c r="A30" s="1"/>
      <c r="B30" s="1"/>
      <c r="C30" s="1"/>
      <c r="D30" s="1"/>
      <c r="E30" s="1"/>
      <c r="F30" s="303" t="s">
        <v>286</v>
      </c>
      <c r="G30" s="303"/>
      <c r="H30" s="303"/>
      <c r="I30" s="303"/>
      <c r="J30" s="303"/>
      <c r="K30" s="43">
        <f>SUM(K22:K29)</f>
        <v>604.32000000000005</v>
      </c>
    </row>
    <row r="31" spans="1:11" customFormat="1" ht="15">
      <c r="A31" s="38"/>
      <c r="B31" s="39"/>
      <c r="C31" s="39"/>
      <c r="D31" s="39"/>
      <c r="E31" s="39"/>
      <c r="F31" s="304" t="s">
        <v>287</v>
      </c>
      <c r="G31" s="304"/>
      <c r="H31" s="304"/>
      <c r="I31" s="304"/>
      <c r="J31" s="304"/>
      <c r="K31" s="44">
        <v>12</v>
      </c>
    </row>
    <row r="32" spans="1:11" customFormat="1" ht="15">
      <c r="A32" s="40"/>
      <c r="B32" s="41"/>
      <c r="C32" s="40"/>
      <c r="D32" s="40"/>
      <c r="E32" s="42"/>
      <c r="F32" s="305" t="s">
        <v>288</v>
      </c>
      <c r="G32" s="305"/>
      <c r="H32" s="305"/>
      <c r="I32" s="305"/>
      <c r="J32" s="305"/>
      <c r="K32" s="45">
        <f>K30/K31</f>
        <v>50.36</v>
      </c>
    </row>
    <row r="33" spans="1:11" customFormat="1" ht="15">
      <c r="A33" s="1"/>
      <c r="B33" s="1"/>
      <c r="C33" s="1"/>
      <c r="D33" s="1"/>
      <c r="E33" s="1"/>
      <c r="F33" s="1"/>
      <c r="G33" s="1"/>
      <c r="H33" s="1"/>
      <c r="I33" s="1"/>
      <c r="J33" s="1"/>
      <c r="K33" s="1"/>
    </row>
    <row r="34" spans="1:11">
      <c r="A34" s="289" t="s">
        <v>294</v>
      </c>
      <c r="B34" s="289"/>
      <c r="C34" s="289"/>
      <c r="D34" s="289"/>
      <c r="E34" s="289"/>
      <c r="F34" s="289"/>
      <c r="G34" s="289"/>
      <c r="H34" s="289"/>
      <c r="I34" s="289"/>
      <c r="J34" s="289"/>
      <c r="K34" s="35"/>
    </row>
    <row r="35" spans="1:11">
      <c r="A35" s="289" t="s">
        <v>255</v>
      </c>
      <c r="B35" s="289" t="s">
        <v>256</v>
      </c>
      <c r="C35" s="289" t="s">
        <v>257</v>
      </c>
      <c r="D35" s="289" t="s">
        <v>258</v>
      </c>
      <c r="E35" s="302" t="s">
        <v>259</v>
      </c>
      <c r="F35" s="302"/>
      <c r="G35" s="302"/>
      <c r="H35" s="302"/>
      <c r="I35" s="302"/>
      <c r="J35" s="302"/>
      <c r="K35" s="282" t="s">
        <v>260</v>
      </c>
    </row>
    <row r="36" spans="1:11" ht="38.25">
      <c r="A36" s="289"/>
      <c r="B36" s="289"/>
      <c r="C36" s="289"/>
      <c r="D36" s="289"/>
      <c r="E36" s="35" t="s">
        <v>261</v>
      </c>
      <c r="F36" s="35" t="s">
        <v>262</v>
      </c>
      <c r="G36" s="35" t="s">
        <v>263</v>
      </c>
      <c r="H36" s="35" t="s">
        <v>264</v>
      </c>
      <c r="I36" s="35" t="s">
        <v>265</v>
      </c>
      <c r="J36" s="34" t="s">
        <v>266</v>
      </c>
      <c r="K36" s="283"/>
    </row>
    <row r="37" spans="1:11" ht="51">
      <c r="A37" s="306">
        <v>1</v>
      </c>
      <c r="B37" s="293" t="s">
        <v>295</v>
      </c>
      <c r="C37" s="284" t="s">
        <v>257</v>
      </c>
      <c r="D37" s="284">
        <f>12/3</f>
        <v>4</v>
      </c>
      <c r="E37" s="7" t="s">
        <v>296</v>
      </c>
      <c r="F37" s="6" t="s">
        <v>297</v>
      </c>
      <c r="G37" s="21" t="s">
        <v>268</v>
      </c>
      <c r="H37" s="21" t="s">
        <v>298</v>
      </c>
      <c r="I37" s="21" t="s">
        <v>272</v>
      </c>
      <c r="J37" s="281">
        <f t="shared" ref="J37:J41" si="6">AVERAGE(E38:I38)</f>
        <v>59.23</v>
      </c>
      <c r="K37" s="281">
        <f t="shared" ref="K37:K41" si="7">D37*J37</f>
        <v>236.92</v>
      </c>
    </row>
    <row r="38" spans="1:11">
      <c r="A38" s="307"/>
      <c r="B38" s="294"/>
      <c r="C38" s="285"/>
      <c r="D38" s="285"/>
      <c r="E38" s="7">
        <v>65</v>
      </c>
      <c r="F38" s="7">
        <v>60</v>
      </c>
      <c r="G38" s="7">
        <v>57.28</v>
      </c>
      <c r="H38" s="7">
        <v>59.9</v>
      </c>
      <c r="I38" s="7">
        <v>53.99</v>
      </c>
      <c r="J38" s="281"/>
      <c r="K38" s="281"/>
    </row>
    <row r="39" spans="1:11" ht="51">
      <c r="A39" s="308">
        <v>2</v>
      </c>
      <c r="B39" s="295" t="s">
        <v>299</v>
      </c>
      <c r="C39" s="290" t="s">
        <v>257</v>
      </c>
      <c r="D39" s="290">
        <v>2</v>
      </c>
      <c r="E39" s="7" t="s">
        <v>268</v>
      </c>
      <c r="F39" s="6" t="s">
        <v>300</v>
      </c>
      <c r="G39" s="21" t="s">
        <v>301</v>
      </c>
      <c r="H39" s="21" t="s">
        <v>302</v>
      </c>
      <c r="I39" s="21" t="s">
        <v>303</v>
      </c>
      <c r="J39" s="281">
        <f t="shared" si="6"/>
        <v>72.5</v>
      </c>
      <c r="K39" s="281">
        <f t="shared" si="7"/>
        <v>145</v>
      </c>
    </row>
    <row r="40" spans="1:11">
      <c r="A40" s="307"/>
      <c r="B40" s="294"/>
      <c r="C40" s="285"/>
      <c r="D40" s="285"/>
      <c r="E40" s="7">
        <v>64</v>
      </c>
      <c r="F40" s="7">
        <v>73.7</v>
      </c>
      <c r="G40" s="7">
        <v>79.8</v>
      </c>
      <c r="H40" s="7">
        <v>75</v>
      </c>
      <c r="I40" s="7">
        <v>70</v>
      </c>
      <c r="J40" s="281"/>
      <c r="K40" s="281"/>
    </row>
    <row r="41" spans="1:11" ht="51">
      <c r="A41" s="308">
        <v>3</v>
      </c>
      <c r="B41" s="295" t="s">
        <v>304</v>
      </c>
      <c r="C41" s="290" t="s">
        <v>257</v>
      </c>
      <c r="D41" s="290">
        <v>1</v>
      </c>
      <c r="E41" s="6" t="s">
        <v>305</v>
      </c>
      <c r="F41" s="7" t="s">
        <v>306</v>
      </c>
      <c r="G41" s="6" t="s">
        <v>307</v>
      </c>
      <c r="H41" s="6" t="s">
        <v>308</v>
      </c>
      <c r="I41" s="6"/>
      <c r="J41" s="281">
        <f t="shared" si="6"/>
        <v>32.22</v>
      </c>
      <c r="K41" s="281">
        <f t="shared" si="7"/>
        <v>32.22</v>
      </c>
    </row>
    <row r="42" spans="1:11">
      <c r="A42" s="307"/>
      <c r="B42" s="294"/>
      <c r="C42" s="285"/>
      <c r="D42" s="285"/>
      <c r="E42" s="7">
        <v>31.9</v>
      </c>
      <c r="F42" s="7">
        <v>33</v>
      </c>
      <c r="G42" s="7">
        <v>29</v>
      </c>
      <c r="H42" s="7">
        <v>34.979999999999997</v>
      </c>
      <c r="I42" s="7"/>
      <c r="J42" s="281"/>
      <c r="K42" s="281"/>
    </row>
    <row r="43" spans="1:11" ht="38.25">
      <c r="A43" s="308">
        <v>4</v>
      </c>
      <c r="B43" s="295" t="s">
        <v>309</v>
      </c>
      <c r="C43" s="290" t="s">
        <v>280</v>
      </c>
      <c r="D43" s="290">
        <v>4</v>
      </c>
      <c r="E43" s="6" t="s">
        <v>268</v>
      </c>
      <c r="F43" s="7" t="s">
        <v>281</v>
      </c>
      <c r="G43" s="7" t="s">
        <v>282</v>
      </c>
      <c r="H43" s="7"/>
      <c r="I43" s="7"/>
      <c r="J43" s="281">
        <f>AVERAGE(E44:I44)</f>
        <v>8.0500000000000007</v>
      </c>
      <c r="K43" s="281">
        <f>D43*J43</f>
        <v>32.200000000000003</v>
      </c>
    </row>
    <row r="44" spans="1:11">
      <c r="A44" s="307"/>
      <c r="B44" s="294"/>
      <c r="C44" s="285"/>
      <c r="D44" s="285"/>
      <c r="E44" s="7">
        <v>10.65</v>
      </c>
      <c r="F44" s="7">
        <v>8.5</v>
      </c>
      <c r="G44" s="7">
        <v>5</v>
      </c>
      <c r="H44" s="7"/>
      <c r="I44" s="7"/>
      <c r="J44" s="281"/>
      <c r="K44" s="281"/>
    </row>
    <row r="45" spans="1:11" ht="51">
      <c r="A45" s="306">
        <v>5</v>
      </c>
      <c r="B45" s="293" t="s">
        <v>310</v>
      </c>
      <c r="C45" s="284" t="s">
        <v>280</v>
      </c>
      <c r="D45" s="284">
        <v>2</v>
      </c>
      <c r="E45" s="7" t="s">
        <v>311</v>
      </c>
      <c r="F45" s="6" t="s">
        <v>276</v>
      </c>
      <c r="G45" s="21" t="s">
        <v>312</v>
      </c>
      <c r="H45" s="21" t="s">
        <v>313</v>
      </c>
      <c r="I45" s="21"/>
      <c r="J45" s="281">
        <f>AVERAGE(E46:I46)</f>
        <v>108.36</v>
      </c>
      <c r="K45" s="281">
        <f>D45*J45</f>
        <v>216.72</v>
      </c>
    </row>
    <row r="46" spans="1:11">
      <c r="A46" s="307"/>
      <c r="B46" s="294"/>
      <c r="C46" s="285"/>
      <c r="D46" s="285"/>
      <c r="E46" s="7">
        <v>107.67</v>
      </c>
      <c r="F46" s="7">
        <v>113.98</v>
      </c>
      <c r="G46" s="7">
        <v>100</v>
      </c>
      <c r="H46" s="7">
        <v>111.8</v>
      </c>
      <c r="I46" s="7"/>
      <c r="J46" s="281"/>
      <c r="K46" s="281"/>
    </row>
    <row r="47" spans="1:11">
      <c r="A47" s="1"/>
      <c r="B47" s="1"/>
      <c r="C47" s="1"/>
      <c r="D47" s="1"/>
      <c r="F47" s="303" t="s">
        <v>286</v>
      </c>
      <c r="G47" s="303"/>
      <c r="H47" s="303"/>
      <c r="I47" s="303"/>
      <c r="J47" s="303"/>
      <c r="K47" s="43">
        <f>SUM(K37:K46)</f>
        <v>663.06</v>
      </c>
    </row>
    <row r="48" spans="1:11">
      <c r="B48" s="39"/>
      <c r="C48" s="39"/>
      <c r="D48" s="39"/>
      <c r="E48" s="39"/>
      <c r="F48" s="304" t="s">
        <v>287</v>
      </c>
      <c r="G48" s="304"/>
      <c r="H48" s="304"/>
      <c r="I48" s="304"/>
      <c r="J48" s="304"/>
      <c r="K48" s="44">
        <v>12</v>
      </c>
    </row>
    <row r="49" spans="1:11">
      <c r="A49" s="40"/>
      <c r="B49" s="41"/>
      <c r="C49" s="40"/>
      <c r="D49" s="40"/>
      <c r="E49" s="42"/>
      <c r="F49" s="305" t="s">
        <v>288</v>
      </c>
      <c r="G49" s="305"/>
      <c r="H49" s="305"/>
      <c r="I49" s="305"/>
      <c r="J49" s="305"/>
      <c r="K49" s="45">
        <f>K47/K48</f>
        <v>55.26</v>
      </c>
    </row>
    <row r="50" spans="1:11">
      <c r="E50" s="49"/>
      <c r="F50" s="49"/>
      <c r="G50" s="49"/>
      <c r="H50" s="49"/>
      <c r="I50" s="49"/>
      <c r="J50" s="53"/>
      <c r="K50" s="53"/>
    </row>
    <row r="51" spans="1:11">
      <c r="A51" s="289" t="s">
        <v>314</v>
      </c>
      <c r="B51" s="289"/>
      <c r="C51" s="289"/>
      <c r="D51" s="289"/>
      <c r="E51" s="289"/>
      <c r="F51" s="289"/>
      <c r="G51" s="289"/>
      <c r="H51" s="289"/>
      <c r="I51" s="289"/>
      <c r="J51" s="289"/>
      <c r="K51" s="35"/>
    </row>
    <row r="52" spans="1:11">
      <c r="A52" s="289" t="s">
        <v>255</v>
      </c>
      <c r="B52" s="289" t="s">
        <v>256</v>
      </c>
      <c r="C52" s="289" t="s">
        <v>257</v>
      </c>
      <c r="D52" s="289" t="s">
        <v>258</v>
      </c>
      <c r="E52" s="302" t="s">
        <v>259</v>
      </c>
      <c r="F52" s="302"/>
      <c r="G52" s="302"/>
      <c r="H52" s="302"/>
      <c r="I52" s="302"/>
      <c r="J52" s="302"/>
      <c r="K52" s="282" t="s">
        <v>260</v>
      </c>
    </row>
    <row r="53" spans="1:11" ht="38.25">
      <c r="A53" s="289"/>
      <c r="B53" s="289"/>
      <c r="C53" s="289"/>
      <c r="D53" s="289"/>
      <c r="E53" s="35" t="s">
        <v>261</v>
      </c>
      <c r="F53" s="35" t="s">
        <v>262</v>
      </c>
      <c r="G53" s="35" t="s">
        <v>263</v>
      </c>
      <c r="H53" s="35" t="s">
        <v>264</v>
      </c>
      <c r="I53" s="35" t="s">
        <v>265</v>
      </c>
      <c r="J53" s="34" t="s">
        <v>266</v>
      </c>
      <c r="K53" s="283"/>
    </row>
    <row r="54" spans="1:11" ht="38.25">
      <c r="A54" s="284">
        <v>1</v>
      </c>
      <c r="B54" s="296" t="s">
        <v>290</v>
      </c>
      <c r="C54" s="284" t="s">
        <v>257</v>
      </c>
      <c r="D54" s="290">
        <f>12/3</f>
        <v>4</v>
      </c>
      <c r="E54" s="6" t="s">
        <v>274</v>
      </c>
      <c r="F54" s="7" t="s">
        <v>291</v>
      </c>
      <c r="G54" s="7" t="s">
        <v>292</v>
      </c>
      <c r="H54" s="7" t="s">
        <v>293</v>
      </c>
      <c r="I54" s="7"/>
      <c r="J54" s="281">
        <f t="shared" ref="J54:J58" si="8">AVERAGE(E55:I55)</f>
        <v>33.06</v>
      </c>
      <c r="K54" s="281">
        <f t="shared" ref="K54:K58" si="9">D54*J54</f>
        <v>132.24</v>
      </c>
    </row>
    <row r="55" spans="1:11" s="55" customFormat="1">
      <c r="A55" s="285"/>
      <c r="B55" s="297"/>
      <c r="C55" s="285"/>
      <c r="D55" s="285"/>
      <c r="E55" s="56">
        <v>28</v>
      </c>
      <c r="F55" s="56">
        <v>34.4</v>
      </c>
      <c r="G55" s="56">
        <v>34.619999999999997</v>
      </c>
      <c r="H55" s="56">
        <v>35.200000000000003</v>
      </c>
      <c r="I55" s="56"/>
      <c r="J55" s="281"/>
      <c r="K55" s="281"/>
    </row>
    <row r="56" spans="1:11" s="55" customFormat="1" ht="38.25">
      <c r="A56" s="290">
        <v>2</v>
      </c>
      <c r="B56" s="296" t="s">
        <v>315</v>
      </c>
      <c r="C56" s="284" t="s">
        <v>257</v>
      </c>
      <c r="D56" s="284">
        <f>12/3</f>
        <v>4</v>
      </c>
      <c r="E56" s="7" t="s">
        <v>274</v>
      </c>
      <c r="F56" s="6" t="s">
        <v>275</v>
      </c>
      <c r="G56" s="7" t="s">
        <v>276</v>
      </c>
      <c r="H56" s="7" t="s">
        <v>277</v>
      </c>
      <c r="I56" s="7" t="s">
        <v>278</v>
      </c>
      <c r="J56" s="281">
        <f t="shared" si="8"/>
        <v>73</v>
      </c>
      <c r="K56" s="281">
        <f t="shared" si="9"/>
        <v>292</v>
      </c>
    </row>
    <row r="57" spans="1:11" s="55" customFormat="1">
      <c r="A57" s="285"/>
      <c r="B57" s="297"/>
      <c r="C57" s="285"/>
      <c r="D57" s="285"/>
      <c r="E57" s="7">
        <v>75</v>
      </c>
      <c r="F57" s="7">
        <v>70</v>
      </c>
      <c r="G57" s="7">
        <v>69</v>
      </c>
      <c r="H57" s="7">
        <v>72</v>
      </c>
      <c r="I57" s="7">
        <v>79</v>
      </c>
      <c r="J57" s="281"/>
      <c r="K57" s="281"/>
    </row>
    <row r="58" spans="1:11" s="55" customFormat="1" ht="38.25">
      <c r="A58" s="284">
        <v>3</v>
      </c>
      <c r="B58" s="298" t="s">
        <v>316</v>
      </c>
      <c r="C58" s="284" t="s">
        <v>280</v>
      </c>
      <c r="D58" s="286">
        <f>12/2</f>
        <v>6</v>
      </c>
      <c r="E58" s="6" t="s">
        <v>268</v>
      </c>
      <c r="F58" s="7" t="s">
        <v>281</v>
      </c>
      <c r="G58" s="7" t="s">
        <v>282</v>
      </c>
      <c r="H58" s="7"/>
      <c r="I58" s="7"/>
      <c r="J58" s="281">
        <f t="shared" si="8"/>
        <v>8.0500000000000007</v>
      </c>
      <c r="K58" s="281">
        <f t="shared" si="9"/>
        <v>48.3</v>
      </c>
    </row>
    <row r="59" spans="1:11" s="55" customFormat="1">
      <c r="A59" s="285"/>
      <c r="B59" s="299"/>
      <c r="C59" s="284"/>
      <c r="D59" s="287"/>
      <c r="E59" s="7">
        <v>10.65</v>
      </c>
      <c r="F59" s="7">
        <v>8.5</v>
      </c>
      <c r="G59" s="7">
        <v>5</v>
      </c>
      <c r="H59" s="7"/>
      <c r="I59" s="7"/>
      <c r="J59" s="281"/>
      <c r="K59" s="281"/>
    </row>
    <row r="60" spans="1:11" s="55" customFormat="1" ht="38.25">
      <c r="A60" s="290">
        <v>4</v>
      </c>
      <c r="B60" s="300" t="s">
        <v>317</v>
      </c>
      <c r="C60" s="290" t="s">
        <v>280</v>
      </c>
      <c r="D60" s="288">
        <f>12/6</f>
        <v>2</v>
      </c>
      <c r="E60" s="21" t="s">
        <v>318</v>
      </c>
      <c r="F60" s="7" t="s">
        <v>276</v>
      </c>
      <c r="G60" s="6" t="s">
        <v>319</v>
      </c>
      <c r="H60" s="6" t="s">
        <v>305</v>
      </c>
      <c r="I60" s="6"/>
      <c r="J60" s="281">
        <f>AVERAGE(E61:I61)</f>
        <v>112.73</v>
      </c>
      <c r="K60" s="281">
        <f>D60*J60</f>
        <v>225.46</v>
      </c>
    </row>
    <row r="61" spans="1:11" s="55" customFormat="1">
      <c r="A61" s="285"/>
      <c r="B61" s="301"/>
      <c r="C61" s="284"/>
      <c r="D61" s="287"/>
      <c r="E61" s="7">
        <v>105</v>
      </c>
      <c r="F61" s="7">
        <v>116.9</v>
      </c>
      <c r="G61" s="7">
        <v>113</v>
      </c>
      <c r="H61" s="7">
        <v>116</v>
      </c>
      <c r="I61" s="7"/>
      <c r="J61" s="281"/>
      <c r="K61" s="281"/>
    </row>
    <row r="62" spans="1:11" s="55" customFormat="1" ht="51">
      <c r="A62" s="290">
        <v>5</v>
      </c>
      <c r="B62" s="300" t="s">
        <v>320</v>
      </c>
      <c r="C62" s="290" t="s">
        <v>257</v>
      </c>
      <c r="D62" s="288">
        <f>12/6</f>
        <v>2</v>
      </c>
      <c r="E62" s="6" t="s">
        <v>276</v>
      </c>
      <c r="F62" s="7" t="s">
        <v>321</v>
      </c>
      <c r="G62" s="6" t="s">
        <v>322</v>
      </c>
      <c r="H62" s="21"/>
      <c r="I62" s="21"/>
      <c r="J62" s="281">
        <f>AVERAGE(E63:I63)</f>
        <v>46.33</v>
      </c>
      <c r="K62" s="281">
        <f>D62*J62</f>
        <v>92.66</v>
      </c>
    </row>
    <row r="63" spans="1:11" s="55" customFormat="1">
      <c r="A63" s="285"/>
      <c r="B63" s="301"/>
      <c r="C63" s="285"/>
      <c r="D63" s="287"/>
      <c r="E63" s="7">
        <v>50</v>
      </c>
      <c r="F63" s="7">
        <v>45</v>
      </c>
      <c r="G63" s="7">
        <v>44</v>
      </c>
      <c r="H63" s="7"/>
      <c r="I63" s="7"/>
      <c r="J63" s="281"/>
      <c r="K63" s="281"/>
    </row>
    <row r="64" spans="1:11">
      <c r="A64" s="1"/>
      <c r="B64" s="1"/>
      <c r="C64" s="1"/>
      <c r="D64" s="1"/>
      <c r="F64" s="303" t="s">
        <v>286</v>
      </c>
      <c r="G64" s="303"/>
      <c r="H64" s="303"/>
      <c r="I64" s="303"/>
      <c r="J64" s="303"/>
      <c r="K64" s="43">
        <f>SUM(K54:K63)</f>
        <v>790.66</v>
      </c>
    </row>
    <row r="65" spans="1:11">
      <c r="B65" s="39"/>
      <c r="C65" s="39"/>
      <c r="D65" s="39"/>
      <c r="E65" s="39"/>
      <c r="F65" s="304" t="s">
        <v>287</v>
      </c>
      <c r="G65" s="304"/>
      <c r="H65" s="304"/>
      <c r="I65" s="304"/>
      <c r="J65" s="304"/>
      <c r="K65" s="44">
        <v>12</v>
      </c>
    </row>
    <row r="66" spans="1:11">
      <c r="A66" s="40"/>
      <c r="B66" s="41"/>
      <c r="C66" s="40"/>
      <c r="D66" s="40"/>
      <c r="E66" s="42"/>
      <c r="F66" s="305" t="s">
        <v>288</v>
      </c>
      <c r="G66" s="305"/>
      <c r="H66" s="305"/>
      <c r="I66" s="305"/>
      <c r="J66" s="305"/>
      <c r="K66" s="45">
        <f>K64/K65</f>
        <v>65.89</v>
      </c>
    </row>
    <row r="67" spans="1:11">
      <c r="A67" s="57"/>
      <c r="B67" s="57"/>
      <c r="C67" s="57"/>
      <c r="D67" s="57"/>
      <c r="E67" s="58"/>
      <c r="F67" s="49"/>
      <c r="G67" s="49"/>
      <c r="H67" s="49"/>
      <c r="I67" s="49"/>
      <c r="J67" s="53"/>
      <c r="K67" s="53"/>
    </row>
  </sheetData>
  <mergeCells count="150">
    <mergeCell ref="K7:K8"/>
    <mergeCell ref="K9:K10"/>
    <mergeCell ref="K11:K12"/>
    <mergeCell ref="K13:K14"/>
    <mergeCell ref="K20:K21"/>
    <mergeCell ref="F32:J32"/>
    <mergeCell ref="A34:J34"/>
    <mergeCell ref="E35:J35"/>
    <mergeCell ref="F47:J47"/>
    <mergeCell ref="F48:J48"/>
    <mergeCell ref="F49:J49"/>
    <mergeCell ref="A51:J51"/>
    <mergeCell ref="C45:C46"/>
    <mergeCell ref="A1:K1"/>
    <mergeCell ref="A2:K2"/>
    <mergeCell ref="A4:K4"/>
    <mergeCell ref="E5:J5"/>
    <mergeCell ref="F15:J15"/>
    <mergeCell ref="F16:J16"/>
    <mergeCell ref="F17:J17"/>
    <mergeCell ref="A19:K19"/>
    <mergeCell ref="E20:J20"/>
    <mergeCell ref="C5:C6"/>
    <mergeCell ref="C7:C8"/>
    <mergeCell ref="C9:C10"/>
    <mergeCell ref="C11:C12"/>
    <mergeCell ref="C13:C14"/>
    <mergeCell ref="C20:C21"/>
    <mergeCell ref="K5:K6"/>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F30:J30"/>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C22:C23"/>
    <mergeCell ref="C24:C25"/>
    <mergeCell ref="C26:C27"/>
    <mergeCell ref="C28:C29"/>
    <mergeCell ref="C35:C36"/>
    <mergeCell ref="C37:C38"/>
    <mergeCell ref="C39:C40"/>
    <mergeCell ref="C41:C42"/>
    <mergeCell ref="C43:C44"/>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E52:J52"/>
    <mergeCell ref="F31:J31"/>
    <mergeCell ref="K45:K46"/>
    <mergeCell ref="K52:K53"/>
    <mergeCell ref="K54:K55"/>
    <mergeCell ref="K56:K57"/>
    <mergeCell ref="K58:K59"/>
    <mergeCell ref="K60:K61"/>
    <mergeCell ref="K62:K63"/>
    <mergeCell ref="K22:K23"/>
    <mergeCell ref="K24:K25"/>
    <mergeCell ref="K26:K27"/>
    <mergeCell ref="K28:K29"/>
    <mergeCell ref="K35:K36"/>
    <mergeCell ref="K37:K38"/>
    <mergeCell ref="K39:K40"/>
    <mergeCell ref="K41:K42"/>
    <mergeCell ref="K43:K44"/>
  </mergeCells>
  <pageMargins left="0.59027777777777801" right="0.39305555555555599" top="0.59027777777777801" bottom="0.39305555555555599" header="0.196527777777778" footer="0.196527777777778"/>
  <pageSetup paperSize="9" scale="5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A1:L65"/>
  <sheetViews>
    <sheetView view="pageBreakPreview" topLeftCell="A23" zoomScale="80" zoomScaleNormal="70" workbookViewId="0">
      <selection activeCell="E49" sqref="E49:J62"/>
    </sheetView>
  </sheetViews>
  <sheetFormatPr defaultColWidth="6.28515625" defaultRowHeight="12.75"/>
  <cols>
    <col min="1" max="1" width="5.85546875" style="38" customWidth="1"/>
    <col min="2" max="2" width="37.140625" style="46" customWidth="1"/>
    <col min="3" max="3" width="9.7109375" style="38" customWidth="1"/>
    <col min="4" max="4" width="12.7109375" style="38" customWidth="1"/>
    <col min="5" max="9" width="26" style="1" customWidth="1"/>
    <col min="10" max="10" width="16.28515625" style="1" customWidth="1"/>
    <col min="11" max="11" width="17.140625" style="1" customWidth="1"/>
    <col min="12" max="12" width="14.28515625" style="1" customWidth="1"/>
    <col min="13" max="13" width="12.28515625" style="1" customWidth="1"/>
    <col min="14" max="34" width="9.140625" style="1" customWidth="1"/>
    <col min="35" max="16384" width="6.28515625" style="1"/>
  </cols>
  <sheetData>
    <row r="1" spans="1:11" ht="18">
      <c r="A1" s="309" t="str">
        <f>'SEMSUR_TOTALIZADOR GERAL'!A1</f>
        <v>SEMSUR</v>
      </c>
      <c r="B1" s="309"/>
      <c r="C1" s="309"/>
      <c r="D1" s="309"/>
      <c r="E1" s="309"/>
      <c r="F1" s="309"/>
      <c r="G1" s="309"/>
      <c r="H1" s="309"/>
      <c r="I1" s="309"/>
      <c r="J1" s="309"/>
      <c r="K1" s="309"/>
    </row>
    <row r="2" spans="1:11" ht="18">
      <c r="A2" s="309" t="s">
        <v>323</v>
      </c>
      <c r="B2" s="309"/>
      <c r="C2" s="309"/>
      <c r="D2" s="309"/>
      <c r="E2" s="309"/>
      <c r="F2" s="309"/>
      <c r="G2" s="309"/>
      <c r="H2" s="309"/>
      <c r="I2" s="309"/>
      <c r="J2" s="309"/>
      <c r="K2" s="309"/>
    </row>
    <row r="3" spans="1:11" ht="15.75">
      <c r="A3" s="47"/>
      <c r="B3" s="47"/>
      <c r="C3" s="47"/>
      <c r="D3" s="47"/>
      <c r="E3" s="48"/>
      <c r="F3" s="49"/>
      <c r="G3" s="49"/>
      <c r="H3" s="49"/>
      <c r="I3" s="49"/>
      <c r="J3" s="53"/>
    </row>
    <row r="4" spans="1:11">
      <c r="A4" s="316" t="s">
        <v>254</v>
      </c>
      <c r="B4" s="316"/>
      <c r="C4" s="316"/>
      <c r="D4" s="316"/>
      <c r="E4" s="316"/>
      <c r="F4" s="316"/>
      <c r="G4" s="316"/>
      <c r="H4" s="316"/>
      <c r="I4" s="316"/>
      <c r="J4" s="316"/>
      <c r="K4" s="316"/>
    </row>
    <row r="5" spans="1:11">
      <c r="A5" s="316" t="s">
        <v>255</v>
      </c>
      <c r="B5" s="316" t="s">
        <v>256</v>
      </c>
      <c r="C5" s="316" t="s">
        <v>257</v>
      </c>
      <c r="D5" s="316" t="s">
        <v>324</v>
      </c>
      <c r="E5" s="315" t="s">
        <v>259</v>
      </c>
      <c r="F5" s="315"/>
      <c r="G5" s="315"/>
      <c r="H5" s="315"/>
      <c r="I5" s="315"/>
      <c r="J5" s="315"/>
      <c r="K5" s="315" t="s">
        <v>260</v>
      </c>
    </row>
    <row r="6" spans="1:11" ht="38.25">
      <c r="A6" s="316"/>
      <c r="B6" s="316"/>
      <c r="C6" s="316"/>
      <c r="D6" s="316"/>
      <c r="E6" s="50" t="s">
        <v>261</v>
      </c>
      <c r="F6" s="50" t="s">
        <v>262</v>
      </c>
      <c r="G6" s="50" t="s">
        <v>263</v>
      </c>
      <c r="H6" s="50" t="s">
        <v>264</v>
      </c>
      <c r="I6" s="50" t="s">
        <v>265</v>
      </c>
      <c r="J6" s="51" t="s">
        <v>266</v>
      </c>
      <c r="K6" s="315"/>
    </row>
    <row r="7" spans="1:11" ht="38.25">
      <c r="A7" s="288">
        <v>1</v>
      </c>
      <c r="B7" s="295" t="s">
        <v>325</v>
      </c>
      <c r="C7" s="328" t="s">
        <v>257</v>
      </c>
      <c r="D7" s="288">
        <f>12/2</f>
        <v>6</v>
      </c>
      <c r="E7" s="7" t="s">
        <v>326</v>
      </c>
      <c r="F7" s="7" t="s">
        <v>276</v>
      </c>
      <c r="G7" s="7" t="s">
        <v>327</v>
      </c>
      <c r="H7" s="7" t="s">
        <v>328</v>
      </c>
      <c r="I7" s="7" t="s">
        <v>329</v>
      </c>
      <c r="J7" s="281">
        <f t="shared" ref="J7:J11" si="0">AVERAGE(E8:I8)</f>
        <v>6.46</v>
      </c>
      <c r="K7" s="281">
        <f>D7*J7</f>
        <v>38.76</v>
      </c>
    </row>
    <row r="8" spans="1:11">
      <c r="A8" s="287"/>
      <c r="B8" s="294"/>
      <c r="C8" s="329"/>
      <c r="D8" s="287"/>
      <c r="E8" s="7">
        <v>4.3899999999999997</v>
      </c>
      <c r="F8" s="7">
        <v>9.9</v>
      </c>
      <c r="G8" s="7">
        <v>6</v>
      </c>
      <c r="H8" s="7">
        <v>6</v>
      </c>
      <c r="I8" s="7">
        <v>5.99</v>
      </c>
      <c r="J8" s="281"/>
      <c r="K8" s="281"/>
    </row>
    <row r="9" spans="1:11" ht="51">
      <c r="A9" s="286">
        <v>2</v>
      </c>
      <c r="B9" s="293" t="s">
        <v>330</v>
      </c>
      <c r="C9" s="330" t="s">
        <v>280</v>
      </c>
      <c r="D9" s="286">
        <v>24</v>
      </c>
      <c r="E9" s="7" t="s">
        <v>331</v>
      </c>
      <c r="F9" s="7" t="s">
        <v>332</v>
      </c>
      <c r="G9" s="6" t="s">
        <v>333</v>
      </c>
      <c r="H9" s="6" t="s">
        <v>334</v>
      </c>
      <c r="I9" s="6"/>
      <c r="J9" s="281">
        <f t="shared" si="0"/>
        <v>6.61</v>
      </c>
      <c r="K9" s="281">
        <f t="shared" ref="K9:K11" si="1">D9*J9</f>
        <v>158.63999999999999</v>
      </c>
    </row>
    <row r="10" spans="1:11">
      <c r="A10" s="287"/>
      <c r="B10" s="294"/>
      <c r="C10" s="325"/>
      <c r="D10" s="287"/>
      <c r="E10" s="7">
        <v>6</v>
      </c>
      <c r="F10" s="7">
        <v>6.95</v>
      </c>
      <c r="G10" s="7">
        <v>7</v>
      </c>
      <c r="H10" s="7">
        <v>6.48</v>
      </c>
      <c r="I10" s="7"/>
      <c r="J10" s="281"/>
      <c r="K10" s="281"/>
    </row>
    <row r="11" spans="1:11" ht="38.25">
      <c r="A11" s="286">
        <v>3</v>
      </c>
      <c r="B11" s="293" t="s">
        <v>335</v>
      </c>
      <c r="C11" s="330" t="s">
        <v>336</v>
      </c>
      <c r="D11" s="286">
        <v>6</v>
      </c>
      <c r="E11" s="7" t="s">
        <v>337</v>
      </c>
      <c r="F11" s="7" t="s">
        <v>338</v>
      </c>
      <c r="G11" s="6" t="s">
        <v>339</v>
      </c>
      <c r="H11" s="6" t="s">
        <v>340</v>
      </c>
      <c r="I11" s="6"/>
      <c r="J11" s="281">
        <f t="shared" si="0"/>
        <v>5.84</v>
      </c>
      <c r="K11" s="281">
        <f t="shared" si="1"/>
        <v>35.04</v>
      </c>
    </row>
    <row r="12" spans="1:11">
      <c r="A12" s="287"/>
      <c r="B12" s="294"/>
      <c r="C12" s="325"/>
      <c r="D12" s="287"/>
      <c r="E12" s="7">
        <v>8.51</v>
      </c>
      <c r="F12" s="7">
        <v>4.3899999999999997</v>
      </c>
      <c r="G12" s="7">
        <v>5.99</v>
      </c>
      <c r="H12" s="7">
        <v>4.45</v>
      </c>
      <c r="I12" s="7"/>
      <c r="J12" s="281"/>
      <c r="K12" s="281"/>
    </row>
    <row r="13" spans="1:11" ht="63.75">
      <c r="A13" s="286">
        <v>4</v>
      </c>
      <c r="B13" s="332" t="s">
        <v>341</v>
      </c>
      <c r="C13" s="330" t="s">
        <v>280</v>
      </c>
      <c r="D13" s="320">
        <f>12/4</f>
        <v>3</v>
      </c>
      <c r="E13" s="7" t="s">
        <v>342</v>
      </c>
      <c r="F13" s="6" t="s">
        <v>305</v>
      </c>
      <c r="G13" s="6" t="s">
        <v>276</v>
      </c>
      <c r="H13" s="6" t="s">
        <v>343</v>
      </c>
      <c r="I13" s="6" t="s">
        <v>344</v>
      </c>
      <c r="J13" s="281">
        <f>AVERAGE(E14:I14)</f>
        <v>49.44</v>
      </c>
      <c r="K13" s="281">
        <f>D13*J13</f>
        <v>148.32</v>
      </c>
    </row>
    <row r="14" spans="1:11">
      <c r="A14" s="287"/>
      <c r="B14" s="333"/>
      <c r="C14" s="325"/>
      <c r="D14" s="321"/>
      <c r="E14" s="7">
        <v>48.9</v>
      </c>
      <c r="F14" s="7">
        <v>55</v>
      </c>
      <c r="G14" s="7">
        <v>44.32</v>
      </c>
      <c r="H14" s="7">
        <v>49</v>
      </c>
      <c r="I14" s="7">
        <v>49.96</v>
      </c>
      <c r="J14" s="281"/>
      <c r="K14" s="281"/>
    </row>
    <row r="15" spans="1:11">
      <c r="A15" s="1"/>
      <c r="B15" s="1"/>
      <c r="C15" s="1"/>
      <c r="D15" s="1"/>
      <c r="F15" s="303" t="s">
        <v>286</v>
      </c>
      <c r="G15" s="303"/>
      <c r="H15" s="303"/>
      <c r="I15" s="303"/>
      <c r="J15" s="303"/>
      <c r="K15" s="43">
        <f>SUM(K7:K14)</f>
        <v>380.76</v>
      </c>
    </row>
    <row r="16" spans="1:11">
      <c r="B16" s="39"/>
      <c r="C16" s="39"/>
      <c r="D16" s="39"/>
      <c r="E16" s="39"/>
      <c r="F16" s="304" t="s">
        <v>287</v>
      </c>
      <c r="G16" s="304"/>
      <c r="H16" s="304"/>
      <c r="I16" s="304"/>
      <c r="J16" s="304"/>
      <c r="K16" s="44">
        <v>12</v>
      </c>
    </row>
    <row r="17" spans="1:11">
      <c r="A17" s="40"/>
      <c r="B17" s="41"/>
      <c r="C17" s="40"/>
      <c r="D17" s="40"/>
      <c r="E17" s="42"/>
      <c r="F17" s="305" t="s">
        <v>288</v>
      </c>
      <c r="G17" s="305"/>
      <c r="H17" s="305"/>
      <c r="I17" s="305"/>
      <c r="J17" s="305"/>
      <c r="K17" s="45">
        <f>K15/K16</f>
        <v>31.73</v>
      </c>
    </row>
    <row r="18" spans="1:11">
      <c r="E18" s="49"/>
      <c r="F18" s="49"/>
      <c r="G18" s="49"/>
      <c r="H18" s="49"/>
      <c r="I18" s="49"/>
      <c r="J18" s="53"/>
    </row>
    <row r="19" spans="1:11">
      <c r="A19" s="316" t="s">
        <v>289</v>
      </c>
      <c r="B19" s="316"/>
      <c r="C19" s="316"/>
      <c r="D19" s="316"/>
      <c r="E19" s="316"/>
      <c r="F19" s="316"/>
      <c r="G19" s="316"/>
      <c r="H19" s="316"/>
      <c r="I19" s="316"/>
      <c r="J19" s="316"/>
      <c r="K19" s="316"/>
    </row>
    <row r="20" spans="1:11">
      <c r="A20" s="316" t="s">
        <v>255</v>
      </c>
      <c r="B20" s="316" t="s">
        <v>256</v>
      </c>
      <c r="C20" s="316" t="s">
        <v>257</v>
      </c>
      <c r="D20" s="316" t="s">
        <v>324</v>
      </c>
      <c r="E20" s="315" t="s">
        <v>259</v>
      </c>
      <c r="F20" s="315"/>
      <c r="G20" s="315"/>
      <c r="H20" s="315"/>
      <c r="I20" s="315"/>
      <c r="J20" s="315"/>
      <c r="K20" s="315" t="s">
        <v>260</v>
      </c>
    </row>
    <row r="21" spans="1:11" ht="38.25">
      <c r="A21" s="316"/>
      <c r="B21" s="316"/>
      <c r="C21" s="316"/>
      <c r="D21" s="316"/>
      <c r="E21" s="50" t="s">
        <v>261</v>
      </c>
      <c r="F21" s="50" t="s">
        <v>262</v>
      </c>
      <c r="G21" s="50" t="s">
        <v>263</v>
      </c>
      <c r="H21" s="50" t="s">
        <v>264</v>
      </c>
      <c r="I21" s="50" t="s">
        <v>265</v>
      </c>
      <c r="J21" s="51" t="s">
        <v>266</v>
      </c>
      <c r="K21" s="315"/>
    </row>
    <row r="22" spans="1:11" ht="51">
      <c r="A22" s="288">
        <v>1</v>
      </c>
      <c r="B22" s="295" t="s">
        <v>345</v>
      </c>
      <c r="C22" s="328" t="s">
        <v>257</v>
      </c>
      <c r="D22" s="322">
        <v>1</v>
      </c>
      <c r="E22" s="7" t="s">
        <v>346</v>
      </c>
      <c r="F22" s="6" t="s">
        <v>276</v>
      </c>
      <c r="G22" s="7" t="s">
        <v>347</v>
      </c>
      <c r="H22" s="7" t="s">
        <v>348</v>
      </c>
      <c r="I22" s="7" t="s">
        <v>349</v>
      </c>
      <c r="J22" s="281">
        <f t="shared" ref="J22:J26" si="2">AVERAGE(E23:I23)</f>
        <v>134.28</v>
      </c>
      <c r="K22" s="281">
        <f t="shared" ref="K22:K26" si="3">D22*J22</f>
        <v>134.28</v>
      </c>
    </row>
    <row r="23" spans="1:11">
      <c r="A23" s="287"/>
      <c r="B23" s="294"/>
      <c r="C23" s="329"/>
      <c r="D23" s="323"/>
      <c r="E23" s="7">
        <v>121</v>
      </c>
      <c r="F23" s="7">
        <v>145.9</v>
      </c>
      <c r="G23" s="7">
        <v>140</v>
      </c>
      <c r="H23" s="7">
        <v>134.5</v>
      </c>
      <c r="I23" s="7">
        <v>130</v>
      </c>
      <c r="J23" s="281"/>
      <c r="K23" s="281"/>
    </row>
    <row r="24" spans="1:11" ht="63.75">
      <c r="A24" s="288">
        <v>4</v>
      </c>
      <c r="B24" s="334" t="s">
        <v>350</v>
      </c>
      <c r="C24" s="317" t="s">
        <v>351</v>
      </c>
      <c r="D24" s="324">
        <v>6</v>
      </c>
      <c r="E24" s="7" t="s">
        <v>352</v>
      </c>
      <c r="F24" s="7" t="s">
        <v>353</v>
      </c>
      <c r="G24" s="7" t="s">
        <v>354</v>
      </c>
      <c r="H24" s="7" t="s">
        <v>355</v>
      </c>
      <c r="I24" s="7" t="s">
        <v>356</v>
      </c>
      <c r="J24" s="281">
        <f t="shared" si="2"/>
        <v>5.95</v>
      </c>
      <c r="K24" s="281">
        <f t="shared" si="3"/>
        <v>35.700000000000003</v>
      </c>
    </row>
    <row r="25" spans="1:11">
      <c r="A25" s="287"/>
      <c r="B25" s="299"/>
      <c r="C25" s="317"/>
      <c r="D25" s="325"/>
      <c r="E25" s="7">
        <v>4.29</v>
      </c>
      <c r="F25" s="7">
        <v>5.4</v>
      </c>
      <c r="G25" s="7">
        <v>5.5</v>
      </c>
      <c r="H25" s="7">
        <v>6.74</v>
      </c>
      <c r="I25" s="7">
        <v>7.8</v>
      </c>
      <c r="J25" s="281"/>
      <c r="K25" s="281"/>
    </row>
    <row r="26" spans="1:11" ht="63.75">
      <c r="A26" s="286">
        <v>2</v>
      </c>
      <c r="B26" s="293" t="s">
        <v>357</v>
      </c>
      <c r="C26" s="331" t="s">
        <v>257</v>
      </c>
      <c r="D26" s="326">
        <v>1</v>
      </c>
      <c r="E26" s="7" t="s">
        <v>276</v>
      </c>
      <c r="F26" s="6" t="s">
        <v>358</v>
      </c>
      <c r="G26" s="7" t="s">
        <v>359</v>
      </c>
      <c r="H26" s="7" t="s">
        <v>360</v>
      </c>
      <c r="I26" s="7" t="s">
        <v>361</v>
      </c>
      <c r="J26" s="281">
        <f t="shared" si="2"/>
        <v>464.94</v>
      </c>
      <c r="K26" s="281">
        <f t="shared" si="3"/>
        <v>464.94</v>
      </c>
    </row>
    <row r="27" spans="1:11">
      <c r="A27" s="287"/>
      <c r="B27" s="294"/>
      <c r="C27" s="329"/>
      <c r="D27" s="323"/>
      <c r="E27" s="7">
        <v>517.53</v>
      </c>
      <c r="F27" s="7">
        <v>409.78</v>
      </c>
      <c r="G27" s="7">
        <v>450.25</v>
      </c>
      <c r="H27" s="7">
        <v>477.12</v>
      </c>
      <c r="I27" s="7">
        <v>470</v>
      </c>
      <c r="J27" s="281"/>
      <c r="K27" s="281"/>
    </row>
    <row r="28" spans="1:11" ht="51">
      <c r="A28" s="286">
        <v>3</v>
      </c>
      <c r="B28" s="293" t="s">
        <v>362</v>
      </c>
      <c r="C28" s="331" t="s">
        <v>257</v>
      </c>
      <c r="D28" s="326">
        <v>1</v>
      </c>
      <c r="E28" s="6" t="s">
        <v>363</v>
      </c>
      <c r="F28" s="6" t="s">
        <v>276</v>
      </c>
      <c r="G28" s="7" t="s">
        <v>364</v>
      </c>
      <c r="H28" s="7" t="s">
        <v>365</v>
      </c>
      <c r="I28" s="7" t="s">
        <v>366</v>
      </c>
      <c r="J28" s="281">
        <f t="shared" ref="J28:J32" si="4">AVERAGE(E29:I29)</f>
        <v>186.62</v>
      </c>
      <c r="K28" s="281">
        <f t="shared" ref="K28:K32" si="5">D28*J28</f>
        <v>186.62</v>
      </c>
    </row>
    <row r="29" spans="1:11">
      <c r="A29" s="287"/>
      <c r="B29" s="294"/>
      <c r="C29" s="329"/>
      <c r="D29" s="323"/>
      <c r="E29" s="7">
        <v>183.15</v>
      </c>
      <c r="F29" s="7">
        <v>167.8</v>
      </c>
      <c r="G29" s="7">
        <v>189.99</v>
      </c>
      <c r="H29" s="7">
        <v>194.48</v>
      </c>
      <c r="I29" s="7">
        <v>197.67</v>
      </c>
      <c r="J29" s="281"/>
      <c r="K29" s="281"/>
    </row>
    <row r="30" spans="1:11" ht="63.75">
      <c r="A30" s="288">
        <v>4</v>
      </c>
      <c r="B30" s="295" t="s">
        <v>367</v>
      </c>
      <c r="C30" s="328" t="s">
        <v>257</v>
      </c>
      <c r="D30" s="288">
        <v>1</v>
      </c>
      <c r="E30" s="7" t="s">
        <v>268</v>
      </c>
      <c r="F30" s="6" t="s">
        <v>368</v>
      </c>
      <c r="G30" s="6" t="s">
        <v>305</v>
      </c>
      <c r="H30" s="6"/>
      <c r="I30" s="6"/>
      <c r="J30" s="281">
        <f t="shared" si="4"/>
        <v>191.95</v>
      </c>
      <c r="K30" s="281">
        <f t="shared" si="5"/>
        <v>191.95</v>
      </c>
    </row>
    <row r="31" spans="1:11">
      <c r="A31" s="287"/>
      <c r="B31" s="294"/>
      <c r="C31" s="329"/>
      <c r="D31" s="287"/>
      <c r="E31" s="20">
        <v>195.83</v>
      </c>
      <c r="F31" s="20">
        <v>184</v>
      </c>
      <c r="G31" s="20">
        <v>196.02</v>
      </c>
      <c r="H31" s="20"/>
      <c r="I31" s="20"/>
      <c r="J31" s="281"/>
      <c r="K31" s="281"/>
    </row>
    <row r="32" spans="1:11" ht="51">
      <c r="A32" s="288">
        <v>5</v>
      </c>
      <c r="B32" s="295" t="s">
        <v>369</v>
      </c>
      <c r="C32" s="328" t="s">
        <v>257</v>
      </c>
      <c r="D32" s="288">
        <v>1</v>
      </c>
      <c r="E32" s="7" t="s">
        <v>370</v>
      </c>
      <c r="F32" s="7" t="s">
        <v>371</v>
      </c>
      <c r="G32" s="6" t="s">
        <v>372</v>
      </c>
      <c r="H32" s="6" t="s">
        <v>373</v>
      </c>
      <c r="I32" s="6" t="s">
        <v>374</v>
      </c>
      <c r="J32" s="281">
        <f t="shared" si="4"/>
        <v>309.89999999999998</v>
      </c>
      <c r="K32" s="281">
        <f t="shared" si="5"/>
        <v>309.89999999999998</v>
      </c>
    </row>
    <row r="33" spans="1:11">
      <c r="A33" s="287"/>
      <c r="B33" s="294"/>
      <c r="C33" s="329"/>
      <c r="D33" s="287"/>
      <c r="E33" s="7">
        <v>298</v>
      </c>
      <c r="F33" s="7">
        <v>326.66000000000003</v>
      </c>
      <c r="G33" s="7">
        <v>335.4</v>
      </c>
      <c r="H33" s="7">
        <v>275.8</v>
      </c>
      <c r="I33" s="7">
        <v>313.66000000000003</v>
      </c>
      <c r="J33" s="281"/>
      <c r="K33" s="281"/>
    </row>
    <row r="34" spans="1:11" ht="38.25">
      <c r="A34" s="288">
        <v>6</v>
      </c>
      <c r="B34" s="295" t="s">
        <v>375</v>
      </c>
      <c r="C34" s="328" t="s">
        <v>257</v>
      </c>
      <c r="D34" s="288">
        <v>1</v>
      </c>
      <c r="E34" s="6" t="s">
        <v>376</v>
      </c>
      <c r="F34" s="6" t="s">
        <v>276</v>
      </c>
      <c r="G34" s="7" t="s">
        <v>377</v>
      </c>
      <c r="H34" s="7" t="s">
        <v>378</v>
      </c>
      <c r="I34" s="7" t="s">
        <v>376</v>
      </c>
      <c r="J34" s="281">
        <f t="shared" ref="J34:J38" si="6">AVERAGE(E35:I35)</f>
        <v>30.08</v>
      </c>
      <c r="K34" s="281">
        <f t="shared" ref="K34:K38" si="7">D34*J34</f>
        <v>30.08</v>
      </c>
    </row>
    <row r="35" spans="1:11">
      <c r="A35" s="287"/>
      <c r="B35" s="294"/>
      <c r="C35" s="329"/>
      <c r="D35" s="287"/>
      <c r="E35" s="7">
        <v>26.99</v>
      </c>
      <c r="F35" s="7">
        <v>28.99</v>
      </c>
      <c r="G35" s="7">
        <v>32.5</v>
      </c>
      <c r="H35" s="7">
        <v>31.64</v>
      </c>
      <c r="I35" s="7">
        <v>30.3</v>
      </c>
      <c r="J35" s="281"/>
      <c r="K35" s="281"/>
    </row>
    <row r="36" spans="1:11" ht="51">
      <c r="A36" s="288">
        <v>7</v>
      </c>
      <c r="B36" s="295" t="s">
        <v>379</v>
      </c>
      <c r="C36" s="328" t="s">
        <v>257</v>
      </c>
      <c r="D36" s="288">
        <v>1</v>
      </c>
      <c r="E36" s="7" t="s">
        <v>380</v>
      </c>
      <c r="F36" s="7" t="s">
        <v>381</v>
      </c>
      <c r="G36" s="7" t="s">
        <v>359</v>
      </c>
      <c r="H36" s="7"/>
      <c r="I36" s="7"/>
      <c r="J36" s="281">
        <f t="shared" si="6"/>
        <v>61.45</v>
      </c>
      <c r="K36" s="281">
        <f t="shared" si="7"/>
        <v>61.45</v>
      </c>
    </row>
    <row r="37" spans="1:11">
      <c r="A37" s="287"/>
      <c r="B37" s="294"/>
      <c r="C37" s="329"/>
      <c r="D37" s="287"/>
      <c r="E37" s="7">
        <v>58.46</v>
      </c>
      <c r="F37" s="7">
        <v>57.9</v>
      </c>
      <c r="G37" s="7">
        <v>68</v>
      </c>
      <c r="H37" s="7"/>
      <c r="I37" s="7"/>
      <c r="J37" s="281"/>
      <c r="K37" s="281"/>
    </row>
    <row r="38" spans="1:11" ht="51">
      <c r="A38" s="288">
        <v>8</v>
      </c>
      <c r="B38" s="295" t="s">
        <v>382</v>
      </c>
      <c r="C38" s="328" t="s">
        <v>257</v>
      </c>
      <c r="D38" s="288">
        <v>1</v>
      </c>
      <c r="E38" s="6" t="s">
        <v>276</v>
      </c>
      <c r="F38" s="7" t="s">
        <v>383</v>
      </c>
      <c r="G38" s="7" t="s">
        <v>359</v>
      </c>
      <c r="H38" s="7" t="s">
        <v>384</v>
      </c>
      <c r="I38" s="7"/>
      <c r="J38" s="281">
        <f t="shared" si="6"/>
        <v>223.68</v>
      </c>
      <c r="K38" s="281">
        <f t="shared" si="7"/>
        <v>223.68</v>
      </c>
    </row>
    <row r="39" spans="1:11">
      <c r="A39" s="287"/>
      <c r="B39" s="294"/>
      <c r="C39" s="329"/>
      <c r="D39" s="287"/>
      <c r="E39" s="7">
        <v>205.2</v>
      </c>
      <c r="F39" s="7">
        <v>209.5</v>
      </c>
      <c r="G39" s="7">
        <v>205</v>
      </c>
      <c r="H39" s="7">
        <v>275</v>
      </c>
      <c r="I39" s="7"/>
      <c r="J39" s="281"/>
      <c r="K39" s="281"/>
    </row>
    <row r="40" spans="1:11" ht="51">
      <c r="A40" s="288">
        <v>9</v>
      </c>
      <c r="B40" s="295" t="s">
        <v>385</v>
      </c>
      <c r="C40" s="328"/>
      <c r="D40" s="288">
        <v>1</v>
      </c>
      <c r="E40" s="7" t="s">
        <v>386</v>
      </c>
      <c r="F40" s="7" t="s">
        <v>276</v>
      </c>
      <c r="G40" s="6" t="s">
        <v>387</v>
      </c>
      <c r="H40" s="6" t="s">
        <v>388</v>
      </c>
      <c r="I40" s="6" t="s">
        <v>389</v>
      </c>
      <c r="J40" s="281">
        <f>AVERAGE(E41:I41)</f>
        <v>228.92</v>
      </c>
      <c r="K40" s="281">
        <f>D40*J40</f>
        <v>228.92</v>
      </c>
    </row>
    <row r="41" spans="1:11">
      <c r="A41" s="287"/>
      <c r="B41" s="294"/>
      <c r="C41" s="329"/>
      <c r="D41" s="287"/>
      <c r="E41" s="7">
        <v>212.39</v>
      </c>
      <c r="F41" s="7">
        <v>224.9</v>
      </c>
      <c r="G41" s="7">
        <v>224</v>
      </c>
      <c r="H41" s="7">
        <v>224.32</v>
      </c>
      <c r="I41" s="7">
        <v>259</v>
      </c>
      <c r="J41" s="281"/>
      <c r="K41" s="281"/>
    </row>
    <row r="42" spans="1:11">
      <c r="A42" s="1"/>
      <c r="B42" s="1"/>
      <c r="C42" s="1"/>
      <c r="D42" s="1"/>
      <c r="F42" s="303" t="s">
        <v>286</v>
      </c>
      <c r="G42" s="303"/>
      <c r="H42" s="303"/>
      <c r="I42" s="303"/>
      <c r="J42" s="303"/>
      <c r="K42" s="43">
        <f>SUM(K22:K41)</f>
        <v>1867.52</v>
      </c>
    </row>
    <row r="43" spans="1:11">
      <c r="B43" s="39"/>
      <c r="C43" s="39"/>
      <c r="D43" s="39"/>
      <c r="E43" s="39"/>
      <c r="F43" s="304" t="s">
        <v>287</v>
      </c>
      <c r="G43" s="304"/>
      <c r="H43" s="304"/>
      <c r="I43" s="304"/>
      <c r="J43" s="304"/>
      <c r="K43" s="44">
        <v>12</v>
      </c>
    </row>
    <row r="44" spans="1:11">
      <c r="A44" s="40"/>
      <c r="B44" s="41"/>
      <c r="C44" s="40"/>
      <c r="D44" s="40"/>
      <c r="E44" s="42"/>
      <c r="F44" s="305" t="s">
        <v>288</v>
      </c>
      <c r="G44" s="305"/>
      <c r="H44" s="305"/>
      <c r="I44" s="305"/>
      <c r="J44" s="305"/>
      <c r="K44" s="45">
        <f>K42/K43</f>
        <v>155.63</v>
      </c>
    </row>
    <row r="45" spans="1:11">
      <c r="E45" s="49"/>
      <c r="F45" s="49"/>
      <c r="G45" s="49"/>
      <c r="H45" s="49"/>
      <c r="I45" s="49"/>
      <c r="J45" s="53"/>
    </row>
    <row r="46" spans="1:11">
      <c r="A46" s="316" t="s">
        <v>390</v>
      </c>
      <c r="B46" s="316"/>
      <c r="C46" s="316"/>
      <c r="D46" s="316"/>
      <c r="E46" s="316"/>
      <c r="F46" s="316"/>
      <c r="G46" s="316"/>
      <c r="H46" s="316"/>
      <c r="I46" s="316"/>
      <c r="J46" s="316"/>
      <c r="K46" s="316"/>
    </row>
    <row r="47" spans="1:11">
      <c r="A47" s="316" t="s">
        <v>255</v>
      </c>
      <c r="B47" s="316" t="s">
        <v>256</v>
      </c>
      <c r="C47" s="316" t="s">
        <v>257</v>
      </c>
      <c r="D47" s="316" t="s">
        <v>324</v>
      </c>
      <c r="E47" s="315" t="s">
        <v>259</v>
      </c>
      <c r="F47" s="315"/>
      <c r="G47" s="315"/>
      <c r="H47" s="315"/>
      <c r="I47" s="315"/>
      <c r="J47" s="315"/>
      <c r="K47" s="315" t="s">
        <v>260</v>
      </c>
    </row>
    <row r="48" spans="1:11" ht="38.25">
      <c r="A48" s="316"/>
      <c r="B48" s="316"/>
      <c r="C48" s="316"/>
      <c r="D48" s="316"/>
      <c r="E48" s="50" t="s">
        <v>261</v>
      </c>
      <c r="F48" s="50" t="s">
        <v>262</v>
      </c>
      <c r="G48" s="50" t="s">
        <v>263</v>
      </c>
      <c r="H48" s="50" t="s">
        <v>264</v>
      </c>
      <c r="I48" s="50" t="s">
        <v>265</v>
      </c>
      <c r="J48" s="51" t="s">
        <v>266</v>
      </c>
      <c r="K48" s="315"/>
    </row>
    <row r="49" spans="1:12" ht="38.25">
      <c r="A49" s="317">
        <v>1</v>
      </c>
      <c r="B49" s="327" t="s">
        <v>391</v>
      </c>
      <c r="C49" s="318" t="s">
        <v>257</v>
      </c>
      <c r="D49" s="317">
        <v>2</v>
      </c>
      <c r="E49" s="6" t="s">
        <v>392</v>
      </c>
      <c r="F49" s="7" t="s">
        <v>393</v>
      </c>
      <c r="G49" s="6" t="s">
        <v>394</v>
      </c>
      <c r="H49" s="6" t="s">
        <v>395</v>
      </c>
      <c r="I49" s="6"/>
      <c r="J49" s="281">
        <f t="shared" ref="J49:J53" si="8">AVERAGE(E50:I50)</f>
        <v>26.92</v>
      </c>
      <c r="K49" s="281">
        <f t="shared" ref="K49:K53" si="9">D49*J49</f>
        <v>53.84</v>
      </c>
      <c r="L49" s="314"/>
    </row>
    <row r="50" spans="1:12">
      <c r="A50" s="317"/>
      <c r="B50" s="327"/>
      <c r="C50" s="318"/>
      <c r="D50" s="317"/>
      <c r="E50" s="7">
        <v>26</v>
      </c>
      <c r="F50" s="7">
        <v>28.75</v>
      </c>
      <c r="G50" s="7">
        <v>30</v>
      </c>
      <c r="H50" s="7">
        <v>22.91</v>
      </c>
      <c r="I50" s="7"/>
      <c r="J50" s="281"/>
      <c r="K50" s="281"/>
      <c r="L50" s="314"/>
    </row>
    <row r="51" spans="1:12" ht="51">
      <c r="A51" s="317">
        <v>2</v>
      </c>
      <c r="B51" s="327" t="s">
        <v>396</v>
      </c>
      <c r="C51" s="317" t="s">
        <v>397</v>
      </c>
      <c r="D51" s="317">
        <f>12/3</f>
        <v>4</v>
      </c>
      <c r="E51" s="7" t="s">
        <v>326</v>
      </c>
      <c r="F51" s="7" t="s">
        <v>398</v>
      </c>
      <c r="G51" s="6" t="s">
        <v>276</v>
      </c>
      <c r="H51" s="6" t="s">
        <v>399</v>
      </c>
      <c r="I51" s="6" t="s">
        <v>400</v>
      </c>
      <c r="J51" s="281">
        <f t="shared" si="8"/>
        <v>29.19</v>
      </c>
      <c r="K51" s="281">
        <f t="shared" si="9"/>
        <v>116.76</v>
      </c>
      <c r="L51" s="314"/>
    </row>
    <row r="52" spans="1:12">
      <c r="A52" s="317"/>
      <c r="B52" s="327"/>
      <c r="C52" s="317"/>
      <c r="D52" s="317"/>
      <c r="E52" s="7">
        <v>24.39</v>
      </c>
      <c r="F52" s="7">
        <v>28.05</v>
      </c>
      <c r="G52" s="7">
        <v>29.6</v>
      </c>
      <c r="H52" s="7">
        <v>33.92</v>
      </c>
      <c r="I52" s="7">
        <v>30</v>
      </c>
      <c r="J52" s="281"/>
      <c r="K52" s="281"/>
      <c r="L52" s="314"/>
    </row>
    <row r="53" spans="1:12" ht="63.75">
      <c r="A53" s="317">
        <v>3</v>
      </c>
      <c r="B53" s="327" t="s">
        <v>401</v>
      </c>
      <c r="C53" s="317" t="s">
        <v>351</v>
      </c>
      <c r="D53" s="318">
        <v>30</v>
      </c>
      <c r="E53" s="7" t="s">
        <v>402</v>
      </c>
      <c r="F53" s="7" t="s">
        <v>337</v>
      </c>
      <c r="G53" s="7" t="s">
        <v>403</v>
      </c>
      <c r="H53" s="6" t="s">
        <v>404</v>
      </c>
      <c r="I53" s="7" t="s">
        <v>405</v>
      </c>
      <c r="J53" s="281">
        <f t="shared" si="8"/>
        <v>1.56</v>
      </c>
      <c r="K53" s="281">
        <f t="shared" si="9"/>
        <v>46.8</v>
      </c>
      <c r="L53" s="314"/>
    </row>
    <row r="54" spans="1:12">
      <c r="A54" s="317"/>
      <c r="B54" s="327"/>
      <c r="C54" s="317"/>
      <c r="D54" s="318"/>
      <c r="E54" s="7">
        <v>1.99</v>
      </c>
      <c r="F54" s="7">
        <v>1.28</v>
      </c>
      <c r="G54" s="7">
        <v>1.6</v>
      </c>
      <c r="H54" s="7">
        <v>1.42</v>
      </c>
      <c r="I54" s="7">
        <v>1.5</v>
      </c>
      <c r="J54" s="281"/>
      <c r="K54" s="281"/>
      <c r="L54" s="314"/>
    </row>
    <row r="55" spans="1:12" ht="63.75">
      <c r="A55" s="317">
        <v>4</v>
      </c>
      <c r="B55" s="327" t="s">
        <v>350</v>
      </c>
      <c r="C55" s="317" t="s">
        <v>351</v>
      </c>
      <c r="D55" s="317">
        <v>6</v>
      </c>
      <c r="E55" s="7" t="s">
        <v>352</v>
      </c>
      <c r="F55" s="7" t="s">
        <v>353</v>
      </c>
      <c r="G55" s="7" t="s">
        <v>354</v>
      </c>
      <c r="H55" s="7" t="s">
        <v>355</v>
      </c>
      <c r="I55" s="7" t="s">
        <v>356</v>
      </c>
      <c r="J55" s="281">
        <f t="shared" ref="J55:J59" si="10">AVERAGE(E56:I56)</f>
        <v>5.95</v>
      </c>
      <c r="K55" s="281">
        <f t="shared" ref="K55:K59" si="11">D55*J55</f>
        <v>35.700000000000003</v>
      </c>
      <c r="L55" s="314"/>
    </row>
    <row r="56" spans="1:12">
      <c r="A56" s="317"/>
      <c r="B56" s="327"/>
      <c r="C56" s="317"/>
      <c r="D56" s="317"/>
      <c r="E56" s="7">
        <v>4.29</v>
      </c>
      <c r="F56" s="7">
        <v>5.4</v>
      </c>
      <c r="G56" s="7">
        <v>5.5</v>
      </c>
      <c r="H56" s="7">
        <v>6.74</v>
      </c>
      <c r="I56" s="7">
        <v>7.8</v>
      </c>
      <c r="J56" s="281"/>
      <c r="K56" s="281"/>
      <c r="L56" s="314"/>
    </row>
    <row r="57" spans="1:12" ht="51">
      <c r="A57" s="317">
        <v>5</v>
      </c>
      <c r="B57" s="327" t="s">
        <v>406</v>
      </c>
      <c r="C57" s="317" t="s">
        <v>351</v>
      </c>
      <c r="D57" s="319">
        <v>8</v>
      </c>
      <c r="E57" s="52" t="s">
        <v>407</v>
      </c>
      <c r="F57" s="52" t="s">
        <v>408</v>
      </c>
      <c r="G57" s="52" t="s">
        <v>409</v>
      </c>
      <c r="H57" s="52" t="s">
        <v>410</v>
      </c>
      <c r="I57" s="52"/>
      <c r="J57" s="281">
        <f t="shared" si="10"/>
        <v>124.68</v>
      </c>
      <c r="K57" s="281">
        <f t="shared" si="11"/>
        <v>997.44</v>
      </c>
      <c r="L57" s="314"/>
    </row>
    <row r="58" spans="1:12">
      <c r="A58" s="317"/>
      <c r="B58" s="327"/>
      <c r="C58" s="317"/>
      <c r="D58" s="319"/>
      <c r="E58" s="52">
        <v>139.51</v>
      </c>
      <c r="F58" s="52">
        <v>112</v>
      </c>
      <c r="G58" s="52">
        <v>119.2</v>
      </c>
      <c r="H58" s="52">
        <v>128</v>
      </c>
      <c r="I58" s="52"/>
      <c r="J58" s="281"/>
      <c r="K58" s="281"/>
      <c r="L58" s="314"/>
    </row>
    <row r="59" spans="1:12" ht="38.25">
      <c r="A59" s="317">
        <v>6</v>
      </c>
      <c r="B59" s="327" t="s">
        <v>411</v>
      </c>
      <c r="C59" s="317" t="s">
        <v>351</v>
      </c>
      <c r="D59" s="317">
        <v>1</v>
      </c>
      <c r="E59" s="7" t="s">
        <v>412</v>
      </c>
      <c r="F59" s="7" t="s">
        <v>337</v>
      </c>
      <c r="G59" s="6" t="s">
        <v>413</v>
      </c>
      <c r="H59" s="6" t="s">
        <v>414</v>
      </c>
      <c r="I59" s="6" t="s">
        <v>415</v>
      </c>
      <c r="J59" s="281">
        <f t="shared" si="10"/>
        <v>24.49</v>
      </c>
      <c r="K59" s="281">
        <f t="shared" si="11"/>
        <v>24.49</v>
      </c>
      <c r="L59" s="314"/>
    </row>
    <row r="60" spans="1:12">
      <c r="A60" s="317"/>
      <c r="B60" s="327"/>
      <c r="C60" s="317"/>
      <c r="D60" s="317"/>
      <c r="E60" s="7">
        <v>25</v>
      </c>
      <c r="F60" s="7">
        <v>24.85</v>
      </c>
      <c r="G60" s="7">
        <v>22</v>
      </c>
      <c r="H60" s="7">
        <v>28</v>
      </c>
      <c r="I60" s="7">
        <v>22.61</v>
      </c>
      <c r="J60" s="281"/>
      <c r="K60" s="281"/>
      <c r="L60" s="314"/>
    </row>
    <row r="61" spans="1:12" ht="51">
      <c r="A61" s="317">
        <v>7</v>
      </c>
      <c r="B61" s="327" t="s">
        <v>416</v>
      </c>
      <c r="C61" s="317" t="s">
        <v>417</v>
      </c>
      <c r="D61" s="317">
        <v>2</v>
      </c>
      <c r="E61" s="7" t="s">
        <v>418</v>
      </c>
      <c r="F61" s="6" t="s">
        <v>276</v>
      </c>
      <c r="G61" s="7" t="s">
        <v>419</v>
      </c>
      <c r="H61" s="7" t="s">
        <v>420</v>
      </c>
      <c r="I61" s="7" t="s">
        <v>366</v>
      </c>
      <c r="J61" s="281">
        <f>AVERAGE(E62:I62)</f>
        <v>19.850000000000001</v>
      </c>
      <c r="K61" s="281">
        <f>D61*J61</f>
        <v>39.700000000000003</v>
      </c>
      <c r="L61" s="314"/>
    </row>
    <row r="62" spans="1:12">
      <c r="A62" s="317"/>
      <c r="B62" s="327"/>
      <c r="C62" s="317"/>
      <c r="D62" s="317"/>
      <c r="E62" s="7">
        <v>19.899999999999999</v>
      </c>
      <c r="F62" s="7">
        <v>20</v>
      </c>
      <c r="G62" s="7">
        <v>18.579999999999998</v>
      </c>
      <c r="H62" s="7">
        <v>22.25</v>
      </c>
      <c r="I62" s="7">
        <v>18.5</v>
      </c>
      <c r="J62" s="281"/>
      <c r="K62" s="281"/>
      <c r="L62" s="314"/>
    </row>
    <row r="63" spans="1:12">
      <c r="A63" s="1"/>
      <c r="B63" s="1"/>
      <c r="C63" s="1"/>
      <c r="D63" s="1"/>
      <c r="F63" s="303" t="s">
        <v>286</v>
      </c>
      <c r="G63" s="303"/>
      <c r="H63" s="303"/>
      <c r="I63" s="303"/>
      <c r="J63" s="303"/>
      <c r="K63" s="43">
        <f>SUM(K45:K62)</f>
        <v>1314.73</v>
      </c>
      <c r="L63" s="54"/>
    </row>
    <row r="64" spans="1:12">
      <c r="B64" s="39"/>
      <c r="C64" s="39"/>
      <c r="D64" s="39"/>
      <c r="E64" s="39"/>
      <c r="F64" s="304" t="s">
        <v>287</v>
      </c>
      <c r="G64" s="304"/>
      <c r="H64" s="304"/>
      <c r="I64" s="304"/>
      <c r="J64" s="304"/>
      <c r="K64" s="44">
        <v>12</v>
      </c>
    </row>
    <row r="65" spans="1:11">
      <c r="A65" s="40"/>
      <c r="B65" s="41"/>
      <c r="C65" s="40"/>
      <c r="D65" s="40"/>
      <c r="E65" s="42"/>
      <c r="F65" s="305" t="s">
        <v>288</v>
      </c>
      <c r="G65" s="305"/>
      <c r="H65" s="305"/>
      <c r="I65" s="305"/>
      <c r="J65" s="305"/>
      <c r="K65" s="45">
        <f>K63/K64</f>
        <v>109.56</v>
      </c>
    </row>
  </sheetData>
  <mergeCells count="165">
    <mergeCell ref="A1:K1"/>
    <mergeCell ref="A2:K2"/>
    <mergeCell ref="A4:K4"/>
    <mergeCell ref="E5:J5"/>
    <mergeCell ref="F15:J15"/>
    <mergeCell ref="F16:J16"/>
    <mergeCell ref="F17:J17"/>
    <mergeCell ref="A19:K19"/>
    <mergeCell ref="E20:J20"/>
    <mergeCell ref="F42:J42"/>
    <mergeCell ref="F43:J43"/>
    <mergeCell ref="F44:J44"/>
    <mergeCell ref="A46:K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K53:K54"/>
    <mergeCell ref="K55:K56"/>
    <mergeCell ref="K57:K58"/>
    <mergeCell ref="K59:K60"/>
    <mergeCell ref="K61:K62"/>
    <mergeCell ref="L49:L50"/>
    <mergeCell ref="L51:L52"/>
    <mergeCell ref="L53:L54"/>
    <mergeCell ref="L55:L56"/>
    <mergeCell ref="L57:L58"/>
    <mergeCell ref="L59:L60"/>
    <mergeCell ref="L61:L62"/>
  </mergeCells>
  <pageMargins left="0.55416666666666703" right="0.35763888888888901" top="0.80277777777777803" bottom="0.60555555555555596" header="0.5" footer="0.5"/>
  <pageSetup paperSize="9" scale="5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A1:S26"/>
  <sheetViews>
    <sheetView view="pageBreakPreview" zoomScale="70" zoomScaleNormal="80" workbookViewId="0">
      <selection activeCell="E5" sqref="E5:I5"/>
    </sheetView>
  </sheetViews>
  <sheetFormatPr defaultColWidth="9.140625" defaultRowHeight="12.75"/>
  <cols>
    <col min="1" max="1" width="7.140625" style="3" customWidth="1"/>
    <col min="2" max="2" width="41.28515625" style="33" customWidth="1"/>
    <col min="3" max="3" width="9.42578125" style="2" customWidth="1"/>
    <col min="4" max="4" width="15.7109375" style="2" customWidth="1"/>
    <col min="5" max="9" width="29.28515625" style="2" customWidth="1"/>
    <col min="10" max="11" width="15.7109375" style="2" customWidth="1"/>
    <col min="12" max="12" width="13.5703125" style="4" customWidth="1"/>
    <col min="13" max="13" width="13.140625" style="4" customWidth="1"/>
    <col min="14" max="14" width="13.28515625" style="4" customWidth="1"/>
    <col min="15" max="15" width="16.42578125" style="4" customWidth="1"/>
    <col min="16" max="16" width="16.85546875" style="4" customWidth="1"/>
    <col min="17" max="17" width="21.5703125" style="4" customWidth="1"/>
    <col min="18" max="19" width="12" style="4" customWidth="1"/>
    <col min="20" max="16384" width="9.140625" style="2"/>
  </cols>
  <sheetData>
    <row r="1" spans="1:14" s="1" customFormat="1" ht="18">
      <c r="A1" s="309" t="str">
        <f>'SEMSUR_TOTALIZADOR GERAL'!A1</f>
        <v>SEMSUR</v>
      </c>
      <c r="B1" s="309"/>
      <c r="C1" s="309"/>
      <c r="D1" s="309"/>
      <c r="E1" s="309"/>
      <c r="F1" s="309"/>
      <c r="G1" s="309"/>
      <c r="H1" s="309"/>
      <c r="I1" s="309"/>
      <c r="J1" s="309"/>
      <c r="K1" s="309"/>
    </row>
    <row r="2" spans="1:14" s="1" customFormat="1" ht="18">
      <c r="A2" s="309" t="s">
        <v>421</v>
      </c>
      <c r="B2" s="341"/>
      <c r="C2" s="309"/>
      <c r="D2" s="309"/>
      <c r="E2" s="309"/>
      <c r="F2" s="309"/>
      <c r="G2" s="309"/>
      <c r="H2" s="309"/>
      <c r="I2" s="309"/>
      <c r="J2" s="309"/>
      <c r="K2" s="309"/>
      <c r="L2" s="16"/>
      <c r="M2" s="16"/>
      <c r="N2" s="16"/>
    </row>
    <row r="3" spans="1:14" s="1" customFormat="1">
      <c r="A3" s="337" t="s">
        <v>422</v>
      </c>
      <c r="B3" s="339"/>
      <c r="C3" s="337"/>
      <c r="D3" s="337"/>
      <c r="E3" s="337"/>
      <c r="F3" s="337"/>
      <c r="G3" s="337"/>
      <c r="H3" s="337"/>
      <c r="I3" s="337"/>
      <c r="J3" s="337"/>
      <c r="K3" s="337"/>
    </row>
    <row r="4" spans="1:14" s="1" customFormat="1">
      <c r="A4" s="337" t="s">
        <v>255</v>
      </c>
      <c r="B4" s="339" t="s">
        <v>256</v>
      </c>
      <c r="C4" s="337" t="s">
        <v>257</v>
      </c>
      <c r="D4" s="337" t="s">
        <v>423</v>
      </c>
      <c r="E4" s="302" t="s">
        <v>259</v>
      </c>
      <c r="F4" s="302"/>
      <c r="G4" s="302"/>
      <c r="H4" s="302"/>
      <c r="I4" s="302"/>
      <c r="J4" s="302"/>
      <c r="K4" s="34"/>
    </row>
    <row r="5" spans="1:14" s="1" customFormat="1" ht="38.25">
      <c r="A5" s="337"/>
      <c r="B5" s="339"/>
      <c r="C5" s="337"/>
      <c r="D5" s="337"/>
      <c r="E5" s="35" t="s">
        <v>261</v>
      </c>
      <c r="F5" s="35" t="s">
        <v>262</v>
      </c>
      <c r="G5" s="35" t="s">
        <v>263</v>
      </c>
      <c r="H5" s="35" t="s">
        <v>264</v>
      </c>
      <c r="I5" s="35" t="s">
        <v>265</v>
      </c>
      <c r="J5" s="34" t="s">
        <v>266</v>
      </c>
      <c r="K5" s="34" t="s">
        <v>424</v>
      </c>
    </row>
    <row r="6" spans="1:14" s="2" customFormat="1" ht="39.950000000000003" customHeight="1">
      <c r="A6" s="336">
        <v>1</v>
      </c>
      <c r="B6" s="340" t="s">
        <v>425</v>
      </c>
      <c r="C6" s="336" t="s">
        <v>257</v>
      </c>
      <c r="D6" s="338">
        <f>('SEMSUR_TOTALIZADOR GERAL'!B6+'SEMSUR_TOTALIZADOR GERAL'!D6+'SEMSUR_TOTALIZADOR GERAL'!H6)*2</f>
        <v>6</v>
      </c>
      <c r="E6" s="36" t="s">
        <v>276</v>
      </c>
      <c r="F6" s="36" t="s">
        <v>426</v>
      </c>
      <c r="G6" s="36" t="s">
        <v>427</v>
      </c>
      <c r="H6" s="36" t="s">
        <v>428</v>
      </c>
      <c r="I6" s="36"/>
      <c r="J6" s="281">
        <f t="shared" ref="J6:J10" si="0">AVERAGE(E7:I7)</f>
        <v>11.55</v>
      </c>
      <c r="K6" s="335">
        <f>D6*J6</f>
        <v>69.3</v>
      </c>
    </row>
    <row r="7" spans="1:14" s="2" customFormat="1">
      <c r="A7" s="336"/>
      <c r="B7" s="340"/>
      <c r="C7" s="336"/>
      <c r="D7" s="291"/>
      <c r="E7" s="37">
        <v>12.43</v>
      </c>
      <c r="F7" s="37">
        <v>10.28</v>
      </c>
      <c r="G7" s="37">
        <v>12</v>
      </c>
      <c r="H7" s="37">
        <v>11.5</v>
      </c>
      <c r="I7" s="37"/>
      <c r="J7" s="281"/>
      <c r="K7" s="318"/>
      <c r="M7" s="40"/>
      <c r="N7" s="41"/>
    </row>
    <row r="8" spans="1:14" s="2" customFormat="1" ht="38.25">
      <c r="A8" s="336">
        <v>2</v>
      </c>
      <c r="B8" s="340" t="s">
        <v>429</v>
      </c>
      <c r="C8" s="336" t="s">
        <v>257</v>
      </c>
      <c r="D8" s="338">
        <f>'SEMSUR_TOTALIZADOR GERAL'!H6</f>
        <v>1</v>
      </c>
      <c r="E8" s="37" t="s">
        <v>337</v>
      </c>
      <c r="F8" s="37" t="s">
        <v>430</v>
      </c>
      <c r="G8" s="37" t="s">
        <v>431</v>
      </c>
      <c r="H8" s="37"/>
      <c r="I8" s="37"/>
      <c r="J8" s="281">
        <f t="shared" si="0"/>
        <v>191.3</v>
      </c>
      <c r="K8" s="335">
        <f t="shared" ref="K8:K10" si="1">D8*J8</f>
        <v>191.3</v>
      </c>
    </row>
    <row r="9" spans="1:14" s="2" customFormat="1">
      <c r="A9" s="336"/>
      <c r="B9" s="340"/>
      <c r="C9" s="336"/>
      <c r="D9" s="291"/>
      <c r="E9" s="37">
        <v>173.57</v>
      </c>
      <c r="F9" s="37">
        <v>182.6</v>
      </c>
      <c r="G9" s="37">
        <v>217.72</v>
      </c>
      <c r="H9" s="37"/>
      <c r="I9" s="37"/>
      <c r="J9" s="281"/>
      <c r="K9" s="318"/>
      <c r="M9" s="40"/>
      <c r="N9" s="41"/>
    </row>
    <row r="10" spans="1:14" s="2" customFormat="1" ht="51">
      <c r="A10" s="336">
        <v>3</v>
      </c>
      <c r="B10" s="340" t="s">
        <v>432</v>
      </c>
      <c r="C10" s="336" t="s">
        <v>257</v>
      </c>
      <c r="D10" s="291">
        <v>50</v>
      </c>
      <c r="E10" s="36" t="s">
        <v>268</v>
      </c>
      <c r="F10" s="37" t="s">
        <v>433</v>
      </c>
      <c r="G10" s="37" t="s">
        <v>434</v>
      </c>
      <c r="H10" s="37" t="s">
        <v>435</v>
      </c>
      <c r="I10" s="37"/>
      <c r="J10" s="281">
        <f t="shared" si="0"/>
        <v>21.09</v>
      </c>
      <c r="K10" s="335">
        <f t="shared" si="1"/>
        <v>1054.5</v>
      </c>
    </row>
    <row r="11" spans="1:14" s="2" customFormat="1">
      <c r="A11" s="336"/>
      <c r="B11" s="340"/>
      <c r="C11" s="336"/>
      <c r="D11" s="291"/>
      <c r="E11" s="37">
        <v>22.9</v>
      </c>
      <c r="F11" s="37">
        <v>16.899999999999999</v>
      </c>
      <c r="G11" s="37">
        <v>24.55</v>
      </c>
      <c r="H11" s="37">
        <v>20</v>
      </c>
      <c r="I11" s="37"/>
      <c r="J11" s="281"/>
      <c r="K11" s="318"/>
      <c r="M11" s="40"/>
      <c r="N11" s="41"/>
    </row>
    <row r="12" spans="1:14" s="2" customFormat="1" ht="38.25">
      <c r="A12" s="336">
        <v>4</v>
      </c>
      <c r="B12" s="340" t="s">
        <v>436</v>
      </c>
      <c r="C12" s="336" t="s">
        <v>257</v>
      </c>
      <c r="D12" s="338">
        <f>(SUM('SEMSUR_TOTALIZADOR GERAL'!B6+'SEMSUR_TOTALIZADOR GERAL'!D6+'SEMSUR_TOTALIZADOR GERAL'!H6))*3</f>
        <v>9</v>
      </c>
      <c r="E12" s="37" t="s">
        <v>437</v>
      </c>
      <c r="F12" s="37" t="s">
        <v>438</v>
      </c>
      <c r="G12" s="37" t="s">
        <v>439</v>
      </c>
      <c r="H12" s="37" t="s">
        <v>440</v>
      </c>
      <c r="I12" s="37"/>
      <c r="J12" s="281">
        <f t="shared" ref="J12:J16" si="2">AVERAGE(E13:I13)</f>
        <v>14.66</v>
      </c>
      <c r="K12" s="335">
        <f t="shared" ref="K12:K16" si="3">D12*J12</f>
        <v>131.94</v>
      </c>
    </row>
    <row r="13" spans="1:14" s="2" customFormat="1">
      <c r="A13" s="336"/>
      <c r="B13" s="340"/>
      <c r="C13" s="336"/>
      <c r="D13" s="291"/>
      <c r="E13" s="37">
        <v>14.45</v>
      </c>
      <c r="F13" s="37">
        <v>14.3</v>
      </c>
      <c r="G13" s="37">
        <v>14.9</v>
      </c>
      <c r="H13" s="37">
        <v>15</v>
      </c>
      <c r="I13" s="37"/>
      <c r="J13" s="281"/>
      <c r="K13" s="318"/>
      <c r="M13" s="40"/>
      <c r="N13" s="41"/>
    </row>
    <row r="14" spans="1:14" s="2" customFormat="1" ht="51">
      <c r="A14" s="336">
        <v>5</v>
      </c>
      <c r="B14" s="340" t="s">
        <v>441</v>
      </c>
      <c r="C14" s="336" t="s">
        <v>257</v>
      </c>
      <c r="D14" s="338">
        <f>'SEMSUR_TOTALIZADOR GERAL'!H6*4</f>
        <v>4</v>
      </c>
      <c r="E14" s="37" t="s">
        <v>276</v>
      </c>
      <c r="F14" s="37" t="s">
        <v>442</v>
      </c>
      <c r="G14" s="37" t="s">
        <v>443</v>
      </c>
      <c r="H14" s="37"/>
      <c r="I14" s="37"/>
      <c r="J14" s="281">
        <f t="shared" si="2"/>
        <v>61.21</v>
      </c>
      <c r="K14" s="335">
        <f t="shared" si="3"/>
        <v>244.84</v>
      </c>
    </row>
    <row r="15" spans="1:14" s="2" customFormat="1">
      <c r="A15" s="336"/>
      <c r="B15" s="340"/>
      <c r="C15" s="336"/>
      <c r="D15" s="291"/>
      <c r="E15" s="37">
        <v>57.9</v>
      </c>
      <c r="F15" s="37">
        <v>66</v>
      </c>
      <c r="G15" s="37">
        <v>59.72</v>
      </c>
      <c r="H15" s="37"/>
      <c r="I15" s="37"/>
      <c r="J15" s="281"/>
      <c r="K15" s="318"/>
      <c r="M15" s="40"/>
      <c r="N15" s="41"/>
    </row>
    <row r="16" spans="1:14" s="2" customFormat="1" ht="38.25">
      <c r="A16" s="336">
        <v>6</v>
      </c>
      <c r="B16" s="340" t="s">
        <v>444</v>
      </c>
      <c r="C16" s="336" t="s">
        <v>257</v>
      </c>
      <c r="D16" s="338">
        <f>'SEMSUR_TOTALIZADOR GERAL'!H6*4</f>
        <v>4</v>
      </c>
      <c r="E16" s="37" t="s">
        <v>276</v>
      </c>
      <c r="F16" s="37" t="s">
        <v>445</v>
      </c>
      <c r="G16" s="37" t="s">
        <v>446</v>
      </c>
      <c r="H16" s="37"/>
      <c r="I16" s="37"/>
      <c r="J16" s="281">
        <f t="shared" si="2"/>
        <v>76.31</v>
      </c>
      <c r="K16" s="335">
        <f t="shared" si="3"/>
        <v>305.24</v>
      </c>
    </row>
    <row r="17" spans="1:14" s="2" customFormat="1">
      <c r="A17" s="336"/>
      <c r="B17" s="340"/>
      <c r="C17" s="336"/>
      <c r="D17" s="291"/>
      <c r="E17" s="37">
        <v>78.56</v>
      </c>
      <c r="F17" s="37">
        <v>78.14</v>
      </c>
      <c r="G17" s="37">
        <v>72.239999999999995</v>
      </c>
      <c r="H17" s="37"/>
      <c r="I17" s="37"/>
      <c r="J17" s="281"/>
      <c r="K17" s="318"/>
      <c r="M17" s="40"/>
      <c r="N17" s="41"/>
    </row>
    <row r="18" spans="1:14" s="2" customFormat="1" ht="38.25">
      <c r="A18" s="336">
        <v>7</v>
      </c>
      <c r="B18" s="340" t="s">
        <v>447</v>
      </c>
      <c r="C18" s="336" t="s">
        <v>257</v>
      </c>
      <c r="D18" s="338">
        <f>'SEMSUR_TOTALIZADOR GERAL'!B6+'SEMSUR_TOTALIZADOR GERAL'!D6</f>
        <v>2</v>
      </c>
      <c r="E18" s="37" t="s">
        <v>276</v>
      </c>
      <c r="F18" s="37" t="s">
        <v>448</v>
      </c>
      <c r="G18" s="37" t="s">
        <v>449</v>
      </c>
      <c r="H18" s="37"/>
      <c r="I18" s="37"/>
      <c r="J18" s="281">
        <f>AVERAGE(E19:I19)</f>
        <v>56.77</v>
      </c>
      <c r="K18" s="335">
        <f>D18*J18</f>
        <v>113.54</v>
      </c>
    </row>
    <row r="19" spans="1:14" s="2" customFormat="1">
      <c r="A19" s="336"/>
      <c r="B19" s="340"/>
      <c r="C19" s="336"/>
      <c r="D19" s="291"/>
      <c r="E19" s="37">
        <v>65.05</v>
      </c>
      <c r="F19" s="37">
        <v>56.19</v>
      </c>
      <c r="G19" s="37">
        <v>49.06</v>
      </c>
      <c r="H19" s="37"/>
      <c r="I19" s="37"/>
      <c r="J19" s="281"/>
      <c r="K19" s="318"/>
      <c r="M19" s="40"/>
      <c r="N19" s="41"/>
    </row>
    <row r="20" spans="1:14" s="2" customFormat="1" ht="38.25">
      <c r="A20" s="336">
        <v>8</v>
      </c>
      <c r="B20" s="340" t="s">
        <v>450</v>
      </c>
      <c r="C20" s="336" t="s">
        <v>257</v>
      </c>
      <c r="D20" s="338">
        <f>'SEMSUR_TOTALIZADOR GERAL'!G6+'SEMSUR_TOTALIZADOR GERAL'!K6</f>
        <v>3</v>
      </c>
      <c r="E20" s="37" t="s">
        <v>276</v>
      </c>
      <c r="F20" s="37" t="s">
        <v>451</v>
      </c>
      <c r="G20" s="37" t="s">
        <v>452</v>
      </c>
      <c r="H20" s="37" t="s">
        <v>453</v>
      </c>
      <c r="I20" s="37"/>
      <c r="J20" s="281">
        <f>AVERAGE(E21:I21)</f>
        <v>28.78</v>
      </c>
      <c r="K20" s="335">
        <f>D20*J20</f>
        <v>86.34</v>
      </c>
    </row>
    <row r="21" spans="1:14" s="2" customFormat="1">
      <c r="A21" s="336"/>
      <c r="B21" s="340"/>
      <c r="C21" s="336"/>
      <c r="D21" s="291"/>
      <c r="E21" s="37">
        <v>30.3</v>
      </c>
      <c r="F21" s="37">
        <v>27.7</v>
      </c>
      <c r="G21" s="37">
        <v>30</v>
      </c>
      <c r="H21" s="37">
        <v>27.1</v>
      </c>
      <c r="I21" s="37"/>
      <c r="J21" s="281"/>
      <c r="K21" s="318"/>
    </row>
    <row r="22" spans="1:14" s="1" customFormat="1" ht="20.100000000000001" customHeight="1">
      <c r="F22" s="303" t="s">
        <v>454</v>
      </c>
      <c r="G22" s="303"/>
      <c r="H22" s="303"/>
      <c r="I22" s="303"/>
      <c r="J22" s="303"/>
      <c r="K22" s="43">
        <f>SUM(K6:K21)</f>
        <v>2197</v>
      </c>
    </row>
    <row r="23" spans="1:14" s="1" customFormat="1" ht="20.100000000000001" customHeight="1">
      <c r="A23" s="38"/>
      <c r="B23" s="39"/>
      <c r="C23" s="39"/>
      <c r="D23" s="39"/>
      <c r="E23" s="39"/>
      <c r="F23" s="304" t="s">
        <v>287</v>
      </c>
      <c r="G23" s="304"/>
      <c r="H23" s="304"/>
      <c r="I23" s="304"/>
      <c r="J23" s="304"/>
      <c r="K23" s="44">
        <v>12</v>
      </c>
    </row>
    <row r="24" spans="1:14" s="1" customFormat="1" ht="24" customHeight="1">
      <c r="A24" s="40"/>
      <c r="B24" s="41"/>
      <c r="C24" s="40"/>
      <c r="D24" s="40"/>
      <c r="E24" s="42"/>
      <c r="F24" s="305" t="s">
        <v>455</v>
      </c>
      <c r="G24" s="305"/>
      <c r="H24" s="305"/>
      <c r="I24" s="305"/>
      <c r="J24" s="305"/>
      <c r="K24" s="45">
        <f>K22/K23</f>
        <v>183.08</v>
      </c>
    </row>
    <row r="25" spans="1:14" ht="24" customHeight="1">
      <c r="F25" s="304" t="s">
        <v>456</v>
      </c>
      <c r="G25" s="304"/>
      <c r="H25" s="304"/>
      <c r="I25" s="304"/>
      <c r="J25" s="304"/>
      <c r="K25" s="44">
        <f>'SEMSUR_TOTALIZADOR GERAL'!L6-'SEMSUR_TOTALIZADOR GERAL'!I6</f>
        <v>7</v>
      </c>
    </row>
    <row r="26" spans="1:14" ht="24" customHeight="1">
      <c r="F26" s="305" t="s">
        <v>288</v>
      </c>
      <c r="G26" s="305"/>
      <c r="H26" s="305"/>
      <c r="I26" s="305"/>
      <c r="J26" s="305"/>
      <c r="K26" s="45">
        <f>K24/K25</f>
        <v>26.15</v>
      </c>
    </row>
  </sheetData>
  <mergeCells count="61">
    <mergeCell ref="A1:K1"/>
    <mergeCell ref="A2:K2"/>
    <mergeCell ref="A3:K3"/>
    <mergeCell ref="E4:J4"/>
    <mergeCell ref="F22:J22"/>
    <mergeCell ref="B10:B11"/>
    <mergeCell ref="B12:B13"/>
    <mergeCell ref="B14:B15"/>
    <mergeCell ref="B16:B17"/>
    <mergeCell ref="B18:B19"/>
    <mergeCell ref="B20:B21"/>
    <mergeCell ref="C4:C5"/>
    <mergeCell ref="C6:C7"/>
    <mergeCell ref="C8:C9"/>
    <mergeCell ref="C10:C11"/>
    <mergeCell ref="C12:C13"/>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C14:C15"/>
    <mergeCell ref="C16:C17"/>
    <mergeCell ref="C18:C19"/>
    <mergeCell ref="C20:C21"/>
    <mergeCell ref="D4:D5"/>
    <mergeCell ref="D6:D7"/>
    <mergeCell ref="D8:D9"/>
    <mergeCell ref="D10:D11"/>
    <mergeCell ref="D12:D13"/>
    <mergeCell ref="D14:D15"/>
    <mergeCell ref="D16:D17"/>
    <mergeCell ref="D18:D19"/>
    <mergeCell ref="D20:D21"/>
    <mergeCell ref="J16:J17"/>
    <mergeCell ref="J18:J19"/>
    <mergeCell ref="J20:J21"/>
    <mergeCell ref="K6:K7"/>
    <mergeCell ref="K8:K9"/>
    <mergeCell ref="K10:K11"/>
    <mergeCell ref="K12:K13"/>
    <mergeCell ref="K14:K15"/>
    <mergeCell ref="K16:K17"/>
    <mergeCell ref="K18:K19"/>
    <mergeCell ref="K20:K21"/>
    <mergeCell ref="J6:J7"/>
    <mergeCell ref="J8:J9"/>
    <mergeCell ref="J10:J11"/>
    <mergeCell ref="J12:J13"/>
    <mergeCell ref="J14:J15"/>
  </mergeCells>
  <pageMargins left="0.55416666666666703" right="0.35763888888888901" top="0.60555555555555596" bottom="0.60555555555555596" header="0.5" footer="0.5"/>
  <pageSetup paperSize="9" scale="7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79998168889431442"/>
  </sheetPr>
  <dimension ref="A1:T33"/>
  <sheetViews>
    <sheetView view="pageBreakPreview" zoomScale="70" zoomScaleNormal="70" workbookViewId="0">
      <selection activeCell="I10" sqref="I10"/>
    </sheetView>
  </sheetViews>
  <sheetFormatPr defaultColWidth="9.140625" defaultRowHeight="12.75"/>
  <cols>
    <col min="1" max="1" width="7.140625" style="3" customWidth="1"/>
    <col min="2" max="2" width="39.85546875" style="2" customWidth="1"/>
    <col min="3" max="3" width="9.42578125" style="2" customWidth="1"/>
    <col min="4" max="4" width="11.42578125" style="2" customWidth="1"/>
    <col min="5" max="9" width="25.85546875" style="4" customWidth="1"/>
    <col min="10" max="10" width="17" style="4" customWidth="1"/>
    <col min="11" max="11" width="14.85546875" style="4" customWidth="1"/>
    <col min="12" max="12" width="14.7109375" style="4" customWidth="1"/>
    <col min="13" max="13" width="18.140625" style="4" customWidth="1"/>
    <col min="14" max="14" width="13.140625" style="4" customWidth="1"/>
    <col min="15" max="15" width="13.28515625" style="4" customWidth="1"/>
    <col min="16" max="16" width="16.42578125" style="4" customWidth="1"/>
    <col min="17" max="17" width="16.85546875" style="4" customWidth="1"/>
    <col min="18" max="18" width="21.5703125" style="4" customWidth="1"/>
    <col min="19" max="20" width="12" style="4" customWidth="1"/>
    <col min="21" max="16384" width="9.140625" style="2"/>
  </cols>
  <sheetData>
    <row r="1" spans="1:15" s="1" customFormat="1" ht="33.950000000000003" customHeight="1">
      <c r="A1" s="309" t="str">
        <f>'SEMSUR_TOTALIZADOR GERAL'!A1</f>
        <v>SEMSUR</v>
      </c>
      <c r="B1" s="309"/>
      <c r="C1" s="309"/>
      <c r="D1" s="309"/>
      <c r="E1" s="309"/>
      <c r="F1" s="309"/>
      <c r="G1" s="309"/>
      <c r="H1" s="309"/>
      <c r="I1" s="309"/>
      <c r="J1" s="309"/>
      <c r="K1" s="309"/>
      <c r="L1" s="309"/>
      <c r="M1" s="309"/>
    </row>
    <row r="2" spans="1:15" s="1" customFormat="1" ht="33.950000000000003" customHeight="1">
      <c r="A2" s="309" t="s">
        <v>457</v>
      </c>
      <c r="B2" s="309"/>
      <c r="C2" s="309"/>
      <c r="D2" s="309"/>
      <c r="E2" s="309"/>
      <c r="F2" s="309"/>
      <c r="G2" s="309"/>
      <c r="H2" s="309"/>
      <c r="I2" s="309"/>
      <c r="J2" s="309"/>
      <c r="K2" s="309"/>
      <c r="L2" s="309"/>
      <c r="M2" s="309"/>
      <c r="N2" s="16"/>
      <c r="O2" s="16"/>
    </row>
    <row r="3" spans="1:15" s="1" customFormat="1">
      <c r="A3" s="337" t="s">
        <v>458</v>
      </c>
      <c r="B3" s="337"/>
      <c r="C3" s="337"/>
      <c r="D3" s="337"/>
      <c r="E3" s="337"/>
      <c r="F3" s="337"/>
      <c r="G3" s="337"/>
      <c r="H3" s="337"/>
      <c r="I3" s="337"/>
      <c r="J3" s="337"/>
      <c r="K3" s="337"/>
      <c r="L3" s="337"/>
      <c r="M3" s="337"/>
    </row>
    <row r="4" spans="1:15" s="1" customFormat="1">
      <c r="A4" s="337" t="s">
        <v>255</v>
      </c>
      <c r="B4" s="337" t="s">
        <v>256</v>
      </c>
      <c r="C4" s="337" t="s">
        <v>257</v>
      </c>
      <c r="D4" s="337" t="s">
        <v>423</v>
      </c>
      <c r="E4" s="370" t="s">
        <v>259</v>
      </c>
      <c r="F4" s="371"/>
      <c r="G4" s="371"/>
      <c r="H4" s="371"/>
      <c r="I4" s="371"/>
      <c r="J4" s="372"/>
      <c r="K4" s="370" t="s">
        <v>459</v>
      </c>
      <c r="L4" s="371"/>
      <c r="M4" s="372"/>
    </row>
    <row r="5" spans="1:15" s="1" customFormat="1" ht="38.25">
      <c r="A5" s="337"/>
      <c r="B5" s="337"/>
      <c r="C5" s="337"/>
      <c r="D5" s="337"/>
      <c r="E5" s="5" t="s">
        <v>261</v>
      </c>
      <c r="F5" s="5" t="s">
        <v>262</v>
      </c>
      <c r="G5" s="5" t="s">
        <v>263</v>
      </c>
      <c r="H5" s="5" t="s">
        <v>264</v>
      </c>
      <c r="I5" s="5" t="s">
        <v>265</v>
      </c>
      <c r="J5" s="17" t="s">
        <v>266</v>
      </c>
      <c r="K5" s="18" t="s">
        <v>460</v>
      </c>
      <c r="L5" s="18" t="s">
        <v>461</v>
      </c>
      <c r="M5" s="18" t="s">
        <v>462</v>
      </c>
    </row>
    <row r="6" spans="1:15" s="2" customFormat="1" ht="63.75">
      <c r="A6" s="350">
        <v>1</v>
      </c>
      <c r="B6" s="355" t="s">
        <v>463</v>
      </c>
      <c r="C6" s="350" t="s">
        <v>257</v>
      </c>
      <c r="D6" s="350">
        <f>2</f>
        <v>2</v>
      </c>
      <c r="E6" s="6" t="s">
        <v>268</v>
      </c>
      <c r="F6" s="6" t="s">
        <v>464</v>
      </c>
      <c r="G6" s="7" t="s">
        <v>465</v>
      </c>
      <c r="H6" s="7" t="s">
        <v>466</v>
      </c>
      <c r="I6" s="7"/>
      <c r="J6" s="348">
        <f t="shared" ref="J6:J10" si="0">AVERAGE(E7:I7)</f>
        <v>485.08</v>
      </c>
      <c r="K6" s="346">
        <f t="shared" ref="K6:K10" si="1">D6*J6</f>
        <v>970.16</v>
      </c>
      <c r="L6" s="344">
        <v>0.2</v>
      </c>
      <c r="M6" s="342">
        <f t="shared" ref="M6:M10" si="2">K6*L6</f>
        <v>194.03</v>
      </c>
    </row>
    <row r="7" spans="1:15" s="2" customFormat="1">
      <c r="A7" s="351"/>
      <c r="B7" s="356"/>
      <c r="C7" s="351"/>
      <c r="D7" s="351"/>
      <c r="E7" s="7">
        <v>449.9</v>
      </c>
      <c r="F7" s="7">
        <v>491</v>
      </c>
      <c r="G7" s="7">
        <v>479.4</v>
      </c>
      <c r="H7" s="7">
        <v>520</v>
      </c>
      <c r="I7" s="7"/>
      <c r="J7" s="349"/>
      <c r="K7" s="347"/>
      <c r="L7" s="345"/>
      <c r="M7" s="343"/>
    </row>
    <row r="8" spans="1:15" s="2" customFormat="1" ht="96.95" customHeight="1">
      <c r="A8" s="350">
        <v>2</v>
      </c>
      <c r="B8" s="355" t="s">
        <v>467</v>
      </c>
      <c r="C8" s="350" t="s">
        <v>257</v>
      </c>
      <c r="D8" s="353">
        <f>'SEMSUR_TOTALIZADOR GERAL'!B6+'SEMSUR_TOTALIZADOR GERAL'!D6</f>
        <v>2</v>
      </c>
      <c r="E8" s="6" t="s">
        <v>276</v>
      </c>
      <c r="F8" s="7" t="s">
        <v>468</v>
      </c>
      <c r="G8" s="6" t="s">
        <v>469</v>
      </c>
      <c r="H8" s="6"/>
      <c r="I8" s="6"/>
      <c r="J8" s="348">
        <f t="shared" si="0"/>
        <v>1477.61</v>
      </c>
      <c r="K8" s="346">
        <f t="shared" si="1"/>
        <v>2955.22</v>
      </c>
      <c r="L8" s="344">
        <v>0.2</v>
      </c>
      <c r="M8" s="342">
        <f t="shared" si="2"/>
        <v>591.04</v>
      </c>
    </row>
    <row r="9" spans="1:15" s="2" customFormat="1">
      <c r="A9" s="351"/>
      <c r="B9" s="356"/>
      <c r="C9" s="351"/>
      <c r="D9" s="351"/>
      <c r="E9" s="7">
        <v>1300.22</v>
      </c>
      <c r="F9" s="7">
        <v>1654.99</v>
      </c>
      <c r="G9" s="7"/>
      <c r="H9" s="7"/>
      <c r="I9" s="7"/>
      <c r="J9" s="349"/>
      <c r="K9" s="347"/>
      <c r="L9" s="345"/>
      <c r="M9" s="343"/>
    </row>
    <row r="10" spans="1:15" s="2" customFormat="1" ht="51">
      <c r="A10" s="350">
        <v>3</v>
      </c>
      <c r="B10" s="355" t="s">
        <v>470</v>
      </c>
      <c r="C10" s="350" t="s">
        <v>257</v>
      </c>
      <c r="D10" s="350">
        <v>1</v>
      </c>
      <c r="E10" s="6" t="s">
        <v>276</v>
      </c>
      <c r="F10" s="6" t="s">
        <v>471</v>
      </c>
      <c r="G10" s="7" t="s">
        <v>472</v>
      </c>
      <c r="H10" s="7"/>
      <c r="I10" s="7"/>
      <c r="J10" s="348">
        <f t="shared" si="0"/>
        <v>2278.83</v>
      </c>
      <c r="K10" s="346">
        <f t="shared" si="1"/>
        <v>2278.83</v>
      </c>
      <c r="L10" s="344">
        <v>0.2</v>
      </c>
      <c r="M10" s="342">
        <f t="shared" si="2"/>
        <v>455.77</v>
      </c>
    </row>
    <row r="11" spans="1:15" s="2" customFormat="1">
      <c r="A11" s="351"/>
      <c r="B11" s="356"/>
      <c r="C11" s="351"/>
      <c r="D11" s="351"/>
      <c r="E11" s="7">
        <v>2119</v>
      </c>
      <c r="F11" s="7">
        <v>2490</v>
      </c>
      <c r="G11" s="7">
        <v>2227.4899999999998</v>
      </c>
      <c r="H11" s="7"/>
      <c r="I11" s="7"/>
      <c r="J11" s="349"/>
      <c r="K11" s="347"/>
      <c r="L11" s="345"/>
      <c r="M11" s="343"/>
    </row>
    <row r="12" spans="1:15" s="2" customFormat="1" ht="120" customHeight="1">
      <c r="A12" s="350">
        <v>4</v>
      </c>
      <c r="B12" s="355" t="s">
        <v>473</v>
      </c>
      <c r="C12" s="350" t="s">
        <v>257</v>
      </c>
      <c r="D12" s="350">
        <v>4</v>
      </c>
      <c r="E12" s="7" t="s">
        <v>474</v>
      </c>
      <c r="F12" s="6" t="s">
        <v>475</v>
      </c>
      <c r="G12" s="6" t="s">
        <v>476</v>
      </c>
      <c r="H12" s="6" t="s">
        <v>477</v>
      </c>
      <c r="I12" s="6"/>
      <c r="J12" s="348">
        <f t="shared" ref="J12:J16" si="3">AVERAGE(E13:I13)</f>
        <v>3027.54</v>
      </c>
      <c r="K12" s="346">
        <f t="shared" ref="K12:K16" si="4">D12*J12</f>
        <v>12110.16</v>
      </c>
      <c r="L12" s="344">
        <v>0.2</v>
      </c>
      <c r="M12" s="342">
        <f t="shared" ref="M12:M16" si="5">K12*L12</f>
        <v>2422.0300000000002</v>
      </c>
    </row>
    <row r="13" spans="1:15" s="2" customFormat="1">
      <c r="A13" s="351"/>
      <c r="B13" s="356"/>
      <c r="C13" s="351"/>
      <c r="D13" s="351"/>
      <c r="E13" s="7">
        <v>2399.2800000000002</v>
      </c>
      <c r="F13" s="7">
        <v>3965.88</v>
      </c>
      <c r="G13" s="7">
        <v>3100</v>
      </c>
      <c r="H13" s="7">
        <v>2645</v>
      </c>
      <c r="I13" s="7"/>
      <c r="J13" s="349"/>
      <c r="K13" s="347"/>
      <c r="L13" s="345"/>
      <c r="M13" s="343"/>
    </row>
    <row r="14" spans="1:15" s="2" customFormat="1" ht="51">
      <c r="A14" s="350">
        <v>5</v>
      </c>
      <c r="B14" s="355" t="s">
        <v>478</v>
      </c>
      <c r="C14" s="350" t="s">
        <v>257</v>
      </c>
      <c r="D14" s="350">
        <v>2</v>
      </c>
      <c r="E14" s="7" t="s">
        <v>479</v>
      </c>
      <c r="F14" s="7" t="s">
        <v>480</v>
      </c>
      <c r="G14" s="6" t="s">
        <v>481</v>
      </c>
      <c r="H14" s="6" t="s">
        <v>482</v>
      </c>
      <c r="I14" s="6"/>
      <c r="J14" s="348">
        <f t="shared" si="3"/>
        <v>484.7</v>
      </c>
      <c r="K14" s="346">
        <f t="shared" si="4"/>
        <v>969.4</v>
      </c>
      <c r="L14" s="344">
        <v>0.2</v>
      </c>
      <c r="M14" s="342">
        <f t="shared" si="5"/>
        <v>193.88</v>
      </c>
    </row>
    <row r="15" spans="1:15" s="2" customFormat="1">
      <c r="A15" s="351"/>
      <c r="B15" s="356"/>
      <c r="C15" s="351"/>
      <c r="D15" s="351"/>
      <c r="E15" s="7">
        <v>489.9</v>
      </c>
      <c r="F15" s="7">
        <v>459</v>
      </c>
      <c r="G15" s="7">
        <v>519.89</v>
      </c>
      <c r="H15" s="7">
        <v>470</v>
      </c>
      <c r="I15" s="7"/>
      <c r="J15" s="349"/>
      <c r="K15" s="347"/>
      <c r="L15" s="345"/>
      <c r="M15" s="343"/>
    </row>
    <row r="16" spans="1:15" s="2" customFormat="1" ht="143.1" customHeight="1">
      <c r="A16" s="350">
        <v>6</v>
      </c>
      <c r="B16" s="355" t="s">
        <v>483</v>
      </c>
      <c r="C16" s="350" t="s">
        <v>257</v>
      </c>
      <c r="D16" s="350">
        <v>1</v>
      </c>
      <c r="E16" s="6" t="s">
        <v>276</v>
      </c>
      <c r="F16" s="7" t="s">
        <v>484</v>
      </c>
      <c r="G16" s="7" t="s">
        <v>485</v>
      </c>
      <c r="H16" s="7"/>
      <c r="I16" s="7"/>
      <c r="J16" s="348">
        <f t="shared" si="3"/>
        <v>9171.2199999999993</v>
      </c>
      <c r="K16" s="346">
        <f t="shared" si="4"/>
        <v>9171.2199999999993</v>
      </c>
      <c r="L16" s="344">
        <v>0.2</v>
      </c>
      <c r="M16" s="342">
        <f t="shared" si="5"/>
        <v>1834.24</v>
      </c>
    </row>
    <row r="17" spans="1:20">
      <c r="A17" s="351"/>
      <c r="B17" s="356"/>
      <c r="C17" s="351"/>
      <c r="D17" s="351"/>
      <c r="E17" s="7">
        <v>10758</v>
      </c>
      <c r="F17" s="7">
        <v>8498</v>
      </c>
      <c r="G17" s="7">
        <v>8257.67</v>
      </c>
      <c r="H17" s="7"/>
      <c r="I17" s="7"/>
      <c r="J17" s="349"/>
      <c r="K17" s="347"/>
      <c r="L17" s="345"/>
      <c r="M17" s="343"/>
      <c r="N17" s="2"/>
      <c r="O17" s="2"/>
      <c r="P17" s="2"/>
      <c r="Q17" s="2"/>
      <c r="R17" s="2"/>
      <c r="S17" s="2"/>
      <c r="T17" s="2"/>
    </row>
    <row r="18" spans="1:20" ht="84.95" customHeight="1">
      <c r="A18" s="336">
        <v>7</v>
      </c>
      <c r="B18" s="354" t="s">
        <v>486</v>
      </c>
      <c r="C18" s="350" t="s">
        <v>257</v>
      </c>
      <c r="D18" s="336">
        <v>1</v>
      </c>
      <c r="E18" s="7" t="s">
        <v>276</v>
      </c>
      <c r="F18" s="6" t="s">
        <v>487</v>
      </c>
      <c r="G18" s="7" t="s">
        <v>488</v>
      </c>
      <c r="H18" s="7"/>
      <c r="I18" s="7"/>
      <c r="J18" s="348">
        <f t="shared" ref="J18:J22" si="6">AVERAGE(E19:I19)</f>
        <v>1039.98</v>
      </c>
      <c r="K18" s="346">
        <f t="shared" ref="K18:K22" si="7">D18*J18</f>
        <v>1039.98</v>
      </c>
      <c r="L18" s="344">
        <v>0.2</v>
      </c>
      <c r="M18" s="342">
        <f t="shared" ref="M18:M22" si="8">K18*L18</f>
        <v>208</v>
      </c>
      <c r="N18" s="2"/>
      <c r="O18" s="2"/>
      <c r="P18" s="2"/>
      <c r="Q18" s="2"/>
      <c r="R18" s="2"/>
      <c r="S18" s="2"/>
      <c r="T18" s="2"/>
    </row>
    <row r="19" spans="1:20">
      <c r="A19" s="336"/>
      <c r="B19" s="354"/>
      <c r="C19" s="351"/>
      <c r="D19" s="336"/>
      <c r="E19" s="7">
        <v>1225.3</v>
      </c>
      <c r="F19" s="7">
        <v>1045.47</v>
      </c>
      <c r="G19" s="7">
        <v>849.16</v>
      </c>
      <c r="H19" s="7"/>
      <c r="I19" s="7"/>
      <c r="J19" s="349"/>
      <c r="K19" s="347"/>
      <c r="L19" s="345"/>
      <c r="M19" s="343"/>
      <c r="N19" s="2"/>
      <c r="O19" s="2"/>
      <c r="P19" s="2"/>
      <c r="Q19" s="2"/>
      <c r="R19" s="2"/>
      <c r="S19" s="2"/>
      <c r="T19" s="2"/>
    </row>
    <row r="20" spans="1:20" ht="177.95" customHeight="1">
      <c r="A20" s="336">
        <v>8</v>
      </c>
      <c r="B20" s="354" t="s">
        <v>489</v>
      </c>
      <c r="C20" s="350" t="s">
        <v>257</v>
      </c>
      <c r="D20" s="336">
        <v>1</v>
      </c>
      <c r="E20" s="6" t="s">
        <v>276</v>
      </c>
      <c r="F20" s="7" t="s">
        <v>337</v>
      </c>
      <c r="G20" s="7" t="s">
        <v>377</v>
      </c>
      <c r="H20" s="7"/>
      <c r="I20" s="7"/>
      <c r="J20" s="348">
        <f t="shared" si="6"/>
        <v>946.88</v>
      </c>
      <c r="K20" s="346">
        <f t="shared" si="7"/>
        <v>946.88</v>
      </c>
      <c r="L20" s="344">
        <v>0.2</v>
      </c>
      <c r="M20" s="342">
        <f t="shared" si="8"/>
        <v>189.38</v>
      </c>
      <c r="N20" s="2"/>
      <c r="O20" s="2"/>
      <c r="P20" s="2"/>
      <c r="Q20" s="2"/>
      <c r="R20" s="2"/>
      <c r="S20" s="2"/>
      <c r="T20" s="2"/>
    </row>
    <row r="21" spans="1:20">
      <c r="A21" s="336"/>
      <c r="B21" s="354"/>
      <c r="C21" s="351"/>
      <c r="D21" s="336"/>
      <c r="E21" s="7">
        <v>840</v>
      </c>
      <c r="F21" s="7">
        <v>980.75</v>
      </c>
      <c r="G21" s="7">
        <v>1019.9</v>
      </c>
      <c r="H21" s="7"/>
      <c r="I21" s="7"/>
      <c r="J21" s="349"/>
      <c r="K21" s="347"/>
      <c r="L21" s="345"/>
      <c r="M21" s="343"/>
      <c r="N21" s="2"/>
      <c r="O21" s="2"/>
      <c r="P21" s="2"/>
      <c r="Q21" s="2"/>
      <c r="R21" s="2"/>
      <c r="S21" s="2"/>
      <c r="T21" s="2"/>
    </row>
    <row r="22" spans="1:20" ht="38.25">
      <c r="A22" s="336">
        <v>9</v>
      </c>
      <c r="B22" s="354" t="s">
        <v>490</v>
      </c>
      <c r="C22" s="350" t="s">
        <v>257</v>
      </c>
      <c r="D22" s="352">
        <f>'SEMSUR_TOTALIZADOR GERAL'!K6+'SEMSUR_TOTALIZADOR GERAL'!G6*30%</f>
        <v>2</v>
      </c>
      <c r="E22" s="6" t="s">
        <v>276</v>
      </c>
      <c r="F22" s="7" t="s">
        <v>491</v>
      </c>
      <c r="G22" s="7" t="s">
        <v>492</v>
      </c>
      <c r="H22" s="7"/>
      <c r="I22" s="7"/>
      <c r="J22" s="348">
        <f t="shared" si="6"/>
        <v>1291.6600000000001</v>
      </c>
      <c r="K22" s="346">
        <f t="shared" si="7"/>
        <v>2583.3200000000002</v>
      </c>
      <c r="L22" s="344">
        <v>0.2</v>
      </c>
      <c r="M22" s="342">
        <f t="shared" si="8"/>
        <v>516.66</v>
      </c>
      <c r="N22" s="2"/>
      <c r="O22" s="197" t="s">
        <v>493</v>
      </c>
      <c r="P22" s="2"/>
      <c r="Q22" s="2"/>
      <c r="R22" s="2"/>
      <c r="S22" s="2"/>
      <c r="T22" s="2"/>
    </row>
    <row r="23" spans="1:20">
      <c r="A23" s="336"/>
      <c r="B23" s="354"/>
      <c r="C23" s="351"/>
      <c r="D23" s="336"/>
      <c r="E23" s="9">
        <v>1485</v>
      </c>
      <c r="F23" s="9">
        <v>1189.99</v>
      </c>
      <c r="G23" s="9">
        <v>1200</v>
      </c>
      <c r="H23" s="9"/>
      <c r="I23" s="9"/>
      <c r="J23" s="349"/>
      <c r="K23" s="347"/>
      <c r="L23" s="345"/>
      <c r="M23" s="343"/>
      <c r="N23" s="2"/>
      <c r="O23" s="2"/>
      <c r="P23" s="2"/>
      <c r="Q23" s="2"/>
      <c r="R23" s="2"/>
      <c r="S23" s="2"/>
      <c r="T23" s="2"/>
    </row>
    <row r="24" spans="1:20" ht="102.95" customHeight="1">
      <c r="A24" s="336">
        <v>10</v>
      </c>
      <c r="B24" s="354" t="s">
        <v>494</v>
      </c>
      <c r="C24" s="336" t="s">
        <v>257</v>
      </c>
      <c r="D24" s="352">
        <f>'SEMSUR_TOTALIZADOR GERAL'!K6+'SEMSUR_TOTALIZADOR GERAL'!G6*30%</f>
        <v>2</v>
      </c>
      <c r="E24" s="7" t="s">
        <v>495</v>
      </c>
      <c r="F24" s="6" t="s">
        <v>276</v>
      </c>
      <c r="G24" s="7" t="s">
        <v>496</v>
      </c>
      <c r="H24" s="6" t="s">
        <v>497</v>
      </c>
      <c r="I24" s="7" t="s">
        <v>495</v>
      </c>
      <c r="J24" s="348">
        <f>AVERAGE(E25:I25)</f>
        <v>832.4</v>
      </c>
      <c r="K24" s="346">
        <f>D24*J24</f>
        <v>1664.8</v>
      </c>
      <c r="L24" s="344">
        <v>0.2</v>
      </c>
      <c r="M24" s="342">
        <f>K24*L24</f>
        <v>332.96</v>
      </c>
      <c r="N24" s="2"/>
      <c r="O24" s="2"/>
      <c r="P24" s="2"/>
      <c r="Q24" s="2"/>
      <c r="R24" s="2"/>
      <c r="S24" s="2"/>
      <c r="T24" s="2"/>
    </row>
    <row r="25" spans="1:20">
      <c r="A25" s="336"/>
      <c r="B25" s="354"/>
      <c r="C25" s="336"/>
      <c r="D25" s="336"/>
      <c r="E25" s="10">
        <v>820</v>
      </c>
      <c r="F25" s="10">
        <v>799</v>
      </c>
      <c r="G25" s="10">
        <v>898</v>
      </c>
      <c r="H25" s="10">
        <v>800</v>
      </c>
      <c r="I25" s="10">
        <v>845</v>
      </c>
      <c r="J25" s="349"/>
      <c r="K25" s="347"/>
      <c r="L25" s="345"/>
      <c r="M25" s="343"/>
      <c r="N25" s="2"/>
      <c r="O25" s="2"/>
      <c r="P25" s="2"/>
      <c r="Q25" s="2"/>
      <c r="R25" s="2"/>
      <c r="S25" s="2"/>
      <c r="T25" s="2"/>
    </row>
    <row r="26" spans="1:20" ht="25.5">
      <c r="A26" s="11"/>
      <c r="B26" s="11"/>
      <c r="C26" s="11"/>
      <c r="D26" s="11"/>
      <c r="E26" s="12"/>
      <c r="F26" s="2"/>
      <c r="G26" s="2"/>
      <c r="H26" s="2"/>
      <c r="I26" s="2"/>
      <c r="J26" s="22" t="s">
        <v>498</v>
      </c>
      <c r="K26" s="23">
        <f>SUM(K6:K25)</f>
        <v>34689.97</v>
      </c>
      <c r="L26" s="23"/>
      <c r="M26" s="24">
        <f>SUM(M6:M25)</f>
        <v>6937.99</v>
      </c>
      <c r="N26" s="25"/>
      <c r="O26" s="2"/>
      <c r="P26" s="2"/>
      <c r="Q26" s="2"/>
      <c r="R26" s="2"/>
      <c r="S26" s="2"/>
      <c r="T26" s="2"/>
    </row>
    <row r="27" spans="1:20">
      <c r="A27" s="11"/>
      <c r="B27" s="11"/>
      <c r="C27" s="11"/>
      <c r="D27" s="11"/>
      <c r="E27" s="12"/>
      <c r="F27" s="2"/>
      <c r="G27" s="2"/>
      <c r="H27" s="2"/>
      <c r="I27" s="2"/>
      <c r="J27" s="357" t="s">
        <v>499</v>
      </c>
      <c r="K27" s="358"/>
      <c r="L27" s="359"/>
      <c r="M27" s="26">
        <v>12</v>
      </c>
      <c r="N27" s="2"/>
      <c r="O27" s="2"/>
      <c r="P27" s="2"/>
      <c r="Q27" s="2"/>
      <c r="R27" s="2"/>
      <c r="S27" s="2"/>
      <c r="T27" s="2"/>
    </row>
    <row r="28" spans="1:20">
      <c r="F28" s="2"/>
      <c r="G28" s="2"/>
      <c r="H28" s="2"/>
      <c r="I28" s="2"/>
      <c r="J28" s="360" t="s">
        <v>500</v>
      </c>
      <c r="K28" s="361"/>
      <c r="L28" s="362"/>
      <c r="M28" s="27">
        <f>M26/M27</f>
        <v>578.16999999999996</v>
      </c>
      <c r="P28" s="28"/>
    </row>
    <row r="29" spans="1:20">
      <c r="A29" s="13"/>
      <c r="B29" s="13"/>
      <c r="C29" s="13"/>
      <c r="D29" s="13"/>
      <c r="E29" s="13"/>
      <c r="F29" s="13"/>
      <c r="G29" s="2"/>
      <c r="H29" s="2"/>
      <c r="I29" s="2"/>
      <c r="J29" s="363" t="s">
        <v>456</v>
      </c>
      <c r="K29" s="364"/>
      <c r="L29" s="365"/>
      <c r="M29" s="29">
        <f>'SEMSUR_TOTALIZADOR GERAL'!L6-'SEMSUR_TOTALIZADOR GERAL'!I6</f>
        <v>7</v>
      </c>
    </row>
    <row r="30" spans="1:20">
      <c r="A30" s="13"/>
      <c r="B30" s="13"/>
      <c r="C30" s="13"/>
      <c r="D30" s="13"/>
      <c r="E30" s="13"/>
      <c r="F30" s="13"/>
      <c r="G30" s="2"/>
      <c r="H30" s="2"/>
      <c r="I30" s="2"/>
      <c r="J30" s="366" t="s">
        <v>501</v>
      </c>
      <c r="K30" s="367"/>
      <c r="L30" s="368"/>
      <c r="M30" s="30">
        <f>M28/M29</f>
        <v>82.6</v>
      </c>
    </row>
    <row r="31" spans="1:20">
      <c r="A31" s="14"/>
      <c r="B31" s="15"/>
      <c r="C31" s="15"/>
      <c r="D31" s="15"/>
      <c r="E31" s="15"/>
      <c r="F31" s="15"/>
      <c r="G31" s="15"/>
      <c r="H31" s="15"/>
      <c r="I31" s="15"/>
      <c r="J31" s="31"/>
      <c r="M31" s="32"/>
    </row>
    <row r="32" spans="1:20" ht="24.95" customHeight="1">
      <c r="A32" s="369" t="s">
        <v>502</v>
      </c>
      <c r="B32" s="369"/>
      <c r="C32" s="369"/>
      <c r="D32" s="369"/>
      <c r="E32" s="369"/>
      <c r="F32" s="369"/>
      <c r="G32" s="369"/>
      <c r="H32" s="369"/>
      <c r="I32" s="369"/>
      <c r="J32" s="369"/>
      <c r="K32" s="369"/>
      <c r="L32" s="369"/>
      <c r="M32" s="369"/>
    </row>
    <row r="33" spans="1:13" ht="33.950000000000003" customHeight="1">
      <c r="A33" s="354" t="s">
        <v>503</v>
      </c>
      <c r="B33" s="354"/>
      <c r="C33" s="354"/>
      <c r="D33" s="354"/>
      <c r="E33" s="354"/>
      <c r="F33" s="354"/>
      <c r="G33" s="354"/>
      <c r="H33" s="354"/>
      <c r="I33" s="354"/>
      <c r="J33" s="354"/>
      <c r="K33" s="354"/>
      <c r="L33" s="354"/>
      <c r="M33" s="354"/>
    </row>
  </sheetData>
  <mergeCells count="95">
    <mergeCell ref="J30:L30"/>
    <mergeCell ref="A32:M32"/>
    <mergeCell ref="A1:M1"/>
    <mergeCell ref="A2:M2"/>
    <mergeCell ref="A3:M3"/>
    <mergeCell ref="E4:J4"/>
    <mergeCell ref="K4:M4"/>
    <mergeCell ref="D4:D5"/>
    <mergeCell ref="B8:B9"/>
    <mergeCell ref="B10:B11"/>
    <mergeCell ref="J27:L27"/>
    <mergeCell ref="J28:L28"/>
    <mergeCell ref="J29:L29"/>
    <mergeCell ref="B18:B19"/>
    <mergeCell ref="B20:B21"/>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22:B23"/>
    <mergeCell ref="B24:B25"/>
    <mergeCell ref="C4:C5"/>
    <mergeCell ref="C6:C7"/>
    <mergeCell ref="C8:C9"/>
    <mergeCell ref="C10:C11"/>
    <mergeCell ref="C12:C13"/>
    <mergeCell ref="C14:C15"/>
    <mergeCell ref="C16:C17"/>
    <mergeCell ref="C18:C19"/>
    <mergeCell ref="C20:C21"/>
    <mergeCell ref="C22:C23"/>
    <mergeCell ref="C24:C25"/>
    <mergeCell ref="B12:B13"/>
    <mergeCell ref="B14:B15"/>
    <mergeCell ref="B16:B17"/>
    <mergeCell ref="D6:D7"/>
    <mergeCell ref="D8:D9"/>
    <mergeCell ref="D10:D11"/>
    <mergeCell ref="D12:D13"/>
    <mergeCell ref="D14:D15"/>
    <mergeCell ref="D16:D17"/>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K6:K7"/>
    <mergeCell ref="K8:K9"/>
    <mergeCell ref="K10:K11"/>
    <mergeCell ref="K12:K13"/>
    <mergeCell ref="K14:K15"/>
    <mergeCell ref="K16:K17"/>
    <mergeCell ref="K18:K19"/>
    <mergeCell ref="K20:K21"/>
    <mergeCell ref="K22:K23"/>
    <mergeCell ref="K24:K25"/>
    <mergeCell ref="L6:L7"/>
    <mergeCell ref="L8:L9"/>
    <mergeCell ref="L10:L11"/>
    <mergeCell ref="L12:L13"/>
    <mergeCell ref="L14:L15"/>
    <mergeCell ref="L16:L17"/>
    <mergeCell ref="L18:L19"/>
    <mergeCell ref="L20:L21"/>
    <mergeCell ref="L22:L23"/>
    <mergeCell ref="L24:L25"/>
    <mergeCell ref="M6:M7"/>
    <mergeCell ref="M8:M9"/>
    <mergeCell ref="M10:M11"/>
    <mergeCell ref="M12:M13"/>
    <mergeCell ref="M14:M15"/>
    <mergeCell ref="M16:M17"/>
    <mergeCell ref="M18:M19"/>
    <mergeCell ref="M20:M21"/>
    <mergeCell ref="M22:M23"/>
    <mergeCell ref="M24:M25"/>
  </mergeCells>
  <pageMargins left="0.55416666666666703" right="0.35763888888888901" top="0.80277777777777803" bottom="0.60555555555555596" header="0.5" footer="0.5"/>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9</vt:i4>
      </vt:variant>
    </vt:vector>
  </HeadingPairs>
  <TitlesOfParts>
    <vt:vector size="22" baseType="lpstr">
      <vt:lpstr>RAIZ_DADOS</vt:lpstr>
      <vt:lpstr>SEMSUR_TOTALIZADOR GERAL</vt:lpstr>
      <vt:lpstr>SEMSUR 4-A_Servente Insal 30h</vt:lpstr>
      <vt:lpstr>SEMSUR 4-B_Servente Insal 44 h</vt:lpstr>
      <vt:lpstr>SEMSUR 4-C_Servente 30 h</vt:lpstr>
      <vt:lpstr>SEMSUR 4-D_Servente Ext 44 h</vt:lpstr>
      <vt:lpstr>SEMSUR 4-E_Limpador Vidros 30 h</vt:lpstr>
      <vt:lpstr>SEMSUR 4-F_Encarregado 30 h</vt:lpstr>
      <vt:lpstr>SEMSUR 4-G_Jardineiro 44 hs</vt:lpstr>
      <vt:lpstr>SEMSUR 4_Uniformes</vt:lpstr>
      <vt:lpstr>SEMSUR 4_EPI's</vt:lpstr>
      <vt:lpstr>SEMSUR 4_Materiais</vt:lpstr>
      <vt:lpstr>SEMSUR 4_Equipamentos</vt:lpstr>
      <vt:lpstr>'SEMSUR 4_EPI''s'!Area_de_impressao</vt:lpstr>
      <vt:lpstr>'SEMSUR 4_Equipamentos'!Area_de_impressao</vt:lpstr>
      <vt:lpstr>'SEMSUR 4-A_Servente Insal 30h'!Area_de_impressao</vt:lpstr>
      <vt:lpstr>'SEMSUR 4-B_Servente Insal 44 h'!Area_de_impressao</vt:lpstr>
      <vt:lpstr>'SEMSUR 4-C_Servente 30 h'!Area_de_impressao</vt:lpstr>
      <vt:lpstr>'SEMSUR 4-D_Servente Ext 44 h'!Area_de_impressao</vt:lpstr>
      <vt:lpstr>'SEMSUR 4-E_Limpador Vidros 30 h'!Area_de_impressao</vt:lpstr>
      <vt:lpstr>'SEMSUR 4-F_Encarregado 30 h'!Area_de_impressao</vt:lpstr>
      <vt:lpstr>'SEMSUR 4-G_Jardineiro 44 hs'!Area_de_impressao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dcterms:created xsi:type="dcterms:W3CDTF">2021-09-17T14:28:00Z</dcterms:created>
  <dcterms:modified xsi:type="dcterms:W3CDTF">2026-05-15T12:26:34Z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170F8A7586654849A8D78346AB8F8ED0_13</vt:lpwstr>
  </property>
  <property fmtid="{D5CDD505-2E9C-101B-9397-08002B2CF9AE}" pid="3" name="KSOProductBuildVer">
    <vt:lpwstr>1046-12.2.0.23155</vt:lpwstr>
  </property>
</Properties>
</file>