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1850" tabRatio="988" activeTab="1"/>
  </bookViews>
  <sheets>
    <sheet name="RAIZ_DADOS" sheetId="1" r:id="rId1"/>
    <sheet name="SEMAD e AGEHAB TOTALIZADOR" sheetId="2" r:id="rId2"/>
    <sheet name="SEMAD 1-A_Servente Insal 30h" sheetId="3" r:id="rId3"/>
    <sheet name="SEMAD 1-B_Servente 30 h" sheetId="4" r:id="rId4"/>
    <sheet name="SEMAD 1-C_Servente Ext 30 h" sheetId="5" r:id="rId5"/>
    <sheet name="SEMAD 1-D_Limpador Vidros 30 h" sheetId="6" r:id="rId6"/>
    <sheet name="SEMAD 1-E_Encarregado 30 h" sheetId="7" r:id="rId7"/>
    <sheet name="SEMAD 1-F_Jardineiro 30 hs" sheetId="8" r:id="rId8"/>
    <sheet name="AGEHAB 1-G_Servente Insal 30h" sheetId="9" r:id="rId9"/>
    <sheet name="SEMAD 1_Uniformes_SEMAD" sheetId="10" r:id="rId10"/>
    <sheet name="SEMAD 1_EPI's_SEMAD" sheetId="11" r:id="rId11"/>
    <sheet name="SEMAD 1_Materiais_SEMAD" sheetId="12" r:id="rId12"/>
    <sheet name="SEMAD 1_Equipamentos_SEMAD" sheetId="13" r:id="rId13"/>
    <sheet name="AGEHAB 1_Uniformes_AGEHAB" sheetId="14" r:id="rId14"/>
    <sheet name="AGEHAB 1_EPI's_AGEHAB" sheetId="15" r:id="rId15"/>
    <sheet name="AGEHAB 1_Materiais_AGEHAB" sheetId="16" r:id="rId16"/>
    <sheet name="AGEHAB 1_Equipamentos_AGEHAB" sheetId="17" r:id="rId17"/>
  </sheets>
  <externalReferences>
    <externalReference r:id="rId18"/>
    <externalReference r:id="rId19"/>
    <externalReference r:id="rId20"/>
    <externalReference r:id="rId21"/>
    <externalReference r:id="rId22"/>
  </externalReferences>
  <definedNames>
    <definedName name="_xlnm.Print_Area" localSheetId="14">'AGEHAB 1_EPI''s_AGEHAB'!$A$1:$K$65</definedName>
    <definedName name="_xlnm.Print_Area" localSheetId="13">#REF!</definedName>
    <definedName name="_xlnm.Print_Area" localSheetId="8">'AGEHAB 1-G_Servente Insal 30h'!$A$1:$F$138</definedName>
    <definedName name="_xlnm.Print_Area" localSheetId="0">RAIZ_DADOS!$A$1:$D$34</definedName>
    <definedName name="_xlnm.Print_Area" localSheetId="10">'SEMAD 1_EPI''s_SEMAD'!$A$1:$K$65</definedName>
    <definedName name="_xlnm.Print_Area" localSheetId="9">#REF!</definedName>
    <definedName name="_xlnm.Print_Area" localSheetId="2">'SEMAD 1-A_Servente Insal 30h'!$A$1:$F$138</definedName>
    <definedName name="_xlnm.Print_Area" localSheetId="3">'SEMAD 1-B_Servente 30 h'!$A$1:$F$138</definedName>
    <definedName name="_xlnm.Print_Area" localSheetId="4">'SEMAD 1-C_Servente Ext 30 h'!$A$1:$F$138</definedName>
    <definedName name="_xlnm.Print_Area" localSheetId="5">'SEMAD 1-D_Limpador Vidros 30 h'!$A$1:$F$138</definedName>
    <definedName name="_xlnm.Print_Area" localSheetId="6">'SEMAD 1-E_Encarregado 30 h'!$A$1:$F$138</definedName>
    <definedName name="_xlnm.Print_Area" localSheetId="7">'SEMAD 1-F_Jardineiro 30 hs'!$A$1:$F$138</definedName>
    <definedName name="_xlnm.Print_Area" localSheetId="1">'SEMAD e AGEHAB TOTALIZADOR'!$A$1:$M$71</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myjob</author>
  </authors>
  <commentList>
    <comment ref="D21" authorId="0">
      <text>
        <r>
          <rPr>
            <sz val="9"/>
            <rFont val="Arial"/>
            <charset val="134"/>
          </rPr>
          <t xml:space="preserve">Valor referente a 50% de R$ 112,00 conforme §3º da Cláusula 11ª, tendo em vista que os postos a ser lotados na Rodoviária trabalharão 6 horas por dia.
</t>
        </r>
      </text>
    </comment>
  </commentList>
</comments>
</file>

<file path=xl/sharedStrings.xml><?xml version="1.0" encoding="utf-8"?>
<sst xmlns="http://schemas.openxmlformats.org/spreadsheetml/2006/main" count="2820" uniqueCount="521">
  <si>
    <t>BASE DA DADOS PARA ELABORAÇÃO DA PLANILHA DE CUSTOS</t>
  </si>
  <si>
    <t>Dados conforme CCT/2025</t>
  </si>
  <si>
    <t>Cláusulas da CCT</t>
  </si>
  <si>
    <t>Item da Planilha</t>
  </si>
  <si>
    <t>Valores</t>
  </si>
  <si>
    <t>Data Base da Categoria</t>
  </si>
  <si>
    <t>1ª</t>
  </si>
  <si>
    <t>1 de janeiro</t>
  </si>
  <si>
    <t>Salário normativo</t>
  </si>
  <si>
    <t>3ª</t>
  </si>
  <si>
    <t>1 - A</t>
  </si>
  <si>
    <t>Auxílio Alimentação</t>
  </si>
  <si>
    <t>14ª</t>
  </si>
  <si>
    <t>2.3 - B</t>
  </si>
  <si>
    <t>Cesta Básica</t>
  </si>
  <si>
    <t>12ª</t>
  </si>
  <si>
    <t>2.3 - F</t>
  </si>
  <si>
    <t>Parágrafo Quinto: O direito ao recebimento do “PRÊMIO CESTA BÁSICA”, independente da jornada de trabalho, está condicionado ao colaborador que não possuir nenhuma falta, seja ela justificada ou não ao trabalho, nenhum afastamento de suas atividades laborais (atestados ou licenças), ou seja, somente receberá o valor integral o colaborador que cumprir totalmente a sua jornada de trabalho diária e mensal bem como aqueles trabalhadores que não sofrerem nenhuma medida disciplinar (advertência formal, suspensão).</t>
  </si>
  <si>
    <t>Gratificação Encarregado - até 5 empregados</t>
  </si>
  <si>
    <t>5ª</t>
  </si>
  <si>
    <t>1 - F</t>
  </si>
  <si>
    <t>44 h</t>
  </si>
  <si>
    <t>Gratificação Encarregado - de 6 a 20 empregados</t>
  </si>
  <si>
    <t>Gratificação Encarregado - de 21 até 40 empregados</t>
  </si>
  <si>
    <t>Gratificação Encarregado - acima de 40 empregados</t>
  </si>
  <si>
    <t>Gratificação Jardineiro</t>
  </si>
  <si>
    <t>Gratificação Limpador de Vidros</t>
  </si>
  <si>
    <t>Proporcional 30 h</t>
  </si>
  <si>
    <t>PPS - Premiação de Posto de Serviço (Transbordo de ônibus)</t>
  </si>
  <si>
    <t>11ª</t>
  </si>
  <si>
    <t>2.3 - E</t>
  </si>
  <si>
    <t>As partes estabelecem que os trabalhadores vinculados às empresas de asseio e conservação que prestarem serviço nos locais específicos abaixo, somente enquanto estiver prestando serviço no respectivo local, terão direito ao recebimento de um prêmio mensal de caráter indenizatório, vinculado a assiduidade, sendo devida ao empregado que, no curso do mês, não tenha faltado ao trabalho, inclusive faltas justificadas ou abonadas, e que não integrará a remuneração nos termos do §2.º do art. 457 da CLT, segundo condições e valores abaixo indicados:
1 - Os empregados que trabalharem exclusivamente em: aeroportos, estações rodoviárias, ferroviárias, centros comerciais, shopping-center, supermercados, hospitais, posto de saúde, casas de diversões, lojas de departamentos, terminais de transbordo de ônibus urbanos, farão jus a uma premiação de: R$ 112,00
2 - (...)
3 - Os empregados que trabalharem em área rural, farão jus a uma premiação mensal de: R$ 100,00
Parágrafo Terceiro: Aos trabalhadores que exercem atividades em jornada em tempo parcial, tendo em vista que sua jornada de trabalho é reduzida em comparação com as demais modalidades de jornada de trabalho, o que faz com que seja necessária uma visão isonômica sobre a premiação a que se refere a presente cláusula, fará jus a um prêmio por assiduidade equivalente a 50% (cinquenta por cento) daquele devido aos trabalhadores cuja jornada de trabalho se enquadra nas demais modalidades previstas nesta CCT</t>
  </si>
  <si>
    <t>PPS - Premiação de Posto de Serviço (Rodoviária)</t>
  </si>
  <si>
    <t>Prêmios Especiais por posto de serviço (Escola Capilé e Fazenda Miya?)</t>
  </si>
  <si>
    <t>Benefício Social Familiar</t>
  </si>
  <si>
    <t>19ª</t>
  </si>
  <si>
    <t>2.3 - C</t>
  </si>
  <si>
    <t>Assistência e da inclusão social do trabalhador</t>
  </si>
  <si>
    <t>20ª</t>
  </si>
  <si>
    <t>2.3 - D</t>
  </si>
  <si>
    <t>Jornada de trabalho da CCT: 44horas</t>
  </si>
  <si>
    <t>32ª</t>
  </si>
  <si>
    <t>30 h ou 40 h</t>
  </si>
  <si>
    <t>Outros Dados</t>
  </si>
  <si>
    <t>Ano</t>
  </si>
  <si>
    <t>Salário mínimo (para cálculo insalubridade)</t>
  </si>
  <si>
    <t>1 - C</t>
  </si>
  <si>
    <t>Percentual de Insalubridade - limpeza de banheiro</t>
  </si>
  <si>
    <t xml:space="preserve">Vale transporte </t>
  </si>
  <si>
    <t>2.3 - A.1</t>
  </si>
  <si>
    <t>Decreto Municipal n.º 256 de 15/05/2025. Valor vigente a partir de 1º de junho de 2025</t>
  </si>
  <si>
    <t>RAT x FAP</t>
  </si>
  <si>
    <t>-</t>
  </si>
  <si>
    <t>2.2 - C</t>
  </si>
  <si>
    <t xml:space="preserve">Média de dias trabalhados no mês </t>
  </si>
  <si>
    <t>2.3 - A.3</t>
  </si>
  <si>
    <t>Quantidade de passagens por dia - 30hs</t>
  </si>
  <si>
    <t>2.3 - A.2</t>
  </si>
  <si>
    <t>Quantidade de passagens por dia - 40hs</t>
  </si>
  <si>
    <t>SEMAD</t>
  </si>
  <si>
    <t>RESUMO - QUANTIDADE DE POSTOS</t>
  </si>
  <si>
    <t>Secretaria / Órgão</t>
  </si>
  <si>
    <t>Servente</t>
  </si>
  <si>
    <t>Limpador de Vidro</t>
  </si>
  <si>
    <t>Encarregado</t>
  </si>
  <si>
    <t>Jardineiro</t>
  </si>
  <si>
    <t>Total Estimado na Licitação</t>
  </si>
  <si>
    <t>Contratação Imediata</t>
  </si>
  <si>
    <t>Com Adicional</t>
  </si>
  <si>
    <t>Sem Adicional</t>
  </si>
  <si>
    <t>Externo</t>
  </si>
  <si>
    <t>Total</t>
  </si>
  <si>
    <t>CARGA HORÁRIA:</t>
  </si>
  <si>
    <t>30 h</t>
  </si>
  <si>
    <t>40 h</t>
  </si>
  <si>
    <t>PLANILHA :</t>
  </si>
  <si>
    <t xml:space="preserve"> 1 - A</t>
  </si>
  <si>
    <t xml:space="preserve"> 1 - B</t>
  </si>
  <si>
    <t xml:space="preserve"> 1 - C</t>
  </si>
  <si>
    <t xml:space="preserve"> 1 - D</t>
  </si>
  <si>
    <t xml:space="preserve"> 1 - E</t>
  </si>
  <si>
    <t xml:space="preserve"> 1 - F</t>
  </si>
  <si>
    <t>AGEHAB</t>
  </si>
  <si>
    <t xml:space="preserve"> 1 - G</t>
  </si>
  <si>
    <t>Conforme Item 5.5.2 do Termo de Referência, os serviços deverão ser prestados nos seguintes horários:</t>
  </si>
  <si>
    <t>SEMAD e AGEHAB:</t>
  </si>
  <si>
    <t>a. Secretarias diversas: das 07:30 às 13:30, perfazendo uma jornada de 30 horas semanais, sendo 6 (seis) horas diárias, de segunda-feira à sexta-feira.</t>
  </si>
  <si>
    <t>b. AGEHAB: das 07:30 às 13:30, perfazendo uma jornada de 30 horas semanais, sendo 6 (seis) horas diárias, de segunda-feira à sexta-feira.</t>
  </si>
  <si>
    <t xml:space="preserve">RESUMO I - ESTIMATIVA REF.: CUSTEIO M.O. </t>
  </si>
  <si>
    <t>Planilha:</t>
  </si>
  <si>
    <t>Posto</t>
  </si>
  <si>
    <t>Valor Unitário</t>
  </si>
  <si>
    <t>Quantidade de postos</t>
  </si>
  <si>
    <t>Valor Mensal</t>
  </si>
  <si>
    <t>Quant. Meses</t>
  </si>
  <si>
    <t>Valor total estimado da contratação</t>
  </si>
  <si>
    <t xml:space="preserve">TOTAL GERAL (RESUMO I - ESTIMATIVA REF.: CUSTEIO M.O. SEMAD ): </t>
  </si>
  <si>
    <t xml:space="preserve">TOTAL GERAL (RESUMO I - ESTIMATIVA REF.: CUSTEIO M.O. AGEHAB ): </t>
  </si>
  <si>
    <t>RESUMO II - FORMAÇÃO DE PREÇOS APOIO TECNOLÓGICO</t>
  </si>
  <si>
    <t>DESCRIÇÃO</t>
  </si>
  <si>
    <t>QTDD</t>
  </si>
  <si>
    <t>SUBTOTAL</t>
  </si>
  <si>
    <t>Quant. Mensal</t>
  </si>
  <si>
    <t>Licenças do Software de Gestão</t>
  </si>
  <si>
    <t>Licenças Gerenciamento de frequência e Documentos</t>
  </si>
  <si>
    <t>Terminal Biométrico</t>
  </si>
  <si>
    <t>Dispositivos móveis (celular ou tablet)</t>
  </si>
  <si>
    <t>Chip de comunicação de dados para conectividade</t>
  </si>
  <si>
    <t>Estação de trabalho completa, incluindo monitor e nobreak;(um) serviço de instalação física, rede lógica dos equipamentos e configuração dos softwares contratados</t>
  </si>
  <si>
    <t>TOTAL GERAL RESUMO II CUSTEIO AP. TEC. SEMAD</t>
  </si>
  <si>
    <t>PREÇO FINAL SEMAD</t>
  </si>
  <si>
    <t>TOTAL DO RESUMO I SEMAD</t>
  </si>
  <si>
    <t>+</t>
  </si>
  <si>
    <t>TOTAL DO RESUMO II SEMAD</t>
  </si>
  <si>
    <t>=</t>
  </si>
  <si>
    <t>PREÇO FINAL (12 MESES) SEMAD</t>
  </si>
  <si>
    <t>TOTAL GERAL RESUMO II CUSTEIO AP. TEC. AGEHAB</t>
  </si>
  <si>
    <t>PREÇO FINAL AGEHAB</t>
  </si>
  <si>
    <t>TOTAL DO RESUMO I AGEHAB</t>
  </si>
  <si>
    <t>TOTAL DO RESUMO II AGEHAB</t>
  </si>
  <si>
    <t>PREÇO FINAL (12 MESES) AGEHAB</t>
  </si>
  <si>
    <t>PLANILHA DE CUSTOS E FORMAÇÃO DE PREÇOS</t>
  </si>
  <si>
    <t xml:space="preserve"> SEMAD 1 (A) - SERVENTE COM INSALUBRIDADE - 30 HORAS</t>
  </si>
  <si>
    <t xml:space="preserve">Processo nº </t>
  </si>
  <si>
    <t>Pregão nº ___/2026</t>
  </si>
  <si>
    <t>Data do Pregão: ___ / ___ / ______</t>
  </si>
  <si>
    <t>I. Discriminação dos Serviços - Servente</t>
  </si>
  <si>
    <t>►</t>
  </si>
  <si>
    <t>Data de apresentação da proposta (dia/mês/ano)</t>
  </si>
  <si>
    <t>___/____/______</t>
  </si>
  <si>
    <t>Município/UF</t>
  </si>
  <si>
    <t>Dourados/MS</t>
  </si>
  <si>
    <t>Vigência do Acordo, Convenção ou Sentença Normativa em Dissídio Coletivo</t>
  </si>
  <si>
    <t>1º/01/2026 a 31/12/2026</t>
  </si>
  <si>
    <t>Nº de meses de execução contratual</t>
  </si>
  <si>
    <t>II. Identificação do Serviço</t>
  </si>
  <si>
    <t>Tipo de Serviço</t>
  </si>
  <si>
    <t>Unidade de Medida</t>
  </si>
  <si>
    <t xml:space="preserve">Quantidade total a contratar </t>
  </si>
  <si>
    <t>Servente Interno: 30 h + Insalubridade</t>
  </si>
  <si>
    <t>Mão-de-obra vinculada à execução contratual</t>
  </si>
  <si>
    <t>Dados para composição dos custos referente à mão-de-obra</t>
  </si>
  <si>
    <t>Tipo de serviço (mesmo serviço com características distintas)</t>
  </si>
  <si>
    <t>Limpeza e conserv.</t>
  </si>
  <si>
    <t>Classificação Brasileira de Ocupações (CBO)</t>
  </si>
  <si>
    <t>5143-20</t>
  </si>
  <si>
    <t>Salário Normativo da Categoria Profissional 44 HRS</t>
  </si>
  <si>
    <t>Categoria profissional (vinculada à execução contratual)</t>
  </si>
  <si>
    <t>Data base da categoria (dia/mês/ano)</t>
  </si>
  <si>
    <t>1º de janeiro de 2026</t>
  </si>
  <si>
    <t>Módulo 1 - Composição da Remuneração</t>
  </si>
  <si>
    <t>Composição da Remuneração</t>
  </si>
  <si>
    <t>Valor (R$)</t>
  </si>
  <si>
    <t>A</t>
  </si>
  <si>
    <t>Salário-Base</t>
  </si>
  <si>
    <t>B</t>
  </si>
  <si>
    <t>Adicional de Periculosidade</t>
  </si>
  <si>
    <t>C</t>
  </si>
  <si>
    <t>Adicional de Insalubridade</t>
  </si>
  <si>
    <t>D</t>
  </si>
  <si>
    <t>Adicional Noturno</t>
  </si>
  <si>
    <t>E</t>
  </si>
  <si>
    <t>Adicional de Hora Noturna Reduzida</t>
  </si>
  <si>
    <t>F</t>
  </si>
  <si>
    <t>Outros (Especificar)</t>
  </si>
  <si>
    <t>Módulo 2 - Encargos e Benefícios Anuais, Mensais e Diários</t>
  </si>
  <si>
    <t>Submódulo 2.1 - 13º (décimo terceiro) Salário, Férias e Adicional de Férias</t>
  </si>
  <si>
    <t>2.1</t>
  </si>
  <si>
    <t>13º (décimo terceiro) Salário, Férias e Adicional de Férias</t>
  </si>
  <si>
    <t>Percentual (%)</t>
  </si>
  <si>
    <t>13º (décimo terceiro) Salário</t>
  </si>
  <si>
    <t>Férias e Adicional de Férias</t>
  </si>
  <si>
    <t>Incidência do Submódulo 2.2 sobre 13º Salário , Férias e Adicional de Férias</t>
  </si>
  <si>
    <t>Submódulo 2.2 - Encargos Previdenciários (GPS), Fundo de Garantia por Tempo de Serviço (FGTS) e outras contribuições</t>
  </si>
  <si>
    <t>2.2</t>
  </si>
  <si>
    <t>GPS, FGTS e outras contribuições</t>
  </si>
  <si>
    <t>INSS</t>
  </si>
  <si>
    <t>Salário Educação</t>
  </si>
  <si>
    <t>SAT</t>
  </si>
  <si>
    <t>SESC ou SESI</t>
  </si>
  <si>
    <t>SENAI - SENAC</t>
  </si>
  <si>
    <t>SEBRAE</t>
  </si>
  <si>
    <t>G</t>
  </si>
  <si>
    <t>INCRA</t>
  </si>
  <si>
    <t>H</t>
  </si>
  <si>
    <t>FGTS</t>
  </si>
  <si>
    <t xml:space="preserve">Total </t>
  </si>
  <si>
    <t>Submódulo 2.3 - Benefícios Mensais e Diários.</t>
  </si>
  <si>
    <t>2.3</t>
  </si>
  <si>
    <t>Benefícios Mensais e Diários</t>
  </si>
  <si>
    <t>Transporte [=((A.1)*(A.2)*(A.3))-(SB*6%)]</t>
  </si>
  <si>
    <t>A.1. Valor da tarifa do transporte coletivo em Dourados/MS:</t>
  </si>
  <si>
    <t>A.2. Quantidade de passagens por dia por empregado:</t>
  </si>
  <si>
    <t>A.3. Quantidade dias/mês:</t>
  </si>
  <si>
    <t>Auxílio-Refeição/Alimentação</t>
  </si>
  <si>
    <t>Benefício Assistencial ao Trabalhador</t>
  </si>
  <si>
    <t>"Prêmios" (aeroporto, rodoviária e postos de saúde)</t>
  </si>
  <si>
    <t>Prêmio Cesta Básica</t>
  </si>
  <si>
    <t>Quadro-Resumo do Módulo 2 - Encargos e Benefícios anuais, mensais e diários</t>
  </si>
  <si>
    <t>Encargos e Benefícios Anuais, Mensais e Diários</t>
  </si>
  <si>
    <t>GPS, FGTS e outras contribuições (incidência sobre o Módulo 1 e Submódulo 2.1)</t>
  </si>
  <si>
    <t>Módulo 3 - Provisão para Rescisão</t>
  </si>
  <si>
    <t>Provisão para Rescisão</t>
  </si>
  <si>
    <t>Aviso Prévio Indenizado (API)</t>
  </si>
  <si>
    <t>Incidência do FGTS sobre o Aviso Prévio Indenizado</t>
  </si>
  <si>
    <t>Multa do FGTS sobre o Aviso Prévio Indenizado</t>
  </si>
  <si>
    <t>Aviso Prévio Trabalhado</t>
  </si>
  <si>
    <t>Incidência dos encargos do submódulo 2.2 sobre o Aviso Prévio Trabalhado</t>
  </si>
  <si>
    <t>Multa do FGTS sobre o Aviso Prévio Trabalhado</t>
  </si>
  <si>
    <t>Módulo 4 - Custo de Reposição do Profissional Ausente</t>
  </si>
  <si>
    <t>Submódulo 4.1 - Ausências Legais</t>
  </si>
  <si>
    <t>4.1</t>
  </si>
  <si>
    <t>Ausências Legais</t>
  </si>
  <si>
    <t>Férias</t>
  </si>
  <si>
    <t>Licença-Paternidade</t>
  </si>
  <si>
    <t>Ausência por acidente de trabalho</t>
  </si>
  <si>
    <t>Afastamento Maternidade</t>
  </si>
  <si>
    <t>Outros (especificar)</t>
  </si>
  <si>
    <t>Submódulo 4.2 - Intrajornada</t>
  </si>
  <si>
    <t>4.2</t>
  </si>
  <si>
    <t>Intrajornada</t>
  </si>
  <si>
    <t>Intervalo para repouso e alimentação</t>
  </si>
  <si>
    <t>Quadro-Resumo do Módulo 4 - Custo de Reposição do Profissional Ausente</t>
  </si>
  <si>
    <t>Custo de Reposição do Profissional Ausente</t>
  </si>
  <si>
    <t>Módulo 5 - Insumos Diversos</t>
  </si>
  <si>
    <t>Insumos Diversos</t>
  </si>
  <si>
    <t>Uniformes</t>
  </si>
  <si>
    <t>EPI'S</t>
  </si>
  <si>
    <t>Materiais</t>
  </si>
  <si>
    <t>Equipamentos</t>
  </si>
  <si>
    <t>Módulo 6 - Custos Indiretos, Tributos e Lucro</t>
  </si>
  <si>
    <t>Custos Indiretos, Tributos e Lucro</t>
  </si>
  <si>
    <t>Custos Indiretos</t>
  </si>
  <si>
    <t>Lucro</t>
  </si>
  <si>
    <t>Tributos</t>
  </si>
  <si>
    <t>C.1. Tributos Federais (especificar)</t>
  </si>
  <si>
    <t>C.1.1. PIS</t>
  </si>
  <si>
    <t>C.1.2. COFINS</t>
  </si>
  <si>
    <t>C.2. Tributos Estaduais (especificar)</t>
  </si>
  <si>
    <t>C.3. Tributos Municipais (ISS)</t>
  </si>
  <si>
    <t>QUADRO-RESUMO DO CUSTO POR EMPREGADO</t>
  </si>
  <si>
    <t>Mão de obra vinculada à execução contratual (valor por empregado)</t>
  </si>
  <si>
    <t>Subtotal (A + B +C+ D+E)</t>
  </si>
  <si>
    <t>Módulo 6 – Custos Indiretos, Tributos e Lucro</t>
  </si>
  <si>
    <t xml:space="preserve">Valor Total por Empregado </t>
  </si>
  <si>
    <t>QUADRO RESUMO - VALORES MENSAL DOS SERVIÇOS</t>
  </si>
  <si>
    <t>Tipo de Serviço
(A)</t>
  </si>
  <si>
    <t>Valor proposto por empregado 
(B)</t>
  </si>
  <si>
    <t>Quantidade de empregados por posto
(C)</t>
  </si>
  <si>
    <t>Valor proposto por posto
(D)</t>
  </si>
  <si>
    <t>Quantidade de postos
(E)</t>
  </si>
  <si>
    <t>Valor total de serviço 
(F= D * E)</t>
  </si>
  <si>
    <t>VALOR MENSAL DOS SERVIÇOS</t>
  </si>
  <si>
    <t>VALOR ANUAL DOS SERVIÇOS</t>
  </si>
  <si>
    <t>SEMAD 1 (B) - SERVENTE - 30 HORAS</t>
  </si>
  <si>
    <t>Servente Interno: 30 h</t>
  </si>
  <si>
    <t>SEMAD 1 (C) - SERVENTE - 30 HORAS</t>
  </si>
  <si>
    <t>Servente externo: 30 h</t>
  </si>
  <si>
    <t>SEMAD 1 (D) - LIMPADOR DE VIDROS - 30 HORAS</t>
  </si>
  <si>
    <t>Limpador de vidros: 30 h</t>
  </si>
  <si>
    <t>5143-05</t>
  </si>
  <si>
    <t>SEMAD 1 (E) - ENCARREGADO - 30 HORAS</t>
  </si>
  <si>
    <t>Encarregado de limpeza: 30 h</t>
  </si>
  <si>
    <t>Encarregado de limpeza</t>
  </si>
  <si>
    <t>4101-05</t>
  </si>
  <si>
    <t>para este cargo não há EPIs</t>
  </si>
  <si>
    <t>para este cargo não há materiais</t>
  </si>
  <si>
    <t>para este cargo não há equipamentos</t>
  </si>
  <si>
    <t>SEMAD 1 (F) - JARDINEIRO - 30 HORAS</t>
  </si>
  <si>
    <t>Jardineiro: 30 h</t>
  </si>
  <si>
    <t>6220-10</t>
  </si>
  <si>
    <t>AGEHAB 1 (G) - AGEHAB - SERVENTE COM INSALUBRIDADE - 30 HORAS</t>
  </si>
  <si>
    <t xml:space="preserve"> UNIFORMES POR FUNÇÃO </t>
  </si>
  <si>
    <t>SERVENTE INTERNO</t>
  </si>
  <si>
    <t>Item</t>
  </si>
  <si>
    <t>Descrição</t>
  </si>
  <si>
    <t>Unidade</t>
  </si>
  <si>
    <t>Quantidade Anual por Posto
(A)</t>
  </si>
  <si>
    <t>Pesquisa de Preços</t>
  </si>
  <si>
    <t>Total Anual
(C=A*B)</t>
  </si>
  <si>
    <t>Fornecedor 1</t>
  </si>
  <si>
    <t>Fornecedor 2</t>
  </si>
  <si>
    <t>Fornecedor 3</t>
  </si>
  <si>
    <t>Fornecedor 4</t>
  </si>
  <si>
    <t>Fornecedor 5</t>
  </si>
  <si>
    <t>Média unitária dos preços
(B)</t>
  </si>
  <si>
    <t>Camiseta malha fina gola em v, manga curta, com identificação da empresa, Cor a Definir.</t>
  </si>
  <si>
    <t>AMAZON SERVICOS DE VAREJO DO BRASIL LTDA
CNPJ: 15436940000103</t>
  </si>
  <si>
    <t>TOPVISION COMERCIO E SERVICOS LTDA
CNPJ: 17099595000187</t>
  </si>
  <si>
    <t>ANDRE ANTONIO SABINO ME
CNPJ: 27743380000100</t>
  </si>
  <si>
    <t>TEX TEXTIL LTDA
CNPJ: 60250972000166</t>
  </si>
  <si>
    <t>KUADRADUS INDUSTRIA E COMERCIO DE ARTIGOS ESPORTIVOS LTDA
CNPJ: 03775336000114</t>
  </si>
  <si>
    <t>Calça comprida de cós alto em tecido de brim 100% algodão preencolhido, com elástico na cintura, bolso na lateral.</t>
  </si>
  <si>
    <t>MARQUES UNIFORMES LTDA
CNPJ: 58289095000195</t>
  </si>
  <si>
    <t>THIAGO HENRIQUE DE RAMOS 45575633845
CNPJ: 37696477000163</t>
  </si>
  <si>
    <t>EBAZAR.COM.BR. LTDA
CNPJ: 03007331000141</t>
  </si>
  <si>
    <t>ALAIDE ALVES DOS SANTOS
CNPJ: 03177123000190</t>
  </si>
  <si>
    <t>MARK LEWIS UNIFORMES PROFISSIONAIS LTDA
CNPJ: 46419870000109</t>
  </si>
  <si>
    <t>Meia em algodão, tipo soquete.</t>
  </si>
  <si>
    <t>Par</t>
  </si>
  <si>
    <t>CARLOS EDUARDO RAMALHO
CNPJ: 37150021000101</t>
  </si>
  <si>
    <t>ALFA OMEGA SERVICOS TERCEIRIZADOS LTDA
CNPJ: 16650774000106</t>
  </si>
  <si>
    <t>Calçado especializado para o uso profissional, unissex, solado antiderrapante, acompanhado de palmilha, com material macio, flexível e impermeável.</t>
  </si>
  <si>
    <t>MARBA COMERCIAL LTDA
CNPJ: 49776241000116</t>
  </si>
  <si>
    <t>BLUSAFE EQUIPAMENTOS DE PROTECAO INDIVIDUAL LTDA
CNPJ: 36091140000160</t>
  </si>
  <si>
    <t>Total Anual por Posto</t>
  </si>
  <si>
    <t>Quantidade de meses</t>
  </si>
  <si>
    <t>Total Mensal por posto</t>
  </si>
  <si>
    <t>LIMPADOR DE VIDRO</t>
  </si>
  <si>
    <t>Camiseta malha fria PV, manga longa, gola V, com emblema da empresa</t>
  </si>
  <si>
    <t>PETTER UNIFORMES LTDA
CNPJ: 16996110000195</t>
  </si>
  <si>
    <t>R F DA SILVA RTI SUBLIMATICA
CNPJ: 36584748000126</t>
  </si>
  <si>
    <t>VEST BEM UNIFORMES, CONFECCOES E LIMPEZA LTDA
CNPJ: 49613182000165</t>
  </si>
  <si>
    <t>ENCARREGADO</t>
  </si>
  <si>
    <t>Camisa polo em malha piquet, mangas curtas, com 2 ou 3 botões frontais, cor a definir, com logo da empresa bordada</t>
  </si>
  <si>
    <t>MARIA DO SOCORRO SOUSA DO VALE
CNPJ: 26461086000143</t>
  </si>
  <si>
    <t>YVU INDUSTRIA DE CONFECCOES LTDA
CNPJ: 14344612000106</t>
  </si>
  <si>
    <t>LANA UNIFORMES LTDA
CNPJ: 48988407000103</t>
  </si>
  <si>
    <t>Calça jeans, azul índigo/escuro, corte clássico com bolsos, de boa qualidade</t>
  </si>
  <si>
    <t>A NOVA SOLUÇÃO LTDA
CNPJ: 70157680000137</t>
  </si>
  <si>
    <t>NOVA RIO SERVIÇOS GERAIS LTDA
CNPJ: 29212545000143</t>
  </si>
  <si>
    <t>UNIPROT COMERCIO DE EQUIPAMENTOS DE SEGURANCA LTDA
CNPJ: 71595722000184</t>
  </si>
  <si>
    <t>RP TEXTIL LTDA
CNPJ: 43715476000111</t>
  </si>
  <si>
    <t>Cinto de couro, com fivela, na cor preta</t>
  </si>
  <si>
    <t>PARANASEG EQUIPAMENTOS E SUPRIMENTOS INDUSTRIAIS LTDA
CNPJ: 43058709000150</t>
  </si>
  <si>
    <t>61.093.692 ELISANGELA MOREIRA DE VASCONCELOS
CNPJ: 61093692000154</t>
  </si>
  <si>
    <t>SUELEN LOPES DOS SANTOS 17224131741
CNPJ: 44270347000120</t>
  </si>
  <si>
    <t>EMPREENDIMENTO LGA LTDA
CNPJ: 37278582000182</t>
  </si>
  <si>
    <t>Meia de algodão, tipo soquete</t>
  </si>
  <si>
    <t>Sapato fechado, tipo mocassim ou social.</t>
  </si>
  <si>
    <t>TOPMIX UTILIDADES E SERVICOS LTDA
CNPJ: 30994121000167</t>
  </si>
  <si>
    <t>FERNANDO CEZAR RABELO DE OLIVEIRA LTDA
CNPJ: 28971746000161</t>
  </si>
  <si>
    <t>VIA SPORTS COMERCIO E INDUSTRIA DE CONFECCOES LTDA
CNPJ: 19895094000132</t>
  </si>
  <si>
    <t>JARDINEIRO E SERVENTES EXTERNOS</t>
  </si>
  <si>
    <t>Calça comprida em tecido brim, com bolsos nas laterais.</t>
  </si>
  <si>
    <t>Meias em algodão, tipo soquete</t>
  </si>
  <si>
    <t>Botas de couro de cano médio com biqueira em aço e proteção anti-corte;</t>
  </si>
  <si>
    <t>PROTEGGERE COMERCIO DE EPIS LTDA
CNPJ: 12670981000163</t>
  </si>
  <si>
    <t>ARMAZEM COMERCIAL NOVO LAR LTDA
CNPJ: 24556839000179</t>
  </si>
  <si>
    <t>Boné em tecido tipo sarja no modelo legionário (com cobertura na nuca) e com velcro na frente para fechamento e ajustes.</t>
  </si>
  <si>
    <t>COMERCIAL MAIORKY LTDA
CNPJ: 07611611000115</t>
  </si>
  <si>
    <t>D F COMERCIO DE EPIS FERRAMENTAS E EQUIPAMENTOS IND. LTDA EP
CNPJ: 23724306000196</t>
  </si>
  <si>
    <t xml:space="preserve"> EPI'S POR FUNÇÃO</t>
  </si>
  <si>
    <t>Óculos de proteção incolor: Utilizado para limpeza de vidros e manuseio de produtos químicos</t>
  </si>
  <si>
    <t>POTENCIAL COMERCIO E SERVICOS LTDA
CNPJ: 18729614000174</t>
  </si>
  <si>
    <t>COMERCIO ROMANO LTDA
CNPJ: 44943068000180</t>
  </si>
  <si>
    <t>EXPRESSO SAUDE LTDA
CNPJ: 10815369000106</t>
  </si>
  <si>
    <t>RITHEUS COMERCIO E SERVICOS LTDA
CNPJ: 03207567000121</t>
  </si>
  <si>
    <t>Luvas de látex, cano longo: Utilização de produtos químicos e limpeza em geral</t>
  </si>
  <si>
    <t>CREATIVE THINGS COMERCIO DE DISTRIBUICAO LTDA
CNPJ: 10206542000179</t>
  </si>
  <si>
    <t>FALCAO E CRUZ COMERCIO DE ALIMENTOS LTDA
CNPJ: 09587749000151</t>
  </si>
  <si>
    <t>AC EMPREENDIMENTOS LTDA
CNPJ: 21635989000180</t>
  </si>
  <si>
    <t>RBL SOLUCOES INTREGAS LTDA
CNPJ: 41247496000180</t>
  </si>
  <si>
    <t>Máscara proteção, modelo N95/PFF2 para poeiras, fumos e névoas. Poeiras e nevoas (baixa concentração)</t>
  </si>
  <si>
    <t>Unid.</t>
  </si>
  <si>
    <t>MAGAZINE LUIZA S/A
CNPJ: 47960950108836</t>
  </si>
  <si>
    <t>LA DALLAPORTA JUNIOR
CNPJ: 11145401000156</t>
  </si>
  <si>
    <t>SERVAL SERVICOS E LIMPEZA LTDA
CNPJ: 07360290000638</t>
  </si>
  <si>
    <t>ARLIMED DISTRIBUIDORA
CNPJ: 18362195000185</t>
  </si>
  <si>
    <t>Bota de borracha, cano longo(*)</t>
  </si>
  <si>
    <t>GLOBAL SOLUCOES COMERCIO E SERVICOS LTDA
CNPJ: 59618874000150</t>
  </si>
  <si>
    <t>DRW COMERCIO LTDA
CNPJ: 59850232000181</t>
  </si>
  <si>
    <t>MASTERSUL EQUIPAMENTOS DE SEGURANCA LTDA
CNPJ: 18274923000105</t>
  </si>
  <si>
    <t>CINTO PARAQUEDISTA- 3 Argolas em aço (uma argola dorsal, e duas laterais) , ajuste na cintura, ajuste nas pernas, dois pontos  frontais, regulagem no suspensório e acolchoamento. Com C.A.</t>
  </si>
  <si>
    <t>RAVD EPI E CONSULTORIA SST LTDA
CNPJ: 27136199000136</t>
  </si>
  <si>
    <t>JFB EMPREENDIMENTOS LTDA
CNPJ: 13582905000169</t>
  </si>
  <si>
    <t>BLUSAFE EQUIPAMENTOS DE PROTEÇÃO INDIVIDUAL LTDA
CNPJ: 36091140000160</t>
  </si>
  <si>
    <t>SAFE - SUPPLY IT SUPRIMENTOS LTDA
CNPJ: 14183614000160</t>
  </si>
  <si>
    <t>Óculos de proteção, com lente de policarbonato, com fibras UVA e UVB e hastes ajustáveis de nylon resistente.</t>
  </si>
  <si>
    <t>unidade</t>
  </si>
  <si>
    <t>OESTE MED COMERCIO E IMPORTACAO DE PRODUTOS HOSPITALARES LTDA
CNPJ: 28069066000157</t>
  </si>
  <si>
    <t>DENTAL BONSUCESSO PRODUTOS ODONTOLOGICOS LTDA
CNPJ: 02482141000113</t>
  </si>
  <si>
    <t>LEROY MERLIN COMPANHIA BRASILEIRA DE BRICOLAGEM
CNPJ: 01438784004860</t>
  </si>
  <si>
    <t>ESTRELA COMERCIO DE PRODUTOS MEDICOS E HOSPITALARES LTDA
CNPJ: 02209788000176</t>
  </si>
  <si>
    <t>59 113 312 MARCELO MOREIRA GOMES
CNPJ: 59113312000154</t>
  </si>
  <si>
    <t>Descensor</t>
  </si>
  <si>
    <t>D&amp;F COMERCIO DE EPI S FERRAMENTAS E EQUIPAMENTOS INDUSTRIAIS LTDA
CNPJ: 23724306000196</t>
  </si>
  <si>
    <t>ALTITUDE COMERCIO DE EQUIPAMENTOS ESPORTIVOS LTDA
CNPJ: 11456144000173</t>
  </si>
  <si>
    <t>SOLL -SERVICOS OBRAS E LOCACOES LTDA
CNPJ: 00323090000151</t>
  </si>
  <si>
    <t>BUNZL EQUIPAMENTOS PARA PROTECAO INDIVIDUAL LTDA
CNPJ: 43854777000126</t>
  </si>
  <si>
    <t>Trava Queda</t>
  </si>
  <si>
    <t>VDM EQUIPAMENTOS DE SEGURANCA E UNIFORMES LTDA
CNPJ: 06921384000161</t>
  </si>
  <si>
    <t>HANDREIY VINICIUS MORAES DJUBATIE MANUTENCAO
CNPJ: 32300137000158</t>
  </si>
  <si>
    <t>BP COMERCIO E SERVICO LTDA
CNPJ: 53251760000138</t>
  </si>
  <si>
    <t>FACCINA DALTORA EQUIPAMENTOS DE SEGURANCA LTDA
CNPJ: 04584756000186</t>
  </si>
  <si>
    <t>Capacete sem aba para serviço em altura</t>
  </si>
  <si>
    <t>CAZAROTTO CIA.LTDA
CNPJ: 92232388000174</t>
  </si>
  <si>
    <t>Ascensor</t>
  </si>
  <si>
    <t>BUNKER FORNECIMENTO DE MATERIAIS TATICOS UNIFORMES E EPIS LTDA
CNPJ: 53998445000179</t>
  </si>
  <si>
    <t>GRUPO CASAS BAHIA S.A.
CNPJ: 33041260065290</t>
  </si>
  <si>
    <t>SUPREMA MAQUINAS E FERRAMENTAS
CNPJ: 59853551000140</t>
  </si>
  <si>
    <t>SEA &amp; NAUTICA LTDA
CNPJ: 70994140000108</t>
  </si>
  <si>
    <t>39.425.550 THAYNAH LAIS FERREIRA CAMPOS DOS SANTOS
CNPJ: 39425550000198</t>
  </si>
  <si>
    <t>Mosquetão oval</t>
  </si>
  <si>
    <t>SAFE - SUPPLY &amp; IT SUPRIMENTOS LTDA
CNPJ: 14183614000160</t>
  </si>
  <si>
    <t>COMERCIAL GUARA LTDA
CNPJ: 07731777000175</t>
  </si>
  <si>
    <t>FGS COMERCIAL LTDA
CNPJ: 39988022000147</t>
  </si>
  <si>
    <t>Estribo Um Degrau</t>
  </si>
  <si>
    <t>MAXQUALITY INDUSTRIA E COMERCIO LTDA
CNPJ: 21718712000110</t>
  </si>
  <si>
    <t>TIAGO MARTINS DE LIMA EQUIPAMENTOS ME
CNPJ: 17924845000176</t>
  </si>
  <si>
    <t>Corda Semi Estática</t>
  </si>
  <si>
    <t>COMANDO BRAVO LICITACAO E IMPORTACAO LTDA
CNPJ: 48749155000151</t>
  </si>
  <si>
    <t>INFZONE LTDA
CNPJ: 59351264000132</t>
  </si>
  <si>
    <t>TALABARTE DE SEGURANÇA - TALABARTE DE SEGURANÇA, 2 mosquetores trava dupla *53*mm de abertura, com absorvedor de energia</t>
  </si>
  <si>
    <t>DF COMERCIO E SERVICOS LTDA
CNPJ: 45644476000101</t>
  </si>
  <si>
    <t>CAWEL MATERIAIS ELETRICOS LTDA
CNPJ: 44722099000100</t>
  </si>
  <si>
    <t>N MARCHON OLIVEIRA COMERCIO ONLINE LTDA
CNPJ: 39531227000107</t>
  </si>
  <si>
    <t>CLARUS COMERCIO DE EPI'S E FERRAMENTAS LTDA
CNPJ: 06012849000161</t>
  </si>
  <si>
    <t>JARDINEIRO e SERVENTE EXTERNO</t>
  </si>
  <si>
    <t>Capa plástica com capuz</t>
  </si>
  <si>
    <t>ZENI PEREIRA DA SILVA MARTINS
CNPJ: 06103925000144</t>
  </si>
  <si>
    <t>CITY CLEAN COM. EQUIPAMENTOS LTDA
CNPJ: 48256518000117</t>
  </si>
  <si>
    <t>SAMUEL SILVA DE MOURA LTDA
CNPJ: 38149368000199</t>
  </si>
  <si>
    <t>FORTPEL COMERCIO DE DESCARTAVEIS LTDA - PE
CNPJ: 22006201000139</t>
  </si>
  <si>
    <t>Luva de segurança confeccionada em vaqueta na palma, face palmar dos dedos e unheira, reforço interno em vaqueta na palma, dorso e face dorsal dos dedos em náilon com elástico para ajuste, tamanho único - Com certificação do DSST/Ministério do Trabalho e Emprego.</t>
  </si>
  <si>
    <t>PAR</t>
  </si>
  <si>
    <t>L. DE NARDIN LTDA
CNPJ: 47363565000105</t>
  </si>
  <si>
    <t>THS TECNOLOGIA INFORMACAO E COMUNICACAO LTDA
CNPJ: 10757593000199</t>
  </si>
  <si>
    <t>SANTOS HEALTH &amp; SAFETY
CNPJ: 37565563000137</t>
  </si>
  <si>
    <t>Respirador descartável dobrável PPF1 – NR6.</t>
  </si>
  <si>
    <t>M7 ACESSORIOS LTDA
CNPJ: 12383275000130</t>
  </si>
  <si>
    <t>SILVA DE ALMEIDA CONSTRUCAO LTDA
CNPJ: 44123897000116</t>
  </si>
  <si>
    <t>ABEX SUPPLY IMPORTACAO E EXPORTACAO LTDA
CNPJ: 59527697000104</t>
  </si>
  <si>
    <t>TOTAL SEGURANCA EQUIPAMENTOS DE PROTECAO E SERVICOS ESPECIALIZADOS LTDA
CNPJ: 13851726000180</t>
  </si>
  <si>
    <t>Protetor solar FPS 50 ou superior (frasco de 1000ml), proteção contra radiações UVA e UVB.</t>
  </si>
  <si>
    <t>RF PRODUTOS HOSPITALARES E ODONTOLOGICOS LTDA
CNPJ: 43751565000113</t>
  </si>
  <si>
    <t>DIVINO ESPÍRITO SANTO SOLUÇÕES LTDA
CNPJ: 42819212000145</t>
  </si>
  <si>
    <t>SANIGRAN LTDA
CNPJ: 15153524000190</t>
  </si>
  <si>
    <t>DROGARIA BARAO LTDA
CNPJ: 69299360000132</t>
  </si>
  <si>
    <t>Protetor auricular tipo concha - Com certificação do DSST/Ministério
do Trabalho e Emprego.</t>
  </si>
  <si>
    <t>N S C COMERCIO E SERVICOS LTDA
CNPJ: 49550435000107</t>
  </si>
  <si>
    <t>VDM SEGURANCA LTDA.
CNPJ: 56922844000144</t>
  </si>
  <si>
    <t>HOPE RIO DISTRIBUIDORA LTDA
CNPJ: 47292532000103</t>
  </si>
  <si>
    <t>TATICO EQUIPAMENTOS DE SEGURANCA LTDA
CNPJ: 35761275000122</t>
  </si>
  <si>
    <t>Boné árabe de segurança em brim Teknoluvas, confeccionado em brim 100% algodão, com aba e fechamento em velcro, visando à proteção do crânio, pescoço e ombros do usuário contra agentes abrasivos e escoriantes.</t>
  </si>
  <si>
    <t>UNIDADE</t>
  </si>
  <si>
    <t>GRAFICA PRODATA LTDA
CNPJ: 28141384000181</t>
  </si>
  <si>
    <t>JS COMERCIO LTDA
CNPJ: 40211692000131</t>
  </si>
  <si>
    <t>E &amp; L MATERIAL DE CONSTRUCAO LTDA
CNPJ: 15328361000139</t>
  </si>
  <si>
    <t>MATERIAIS DIVERSOS</t>
  </si>
  <si>
    <t>Materiais Diversos</t>
  </si>
  <si>
    <t>Quantidade Anual
(A)</t>
  </si>
  <si>
    <t>Total Anual
(C= A*B)</t>
  </si>
  <si>
    <t>Borrifador profissional, em plástico, com gatilho spray, para capacidade de 1 litro</t>
  </si>
  <si>
    <t>PROLIMP COMERCIO VAREJISTA DE PRODUTOS SANEANTES LTDA
CNPJ: 07622961000187</t>
  </si>
  <si>
    <t>DISTRIMIX SOLUCOES &amp; SERVICOS BRASIL LTDA
CNPJ: 51044835000184</t>
  </si>
  <si>
    <t>MAIS CONSTRUIR COMERCIO E SERVICOS LTDA
CNPJ: 24563754000118</t>
  </si>
  <si>
    <t>Extensão telescópica, com 3 estágios, de até 4,5m .</t>
  </si>
  <si>
    <t>DIS BAHIA EMPREENDIMENTOS LTDA
CNPJ: 19427953000169</t>
  </si>
  <si>
    <t>CWF BRASIL SERVICOS
CNPJ: 22068281000157</t>
  </si>
  <si>
    <t>Limpa vidro concentrado, 1 litro.</t>
  </si>
  <si>
    <t>AC CLEAN COMERCIO DE LIMPEZA LTDA
CNPJ: 26759927000101</t>
  </si>
  <si>
    <t>SULCLEAN SERVICOS LTDA
CNPJ: 06205427000102</t>
  </si>
  <si>
    <t>BRILLARE COMERCIO DE PRODUTOS DE HIGIENE E LIMPEZA LTDA
CNPJ: 25195487000136</t>
  </si>
  <si>
    <t>Pano de Microfibra Para Vidros 40x40cm</t>
  </si>
  <si>
    <t>DALO EMPREENDIMENTOS LTDA
CNPJ: 49709450000147</t>
  </si>
  <si>
    <t>IVANETE BOERI
CNPJ: 01819055000190</t>
  </si>
  <si>
    <t>DISTRIBUIDORA DAMBROSKI LTDA
CNPJ: 11583995000187</t>
  </si>
  <si>
    <t>R M CORES TINTAS E PARAFUSOS LTDA ME
CNPJ: 20549798000132</t>
  </si>
  <si>
    <t>Raspador de Segurança Para Vidros (Lâmina de 10 cm)</t>
  </si>
  <si>
    <t>ECOCLEAN COMERCIO PRODUTOS LIMPEZA LTDA ME
CNPJ: 01231540000149</t>
  </si>
  <si>
    <t>AVANTE BRASIL COMERCIO E DISTRIBUICAO DE SUPRIMENTOS LTDA
CNPJ: 32098715000115</t>
  </si>
  <si>
    <t>Rodo Combinado (formado por um LAVADOR, com luva de acrílico e por um LIMPADOR de vidros, com guia de metal e lâmina de borracha), 35cm com  cabo fixo de alumínio 45 cm</t>
  </si>
  <si>
    <t>G B COMERCIO E DISTRIBUICAO LTDA
CNPJ: 10782385000140</t>
  </si>
  <si>
    <t>FORTPEL COMERCIO DE DESCARTAVEIS LTDA - SP
CNPJ: 20102722000164</t>
  </si>
  <si>
    <t>Vassoura para limpeza de teto com cabo extensor de 3 metros</t>
  </si>
  <si>
    <t>ANGELA MARIA CANDIDA NUNES
CNPJ: 40519372000143</t>
  </si>
  <si>
    <t>N &amp; N COMERCIO DE PRODUTOS LTDA
CNPJ: 42351193000175</t>
  </si>
  <si>
    <t>Vassoura de jardim com cabo.</t>
  </si>
  <si>
    <t>BOM GOSTO COMERCIO DE ALIMENTOS LTDA
CNPJ: 58687793000149</t>
  </si>
  <si>
    <t>EVERTON PERTUSSATTI
CNPJ: 32532322000178</t>
  </si>
  <si>
    <t>J.J.VITALLI
CNPJ: 08658622000113</t>
  </si>
  <si>
    <t xml:space="preserve">Total Anual </t>
  </si>
  <si>
    <t xml:space="preserve">Total Mensal </t>
  </si>
  <si>
    <t>Quantidade de postos de trabalho</t>
  </si>
  <si>
    <t>EQUIPAMENTOS E MATERIAIS PERMANENTES</t>
  </si>
  <si>
    <t>Equipamentos e Materiais Permanentes</t>
  </si>
  <si>
    <t>Estimativa de Valores</t>
  </si>
  <si>
    <t>Total Anual
(C=A x B )</t>
  </si>
  <si>
    <t>Taxa Anual Depreciação (%)</t>
  </si>
  <si>
    <t>Valor Anual</t>
  </si>
  <si>
    <t>Aspirador de pó e água, tipo industrial, com potência de 1400 a 1600W.</t>
  </si>
  <si>
    <t>SOUL DISTRIBUIDORA DE PRODUTOS E EQUIPAMENTOS INDUSTRIAIS LTDA
CNPJ: 51659136000149</t>
  </si>
  <si>
    <t>45382048 LISANDRE ANGELINI ALVES DA COSTA
CNPJ: 45382048000140</t>
  </si>
  <si>
    <t>PHM COMERCIO E CONFECCOES LTDA
CNPJ: 35794003000129</t>
  </si>
  <si>
    <t>Carrinho MOP completo, composto por: 01 (um) carrinho de limpeza multifuncional; 01 (um) balde doblo; 01 (um) pá plástica com cabo para lixo; 01 (uma) placa de sinalização "piso molhado"; 01 (um) conjunto mop Pó de 60 cm com cabo de alumínio, 01 (um) conjunto mop Úmido de 320gr cru com cabo de alumínio.</t>
  </si>
  <si>
    <t>RALSON M. LIMA LTDA
CNPJ: 33146225000100</t>
  </si>
  <si>
    <t>SIS COMERCIO DE MATERIAIS E EQUIPAMENTOS LTDA
CNPJ: 29926189000120</t>
  </si>
  <si>
    <t>Lavadeira e Enceradeira elétrica industrial,  com diâmetro da escova de no mínimo 350mm</t>
  </si>
  <si>
    <t>F A O MELO COMERCIO E SERVICOS
CNPJ: 57783781000155</t>
  </si>
  <si>
    <t>57.041.952 VITOR HENRIQUE GUSSI CENSSAO
CNPJ: 57041952000170</t>
  </si>
  <si>
    <t>Lavadora de Alta pressão, de uso profissional, com carrinho, características: potência mínima do motor 1 HP, voltagem 220 volts monofásico ou bifásico, mangueira de nylon com trama mínima 3/8", Pressão mínima 450 PSI, Vazão mínima 11 litros/minuto, comprimento da mangueira de saída até o esguicho mínimo 10 metros, Esguicho com função jato concentrado ou leque.</t>
  </si>
  <si>
    <t>BIDDEN COMERCIAL LTDA
CNPJ: 36181473000180</t>
  </si>
  <si>
    <t>MARCOS P DOS SANTOS COMERCIO LTDA
CNPJ: 07020668000140</t>
  </si>
  <si>
    <t>RODRIGO CAMPOS FONSECA
CNPJ: 62888382000199</t>
  </si>
  <si>
    <t>VITORIA MAQUINAS E FERRAMENTAS
CNPJ: 59589837000160</t>
  </si>
  <si>
    <t>Escada de Alumínio de abrir 2 lados com 9 degraus; e extensível- altura esticada mínimo 4 metros.</t>
  </si>
  <si>
    <t>JOSE NEYMAR MENDES GONCALVES 06525136628 - 
CNPJ: 24708774000130</t>
  </si>
  <si>
    <t>SOUZA &amp; SOUZA EQUIPAMENTOS COMERCIAIS LTDA
CNPJ: 04235125000151</t>
  </si>
  <si>
    <t>DR ROCHA MATERIAIS DE CONSTRUCAO LTDA
CNPJ: 23334784000190</t>
  </si>
  <si>
    <t>DANIEL NEVES QUEIROS LTDA
CNPJ: 25289956000186</t>
  </si>
  <si>
    <t>Torre andaime tubular, altura mínima de 6 metros, painéis 1m x 2,0m contendo as seguintes peças para torre de 2,0metros: 12 (doze) painéis 1000x1500x2,65mm, 04 (quatro) longarina de 2013 metros, 02 (duas) escadas de 3000mm, 04 (quatro) rodízios de 6 polegadas com trava ou sapata regulável, 01 (um) conjunto guarda corpo com porta e rodapé, 04 (quatro) pisos antiaderente 370x1500mm e demais componentes certificados em atendimento a Norma NR 18. Equipamento Novo.</t>
  </si>
  <si>
    <t>TORNEARIA SANTIAGO LTDA
CNPJ: 79226601000177</t>
  </si>
  <si>
    <t>LABONE TECNOLOGIA LTDA
CNPJ: 08893965000162</t>
  </si>
  <si>
    <t>Kit cadeira suspensa para limpeza de fachada predial. Características: 01 (uma) cadeira suspensa para cabo de aço, 01 (um) cinto de segurança com talabarte, 01 (um) trava quedas para corda de 12mm e demais componentes certificados em atendimento a Norma NR 18. Equipamento novo.</t>
  </si>
  <si>
    <t>ELASTOBOR BORRACHAS E PLASTICOS LTDA
CNPJ:53840542000210</t>
  </si>
  <si>
    <t>DUTRA MÁQUINAS COMERCIAL E TÉCNICA LTDA
CNPJ: 50970342000102</t>
  </si>
  <si>
    <t>Corda trava-quedas, cadeira suspensa 12 mm. Características: trançado triplo e alma central, trançado central em multifilamento de poliamida, trançado intermediário de polipropileno ou poliamida colorida com o mínimo de 50% de identificação, não excedendo 10% de densidade linear, trançado interno em multifilamento de poliamida, carga de ruptura de no mínimo 20kn = 2.038kgf, cabo sem capa externa (mínimo) 15kn = 1.529 (kgf), diâmetro nominal (mínimo) 12,0mm, desvio limite de +0,5mm, fita inserida na alma gravada NR 18.16,5 ISSO 1440. Rolo com 220 metros.</t>
  </si>
  <si>
    <t>Soprador de folhas com baterias de no mínimo 5 ah, carregador para remover a sujeira e manter as áreas verdes, abertas e outras áreas limpas.</t>
  </si>
  <si>
    <t>G Z MENEGUSSO LTDA
CNPJ: 47358786000187</t>
  </si>
  <si>
    <t>SANITOP COMERCIAL LTDA
CNPJ: 53710803000104</t>
  </si>
  <si>
    <t>Roçadeira dupla, a gasolina, com um cortador de nylon para aparar a grama, um cortador de lâmina para cortar matos densos, motor de no mínimo 62cc, haste: ajustável e ergonômica, guidão ajustável e cinta (alça).</t>
  </si>
  <si>
    <t>SANRE COMERCIO E IMPORTACAO LTDA
CNPJ: 20502109000134</t>
  </si>
  <si>
    <t>LANÇA PRODUTOS - COMERCIO E SERVIÇOS LTDA
CNPJ: 44258379000100</t>
  </si>
  <si>
    <t>COMABEM COMERCIO DE ALIMENTOS LTDA
CNPJ: 13390139000130</t>
  </si>
  <si>
    <t>TOTAL GERAL ANUAL</t>
  </si>
  <si>
    <t>TOTAL GERAL MENSAL</t>
  </si>
  <si>
    <t>NÚMERO DE TRABALHADORES</t>
  </si>
  <si>
    <t xml:space="preserve">DEPRECIAÇÃO MENSAL TOTAL 
÷
 Nº DE TRABALHADORES </t>
  </si>
  <si>
    <t>Notas:</t>
  </si>
  <si>
    <t>Depreciação de Equipamentos: Para o cálculo do insumo Depreciação de Equipamentos, adotou-se vida útil de 5 anos (depreciação de 20% ao ano), com base na média mais benéfica dos equipamentos similares constantes do Anexo III, da IN RFB nº 1700/2017.</t>
  </si>
</sst>
</file>

<file path=xl/styles.xml><?xml version="1.0" encoding="utf-8"?>
<styleSheet xmlns="http://schemas.openxmlformats.org/spreadsheetml/2006/main" xmlns:mc="http://schemas.openxmlformats.org/markup-compatibility/2006" xmlns:xr9="http://schemas.microsoft.com/office/spreadsheetml/2016/revision9" mc:Ignorable="xr9">
  <numFmts count="21">
    <numFmt numFmtId="176" formatCode="_-* #,##0.00_-;\-* #,##0.00_-;_-* &quot;-&quot;??_-;_-@_-"/>
    <numFmt numFmtId="177" formatCode="_-&quot;R$&quot;\ * #,##0.00_-;\-&quot;R$&quot;\ * #,##0.00_-;_-&quot;R$&quot;\ * &quot;-&quot;??_-;_-@_-"/>
    <numFmt numFmtId="178" formatCode="_-* #,##0_-;\-* #,##0_-;_-* &quot;-&quot;_-;_-@_-"/>
    <numFmt numFmtId="179" formatCode="_-&quot;R$&quot;\ * #,##0_-;\-&quot;R$&quot;\ * #,##0_-;_-&quot;R$&quot;\ * &quot;-&quot;_-;_-@_-"/>
    <numFmt numFmtId="180" formatCode="&quot;R$&quot;\ #,##0.00_);[Red]\(&quot;R$&quot;\ #,##0.00\)"/>
    <numFmt numFmtId="181" formatCode="[$R$-416]\ #,##0.00;\-[$R$-416]\ #,##0.00"/>
    <numFmt numFmtId="182" formatCode="0_ "/>
    <numFmt numFmtId="183" formatCode="0.000%"/>
    <numFmt numFmtId="184" formatCode="#,##0_ "/>
    <numFmt numFmtId="185" formatCode="mmm\-yy"/>
    <numFmt numFmtId="186" formatCode="&quot;R$&quot;\ #,##0.00"/>
    <numFmt numFmtId="187" formatCode="&quot;R$ &quot;#,##0.00_);[Red]\(&quot;R$ &quot;#,##0.00\)"/>
    <numFmt numFmtId="188" formatCode="&quot;R$&quot;#,##0.00;[Red]&quot;R$&quot;#,##0.00"/>
    <numFmt numFmtId="189" formatCode="&quot;R$&quot;\ #,##0.00;\-&quot;R$&quot;\ #,##0.00"/>
    <numFmt numFmtId="190" formatCode="#,##0;\-#,##0"/>
    <numFmt numFmtId="191" formatCode="&quot;R$&quot;#,##0.00;[Red]\-&quot;R$&quot;#,##0.00"/>
    <numFmt numFmtId="192" formatCode="0.000000"/>
    <numFmt numFmtId="193" formatCode="_-* #,##0.0000_-;\-* #,##0.0000_-;_-* &quot;-&quot;??_-;_-@_-"/>
    <numFmt numFmtId="194" formatCode="_-* #,##0.0000_-;\-* #,##0.0000_-;_-* &quot;-&quot;????_-;_-@_-"/>
    <numFmt numFmtId="195" formatCode="&quot;R$&quot;\ #,##0.00;[Red]&quot;R$&quot;\ #,##0.00"/>
    <numFmt numFmtId="196" formatCode="_(&quot;R$ &quot;* #,##0.00_);_(&quot;R$ &quot;* \(#,##0.00\);_(&quot;R$ &quot;* &quot;-&quot;??_);_(@_)"/>
  </numFmts>
  <fonts count="46">
    <font>
      <sz val="11"/>
      <color theme="1"/>
      <name val="Calibri"/>
      <charset val="134"/>
      <scheme val="minor"/>
    </font>
    <font>
      <sz val="10"/>
      <color theme="1"/>
      <name val="Arial"/>
      <charset val="134"/>
    </font>
    <font>
      <sz val="10"/>
      <name val="Arial"/>
      <charset val="134"/>
    </font>
    <font>
      <b/>
      <sz val="14"/>
      <color theme="1"/>
      <name val="Arial"/>
      <charset val="134"/>
    </font>
    <font>
      <b/>
      <sz val="10"/>
      <color rgb="FF000000"/>
      <name val="Arial"/>
      <charset val="134"/>
    </font>
    <font>
      <b/>
      <sz val="10"/>
      <color theme="1"/>
      <name val="Arial"/>
      <charset val="134"/>
    </font>
    <font>
      <b/>
      <sz val="10"/>
      <name val="Arial"/>
      <charset val="134"/>
    </font>
    <font>
      <i/>
      <sz val="10"/>
      <name val="Arial"/>
      <charset val="134"/>
    </font>
    <font>
      <sz val="10"/>
      <color rgb="FF000000"/>
      <name val="Arial"/>
      <charset val="134"/>
    </font>
    <font>
      <sz val="9"/>
      <color theme="1"/>
      <name val="Arial"/>
      <charset val="134"/>
    </font>
    <font>
      <b/>
      <sz val="9"/>
      <color theme="1"/>
      <name val="Arial"/>
      <charset val="134"/>
    </font>
    <font>
      <b/>
      <sz val="12"/>
      <color theme="1"/>
      <name val="Arial"/>
      <charset val="134"/>
    </font>
    <font>
      <b/>
      <sz val="9"/>
      <color rgb="FF000000"/>
      <name val="Arial"/>
      <charset val="134"/>
    </font>
    <font>
      <sz val="9"/>
      <color rgb="FF000000"/>
      <name val="Arial"/>
      <charset val="134"/>
    </font>
    <font>
      <u/>
      <sz val="10"/>
      <color rgb="FF000000"/>
      <name val="Arial"/>
      <charset val="134"/>
    </font>
    <font>
      <b/>
      <sz val="10"/>
      <color indexed="8"/>
      <name val="Arial"/>
      <charset val="134"/>
    </font>
    <font>
      <sz val="12"/>
      <color rgb="FF000000"/>
      <name val="Arial"/>
      <charset val="134"/>
    </font>
    <font>
      <sz val="10"/>
      <color indexed="8"/>
      <name val="Arial"/>
      <charset val="134"/>
    </font>
    <font>
      <sz val="8"/>
      <color theme="1"/>
      <name val="Arial"/>
      <charset val="134"/>
    </font>
    <font>
      <sz val="12"/>
      <name val="Arial"/>
      <charset val="134"/>
    </font>
    <font>
      <b/>
      <sz val="8"/>
      <color theme="1"/>
      <name val="Arial"/>
      <charset val="134"/>
    </font>
    <font>
      <b/>
      <sz val="9"/>
      <color theme="0"/>
      <name val="Arial"/>
      <charset val="134"/>
    </font>
    <font>
      <b/>
      <sz val="9"/>
      <name val="Arial"/>
      <charset val="134"/>
    </font>
    <font>
      <sz val="12"/>
      <color theme="1"/>
      <name val="Arial"/>
      <charset val="134"/>
    </font>
    <font>
      <sz val="9"/>
      <name val="Arial"/>
      <charset val="134"/>
    </font>
    <font>
      <sz val="9"/>
      <color rgb="FFFF0000"/>
      <name val="Arial"/>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1"/>
      <color rgb="FF000000"/>
      <name val="Calibri"/>
      <charset val="1"/>
    </font>
  </fonts>
  <fills count="41">
    <fill>
      <patternFill patternType="none"/>
    </fill>
    <fill>
      <patternFill patternType="gray125"/>
    </fill>
    <fill>
      <patternFill patternType="solid">
        <fgColor theme="7" tint="0.799981688894314"/>
        <bgColor indexed="64"/>
      </patternFill>
    </fill>
    <fill>
      <patternFill patternType="solid">
        <fgColor rgb="FFFFFF00"/>
        <bgColor indexed="64"/>
      </patternFill>
    </fill>
    <fill>
      <patternFill patternType="solid">
        <fgColor theme="5" tint="0.599993896298105"/>
        <bgColor indexed="64"/>
      </patternFill>
    </fill>
    <fill>
      <patternFill patternType="solid">
        <fgColor theme="0" tint="-0.0499893185216834"/>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theme="0" tint="-0.149998474074526"/>
        <bgColor indexed="64"/>
      </patternFill>
    </fill>
    <fill>
      <patternFill patternType="solid">
        <fgColor theme="9" tint="0.799981688894314"/>
        <bgColor indexed="64"/>
      </patternFill>
    </fill>
    <fill>
      <patternFill patternType="solid">
        <fgColor theme="0"/>
        <bgColor indexed="64"/>
      </patternFill>
    </fill>
    <fill>
      <patternFill patternType="solid">
        <fgColor rgb="FFFFFFFF"/>
        <bgColor rgb="FFFFFFCC"/>
      </patternFill>
    </fill>
    <fill>
      <patternFill patternType="solid">
        <fgColor theme="2"/>
        <bgColor indexed="64"/>
      </patternFill>
    </fill>
    <fill>
      <patternFill patternType="solid">
        <fgColor rgb="FFFFFFFF"/>
        <bgColor rgb="FFFFFFFF"/>
      </patternFill>
    </fill>
    <fill>
      <patternFill patternType="solid">
        <fgColor rgb="FF0070C0"/>
        <bgColor indexed="64"/>
      </patternFill>
    </fill>
    <fill>
      <patternFill patternType="solid">
        <fgColor theme="9" tint="0.399975585192419"/>
        <bgColor indexed="64"/>
      </patternFill>
    </fill>
    <fill>
      <patternFill patternType="solid">
        <fgColor theme="4" tint="0.59999389629810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s>
  <borders count="3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style="thin">
        <color auto="1"/>
      </bottom>
      <diagonal/>
    </border>
    <border>
      <left style="thin">
        <color auto="1"/>
      </left>
      <right style="thin">
        <color auto="1"/>
      </right>
      <top/>
      <bottom/>
      <diagonal/>
    </border>
    <border>
      <left style="thin">
        <color auto="1"/>
      </left>
      <right/>
      <top/>
      <bottom/>
      <diagonal/>
    </border>
    <border>
      <left style="hair">
        <color auto="1"/>
      </left>
      <right/>
      <top/>
      <bottom/>
      <diagonal/>
    </border>
    <border>
      <left style="double">
        <color auto="1"/>
      </left>
      <right style="double">
        <color auto="1"/>
      </right>
      <top style="double">
        <color auto="1"/>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dashed">
        <color auto="1"/>
      </left>
      <right style="dashed">
        <color auto="1"/>
      </right>
      <top style="dashed">
        <color auto="1"/>
      </top>
      <bottom style="dashed">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right/>
      <top style="medium">
        <color auto="1"/>
      </top>
      <bottom/>
      <diagonal/>
    </border>
    <border>
      <left style="medium">
        <color auto="1"/>
      </left>
      <right style="medium">
        <color auto="1"/>
      </right>
      <top style="thin">
        <color auto="1"/>
      </top>
      <bottom style="medium">
        <color auto="1"/>
      </bottom>
      <diagonal/>
    </border>
    <border>
      <left/>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176" fontId="0" fillId="0" borderId="0" applyFont="0" applyFill="0" applyBorder="0" applyAlignment="0" applyProtection="0">
      <alignment vertical="center"/>
    </xf>
    <xf numFmtId="177" fontId="0" fillId="0" borderId="0" applyFont="0" applyFill="0" applyBorder="0" applyAlignment="0" applyProtection="0">
      <alignment vertical="center"/>
    </xf>
    <xf numFmtId="9" fontId="0" fillId="0" borderId="0" applyFont="0" applyFill="0" applyBorder="0" applyAlignment="0" applyProtection="0">
      <alignment vertical="center"/>
    </xf>
    <xf numFmtId="178" fontId="0" fillId="0" borderId="0" applyFont="0" applyFill="0" applyBorder="0" applyAlignment="0" applyProtection="0">
      <alignment vertical="center"/>
    </xf>
    <xf numFmtId="179" fontId="0" fillId="0" borderId="0" applyFon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0" fillId="17" borderId="26" applyNumberFormat="0" applyFont="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0" borderId="27" applyNumberFormat="0" applyFill="0" applyAlignment="0" applyProtection="0">
      <alignment vertical="center"/>
    </xf>
    <xf numFmtId="0" fontId="32" fillId="0" borderId="27" applyNumberFormat="0" applyFill="0" applyAlignment="0" applyProtection="0">
      <alignment vertical="center"/>
    </xf>
    <xf numFmtId="0" fontId="33" fillId="0" borderId="28" applyNumberFormat="0" applyFill="0" applyAlignment="0" applyProtection="0">
      <alignment vertical="center"/>
    </xf>
    <xf numFmtId="0" fontId="33" fillId="0" borderId="0" applyNumberFormat="0" applyFill="0" applyBorder="0" applyAlignment="0" applyProtection="0">
      <alignment vertical="center"/>
    </xf>
    <xf numFmtId="0" fontId="34" fillId="18" borderId="29" applyNumberFormat="0" applyAlignment="0" applyProtection="0">
      <alignment vertical="center"/>
    </xf>
    <xf numFmtId="0" fontId="35" fillId="19" borderId="30" applyNumberFormat="0" applyAlignment="0" applyProtection="0">
      <alignment vertical="center"/>
    </xf>
    <xf numFmtId="0" fontId="36" fillId="19" borderId="29" applyNumberFormat="0" applyAlignment="0" applyProtection="0">
      <alignment vertical="center"/>
    </xf>
    <xf numFmtId="0" fontId="37" fillId="20" borderId="31" applyNumberFormat="0" applyAlignment="0" applyProtection="0">
      <alignment vertical="center"/>
    </xf>
    <xf numFmtId="0" fontId="38" fillId="0" borderId="32" applyNumberFormat="0" applyFill="0" applyAlignment="0" applyProtection="0">
      <alignment vertical="center"/>
    </xf>
    <xf numFmtId="0" fontId="39" fillId="0" borderId="33" applyNumberFormat="0" applyFill="0" applyAlignment="0" applyProtection="0">
      <alignment vertical="center"/>
    </xf>
    <xf numFmtId="0" fontId="40" fillId="21" borderId="0" applyNumberFormat="0" applyBorder="0" applyAlignment="0" applyProtection="0">
      <alignment vertical="center"/>
    </xf>
    <xf numFmtId="0" fontId="41" fillId="22" borderId="0" applyNumberFormat="0" applyBorder="0" applyAlignment="0" applyProtection="0">
      <alignment vertical="center"/>
    </xf>
    <xf numFmtId="0" fontId="42" fillId="23" borderId="0" applyNumberFormat="0" applyBorder="0" applyAlignment="0" applyProtection="0">
      <alignment vertical="center"/>
    </xf>
    <xf numFmtId="0" fontId="43" fillId="24" borderId="0" applyNumberFormat="0" applyBorder="0" applyAlignment="0" applyProtection="0">
      <alignment vertical="center"/>
    </xf>
    <xf numFmtId="0" fontId="44" fillId="7" borderId="0" applyNumberFormat="0" applyBorder="0" applyAlignment="0" applyProtection="0">
      <alignment vertical="center"/>
    </xf>
    <xf numFmtId="0" fontId="44" fillId="16" borderId="0" applyNumberFormat="0" applyBorder="0" applyAlignment="0" applyProtection="0">
      <alignment vertical="center"/>
    </xf>
    <xf numFmtId="0" fontId="43" fillId="25" borderId="0" applyNumberFormat="0" applyBorder="0" applyAlignment="0" applyProtection="0">
      <alignment vertical="center"/>
    </xf>
    <xf numFmtId="0" fontId="43" fillId="26" borderId="0" applyNumberFormat="0" applyBorder="0" applyAlignment="0" applyProtection="0">
      <alignment vertical="center"/>
    </xf>
    <xf numFmtId="0" fontId="44" fillId="27" borderId="0" applyNumberFormat="0" applyBorder="0" applyAlignment="0" applyProtection="0">
      <alignment vertical="center"/>
    </xf>
    <xf numFmtId="0" fontId="44" fillId="4" borderId="0" applyNumberFormat="0" applyBorder="0" applyAlignment="0" applyProtection="0">
      <alignment vertical="center"/>
    </xf>
    <xf numFmtId="0" fontId="43" fillId="28" borderId="0" applyNumberFormat="0" applyBorder="0" applyAlignment="0" applyProtection="0">
      <alignment vertical="center"/>
    </xf>
    <xf numFmtId="0" fontId="43" fillId="29" borderId="0" applyNumberFormat="0" applyBorder="0" applyAlignment="0" applyProtection="0">
      <alignment vertical="center"/>
    </xf>
    <xf numFmtId="0" fontId="44" fillId="30" borderId="0" applyNumberFormat="0" applyBorder="0" applyAlignment="0" applyProtection="0">
      <alignment vertical="center"/>
    </xf>
    <xf numFmtId="0" fontId="44" fillId="31" borderId="0" applyNumberFormat="0" applyBorder="0" applyAlignment="0" applyProtection="0">
      <alignment vertical="center"/>
    </xf>
    <xf numFmtId="0" fontId="43" fillId="32" borderId="0" applyNumberFormat="0" applyBorder="0" applyAlignment="0" applyProtection="0">
      <alignment vertical="center"/>
    </xf>
    <xf numFmtId="0" fontId="43" fillId="33" borderId="0" applyNumberFormat="0" applyBorder="0" applyAlignment="0" applyProtection="0">
      <alignment vertical="center"/>
    </xf>
    <xf numFmtId="0" fontId="44" fillId="2" borderId="0" applyNumberFormat="0" applyBorder="0" applyAlignment="0" applyProtection="0">
      <alignment vertical="center"/>
    </xf>
    <xf numFmtId="0" fontId="44" fillId="34" borderId="0" applyNumberFormat="0" applyBorder="0" applyAlignment="0" applyProtection="0">
      <alignment vertical="center"/>
    </xf>
    <xf numFmtId="0" fontId="43" fillId="35" borderId="0" applyNumberFormat="0" applyBorder="0" applyAlignment="0" applyProtection="0">
      <alignment vertical="center"/>
    </xf>
    <xf numFmtId="0" fontId="43" fillId="36" borderId="0" applyNumberFormat="0" applyBorder="0" applyAlignment="0" applyProtection="0">
      <alignment vertical="center"/>
    </xf>
    <xf numFmtId="0" fontId="44" fillId="37" borderId="0" applyNumberFormat="0" applyBorder="0" applyAlignment="0" applyProtection="0">
      <alignment vertical="center"/>
    </xf>
    <xf numFmtId="0" fontId="44" fillId="6" borderId="0" applyNumberFormat="0" applyBorder="0" applyAlignment="0" applyProtection="0">
      <alignment vertical="center"/>
    </xf>
    <xf numFmtId="0" fontId="43" fillId="38" borderId="0" applyNumberFormat="0" applyBorder="0" applyAlignment="0" applyProtection="0">
      <alignment vertical="center"/>
    </xf>
    <xf numFmtId="0" fontId="43" fillId="39" borderId="0" applyNumberFormat="0" applyBorder="0" applyAlignment="0" applyProtection="0">
      <alignment vertical="center"/>
    </xf>
    <xf numFmtId="0" fontId="44" fillId="9" borderId="0" applyNumberFormat="0" applyBorder="0" applyAlignment="0" applyProtection="0">
      <alignment vertical="center"/>
    </xf>
    <xf numFmtId="0" fontId="44" fillId="40" borderId="0" applyNumberFormat="0" applyBorder="0" applyAlignment="0" applyProtection="0">
      <alignment vertical="center"/>
    </xf>
    <xf numFmtId="0" fontId="43" fillId="15" borderId="0" applyNumberFormat="0" applyBorder="0" applyAlignment="0" applyProtection="0">
      <alignment vertical="center"/>
    </xf>
    <xf numFmtId="0" fontId="2" fillId="0" borderId="0"/>
    <xf numFmtId="0" fontId="45" fillId="0" borderId="0"/>
  </cellStyleXfs>
  <cellXfs count="360">
    <xf numFmtId="0" fontId="0" fillId="0" borderId="0" xfId="0">
      <alignment vertical="center"/>
    </xf>
    <xf numFmtId="0" fontId="1" fillId="0" borderId="0" xfId="0" applyFont="1">
      <alignment vertical="center"/>
    </xf>
    <xf numFmtId="0" fontId="2" fillId="0" borderId="0" xfId="0" applyFont="1">
      <alignment vertical="center"/>
    </xf>
    <xf numFmtId="0" fontId="2" fillId="0" borderId="0" xfId="0" applyFont="1" applyAlignment="1">
      <alignment horizontal="center" vertical="center"/>
    </xf>
    <xf numFmtId="180" fontId="2" fillId="0" borderId="0" xfId="0" applyNumberFormat="1" applyFont="1">
      <alignment vertical="center"/>
    </xf>
    <xf numFmtId="0" fontId="3" fillId="0" borderId="0" xfId="0" applyFont="1" applyAlignment="1">
      <alignment horizontal="center" vertical="center"/>
    </xf>
    <xf numFmtId="0" fontId="3" fillId="0" borderId="0" xfId="0" applyFont="1">
      <alignment vertical="center"/>
    </xf>
    <xf numFmtId="0" fontId="4"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5" xfId="0" applyFont="1" applyBorder="1" applyAlignment="1">
      <alignment horizontal="justify" vertical="center" wrapText="1"/>
    </xf>
    <xf numFmtId="0" fontId="2" fillId="0" borderId="1" xfId="0" applyFont="1" applyBorder="1" applyAlignment="1">
      <alignment horizontal="center" vertical="center" wrapText="1"/>
    </xf>
    <xf numFmtId="181" fontId="2" fillId="0" borderId="1" xfId="0" applyNumberFormat="1" applyFont="1" applyBorder="1" applyAlignment="1">
      <alignment horizontal="center" vertical="center" wrapText="1"/>
    </xf>
    <xf numFmtId="181" fontId="2" fillId="0" borderId="5" xfId="0" applyNumberFormat="1" applyFont="1" applyBorder="1" applyAlignment="1">
      <alignment horizontal="center" vertical="center" wrapText="1"/>
    </xf>
    <xf numFmtId="181" fontId="2" fillId="0" borderId="1" xfId="0" applyNumberFormat="1" applyFont="1" applyBorder="1" applyAlignment="1">
      <alignment horizontal="center" vertical="center"/>
    </xf>
    <xf numFmtId="9" fontId="2" fillId="0" borderId="5" xfId="0" applyNumberFormat="1" applyFont="1" applyBorder="1" applyAlignment="1">
      <alignment horizontal="center" vertical="center"/>
    </xf>
    <xf numFmtId="181" fontId="2" fillId="0" borderId="5" xfId="0" applyNumberFormat="1" applyFont="1" applyBorder="1" applyAlignment="1">
      <alignment horizontal="center" vertical="center"/>
    </xf>
    <xf numFmtId="0" fontId="2" fillId="0" borderId="6" xfId="0" applyFont="1" applyBorder="1" applyAlignment="1">
      <alignment horizontal="center" vertical="center" wrapText="1"/>
    </xf>
    <xf numFmtId="0" fontId="2" fillId="0" borderId="6" xfId="0" applyFont="1" applyBorder="1" applyAlignment="1">
      <alignment horizontal="justify" vertical="center" wrapText="1"/>
    </xf>
    <xf numFmtId="181" fontId="2" fillId="0" borderId="6" xfId="0" applyNumberFormat="1" applyFont="1" applyBorder="1" applyAlignment="1">
      <alignment horizontal="center" vertical="center" wrapText="1"/>
    </xf>
    <xf numFmtId="0" fontId="2" fillId="0" borderId="1" xfId="0" applyFont="1" applyBorder="1" applyAlignment="1">
      <alignment horizontal="center" vertical="center"/>
    </xf>
    <xf numFmtId="9" fontId="2" fillId="0" borderId="6" xfId="0" applyNumberFormat="1" applyFont="1" applyBorder="1" applyAlignment="1">
      <alignment horizontal="center" vertical="center"/>
    </xf>
    <xf numFmtId="181" fontId="2" fillId="0" borderId="6" xfId="0" applyNumberFormat="1" applyFont="1" applyBorder="1" applyAlignment="1">
      <alignment horizontal="center" vertical="center"/>
    </xf>
    <xf numFmtId="3" fontId="2" fillId="0" borderId="5" xfId="0" applyNumberFormat="1" applyFont="1" applyBorder="1" applyAlignment="1">
      <alignment horizontal="center" vertical="center" wrapText="1"/>
    </xf>
    <xf numFmtId="0" fontId="2" fillId="0" borderId="1" xfId="0" applyFont="1" applyBorder="1" applyAlignment="1">
      <alignment horizontal="justify" vertical="center" wrapText="1"/>
    </xf>
    <xf numFmtId="3" fontId="2" fillId="0" borderId="1" xfId="0" applyNumberFormat="1" applyFont="1" applyBorder="1" applyAlignment="1">
      <alignment horizontal="center" vertical="center" wrapText="1"/>
    </xf>
    <xf numFmtId="180" fontId="2" fillId="0" borderId="1" xfId="2" applyNumberFormat="1" applyFont="1" applyBorder="1" applyAlignment="1">
      <alignment horizontal="center" vertical="center" wrapText="1"/>
    </xf>
    <xf numFmtId="180" fontId="2" fillId="0" borderId="1" xfId="2" applyNumberFormat="1" applyFont="1" applyFill="1" applyBorder="1" applyAlignment="1">
      <alignment horizontal="center" vertical="center" wrapText="1"/>
    </xf>
    <xf numFmtId="0" fontId="6" fillId="0" borderId="0" xfId="0" applyFont="1" applyAlignment="1">
      <alignment horizontal="center" vertical="center" wrapText="1"/>
    </xf>
    <xf numFmtId="181" fontId="2" fillId="0" borderId="0" xfId="0" applyNumberFormat="1" applyFont="1" applyAlignment="1">
      <alignment horizontal="center" vertical="center" wrapText="1"/>
    </xf>
    <xf numFmtId="181" fontId="6" fillId="3" borderId="1" xfId="0" applyNumberFormat="1" applyFont="1" applyFill="1" applyBorder="1" applyAlignment="1">
      <alignment vertical="center" wrapText="1"/>
    </xf>
    <xf numFmtId="181" fontId="6" fillId="3" borderId="1" xfId="0" applyNumberFormat="1" applyFont="1" applyFill="1" applyBorder="1">
      <alignment vertical="center"/>
    </xf>
    <xf numFmtId="181" fontId="6" fillId="3" borderId="1" xfId="0" applyNumberFormat="1" applyFont="1" applyFill="1" applyBorder="1" applyAlignment="1">
      <alignment horizontal="center" vertical="center"/>
    </xf>
    <xf numFmtId="181" fontId="2" fillId="0" borderId="0" xfId="0" applyNumberFormat="1" applyFont="1">
      <alignment vertical="center"/>
    </xf>
    <xf numFmtId="180" fontId="6" fillId="4" borderId="2" xfId="0" applyNumberFormat="1" applyFont="1" applyFill="1" applyBorder="1" applyAlignment="1">
      <alignment horizontal="center" vertical="center"/>
    </xf>
    <xf numFmtId="181" fontId="6" fillId="0" borderId="3" xfId="0" applyNumberFormat="1" applyFont="1" applyBorder="1" applyAlignment="1">
      <alignment horizontal="right" vertical="center" wrapText="1"/>
    </xf>
    <xf numFmtId="181" fontId="6" fillId="0" borderId="4" xfId="0" applyNumberFormat="1" applyFont="1" applyBorder="1" applyAlignment="1">
      <alignment horizontal="right" vertical="center" wrapText="1"/>
    </xf>
    <xf numFmtId="182" fontId="6" fillId="0" borderId="1" xfId="1" applyNumberFormat="1" applyFont="1" applyFill="1" applyBorder="1" applyAlignment="1">
      <alignment horizontal="center" vertical="center"/>
    </xf>
    <xf numFmtId="0" fontId="7" fillId="0" borderId="0" xfId="0" applyFont="1" applyAlignment="1">
      <alignment vertical="center" wrapText="1"/>
    </xf>
    <xf numFmtId="180" fontId="2" fillId="5" borderId="2" xfId="0" applyNumberFormat="1" applyFont="1" applyFill="1" applyBorder="1" applyAlignment="1">
      <alignment horizontal="center" vertical="center" wrapText="1"/>
    </xf>
    <xf numFmtId="180" fontId="6" fillId="0" borderId="3" xfId="0" applyNumberFormat="1" applyFont="1" applyBorder="1" applyAlignment="1">
      <alignment horizontal="right" vertical="center"/>
    </xf>
    <xf numFmtId="180" fontId="6" fillId="0" borderId="4" xfId="0" applyNumberFormat="1" applyFont="1" applyBorder="1" applyAlignment="1">
      <alignment horizontal="right" vertical="center"/>
    </xf>
    <xf numFmtId="180" fontId="6" fillId="0" borderId="1" xfId="0" applyNumberFormat="1" applyFont="1" applyBorder="1" applyAlignment="1">
      <alignment horizontal="center" vertical="center"/>
    </xf>
    <xf numFmtId="183" fontId="2" fillId="0" borderId="0" xfId="3" applyNumberFormat="1" applyFont="1">
      <alignment vertical="center"/>
    </xf>
    <xf numFmtId="180" fontId="6" fillId="6" borderId="2" xfId="0" applyNumberFormat="1" applyFont="1" applyFill="1" applyBorder="1" applyAlignment="1">
      <alignment horizontal="center" vertical="center" wrapText="1"/>
    </xf>
    <xf numFmtId="180" fontId="2" fillId="5" borderId="3" xfId="0" applyNumberFormat="1" applyFont="1" applyFill="1" applyBorder="1" applyAlignment="1">
      <alignment horizontal="right" vertical="center" wrapText="1"/>
    </xf>
    <xf numFmtId="180" fontId="2" fillId="5" borderId="4" xfId="0" applyNumberFormat="1" applyFont="1" applyFill="1" applyBorder="1" applyAlignment="1">
      <alignment horizontal="right" vertical="center" wrapText="1"/>
    </xf>
    <xf numFmtId="1" fontId="6" fillId="5" borderId="1" xfId="2" applyNumberFormat="1" applyFont="1" applyFill="1" applyBorder="1" applyAlignment="1">
      <alignment horizontal="center" vertical="center"/>
    </xf>
    <xf numFmtId="0" fontId="7" fillId="0" borderId="0" xfId="0" applyFont="1" applyAlignment="1">
      <alignment horizontal="center" vertical="center" wrapText="1"/>
    </xf>
    <xf numFmtId="180" fontId="2" fillId="0" borderId="0" xfId="0" applyNumberFormat="1" applyFont="1" applyAlignment="1">
      <alignment horizontal="center" vertical="center" wrapText="1"/>
    </xf>
    <xf numFmtId="180" fontId="6" fillId="6" borderId="7" xfId="0" applyNumberFormat="1" applyFont="1" applyFill="1" applyBorder="1" applyAlignment="1">
      <alignment horizontal="right" vertical="center" wrapText="1"/>
    </xf>
    <xf numFmtId="180" fontId="6" fillId="6" borderId="8" xfId="0" applyNumberFormat="1" applyFont="1" applyFill="1" applyBorder="1" applyAlignment="1">
      <alignment horizontal="right" vertical="center" wrapText="1"/>
    </xf>
    <xf numFmtId="180" fontId="6" fillId="6" borderId="1" xfId="0" applyNumberFormat="1" applyFont="1" applyFill="1" applyBorder="1" applyAlignment="1">
      <alignment horizontal="center" vertical="center"/>
    </xf>
    <xf numFmtId="180" fontId="6" fillId="0" borderId="0" xfId="0" applyNumberFormat="1" applyFont="1">
      <alignment vertical="center"/>
    </xf>
    <xf numFmtId="0" fontId="7" fillId="0" borderId="1" xfId="0" applyFont="1" applyBorder="1" applyAlignment="1">
      <alignment horizontal="center" vertical="center" wrapText="1"/>
    </xf>
    <xf numFmtId="180" fontId="2" fillId="0" borderId="1" xfId="0" applyNumberFormat="1" applyFont="1" applyBorder="1">
      <alignment vertical="center"/>
    </xf>
    <xf numFmtId="0" fontId="2" fillId="0" borderId="0" xfId="0" applyFont="1" applyAlignment="1">
      <alignment horizontal="left" vertical="center"/>
    </xf>
    <xf numFmtId="0" fontId="3" fillId="0" borderId="0" xfId="0" applyFont="1" applyAlignment="1">
      <alignment horizontal="left" vertical="center"/>
    </xf>
    <xf numFmtId="0" fontId="4" fillId="2" borderId="1" xfId="0" applyFont="1" applyFill="1" applyBorder="1" applyAlignment="1">
      <alignment horizontal="left" vertical="center" wrapText="1"/>
    </xf>
    <xf numFmtId="0" fontId="5" fillId="7" borderId="1"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8" fillId="0" borderId="1" xfId="0" applyFont="1" applyBorder="1" applyAlignment="1">
      <alignment horizontal="left" vertical="center" wrapText="1"/>
    </xf>
    <xf numFmtId="3" fontId="8"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181" fontId="1" fillId="0" borderId="1" xfId="2" applyNumberFormat="1" applyFont="1" applyFill="1" applyBorder="1" applyAlignment="1">
      <alignment horizontal="center" vertical="center" wrapText="1"/>
    </xf>
    <xf numFmtId="181" fontId="1" fillId="0" borderId="1" xfId="0" applyNumberFormat="1" applyFont="1" applyBorder="1" applyAlignment="1">
      <alignment horizontal="center" vertical="center"/>
    </xf>
    <xf numFmtId="0" fontId="8" fillId="0" borderId="1" xfId="0" applyFont="1" applyBorder="1" applyAlignment="1">
      <alignment horizontal="center" vertical="center" wrapText="1"/>
    </xf>
    <xf numFmtId="181" fontId="1" fillId="0" borderId="1" xfId="0" applyNumberFormat="1" applyFont="1" applyBorder="1" applyAlignment="1">
      <alignment horizontal="center" vertical="center" wrapText="1"/>
    </xf>
    <xf numFmtId="0" fontId="1" fillId="0" borderId="1" xfId="0" applyFont="1" applyBorder="1" applyAlignment="1">
      <alignment horizontal="center" vertical="center"/>
    </xf>
    <xf numFmtId="0" fontId="8" fillId="0" borderId="0" xfId="0" applyFont="1" applyAlignment="1">
      <alignment horizontal="center" vertical="center" wrapText="1"/>
    </xf>
    <xf numFmtId="0" fontId="8" fillId="0" borderId="0" xfId="0" applyFont="1" applyAlignment="1">
      <alignment horizontal="justify" vertical="center" wrapText="1"/>
    </xf>
    <xf numFmtId="181" fontId="4" fillId="8" borderId="1" xfId="0" applyNumberFormat="1" applyFont="1" applyFill="1" applyBorder="1" applyAlignment="1">
      <alignment horizontal="right" vertical="center" wrapText="1"/>
    </xf>
    <xf numFmtId="181" fontId="4" fillId="8" borderId="1" xfId="0" applyNumberFormat="1" applyFont="1" applyFill="1" applyBorder="1" applyAlignment="1">
      <alignment horizontal="center" vertical="center" wrapText="1"/>
    </xf>
    <xf numFmtId="0" fontId="1" fillId="0" borderId="0" xfId="0" applyFont="1" applyAlignment="1">
      <alignment horizontal="center" vertical="center"/>
    </xf>
    <xf numFmtId="181" fontId="4" fillId="0" borderId="0" xfId="0" applyNumberFormat="1" applyFont="1" applyAlignment="1">
      <alignment vertical="center" wrapText="1"/>
    </xf>
    <xf numFmtId="184" fontId="4" fillId="0" borderId="1" xfId="0" applyNumberFormat="1" applyFont="1" applyBorder="1" applyAlignment="1">
      <alignment horizontal="right" vertical="center" wrapText="1"/>
    </xf>
    <xf numFmtId="184" fontId="4" fillId="0" borderId="1" xfId="0" applyNumberFormat="1" applyFont="1" applyBorder="1" applyAlignment="1">
      <alignment horizontal="center" vertical="center" wrapText="1"/>
    </xf>
    <xf numFmtId="181" fontId="8" fillId="0" borderId="0" xfId="0" applyNumberFormat="1" applyFont="1" applyAlignment="1">
      <alignment horizontal="center" vertical="center" wrapText="1"/>
    </xf>
    <xf numFmtId="181" fontId="5" fillId="3" borderId="1" xfId="0" applyNumberFormat="1" applyFont="1" applyFill="1" applyBorder="1" applyAlignment="1">
      <alignment horizontal="right" vertical="center" wrapText="1"/>
    </xf>
    <xf numFmtId="181" fontId="5" fillId="3" borderId="1" xfId="0" applyNumberFormat="1" applyFont="1" applyFill="1" applyBorder="1" applyAlignment="1">
      <alignment horizontal="center" vertical="center" wrapText="1"/>
    </xf>
    <xf numFmtId="0" fontId="1" fillId="0" borderId="0" xfId="0" applyFont="1" applyAlignment="1">
      <alignment horizontal="justify" vertical="center"/>
    </xf>
    <xf numFmtId="0" fontId="9" fillId="0" borderId="0" xfId="0" applyFont="1">
      <alignment vertical="center"/>
    </xf>
    <xf numFmtId="0" fontId="10" fillId="0" borderId="0" xfId="0" applyFont="1" applyAlignment="1">
      <alignment horizontal="center" vertical="center"/>
    </xf>
    <xf numFmtId="0" fontId="11" fillId="0" borderId="0" xfId="0" applyFont="1" applyAlignment="1">
      <alignment horizontal="center" vertical="center"/>
    </xf>
    <xf numFmtId="181" fontId="10" fillId="0" borderId="0" xfId="0" applyNumberFormat="1" applyFont="1" applyAlignment="1">
      <alignment horizontal="center" vertical="center" wrapText="1"/>
    </xf>
    <xf numFmtId="181" fontId="9" fillId="0" borderId="0" xfId="0" applyNumberFormat="1" applyFont="1" applyAlignment="1">
      <alignment horizontal="center" vertical="center" wrapText="1"/>
    </xf>
    <xf numFmtId="181" fontId="1" fillId="0" borderId="0" xfId="2" applyNumberFormat="1" applyFont="1" applyFill="1" applyBorder="1" applyAlignment="1">
      <alignment vertical="center" wrapText="1"/>
    </xf>
    <xf numFmtId="0" fontId="4" fillId="9" borderId="2" xfId="0" applyFont="1" applyFill="1" applyBorder="1" applyAlignment="1">
      <alignment horizontal="center" vertical="center" wrapText="1"/>
    </xf>
    <xf numFmtId="0" fontId="4" fillId="9" borderId="3" xfId="0" applyFont="1" applyFill="1" applyBorder="1" applyAlignment="1">
      <alignment horizontal="center" vertical="center" wrapText="1"/>
    </xf>
    <xf numFmtId="0" fontId="4" fillId="9" borderId="4" xfId="0" applyFont="1" applyFill="1" applyBorder="1" applyAlignment="1">
      <alignment horizontal="center" vertical="center" wrapText="1"/>
    </xf>
    <xf numFmtId="0" fontId="4" fillId="9" borderId="1"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5"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1" fillId="0" borderId="5" xfId="0" applyFont="1" applyBorder="1" applyAlignment="1">
      <alignment horizontal="center" vertical="center" wrapText="1"/>
    </xf>
    <xf numFmtId="0" fontId="8" fillId="0" borderId="5" xfId="0" applyFont="1" applyBorder="1" applyAlignment="1">
      <alignment horizontal="left" vertical="center" wrapText="1"/>
    </xf>
    <xf numFmtId="0" fontId="1" fillId="0" borderId="9" xfId="0" applyFont="1" applyBorder="1" applyAlignment="1">
      <alignment horizontal="center" vertical="center"/>
    </xf>
    <xf numFmtId="0" fontId="1" fillId="0" borderId="6" xfId="0" applyFont="1" applyBorder="1" applyAlignment="1">
      <alignment horizontal="center" vertical="center" wrapText="1"/>
    </xf>
    <xf numFmtId="0" fontId="8" fillId="0" borderId="6" xfId="0" applyFont="1" applyBorder="1" applyAlignment="1">
      <alignment horizontal="left" vertical="center" wrapText="1"/>
    </xf>
    <xf numFmtId="0" fontId="1" fillId="0" borderId="10" xfId="0" applyFont="1" applyBorder="1" applyAlignment="1">
      <alignment horizontal="center" vertical="center"/>
    </xf>
    <xf numFmtId="0" fontId="1" fillId="0" borderId="11" xfId="0" applyFont="1" applyBorder="1" applyAlignment="1">
      <alignment horizontal="center" vertical="center" wrapText="1"/>
    </xf>
    <xf numFmtId="0" fontId="8" fillId="0" borderId="11" xfId="0" applyFont="1" applyBorder="1" applyAlignment="1">
      <alignment horizontal="left" vertical="center" wrapText="1"/>
    </xf>
    <xf numFmtId="0" fontId="1" fillId="0" borderId="12"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left" vertical="center"/>
    </xf>
    <xf numFmtId="0" fontId="1" fillId="0" borderId="11" xfId="0" applyFont="1" applyBorder="1" applyAlignment="1">
      <alignment horizontal="center" vertical="center"/>
    </xf>
    <xf numFmtId="0" fontId="1" fillId="0" borderId="6" xfId="0" applyFont="1" applyBorder="1" applyAlignment="1">
      <alignment horizontal="left" vertical="center"/>
    </xf>
    <xf numFmtId="0" fontId="1" fillId="0" borderId="6" xfId="0" applyFont="1" applyBorder="1" applyAlignment="1">
      <alignment horizontal="center" vertical="center"/>
    </xf>
    <xf numFmtId="181" fontId="12" fillId="8" borderId="1" xfId="0" applyNumberFormat="1" applyFont="1" applyFill="1" applyBorder="1" applyAlignment="1">
      <alignment horizontal="right" vertical="center" wrapText="1"/>
    </xf>
    <xf numFmtId="181" fontId="12" fillId="0" borderId="0" xfId="0" applyNumberFormat="1" applyFont="1" applyAlignment="1">
      <alignment vertical="center" wrapText="1"/>
    </xf>
    <xf numFmtId="184" fontId="12" fillId="0" borderId="1" xfId="0" applyNumberFormat="1" applyFont="1" applyBorder="1" applyAlignment="1">
      <alignment horizontal="right" vertical="center" wrapText="1"/>
    </xf>
    <xf numFmtId="181" fontId="13" fillId="0" borderId="0" xfId="0" applyNumberFormat="1" applyFont="1" applyAlignment="1">
      <alignment horizontal="center" vertical="center" wrapText="1"/>
    </xf>
    <xf numFmtId="181" fontId="10" fillId="3" borderId="1" xfId="0" applyNumberFormat="1" applyFont="1" applyFill="1" applyBorder="1" applyAlignment="1">
      <alignment horizontal="right" vertical="center" wrapText="1"/>
    </xf>
    <xf numFmtId="0" fontId="4" fillId="10" borderId="5"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1" fillId="0" borderId="5" xfId="0" applyFont="1" applyBorder="1" applyAlignment="1">
      <alignment horizontal="left" vertical="center" wrapText="1"/>
    </xf>
    <xf numFmtId="0" fontId="1" fillId="0" borderId="9" xfId="0" applyFont="1" applyBorder="1" applyAlignment="1">
      <alignment horizontal="center" vertical="center" wrapText="1"/>
    </xf>
    <xf numFmtId="0" fontId="1" fillId="0" borderId="6" xfId="0" applyFont="1" applyBorder="1" applyAlignment="1">
      <alignment horizontal="left" vertical="center" wrapText="1"/>
    </xf>
    <xf numFmtId="0" fontId="1" fillId="0" borderId="12" xfId="0" applyFont="1" applyBorder="1" applyAlignment="1">
      <alignment horizontal="center" vertical="center"/>
    </xf>
    <xf numFmtId="0" fontId="4" fillId="10" borderId="11" xfId="0" applyFont="1" applyFill="1" applyBorder="1" applyAlignment="1">
      <alignment horizontal="center" vertical="center" wrapText="1"/>
    </xf>
    <xf numFmtId="0" fontId="1" fillId="0" borderId="1" xfId="0" applyFont="1" applyBorder="1" applyAlignment="1">
      <alignment horizontal="left" vertical="center" wrapText="1"/>
    </xf>
    <xf numFmtId="181" fontId="1" fillId="9" borderId="1" xfId="0" applyNumberFormat="1" applyFont="1" applyFill="1" applyBorder="1" applyAlignment="1">
      <alignment horizontal="center" vertical="center" wrapText="1"/>
    </xf>
    <xf numFmtId="0" fontId="1" fillId="0" borderId="0" xfId="0" applyFont="1" applyAlignment="1">
      <alignment vertical="center" wrapText="1"/>
    </xf>
    <xf numFmtId="0" fontId="3" fillId="0" borderId="13" xfId="0" applyFont="1" applyBorder="1" applyAlignment="1">
      <alignment horizontal="center" vertical="center"/>
    </xf>
    <xf numFmtId="0" fontId="4" fillId="7" borderId="2" xfId="0" applyFont="1" applyFill="1" applyBorder="1" applyAlignment="1">
      <alignment horizontal="center" vertical="center" wrapText="1"/>
    </xf>
    <xf numFmtId="0" fontId="4" fillId="7" borderId="3"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5" fillId="7" borderId="5" xfId="0" applyFont="1" applyFill="1" applyBorder="1" applyAlignment="1">
      <alignment horizontal="center" vertical="center" wrapText="1"/>
    </xf>
    <xf numFmtId="0" fontId="5" fillId="7" borderId="6" xfId="0" applyFont="1" applyFill="1" applyBorder="1" applyAlignment="1">
      <alignment horizontal="center" vertical="center" wrapText="1"/>
    </xf>
    <xf numFmtId="0" fontId="8" fillId="0" borderId="1" xfId="0" applyFont="1" applyBorder="1" applyAlignment="1">
      <alignment horizontal="justify" vertical="center" wrapText="1"/>
    </xf>
    <xf numFmtId="181" fontId="1" fillId="0" borderId="0" xfId="0" applyNumberFormat="1" applyFont="1" applyAlignment="1">
      <alignment horizontal="center" vertical="center" wrapText="1"/>
    </xf>
    <xf numFmtId="181" fontId="2" fillId="0" borderId="1" xfId="2" applyNumberFormat="1" applyFont="1" applyFill="1" applyBorder="1" applyAlignment="1">
      <alignment horizontal="center" vertical="center"/>
    </xf>
    <xf numFmtId="0" fontId="14" fillId="0" borderId="11" xfId="0" applyFont="1" applyBorder="1" applyAlignment="1">
      <alignment horizontal="center" vertical="center" wrapText="1"/>
    </xf>
    <xf numFmtId="0" fontId="8" fillId="0" borderId="11" xfId="0" applyFont="1" applyBorder="1" applyAlignment="1">
      <alignment horizontal="center" vertical="center" wrapText="1"/>
    </xf>
    <xf numFmtId="0" fontId="14" fillId="0" borderId="6" xfId="0" applyFont="1" applyBorder="1" applyAlignment="1">
      <alignment horizontal="center" vertical="center" wrapText="1"/>
    </xf>
    <xf numFmtId="0" fontId="8" fillId="0" borderId="6" xfId="0" applyFont="1" applyBorder="1" applyAlignment="1">
      <alignment horizontal="center" vertical="center" wrapText="1"/>
    </xf>
    <xf numFmtId="0" fontId="14" fillId="0" borderId="5" xfId="0" applyFont="1" applyBorder="1" applyAlignment="1">
      <alignment horizontal="center" vertical="center" wrapText="1"/>
    </xf>
    <xf numFmtId="0" fontId="8" fillId="0" borderId="5" xfId="0" applyFont="1" applyBorder="1" applyAlignment="1">
      <alignment horizontal="center" vertical="center" wrapText="1"/>
    </xf>
    <xf numFmtId="0" fontId="1" fillId="0" borderId="11" xfId="0" applyFont="1" applyBorder="1" applyAlignment="1">
      <alignment horizontal="left" vertical="center" wrapText="1"/>
    </xf>
    <xf numFmtId="0" fontId="5" fillId="0" borderId="0" xfId="0" applyFont="1" applyAlignment="1">
      <alignment horizontal="center" vertical="center"/>
    </xf>
    <xf numFmtId="181" fontId="5" fillId="0" borderId="0" xfId="0" applyNumberFormat="1" applyFont="1" applyAlignment="1">
      <alignment horizontal="center" vertical="center" wrapText="1"/>
    </xf>
    <xf numFmtId="0" fontId="7" fillId="0" borderId="12" xfId="0" applyFont="1" applyBorder="1" applyAlignment="1">
      <alignment horizontal="center" vertical="center" wrapText="1"/>
    </xf>
    <xf numFmtId="181" fontId="11" fillId="0" borderId="0" xfId="0" applyNumberFormat="1" applyFont="1" applyAlignment="1">
      <alignment horizontal="center" vertical="center" wrapText="1"/>
    </xf>
    <xf numFmtId="181" fontId="1" fillId="0" borderId="0" xfId="0" applyNumberFormat="1" applyFont="1">
      <alignment vertical="center"/>
    </xf>
    <xf numFmtId="181" fontId="1" fillId="0" borderId="0" xfId="2" applyNumberFormat="1" applyFont="1" applyFill="1" applyBorder="1" applyAlignment="1">
      <alignment horizontal="center" vertical="center" wrapText="1"/>
    </xf>
    <xf numFmtId="0" fontId="1" fillId="9" borderId="1" xfId="0" applyFont="1" applyFill="1" applyBorder="1" applyAlignment="1">
      <alignment horizontal="center" vertical="center" wrapText="1"/>
    </xf>
    <xf numFmtId="0" fontId="15" fillId="0" borderId="0" xfId="0" applyFont="1" applyAlignment="1">
      <alignment vertical="center" wrapText="1"/>
    </xf>
    <xf numFmtId="0" fontId="16" fillId="0" borderId="0" xfId="50" applyFont="1" applyAlignment="1" applyProtection="1">
      <alignment vertical="center"/>
      <protection locked="0"/>
    </xf>
    <xf numFmtId="10" fontId="15" fillId="0" borderId="0" xfId="0" applyNumberFormat="1" applyFont="1" applyAlignment="1">
      <alignment horizontal="center" vertical="center" wrapText="1"/>
    </xf>
    <xf numFmtId="2" fontId="17" fillId="0" borderId="0" xfId="0" applyNumberFormat="1" applyFont="1" applyAlignment="1">
      <alignment vertical="center" wrapText="1"/>
    </xf>
    <xf numFmtId="0" fontId="17" fillId="0" borderId="0" xfId="0" applyFont="1" applyAlignment="1">
      <alignment horizontal="center" vertical="center" wrapText="1"/>
    </xf>
    <xf numFmtId="0" fontId="18" fillId="0" borderId="0" xfId="0" applyFont="1" applyAlignment="1">
      <alignment vertical="center" wrapText="1"/>
    </xf>
    <xf numFmtId="0" fontId="5" fillId="0" borderId="0" xfId="0" applyFont="1" applyAlignment="1">
      <alignment vertical="center" wrapText="1"/>
    </xf>
    <xf numFmtId="180" fontId="1" fillId="0" borderId="0" xfId="0" applyNumberFormat="1" applyFont="1" applyAlignment="1">
      <alignment horizontal="right" vertical="center" wrapText="1"/>
    </xf>
    <xf numFmtId="0" fontId="17" fillId="0" borderId="0" xfId="0" applyFont="1" applyAlignment="1">
      <alignment vertical="center" wrapText="1"/>
    </xf>
    <xf numFmtId="0" fontId="5" fillId="7" borderId="14" xfId="0" applyFont="1" applyFill="1" applyBorder="1" applyAlignment="1">
      <alignment horizontal="center" vertical="center" wrapText="1"/>
    </xf>
    <xf numFmtId="0" fontId="5" fillId="0" borderId="14" xfId="0" applyFont="1" applyBorder="1" applyAlignment="1">
      <alignment horizontal="right" vertical="center" wrapText="1"/>
    </xf>
    <xf numFmtId="0" fontId="2" fillId="0" borderId="0" xfId="0" applyFont="1" applyAlignment="1">
      <alignment vertical="center" wrapText="1"/>
    </xf>
    <xf numFmtId="0" fontId="6" fillId="0" borderId="14" xfId="50" applyFont="1" applyBorder="1" applyAlignment="1" applyProtection="1">
      <alignment horizontal="left" vertical="center"/>
      <protection locked="0"/>
    </xf>
    <xf numFmtId="0" fontId="19" fillId="11" borderId="0" xfId="50" applyFont="1" applyFill="1" applyAlignment="1">
      <alignment vertical="center"/>
    </xf>
    <xf numFmtId="185" fontId="19" fillId="11" borderId="0" xfId="50" applyNumberFormat="1" applyFont="1" applyFill="1" applyAlignment="1">
      <alignment vertical="center"/>
    </xf>
    <xf numFmtId="0" fontId="6" fillId="10" borderId="0" xfId="50" applyFont="1" applyFill="1" applyAlignment="1" applyProtection="1">
      <alignment horizontal="center" vertical="center"/>
      <protection locked="0"/>
    </xf>
    <xf numFmtId="0" fontId="6" fillId="10" borderId="0" xfId="50" applyFont="1" applyFill="1" applyAlignment="1" applyProtection="1">
      <alignment horizontal="right" vertical="center"/>
      <protection locked="0"/>
    </xf>
    <xf numFmtId="0" fontId="15" fillId="12" borderId="14" xfId="0" applyFont="1" applyFill="1" applyBorder="1" applyAlignment="1">
      <alignment horizontal="center" vertical="center" wrapText="1"/>
    </xf>
    <xf numFmtId="0" fontId="15" fillId="12" borderId="14" xfId="0" applyFont="1" applyFill="1" applyBorder="1" applyAlignment="1">
      <alignment horizontal="right" vertical="center" wrapText="1"/>
    </xf>
    <xf numFmtId="0" fontId="17" fillId="0" borderId="14" xfId="0" applyFont="1" applyBorder="1" applyAlignment="1">
      <alignment horizontal="left" vertical="center" wrapText="1"/>
    </xf>
    <xf numFmtId="0" fontId="17" fillId="0" borderId="14" xfId="0" applyFont="1" applyBorder="1" applyAlignment="1">
      <alignment horizontal="right" vertical="center" wrapText="1"/>
    </xf>
    <xf numFmtId="186" fontId="5" fillId="0" borderId="14" xfId="1" applyNumberFormat="1" applyFont="1" applyFill="1" applyBorder="1" applyAlignment="1">
      <alignment horizontal="right" vertical="center" wrapText="1"/>
    </xf>
    <xf numFmtId="3" fontId="5" fillId="0" borderId="14" xfId="0" applyNumberFormat="1" applyFont="1" applyBorder="1" applyAlignment="1">
      <alignment horizontal="center" vertical="center" wrapText="1"/>
    </xf>
    <xf numFmtId="0" fontId="15" fillId="0" borderId="0" xfId="0" applyFont="1" applyAlignment="1">
      <alignment horizontal="center" vertical="center" wrapText="1"/>
    </xf>
    <xf numFmtId="0" fontId="17" fillId="0" borderId="0" xfId="0" applyFont="1" applyAlignment="1">
      <alignment horizontal="right" vertical="center" wrapText="1"/>
    </xf>
    <xf numFmtId="0" fontId="15" fillId="0" borderId="14" xfId="0" applyFont="1" applyBorder="1" applyAlignment="1">
      <alignment horizontal="center" vertical="center" wrapText="1"/>
    </xf>
    <xf numFmtId="0" fontId="17" fillId="0" borderId="14" xfId="0" applyFont="1" applyBorder="1" applyAlignment="1">
      <alignment horizontal="center" vertical="center" wrapText="1"/>
    </xf>
    <xf numFmtId="3" fontId="15" fillId="0" borderId="14" xfId="0" applyNumberFormat="1" applyFont="1" applyBorder="1" applyAlignment="1">
      <alignment horizontal="center" vertical="center" wrapText="1"/>
    </xf>
    <xf numFmtId="0" fontId="17" fillId="0" borderId="15" xfId="0" applyFont="1" applyBorder="1" applyAlignment="1">
      <alignment horizontal="left" vertical="center" wrapText="1"/>
    </xf>
    <xf numFmtId="0" fontId="17" fillId="0" borderId="16" xfId="0" applyFont="1" applyBorder="1" applyAlignment="1">
      <alignment horizontal="left" vertical="center" wrapText="1"/>
    </xf>
    <xf numFmtId="0" fontId="17" fillId="0" borderId="17" xfId="0" applyFont="1" applyBorder="1" applyAlignment="1">
      <alignment horizontal="left" vertical="center" wrapText="1"/>
    </xf>
    <xf numFmtId="0" fontId="1" fillId="0" borderId="14" xfId="0" applyFont="1" applyBorder="1" applyAlignment="1">
      <alignment horizontal="right" vertical="center" wrapText="1"/>
    </xf>
    <xf numFmtId="0" fontId="4" fillId="12" borderId="14" xfId="50" applyFont="1" applyFill="1" applyBorder="1" applyAlignment="1">
      <alignment horizontal="center" vertical="center"/>
    </xf>
    <xf numFmtId="0" fontId="8" fillId="0" borderId="15" xfId="50" applyFont="1" applyBorder="1" applyAlignment="1">
      <alignment horizontal="left" vertical="center"/>
    </xf>
    <xf numFmtId="0" fontId="8" fillId="0" borderId="16" xfId="50" applyFont="1" applyBorder="1" applyAlignment="1">
      <alignment horizontal="left" vertical="center"/>
    </xf>
    <xf numFmtId="0" fontId="8" fillId="0" borderId="17" xfId="50" applyFont="1" applyBorder="1" applyAlignment="1">
      <alignment horizontal="left" vertical="center"/>
    </xf>
    <xf numFmtId="0" fontId="8" fillId="0" borderId="14" xfId="50" applyFont="1" applyBorder="1" applyAlignment="1">
      <alignment horizontal="right" vertical="center"/>
    </xf>
    <xf numFmtId="0" fontId="16" fillId="0" borderId="0" xfId="50" applyFont="1" applyAlignment="1">
      <alignment horizontal="center" vertical="center"/>
    </xf>
    <xf numFmtId="0" fontId="16" fillId="0" borderId="0" xfId="50" applyFont="1" applyAlignment="1">
      <alignment vertical="center"/>
    </xf>
    <xf numFmtId="187" fontId="1" fillId="0" borderId="14" xfId="0" applyNumberFormat="1" applyFont="1" applyBorder="1" applyAlignment="1">
      <alignment horizontal="right" vertical="center" wrapText="1"/>
    </xf>
    <xf numFmtId="0" fontId="5" fillId="12" borderId="15" xfId="0" applyFont="1" applyFill="1" applyBorder="1" applyAlignment="1">
      <alignment horizontal="center" vertical="center" wrapText="1"/>
    </xf>
    <xf numFmtId="0" fontId="5" fillId="12" borderId="16" xfId="0" applyFont="1" applyFill="1" applyBorder="1" applyAlignment="1">
      <alignment horizontal="center" vertical="center" wrapText="1"/>
    </xf>
    <xf numFmtId="0" fontId="5" fillId="12" borderId="17" xfId="0" applyFont="1" applyFill="1" applyBorder="1" applyAlignment="1">
      <alignment horizontal="right" vertical="center" wrapText="1"/>
    </xf>
    <xf numFmtId="0" fontId="5" fillId="12" borderId="14" xfId="0" applyFont="1" applyFill="1" applyBorder="1" applyAlignment="1">
      <alignment horizontal="center" vertical="center" wrapText="1"/>
    </xf>
    <xf numFmtId="0" fontId="5" fillId="12" borderId="17" xfId="0" applyFont="1" applyFill="1" applyBorder="1" applyAlignment="1">
      <alignment horizontal="center" vertical="center" wrapText="1"/>
    </xf>
    <xf numFmtId="180" fontId="5" fillId="12" borderId="14" xfId="0" applyNumberFormat="1" applyFont="1" applyFill="1" applyBorder="1" applyAlignment="1">
      <alignment horizontal="righ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17" xfId="0" applyFont="1" applyBorder="1" applyAlignment="1">
      <alignment horizontal="left" vertical="center" wrapText="1"/>
    </xf>
    <xf numFmtId="0" fontId="1" fillId="0" borderId="14" xfId="0" applyFont="1" applyBorder="1" applyAlignment="1">
      <alignment horizontal="center" vertical="center" wrapText="1"/>
    </xf>
    <xf numFmtId="180" fontId="1" fillId="0" borderId="14" xfId="0" applyNumberFormat="1" applyFont="1" applyBorder="1" applyAlignment="1">
      <alignment horizontal="right" vertical="center" wrapText="1"/>
    </xf>
    <xf numFmtId="0" fontId="17" fillId="0" borderId="0" xfId="0" applyFont="1" applyAlignment="1">
      <alignment horizontal="justify" vertical="center" wrapText="1"/>
    </xf>
    <xf numFmtId="9" fontId="1" fillId="0" borderId="14" xfId="0" applyNumberFormat="1" applyFont="1" applyBorder="1" applyAlignment="1">
      <alignment horizontal="center" vertical="center" wrapText="1"/>
    </xf>
    <xf numFmtId="0" fontId="5" fillId="2" borderId="15" xfId="0" applyFont="1" applyFill="1" applyBorder="1" applyAlignment="1">
      <alignment horizontal="right" vertical="center" wrapText="1"/>
    </xf>
    <xf numFmtId="0" fontId="5" fillId="2" borderId="16" xfId="0" applyFont="1" applyFill="1" applyBorder="1" applyAlignment="1">
      <alignment horizontal="right" vertical="center" wrapText="1"/>
    </xf>
    <xf numFmtId="0" fontId="5" fillId="2" borderId="17" xfId="0" applyFont="1" applyFill="1" applyBorder="1" applyAlignment="1">
      <alignment horizontal="right" vertical="center" wrapText="1"/>
    </xf>
    <xf numFmtId="0" fontId="1" fillId="2" borderId="14" xfId="0" applyFont="1" applyFill="1" applyBorder="1" applyAlignment="1">
      <alignment horizontal="center" vertical="center" wrapText="1"/>
    </xf>
    <xf numFmtId="180" fontId="5" fillId="2" borderId="14" xfId="0" applyNumberFormat="1" applyFont="1" applyFill="1" applyBorder="1" applyAlignment="1">
      <alignment horizontal="right" vertical="center" wrapText="1"/>
    </xf>
    <xf numFmtId="0" fontId="5"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right" vertical="center" wrapText="1"/>
    </xf>
    <xf numFmtId="0" fontId="5" fillId="12" borderId="14" xfId="0" applyFont="1" applyFill="1" applyBorder="1" applyAlignment="1">
      <alignment horizontal="right" vertical="center" wrapText="1"/>
    </xf>
    <xf numFmtId="188" fontId="17" fillId="0" borderId="0" xfId="0" applyNumberFormat="1" applyFont="1" applyAlignment="1">
      <alignment vertical="center" wrapText="1"/>
    </xf>
    <xf numFmtId="10" fontId="1" fillId="0" borderId="14" xfId="0" applyNumberFormat="1" applyFont="1" applyBorder="1" applyAlignment="1">
      <alignment horizontal="center" vertical="center" wrapText="1"/>
    </xf>
    <xf numFmtId="0" fontId="5" fillId="0" borderId="15" xfId="0" applyFont="1" applyBorder="1" applyAlignment="1">
      <alignment horizontal="right" vertical="center" wrapText="1"/>
    </xf>
    <xf numFmtId="0" fontId="5" fillId="0" borderId="16" xfId="0" applyFont="1" applyBorder="1" applyAlignment="1">
      <alignment horizontal="right" vertical="center" wrapText="1"/>
    </xf>
    <xf numFmtId="0" fontId="5" fillId="0" borderId="17" xfId="0" applyFont="1" applyBorder="1" applyAlignment="1">
      <alignment horizontal="right" vertical="center" wrapText="1"/>
    </xf>
    <xf numFmtId="10" fontId="5" fillId="0" borderId="14" xfId="0" applyNumberFormat="1" applyFont="1" applyBorder="1" applyAlignment="1">
      <alignment horizontal="center" vertical="center" wrapText="1"/>
    </xf>
    <xf numFmtId="180" fontId="5" fillId="0" borderId="14" xfId="0" applyNumberFormat="1" applyFont="1" applyBorder="1" applyAlignment="1">
      <alignment horizontal="right" vertical="center" wrapText="1"/>
    </xf>
    <xf numFmtId="10" fontId="5" fillId="2" borderId="14" xfId="0" applyNumberFormat="1" applyFont="1" applyFill="1" applyBorder="1" applyAlignment="1">
      <alignment horizontal="center" vertical="center" wrapText="1"/>
    </xf>
    <xf numFmtId="180" fontId="15" fillId="0" borderId="0" xfId="0" applyNumberFormat="1" applyFont="1" applyAlignment="1">
      <alignment horizontal="center" vertical="center" wrapText="1"/>
    </xf>
    <xf numFmtId="9" fontId="1" fillId="0" borderId="14" xfId="3" applyFont="1" applyFill="1" applyBorder="1" applyAlignment="1">
      <alignment horizontal="center" vertical="center" wrapText="1"/>
    </xf>
    <xf numFmtId="10" fontId="15" fillId="0" borderId="0" xfId="0" applyNumberFormat="1" applyFont="1" applyAlignment="1">
      <alignment vertical="center" wrapText="1"/>
    </xf>
    <xf numFmtId="189" fontId="1" fillId="0" borderId="14" xfId="1" applyNumberFormat="1" applyFont="1" applyBorder="1" applyAlignment="1">
      <alignment horizontal="center" vertical="center" wrapText="1"/>
    </xf>
    <xf numFmtId="190" fontId="1" fillId="0" borderId="14" xfId="0" applyNumberFormat="1" applyFont="1" applyBorder="1" applyAlignment="1">
      <alignment horizontal="center"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2" fillId="0" borderId="17" xfId="0" applyFont="1" applyBorder="1" applyAlignment="1">
      <alignment horizontal="left" vertical="center" wrapText="1"/>
    </xf>
    <xf numFmtId="0" fontId="2" fillId="0" borderId="14" xfId="0" applyFont="1" applyBorder="1" applyAlignment="1">
      <alignment horizontal="center" vertical="center" wrapText="1"/>
    </xf>
    <xf numFmtId="180" fontId="2" fillId="0" borderId="14" xfId="0" applyNumberFormat="1" applyFont="1" applyBorder="1" applyAlignment="1">
      <alignment horizontal="right" vertical="center" wrapText="1"/>
    </xf>
    <xf numFmtId="0" fontId="2" fillId="0" borderId="0" xfId="0" applyFont="1" applyAlignment="1">
      <alignment horizontal="justify" vertical="center" wrapText="1"/>
    </xf>
    <xf numFmtId="0" fontId="5" fillId="2" borderId="14" xfId="0" applyFont="1" applyFill="1" applyBorder="1" applyAlignment="1">
      <alignment horizontal="center" vertical="center" wrapText="1"/>
    </xf>
    <xf numFmtId="10" fontId="1" fillId="0" borderId="14" xfId="3" applyNumberFormat="1" applyFont="1" applyFill="1" applyBorder="1" applyAlignment="1">
      <alignment horizontal="center" vertical="center" wrapText="1"/>
    </xf>
    <xf numFmtId="10" fontId="1" fillId="0" borderId="14" xfId="3" applyNumberFormat="1" applyFont="1" applyBorder="1" applyAlignment="1">
      <alignment horizontal="center" vertical="center" wrapText="1"/>
    </xf>
    <xf numFmtId="0" fontId="1" fillId="0" borderId="17" xfId="0" applyFont="1" applyBorder="1" applyAlignment="1">
      <alignment vertical="center" wrapText="1"/>
    </xf>
    <xf numFmtId="191" fontId="17" fillId="0" borderId="0" xfId="0" applyNumberFormat="1" applyFont="1" applyAlignment="1">
      <alignment vertical="center" wrapText="1"/>
    </xf>
    <xf numFmtId="180" fontId="17" fillId="0" borderId="0" xfId="0" applyNumberFormat="1" applyFont="1" applyAlignment="1">
      <alignment vertical="center" wrapText="1"/>
    </xf>
    <xf numFmtId="192" fontId="18" fillId="0" borderId="0" xfId="0" applyNumberFormat="1" applyFont="1" applyAlignment="1">
      <alignment vertical="center" wrapText="1"/>
    </xf>
    <xf numFmtId="10" fontId="1" fillId="2" borderId="14" xfId="3" applyNumberFormat="1" applyFont="1" applyFill="1" applyBorder="1" applyAlignment="1">
      <alignment horizontal="center" vertical="center" wrapText="1"/>
    </xf>
    <xf numFmtId="0" fontId="5" fillId="8" borderId="14" xfId="0" applyFont="1" applyFill="1" applyBorder="1" applyAlignment="1">
      <alignment horizontal="center" vertical="center" wrapText="1"/>
    </xf>
    <xf numFmtId="4" fontId="17" fillId="0" borderId="0" xfId="0" applyNumberFormat="1" applyFont="1" applyAlignment="1">
      <alignment vertical="center" wrapText="1"/>
    </xf>
    <xf numFmtId="193" fontId="17" fillId="0" borderId="0" xfId="1" applyNumberFormat="1" applyFont="1" applyFill="1" applyBorder="1" applyAlignment="1">
      <alignment vertical="center" wrapText="1"/>
    </xf>
    <xf numFmtId="49" fontId="17" fillId="0" borderId="0" xfId="0" applyNumberFormat="1" applyFont="1" applyAlignment="1">
      <alignment horizontal="center" vertical="center" wrapText="1"/>
    </xf>
    <xf numFmtId="194" fontId="17" fillId="0" borderId="0" xfId="0" applyNumberFormat="1" applyFont="1" applyAlignment="1">
      <alignment vertical="center" wrapText="1"/>
    </xf>
    <xf numFmtId="194" fontId="17" fillId="0" borderId="0" xfId="0" applyNumberFormat="1" applyFont="1" applyAlignment="1">
      <alignment horizontal="center" vertical="center" wrapText="1"/>
    </xf>
    <xf numFmtId="10" fontId="1" fillId="2" borderId="14" xfId="0" applyNumberFormat="1" applyFont="1" applyFill="1" applyBorder="1" applyAlignment="1">
      <alignment horizontal="center" vertical="center" wrapText="1"/>
    </xf>
    <xf numFmtId="0" fontId="5" fillId="7" borderId="14" xfId="0" applyFont="1" applyFill="1" applyBorder="1" applyAlignment="1">
      <alignment horizontal="right" vertical="center" wrapText="1"/>
    </xf>
    <xf numFmtId="0" fontId="5" fillId="7" borderId="15" xfId="0" applyFont="1" applyFill="1" applyBorder="1" applyAlignment="1">
      <alignment horizontal="center" vertical="center" wrapText="1"/>
    </xf>
    <xf numFmtId="0" fontId="5" fillId="7" borderId="16" xfId="0" applyFont="1" applyFill="1" applyBorder="1" applyAlignment="1">
      <alignment horizontal="center" vertical="center" wrapText="1"/>
    </xf>
    <xf numFmtId="0" fontId="5" fillId="7" borderId="17" xfId="0" applyFont="1" applyFill="1" applyBorder="1" applyAlignment="1">
      <alignment horizontal="center" vertical="center" wrapText="1"/>
    </xf>
    <xf numFmtId="180" fontId="5" fillId="7" borderId="14" xfId="0" applyNumberFormat="1" applyFont="1" applyFill="1" applyBorder="1" applyAlignment="1">
      <alignment horizontal="right" vertical="center" wrapText="1"/>
    </xf>
    <xf numFmtId="0" fontId="5" fillId="3" borderId="15" xfId="0" applyFont="1" applyFill="1" applyBorder="1" applyAlignment="1">
      <alignment horizontal="right" vertical="center" wrapText="1"/>
    </xf>
    <xf numFmtId="0" fontId="5" fillId="3" borderId="16" xfId="0" applyFont="1" applyFill="1" applyBorder="1" applyAlignment="1">
      <alignment horizontal="right" vertical="center" wrapText="1"/>
    </xf>
    <xf numFmtId="0" fontId="5" fillId="3" borderId="17" xfId="0" applyFont="1" applyFill="1" applyBorder="1" applyAlignment="1">
      <alignment horizontal="right" vertical="center" wrapText="1"/>
    </xf>
    <xf numFmtId="180" fontId="5" fillId="3" borderId="14" xfId="0" applyNumberFormat="1" applyFont="1" applyFill="1" applyBorder="1" applyAlignment="1">
      <alignment horizontal="right" vertical="center" wrapText="1"/>
    </xf>
    <xf numFmtId="0" fontId="20" fillId="0" borderId="0" xfId="0" applyFont="1" applyAlignment="1">
      <alignment vertical="center" wrapText="1"/>
    </xf>
    <xf numFmtId="186" fontId="5" fillId="7" borderId="14" xfId="1" applyNumberFormat="1" applyFont="1" applyFill="1" applyBorder="1" applyAlignment="1">
      <alignment horizontal="center" vertical="center" wrapText="1"/>
    </xf>
    <xf numFmtId="0" fontId="18" fillId="0" borderId="14" xfId="0" applyFont="1" applyBorder="1" applyAlignment="1">
      <alignment horizontal="center" vertical="center" wrapText="1"/>
    </xf>
    <xf numFmtId="189" fontId="1" fillId="0" borderId="14" xfId="2" applyNumberFormat="1" applyFont="1" applyBorder="1" applyAlignment="1">
      <alignment horizontal="right" vertical="center" wrapText="1"/>
    </xf>
    <xf numFmtId="1" fontId="1" fillId="0" borderId="14" xfId="0" applyNumberFormat="1" applyFont="1" applyBorder="1" applyAlignment="1">
      <alignment horizontal="center" vertical="center" wrapText="1"/>
    </xf>
    <xf numFmtId="186" fontId="5" fillId="2" borderId="14" xfId="1" applyNumberFormat="1" applyFont="1" applyFill="1" applyBorder="1" applyAlignment="1">
      <alignment horizontal="right" vertical="center" wrapText="1"/>
    </xf>
    <xf numFmtId="186" fontId="5" fillId="3" borderId="14" xfId="2" applyNumberFormat="1" applyFont="1" applyFill="1" applyBorder="1" applyAlignment="1">
      <alignment horizontal="right" vertical="center" wrapText="1"/>
    </xf>
    <xf numFmtId="0" fontId="1" fillId="13" borderId="0" xfId="0" applyFont="1" applyFill="1" applyAlignment="1">
      <alignment wrapText="1"/>
    </xf>
    <xf numFmtId="0" fontId="8" fillId="0" borderId="0" xfId="0" applyFont="1" applyAlignment="1">
      <alignment wrapText="1"/>
    </xf>
    <xf numFmtId="195" fontId="17" fillId="0" borderId="0" xfId="0" applyNumberFormat="1" applyFont="1" applyAlignment="1">
      <alignment vertical="center" wrapText="1"/>
    </xf>
    <xf numFmtId="0" fontId="9" fillId="0" borderId="0" xfId="0" applyFont="1" applyAlignment="1">
      <alignment horizontal="justify" vertical="center"/>
    </xf>
    <xf numFmtId="0" fontId="9" fillId="0" borderId="0" xfId="0" applyFont="1" applyAlignment="1">
      <alignment vertical="center" wrapText="1"/>
    </xf>
    <xf numFmtId="0" fontId="9" fillId="0" borderId="0" xfId="0" applyFont="1" applyAlignment="1">
      <alignment horizontal="center" vertical="center"/>
    </xf>
    <xf numFmtId="0" fontId="21" fillId="14" borderId="14" xfId="0" applyFont="1" applyFill="1" applyBorder="1" applyAlignment="1">
      <alignment horizontal="center" vertical="center" wrapText="1"/>
    </xf>
    <xf numFmtId="0" fontId="10" fillId="12" borderId="14" xfId="0" applyFont="1" applyFill="1" applyBorder="1" applyAlignment="1">
      <alignment horizontal="center" vertical="center" wrapText="1"/>
    </xf>
    <xf numFmtId="0" fontId="10" fillId="4" borderId="14" xfId="0" applyFont="1" applyFill="1" applyBorder="1" applyAlignment="1">
      <alignment horizontal="center" vertical="center" wrapText="1"/>
    </xf>
    <xf numFmtId="0" fontId="9" fillId="0" borderId="14" xfId="0" applyFont="1" applyBorder="1" applyAlignment="1">
      <alignment horizontal="center" vertical="center"/>
    </xf>
    <xf numFmtId="3" fontId="9" fillId="0" borderId="14" xfId="0" applyNumberFormat="1" applyFont="1" applyBorder="1" applyAlignment="1">
      <alignment horizontal="center" vertical="center" wrapText="1"/>
    </xf>
    <xf numFmtId="3" fontId="9" fillId="0" borderId="14" xfId="0" applyNumberFormat="1" applyFont="1" applyBorder="1" applyAlignment="1">
      <alignment horizontal="center" vertical="center"/>
    </xf>
    <xf numFmtId="3" fontId="10" fillId="4" borderId="14" xfId="0" applyNumberFormat="1" applyFont="1" applyFill="1" applyBorder="1" applyAlignment="1">
      <alignment horizontal="center" vertical="center"/>
    </xf>
    <xf numFmtId="0" fontId="10" fillId="3" borderId="14" xfId="0" applyFont="1" applyFill="1" applyBorder="1">
      <alignment vertical="center"/>
    </xf>
    <xf numFmtId="3" fontId="10" fillId="3" borderId="14" xfId="0" applyNumberFormat="1" applyFont="1" applyFill="1" applyBorder="1" applyAlignment="1">
      <alignment horizontal="center" vertical="center" wrapText="1"/>
    </xf>
    <xf numFmtId="3" fontId="10" fillId="4" borderId="14" xfId="0" applyNumberFormat="1" applyFont="1" applyFill="1" applyBorder="1" applyAlignment="1">
      <alignment horizontal="center" vertical="center" wrapText="1"/>
    </xf>
    <xf numFmtId="0" fontId="10" fillId="0" borderId="14" xfId="0" applyFont="1" applyBorder="1" applyAlignment="1">
      <alignment horizontal="center" vertical="center" wrapText="1"/>
    </xf>
    <xf numFmtId="0" fontId="9" fillId="0" borderId="14" xfId="0" applyFont="1" applyBorder="1" applyAlignment="1">
      <alignment horizontal="center" vertical="center" wrapText="1"/>
    </xf>
    <xf numFmtId="0" fontId="10" fillId="0" borderId="14" xfId="0" applyFont="1" applyBorder="1" applyAlignment="1">
      <alignment horizontal="center" vertical="center"/>
    </xf>
    <xf numFmtId="0" fontId="10" fillId="7" borderId="14" xfId="0" applyFont="1" applyFill="1" applyBorder="1" applyAlignment="1">
      <alignment horizontal="center" vertical="center" wrapText="1"/>
    </xf>
    <xf numFmtId="0" fontId="10" fillId="0" borderId="0" xfId="0" applyFont="1" applyAlignment="1">
      <alignment horizontal="center" vertical="center" wrapText="1"/>
    </xf>
    <xf numFmtId="186" fontId="9" fillId="0" borderId="0" xfId="0" applyNumberFormat="1" applyFont="1" applyAlignment="1">
      <alignment vertical="center" wrapText="1"/>
    </xf>
    <xf numFmtId="186" fontId="9" fillId="0" borderId="0" xfId="0" applyNumberFormat="1" applyFont="1" applyAlignment="1">
      <alignment horizontal="center" vertical="center" wrapText="1"/>
    </xf>
    <xf numFmtId="0" fontId="9" fillId="0" borderId="0" xfId="0" applyFont="1" applyAlignment="1">
      <alignment horizontal="center" vertical="center" wrapText="1"/>
    </xf>
    <xf numFmtId="186" fontId="9" fillId="0" borderId="0" xfId="0" applyNumberFormat="1" applyFont="1" applyAlignment="1">
      <alignment horizontal="center" vertical="center"/>
    </xf>
    <xf numFmtId="0" fontId="5" fillId="4" borderId="18" xfId="0" applyFont="1" applyFill="1" applyBorder="1" applyAlignment="1">
      <alignment horizontal="center" vertical="center"/>
    </xf>
    <xf numFmtId="0" fontId="5" fillId="0" borderId="18" xfId="0" applyFont="1" applyBorder="1" applyAlignment="1">
      <alignment horizontal="center" vertical="center"/>
    </xf>
    <xf numFmtId="0" fontId="1" fillId="0" borderId="18" xfId="0" applyFont="1" applyBorder="1" applyAlignment="1">
      <alignment horizontal="justify" vertical="center" wrapText="1"/>
    </xf>
    <xf numFmtId="0" fontId="10" fillId="15" borderId="14" xfId="0" applyFont="1" applyFill="1" applyBorder="1" applyAlignment="1">
      <alignment horizontal="center" vertical="center" wrapText="1"/>
    </xf>
    <xf numFmtId="0" fontId="10" fillId="12" borderId="14" xfId="0" applyFont="1" applyFill="1" applyBorder="1" applyAlignment="1">
      <alignment horizontal="center" vertical="center"/>
    </xf>
    <xf numFmtId="0" fontId="9" fillId="7" borderId="14" xfId="0" applyFont="1" applyFill="1" applyBorder="1" applyAlignment="1">
      <alignment horizontal="center" vertical="center"/>
    </xf>
    <xf numFmtId="189" fontId="9" fillId="0" borderId="14" xfId="0" applyNumberFormat="1" applyFont="1" applyBorder="1" applyAlignment="1">
      <alignment horizontal="center" vertical="center" wrapText="1"/>
    </xf>
    <xf numFmtId="0" fontId="10" fillId="3" borderId="14" xfId="0" applyFont="1" applyFill="1" applyBorder="1" applyAlignment="1">
      <alignment horizontal="center" vertical="center"/>
    </xf>
    <xf numFmtId="0" fontId="10" fillId="3" borderId="14" xfId="0" applyFont="1" applyFill="1" applyBorder="1" applyAlignment="1">
      <alignment horizontal="center" vertical="center" wrapText="1"/>
    </xf>
    <xf numFmtId="189" fontId="10" fillId="3" borderId="14" xfId="0" applyNumberFormat="1" applyFont="1" applyFill="1" applyBorder="1" applyAlignment="1">
      <alignment horizontal="center" vertical="center" wrapText="1"/>
    </xf>
    <xf numFmtId="189" fontId="9" fillId="0" borderId="0" xfId="0" applyNumberFormat="1" applyFont="1" applyAlignment="1">
      <alignment horizontal="center" vertical="center"/>
    </xf>
    <xf numFmtId="0" fontId="10" fillId="15" borderId="1" xfId="0" applyFont="1" applyFill="1" applyBorder="1" applyAlignment="1">
      <alignment horizontal="center" vertical="center" wrapText="1"/>
    </xf>
    <xf numFmtId="0" fontId="22" fillId="15" borderId="1" xfId="0" applyFont="1" applyFill="1" applyBorder="1" applyAlignment="1">
      <alignment horizontal="center" vertical="center"/>
    </xf>
    <xf numFmtId="0" fontId="10" fillId="12" borderId="6" xfId="0" applyFont="1" applyFill="1" applyBorder="1" applyAlignment="1">
      <alignment horizontal="justify" vertical="center"/>
    </xf>
    <xf numFmtId="0" fontId="10" fillId="12" borderId="6" xfId="0" applyFont="1" applyFill="1" applyBorder="1" applyAlignment="1">
      <alignment horizontal="center" vertical="center" wrapText="1"/>
    </xf>
    <xf numFmtId="0" fontId="13" fillId="0" borderId="1" xfId="0" applyFont="1" applyBorder="1" applyAlignment="1">
      <alignment horizontal="justify" vertical="center" wrapText="1"/>
    </xf>
    <xf numFmtId="0" fontId="9" fillId="0" borderId="1" xfId="0" applyFont="1" applyBorder="1" applyAlignment="1">
      <alignment horizontal="center" vertical="center" wrapText="1"/>
    </xf>
    <xf numFmtId="189" fontId="9" fillId="0" borderId="1" xfId="0" applyNumberFormat="1" applyFont="1" applyBorder="1" applyAlignment="1">
      <alignment horizontal="center" vertical="center" wrapText="1"/>
    </xf>
    <xf numFmtId="189" fontId="9" fillId="0" borderId="0" xfId="0" applyNumberFormat="1" applyFont="1">
      <alignment vertical="center"/>
    </xf>
    <xf numFmtId="0" fontId="9" fillId="0" borderId="1" xfId="0" applyFont="1" applyBorder="1" applyAlignment="1">
      <alignment horizontal="justify" vertical="center" wrapText="1"/>
    </xf>
    <xf numFmtId="0" fontId="10" fillId="3" borderId="2" xfId="0" applyFont="1" applyFill="1" applyBorder="1" applyAlignment="1">
      <alignment horizontal="justify" vertical="center"/>
    </xf>
    <xf numFmtId="0" fontId="10" fillId="3" borderId="3" xfId="0" applyFont="1" applyFill="1" applyBorder="1" applyAlignment="1">
      <alignment horizontal="justify" vertical="center"/>
    </xf>
    <xf numFmtId="0" fontId="10" fillId="3" borderId="4" xfId="0" applyFont="1" applyFill="1" applyBorder="1" applyAlignment="1">
      <alignment horizontal="justify" vertical="center"/>
    </xf>
    <xf numFmtId="189" fontId="10" fillId="3" borderId="1" xfId="0" applyNumberFormat="1" applyFont="1" applyFill="1" applyBorder="1" applyAlignment="1">
      <alignment horizontal="center" vertical="center" wrapText="1"/>
    </xf>
    <xf numFmtId="0" fontId="10" fillId="15" borderId="19" xfId="0" applyFont="1" applyFill="1" applyBorder="1" applyAlignment="1">
      <alignment horizontal="center" vertical="center"/>
    </xf>
    <xf numFmtId="0" fontId="10" fillId="15" borderId="20" xfId="0" applyFont="1" applyFill="1" applyBorder="1" applyAlignment="1">
      <alignment horizontal="center" vertical="center"/>
    </xf>
    <xf numFmtId="0" fontId="10" fillId="15" borderId="21" xfId="0" applyFont="1" applyFill="1" applyBorder="1" applyAlignment="1">
      <alignment horizontal="center" vertical="center"/>
    </xf>
    <xf numFmtId="0" fontId="10" fillId="8" borderId="6" xfId="0" applyFont="1" applyFill="1" applyBorder="1" applyAlignment="1">
      <alignment horizontal="center" vertical="center" wrapText="1"/>
    </xf>
    <xf numFmtId="0" fontId="10" fillId="8" borderId="0" xfId="0" applyFont="1" applyFill="1" applyAlignment="1">
      <alignment horizontal="center" vertical="center" wrapText="1"/>
    </xf>
    <xf numFmtId="0" fontId="10" fillId="8" borderId="5" xfId="0" applyFont="1" applyFill="1" applyBorder="1" applyAlignment="1">
      <alignment horizontal="center" vertical="center" wrapText="1"/>
    </xf>
    <xf numFmtId="189" fontId="9" fillId="3" borderId="22" xfId="0" applyNumberFormat="1" applyFont="1" applyFill="1" applyBorder="1" applyAlignment="1">
      <alignment horizontal="center" vertical="center" wrapText="1"/>
    </xf>
    <xf numFmtId="0" fontId="9" fillId="3" borderId="23" xfId="0" applyFont="1" applyFill="1" applyBorder="1" applyAlignment="1">
      <alignment horizontal="center" vertical="center" wrapText="1"/>
    </xf>
    <xf numFmtId="189" fontId="9" fillId="0" borderId="0" xfId="0" applyNumberFormat="1" applyFont="1" applyAlignment="1">
      <alignment vertical="center" wrapText="1"/>
    </xf>
    <xf numFmtId="0" fontId="9" fillId="3" borderId="24" xfId="0" applyFont="1" applyFill="1" applyBorder="1" applyAlignment="1">
      <alignment horizontal="center" vertical="center" wrapText="1"/>
    </xf>
    <xf numFmtId="0" fontId="9" fillId="3" borderId="25" xfId="0" applyFont="1" applyFill="1" applyBorder="1" applyAlignment="1">
      <alignment horizontal="center" vertical="center" wrapText="1"/>
    </xf>
    <xf numFmtId="0" fontId="10" fillId="8" borderId="6" xfId="0" applyFont="1" applyFill="1" applyBorder="1" applyAlignment="1">
      <alignment horizontal="justify" vertical="center"/>
    </xf>
    <xf numFmtId="0" fontId="2" fillId="0" borderId="0" xfId="0" applyFont="1" applyAlignment="1"/>
    <xf numFmtId="0" fontId="2" fillId="0" borderId="0" xfId="0" applyFont="1" applyAlignment="1">
      <alignment wrapText="1"/>
    </xf>
    <xf numFmtId="0" fontId="2" fillId="0" borderId="0" xfId="0" applyFont="1" applyAlignment="1">
      <alignment horizontal="justify" wrapText="1"/>
    </xf>
    <xf numFmtId="0" fontId="23" fillId="0" borderId="0" xfId="0" applyFont="1">
      <alignment vertical="center"/>
    </xf>
    <xf numFmtId="0" fontId="6" fillId="0" borderId="0" xfId="50" applyFont="1" applyAlignment="1">
      <alignment horizontal="center" vertical="center"/>
    </xf>
    <xf numFmtId="0" fontId="22" fillId="0" borderId="0" xfId="50" applyFont="1" applyAlignment="1">
      <alignment vertical="center"/>
    </xf>
    <xf numFmtId="0" fontId="2" fillId="0" borderId="0" xfId="50" applyFont="1" applyAlignment="1">
      <alignment horizontal="left" vertical="center" wrapText="1"/>
    </xf>
    <xf numFmtId="0" fontId="19" fillId="0" borderId="0" xfId="50" applyFont="1" applyAlignment="1">
      <alignment horizontal="left" vertical="center" wrapText="1"/>
    </xf>
    <xf numFmtId="0" fontId="24" fillId="0" borderId="0" xfId="0" applyFont="1">
      <alignment vertical="center"/>
    </xf>
    <xf numFmtId="0" fontId="5" fillId="16" borderId="1" xfId="49" applyFont="1" applyFill="1" applyBorder="1" applyAlignment="1">
      <alignment horizontal="center" vertical="center" wrapText="1"/>
    </xf>
    <xf numFmtId="0" fontId="5" fillId="16" borderId="1" xfId="0" applyFont="1" applyFill="1" applyBorder="1" applyAlignment="1">
      <alignment horizontal="center" vertical="center" wrapText="1"/>
    </xf>
    <xf numFmtId="0" fontId="6" fillId="16" borderId="1" xfId="0" applyFont="1" applyFill="1" applyBorder="1" applyAlignment="1">
      <alignment horizontal="center" vertical="center"/>
    </xf>
    <xf numFmtId="0" fontId="24" fillId="0" borderId="0" xfId="0" applyFont="1" applyAlignment="1">
      <alignment horizontal="center" vertical="center"/>
    </xf>
    <xf numFmtId="0" fontId="2" fillId="0" borderId="0" xfId="0" applyFont="1" applyAlignment="1">
      <alignment horizontal="center"/>
    </xf>
    <xf numFmtId="0" fontId="2" fillId="0" borderId="1" xfId="0" applyFont="1" applyBorder="1" applyAlignment="1">
      <alignment horizontal="left" vertical="center" wrapText="1"/>
    </xf>
    <xf numFmtId="58" fontId="19" fillId="3" borderId="1" xfId="0" applyNumberFormat="1" applyFont="1" applyFill="1" applyBorder="1" applyAlignment="1">
      <alignment horizontal="center" vertical="center" wrapText="1"/>
    </xf>
    <xf numFmtId="58" fontId="24" fillId="0" borderId="0" xfId="0" applyNumberFormat="1" applyFont="1" applyAlignment="1">
      <alignment horizontal="center" vertical="center" wrapText="1"/>
    </xf>
    <xf numFmtId="58" fontId="2" fillId="0" borderId="0" xfId="0" applyNumberFormat="1" applyFont="1" applyAlignment="1">
      <alignment horizontal="center" wrapText="1"/>
    </xf>
    <xf numFmtId="196" fontId="19" fillId="3" borderId="1" xfId="2" applyNumberFormat="1" applyFont="1" applyFill="1" applyBorder="1" applyAlignment="1">
      <alignment vertical="center" wrapText="1"/>
    </xf>
    <xf numFmtId="196" fontId="25" fillId="0" borderId="0" xfId="2" applyNumberFormat="1" applyFont="1" applyFill="1" applyBorder="1" applyAlignment="1">
      <alignment vertical="center" wrapText="1"/>
    </xf>
    <xf numFmtId="196" fontId="1" fillId="0" borderId="0" xfId="2" applyNumberFormat="1" applyFont="1" applyFill="1" applyBorder="1" applyAlignment="1">
      <alignment wrapText="1"/>
    </xf>
    <xf numFmtId="196" fontId="19" fillId="3" borderId="1" xfId="2" applyNumberFormat="1" applyFont="1" applyFill="1" applyBorder="1" applyAlignment="1" applyProtection="1">
      <alignment vertical="center" wrapText="1"/>
    </xf>
    <xf numFmtId="196" fontId="25" fillId="0" borderId="0" xfId="2" applyNumberFormat="1" applyFont="1" applyFill="1" applyBorder="1" applyAlignment="1" applyProtection="1">
      <alignment vertical="center" wrapText="1"/>
    </xf>
    <xf numFmtId="196" fontId="2" fillId="0" borderId="0" xfId="2" applyNumberFormat="1" applyFont="1" applyFill="1" applyBorder="1" applyAlignment="1" applyProtection="1">
      <alignment wrapText="1"/>
    </xf>
    <xf numFmtId="0" fontId="2" fillId="0" borderId="11" xfId="0" applyFont="1" applyBorder="1" applyAlignment="1">
      <alignment horizontal="center" vertical="center" wrapText="1"/>
    </xf>
    <xf numFmtId="196" fontId="19" fillId="3" borderId="1" xfId="2" applyNumberFormat="1" applyFont="1" applyFill="1" applyBorder="1" applyAlignment="1" applyProtection="1">
      <alignment horizontal="justify" vertical="center" wrapText="1"/>
    </xf>
    <xf numFmtId="196" fontId="25" fillId="0" borderId="0" xfId="2" applyNumberFormat="1" applyFont="1" applyFill="1" applyBorder="1" applyAlignment="1" applyProtection="1">
      <alignment horizontal="justify" vertical="center" wrapText="1"/>
    </xf>
    <xf numFmtId="196" fontId="1" fillId="0" borderId="0" xfId="2" applyNumberFormat="1" applyFont="1" applyFill="1" applyBorder="1" applyAlignment="1">
      <alignment horizontal="justify" wrapText="1"/>
    </xf>
    <xf numFmtId="196" fontId="1" fillId="0" borderId="0" xfId="2" applyNumberFormat="1" applyFont="1" applyFill="1" applyBorder="1" applyAlignment="1" applyProtection="1">
      <alignment wrapText="1"/>
    </xf>
    <xf numFmtId="196" fontId="19" fillId="3" borderId="1" xfId="2" applyNumberFormat="1" applyFont="1" applyFill="1" applyBorder="1" applyAlignment="1" applyProtection="1">
      <alignment horizontal="center" vertical="center" wrapText="1"/>
    </xf>
    <xf numFmtId="0" fontId="24" fillId="0" borderId="0" xfId="0" applyFont="1" applyAlignment="1">
      <alignment vertical="center" wrapText="1"/>
    </xf>
    <xf numFmtId="9" fontId="19" fillId="3" borderId="1" xfId="3" applyFont="1" applyFill="1" applyBorder="1" applyAlignment="1" applyProtection="1">
      <alignment vertical="center" wrapText="1"/>
    </xf>
    <xf numFmtId="196" fontId="9" fillId="0" borderId="0" xfId="2" applyNumberFormat="1" applyFont="1" applyFill="1" applyBorder="1" applyAlignment="1">
      <alignment vertical="center" wrapText="1"/>
    </xf>
    <xf numFmtId="10" fontId="19" fillId="3" borderId="1" xfId="3" applyNumberFormat="1" applyFont="1" applyFill="1" applyBorder="1" applyAlignment="1">
      <alignment vertical="center" wrapText="1"/>
    </xf>
    <xf numFmtId="10" fontId="9" fillId="0" borderId="0" xfId="3" applyNumberFormat="1" applyFont="1" applyFill="1" applyBorder="1" applyAlignment="1">
      <alignment vertical="center" wrapText="1"/>
    </xf>
    <xf numFmtId="10" fontId="1" fillId="0" borderId="0" xfId="3" applyNumberFormat="1" applyFont="1" applyFill="1" applyBorder="1" applyAlignment="1">
      <alignment wrapText="1"/>
    </xf>
    <xf numFmtId="0" fontId="2" fillId="3" borderId="1" xfId="0" applyFont="1" applyFill="1" applyBorder="1" applyAlignment="1">
      <alignment horizontal="center" vertical="center" wrapText="1"/>
    </xf>
  </cellXfs>
  <cellStyles count="51">
    <cellStyle name="Normal" xfId="0" builtinId="0"/>
    <cellStyle name="Comma" xfId="1" builtinId="3"/>
    <cellStyle name="Currency" xfId="2" builtinId="4"/>
    <cellStyle name="Percent" xfId="3" builtinId="5"/>
    <cellStyle name="Comma [0]" xfId="4" builtinId="6"/>
    <cellStyle name="Currency [0]" xfId="5" builtinId="7"/>
    <cellStyle name="Link" xfId="6" builtinId="8"/>
    <cellStyle name="Followed Hyperlink" xfId="7" builtinId="9"/>
    <cellStyle name="Note" xfId="8" builtinId="10"/>
    <cellStyle name="Warning Text" xfId="9" builtinId="11"/>
    <cellStyle name="Title" xfId="10" builtinId="15"/>
    <cellStyle name="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 name="Normal 24" xfId="49"/>
    <cellStyle name="Normal 3" xfId="50"/>
  </cellStyles>
  <tableStyles count="0" defaultTableStyle="TableStyleMedium2"/>
  <colors>
    <mruColors>
      <color rgb="00CD89F8"/>
      <color rgb="00F030AE"/>
      <color rgb="00FBB1F3"/>
      <color rgb="00FDD0F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5" Type="http://schemas.openxmlformats.org/officeDocument/2006/relationships/styles" Target="styles.xml"/><Relationship Id="rId24" Type="http://schemas.openxmlformats.org/officeDocument/2006/relationships/sharedStrings" Target="sharedStrings.xml"/><Relationship Id="rId23" Type="http://schemas.openxmlformats.org/officeDocument/2006/relationships/theme" Target="theme/theme1.xml"/><Relationship Id="rId22" Type="http://schemas.openxmlformats.org/officeDocument/2006/relationships/externalLink" Target="externalLinks/externalLink5.xml"/><Relationship Id="rId21" Type="http://schemas.openxmlformats.org/officeDocument/2006/relationships/externalLink" Target="externalLinks/externalLink4.xml"/><Relationship Id="rId20" Type="http://schemas.openxmlformats.org/officeDocument/2006/relationships/externalLink" Target="externalLinks/externalLink3.xml"/><Relationship Id="rId2" Type="http://schemas.openxmlformats.org/officeDocument/2006/relationships/worksheet" Target="worksheets/sheet2.xml"/><Relationship Id="rId19" Type="http://schemas.openxmlformats.org/officeDocument/2006/relationships/externalLink" Target="externalLinks/externalLink2.xml"/><Relationship Id="rId18" Type="http://schemas.openxmlformats.org/officeDocument/2006/relationships/externalLink" Target="externalLinks/externalLink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lanilhas_LOTE%202%20-%20SEMA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Planilhas_LOTE%203%20-%20SEMED.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Planilhas_LOTE%204%20-%20SEMSUR.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lanilhas_LOTE%205%20-%20AGETRAN.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Planilhas_LOTE%206%20-%20FUNED.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AIZ DOS DADOS"/>
      <sheetName val="SEMAS TOTALIZADOR GERAL"/>
      <sheetName val="SEMAS 1-A_Servente Insal 30h"/>
      <sheetName val="SEMAS 2-B_Servente Insal 40h"/>
      <sheetName val="SEMAS 2-C_Servente 30 h"/>
      <sheetName val="SEMAS 2-D_Servente Ext 30 h"/>
      <sheetName val="SEMAS 2-E_Servente Ext 40 h"/>
      <sheetName val="SEMAS 2-F_Encarregado 30 h"/>
      <sheetName val="SEMAS 2-G_Jardineiro 30 hs"/>
      <sheetName val="SEMAS 2_Uniformes"/>
      <sheetName val="SEMAS 2_EPI's"/>
      <sheetName val="SEMAS 2_Materiais"/>
      <sheetName val="SEMAS 2_Equipamentos"/>
    </sheetNames>
    <sheetDataSet>
      <sheetData sheetId="0"/>
      <sheetData sheetId="1">
        <row r="25">
          <cell r="I25">
            <v>1623160.92</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RAIZ DOS DADOS"/>
      <sheetName val="SEMED - TOTALIZADOR GERAL"/>
      <sheetName val="SEMED 3-A_Servente Insal 40h"/>
      <sheetName val="SEMED 3-B_Serv Insal +PPS40h"/>
      <sheetName val="SEMED 3-C_Serv PPS 40h"/>
      <sheetName val="SEMED 3-D_Serv 40h "/>
      <sheetName val="SEMED 3-E_Serv Ext PPS 40h "/>
      <sheetName val="SEMED 3-F_Serv Ext 40h"/>
      <sheetName val="SEMED 3-G_Encarregado 40 h"/>
      <sheetName val="SEMED 3_Uniformes"/>
      <sheetName val="SEMED 3_EPI's"/>
      <sheetName val="SEMED 3_Materiais"/>
      <sheetName val="SEMED 3_Equipamentos"/>
    </sheetNames>
    <sheetDataSet>
      <sheetData sheetId="0"/>
      <sheetData sheetId="1">
        <row r="27">
          <cell r="I27">
            <v>29122144.8</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RAIZ_DADOS"/>
      <sheetName val="SEMSUR_TOTALIZADOR GERAL"/>
      <sheetName val="SEMSUR 4-A_Servente Insal 30h"/>
      <sheetName val="SEMSUR 4-B_Servente Insal 44 h"/>
      <sheetName val="SEMSUR 4-C_Servente 30 h"/>
      <sheetName val="SEMSUR 4-D_Servente Ext 44 h"/>
      <sheetName val="SEMSUR 4-E_Limpador Vidros 30 h"/>
      <sheetName val="SEMSUR 4-F_Encarregado 30 h"/>
      <sheetName val="SEMSUR 4-G_Jardineiro 44 hs"/>
      <sheetName val="SEMSUR 4_Uniformes"/>
      <sheetName val="SEMSUR 4_EPI's"/>
      <sheetName val="SEMSUR 4_Materiais"/>
      <sheetName val="SEMSUR 4_Equipamentos"/>
    </sheetNames>
    <sheetDataSet>
      <sheetData sheetId="0"/>
      <sheetData sheetId="1">
        <row r="26">
          <cell r="I26">
            <v>429301.08</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RAIZ DOS DADOS"/>
      <sheetName val="AGETRAN - TOTALIZADOR GERAL"/>
      <sheetName val="AGE. 5-A_Servente Insal+PPS 30h"/>
      <sheetName val="AGE. 5-B_Serv Insal+PPS+Not 2h"/>
      <sheetName val="AGE. 5-C_Serv Insal+PPS+Not 5h"/>
      <sheetName val="AGE. 5-D_Serv PPS"/>
      <sheetName val="AGE. 5-E_Serv PPS+Not 2h"/>
      <sheetName val="LOTE 5-F_Serv PPS+Not 5h"/>
      <sheetName val="AGE. 5-G_Servente Insal+PPS 44h"/>
      <sheetName val="AGE. 5-H_Servente Insal 30h"/>
      <sheetName val="AGE. 5-I_Servente PPS 44hs"/>
      <sheetName val="AGE. 5-J_Limpador Vidros 30 h"/>
      <sheetName val="AGE. 5-K_Encarregado 40 h"/>
      <sheetName val="AGE. 5-L_Jardineiro 30 hs"/>
      <sheetName val="AGE. 5_Uniformes"/>
      <sheetName val="AGE. 5_EPI's"/>
      <sheetName val="AGE. 5_Materiais"/>
      <sheetName val="AGE. 5_Equipamentos"/>
    </sheetNames>
    <sheetDataSet>
      <sheetData sheetId="0"/>
      <sheetData sheetId="1">
        <row r="34">
          <cell r="J34">
            <v>933761.88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RAIZ DOS DADOS"/>
      <sheetName val="FUNED - TOTALIZADOR GERAL"/>
      <sheetName val="FUNED 6-A_Servente Insal 30h"/>
      <sheetName val="FUNED 6-B_Servente Insal 40h"/>
      <sheetName val="FUNED 6-C_Servente 40 h"/>
      <sheetName val="FUNED 6-D_Servente Ext 40 h"/>
      <sheetName val="FUNED 6-E_Encarregado 40 h"/>
      <sheetName val="FUNED 6-F_Jardineiro 30 hs"/>
      <sheetName val="FUNED 6_Uniformes"/>
      <sheetName val="FUNED 6_EPI's"/>
      <sheetName val="FUNED 6_Materiais"/>
      <sheetName val="FUNED 6_Equipamentos"/>
    </sheetNames>
    <sheetDataSet>
      <sheetData sheetId="0"/>
      <sheetData sheetId="1">
        <row r="24">
          <cell r="I24">
            <v>726447.72</v>
          </cell>
        </row>
      </sheetData>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C00000"/>
  </sheetPr>
  <dimension ref="A1:H34"/>
  <sheetViews>
    <sheetView zoomScale="90" zoomScaleNormal="90" topLeftCell="A20" workbookViewId="0">
      <selection activeCell="E30" sqref="E30"/>
    </sheetView>
  </sheetViews>
  <sheetFormatPr defaultColWidth="9.14285714285714" defaultRowHeight="24" customHeight="1" outlineLevelCol="7"/>
  <cols>
    <col min="1" max="1" width="54.7142857142857" style="1" customWidth="1"/>
    <col min="2" max="3" width="17" style="1" customWidth="1"/>
    <col min="4" max="4" width="21.2857142857143" style="326" customWidth="1"/>
    <col min="5" max="5" width="151.571428571429" style="85" customWidth="1"/>
    <col min="6" max="16384" width="9.14285714285714" style="1"/>
  </cols>
  <sheetData>
    <row r="1" s="323" customFormat="1" customHeight="1" spans="1:8">
      <c r="A1" s="327" t="s">
        <v>0</v>
      </c>
      <c r="B1" s="327"/>
      <c r="C1" s="327"/>
      <c r="D1" s="327"/>
      <c r="E1" s="328"/>
    </row>
    <row r="2" s="323" customFormat="1" ht="15" customHeight="1" spans="1:8">
      <c r="A2" s="329"/>
      <c r="B2" s="329"/>
      <c r="C2" s="329"/>
      <c r="D2" s="330"/>
      <c r="E2" s="331"/>
    </row>
    <row r="3" s="323" customFormat="1" customHeight="1" spans="1:8">
      <c r="A3" s="332" t="s">
        <v>1</v>
      </c>
      <c r="B3" s="333" t="s">
        <v>2</v>
      </c>
      <c r="C3" s="333" t="s">
        <v>3</v>
      </c>
      <c r="D3" s="334" t="s">
        <v>4</v>
      </c>
      <c r="E3" s="335"/>
      <c r="F3" s="336"/>
      <c r="G3" s="336"/>
      <c r="H3" s="336"/>
    </row>
    <row r="4" s="324" customFormat="1" customHeight="1" spans="1:8">
      <c r="A4" s="337" t="s">
        <v>5</v>
      </c>
      <c r="B4" s="15" t="s">
        <v>6</v>
      </c>
      <c r="C4" s="15"/>
      <c r="D4" s="338" t="s">
        <v>7</v>
      </c>
      <c r="E4" s="339"/>
      <c r="F4" s="340"/>
      <c r="G4" s="340"/>
      <c r="H4" s="340"/>
    </row>
    <row r="5" s="324" customFormat="1" customHeight="1" spans="1:8">
      <c r="A5" s="337" t="s">
        <v>8</v>
      </c>
      <c r="B5" s="15" t="s">
        <v>9</v>
      </c>
      <c r="C5" s="15" t="s">
        <v>10</v>
      </c>
      <c r="D5" s="341">
        <v>1651</v>
      </c>
      <c r="E5" s="342"/>
      <c r="F5" s="343"/>
      <c r="G5" s="343"/>
      <c r="H5" s="343"/>
    </row>
    <row r="6" s="324" customFormat="1" customHeight="1" spans="1:8">
      <c r="A6" s="337" t="s">
        <v>11</v>
      </c>
      <c r="B6" s="15" t="s">
        <v>12</v>
      </c>
      <c r="C6" s="15" t="s">
        <v>13</v>
      </c>
      <c r="D6" s="341">
        <v>400</v>
      </c>
      <c r="E6" s="342"/>
      <c r="F6" s="343"/>
      <c r="G6" s="343"/>
      <c r="H6" s="343"/>
    </row>
    <row r="7" s="324" customFormat="1" customHeight="1" spans="1:8">
      <c r="A7" s="337" t="s">
        <v>14</v>
      </c>
      <c r="B7" s="15" t="s">
        <v>15</v>
      </c>
      <c r="C7" s="15" t="s">
        <v>16</v>
      </c>
      <c r="D7" s="341">
        <v>130</v>
      </c>
      <c r="E7" s="342" t="s">
        <v>17</v>
      </c>
      <c r="F7" s="343"/>
      <c r="G7" s="343"/>
      <c r="H7" s="343"/>
    </row>
    <row r="8" s="324" customFormat="1" customHeight="1" spans="1:8">
      <c r="A8" s="337" t="s">
        <v>18</v>
      </c>
      <c r="B8" s="15" t="s">
        <v>19</v>
      </c>
      <c r="C8" s="13" t="s">
        <v>20</v>
      </c>
      <c r="D8" s="344">
        <f>(135.91)</f>
        <v>135.91</v>
      </c>
      <c r="E8" s="345" t="s">
        <v>21</v>
      </c>
      <c r="F8" s="346"/>
      <c r="G8" s="346"/>
      <c r="H8" s="346"/>
    </row>
    <row r="9" s="324" customFormat="1" customHeight="1" spans="1:8">
      <c r="A9" s="337" t="s">
        <v>22</v>
      </c>
      <c r="B9" s="15" t="s">
        <v>19</v>
      </c>
      <c r="C9" s="347"/>
      <c r="D9" s="341">
        <f>(203.98)</f>
        <v>203.98</v>
      </c>
      <c r="E9" s="345" t="s">
        <v>21</v>
      </c>
      <c r="F9" s="343"/>
      <c r="G9" s="343"/>
      <c r="H9" s="343"/>
    </row>
    <row r="10" s="324" customFormat="1" customHeight="1" spans="1:8">
      <c r="A10" s="337" t="s">
        <v>23</v>
      </c>
      <c r="B10" s="15" t="s">
        <v>19</v>
      </c>
      <c r="C10" s="347"/>
      <c r="D10" s="341">
        <f>(339.91)</f>
        <v>339.91</v>
      </c>
      <c r="E10" s="345" t="s">
        <v>21</v>
      </c>
      <c r="F10" s="343"/>
      <c r="G10" s="343"/>
      <c r="H10" s="343"/>
    </row>
    <row r="11" s="324" customFormat="1" customHeight="1" spans="1:8">
      <c r="A11" s="337" t="s">
        <v>24</v>
      </c>
      <c r="B11" s="15" t="s">
        <v>19</v>
      </c>
      <c r="C11" s="21"/>
      <c r="D11" s="341">
        <f>(475.93)</f>
        <v>475.93</v>
      </c>
      <c r="E11" s="345" t="s">
        <v>21</v>
      </c>
      <c r="F11" s="343"/>
      <c r="G11" s="343"/>
      <c r="H11" s="343"/>
    </row>
    <row r="12" s="324" customFormat="1" customHeight="1" spans="1:8">
      <c r="A12" s="337" t="s">
        <v>25</v>
      </c>
      <c r="B12" s="15" t="s">
        <v>19</v>
      </c>
      <c r="C12" s="15" t="s">
        <v>20</v>
      </c>
      <c r="D12" s="341">
        <f>(381.6)</f>
        <v>381.6</v>
      </c>
      <c r="E12" s="345" t="s">
        <v>21</v>
      </c>
      <c r="F12" s="343"/>
      <c r="G12" s="343"/>
      <c r="H12" s="343"/>
    </row>
    <row r="13" s="324" customFormat="1" customHeight="1" spans="1:8">
      <c r="A13" s="337" t="s">
        <v>26</v>
      </c>
      <c r="B13" s="15" t="s">
        <v>19</v>
      </c>
      <c r="C13" s="15" t="s">
        <v>20</v>
      </c>
      <c r="D13" s="344">
        <f>(135.91)</f>
        <v>135.91</v>
      </c>
      <c r="E13" s="345" t="s">
        <v>21</v>
      </c>
      <c r="F13" s="343"/>
      <c r="G13" s="343"/>
      <c r="H13" s="343"/>
    </row>
    <row r="14" s="324" customFormat="1" customHeight="1" spans="1:8">
      <c r="A14" s="337" t="s">
        <v>18</v>
      </c>
      <c r="B14" s="15" t="s">
        <v>19</v>
      </c>
      <c r="C14" s="13" t="s">
        <v>20</v>
      </c>
      <c r="D14" s="344">
        <f>(135.91/44)*30</f>
        <v>92.67</v>
      </c>
      <c r="E14" s="345" t="s">
        <v>27</v>
      </c>
      <c r="F14" s="346"/>
      <c r="G14" s="346"/>
      <c r="H14" s="346"/>
    </row>
    <row r="15" s="324" customFormat="1" customHeight="1" spans="1:8">
      <c r="A15" s="337" t="s">
        <v>22</v>
      </c>
      <c r="B15" s="15" t="s">
        <v>19</v>
      </c>
      <c r="C15" s="347"/>
      <c r="D15" s="341">
        <f>(203.98/44)*30</f>
        <v>139.08</v>
      </c>
      <c r="E15" s="342" t="s">
        <v>27</v>
      </c>
      <c r="F15" s="343"/>
      <c r="G15" s="343"/>
      <c r="H15" s="343"/>
    </row>
    <row r="16" s="324" customFormat="1" customHeight="1" spans="1:8">
      <c r="A16" s="337" t="s">
        <v>23</v>
      </c>
      <c r="B16" s="15" t="s">
        <v>19</v>
      </c>
      <c r="C16" s="347"/>
      <c r="D16" s="341">
        <f>(339.91/44)*30</f>
        <v>231.76</v>
      </c>
      <c r="E16" s="342" t="s">
        <v>27</v>
      </c>
      <c r="F16" s="343"/>
      <c r="G16" s="343"/>
      <c r="H16" s="343"/>
    </row>
    <row r="17" s="324" customFormat="1" customHeight="1" spans="1:8">
      <c r="A17" s="337" t="s">
        <v>24</v>
      </c>
      <c r="B17" s="15" t="s">
        <v>19</v>
      </c>
      <c r="C17" s="21"/>
      <c r="D17" s="341">
        <f>(475.93/44)*30</f>
        <v>324.5</v>
      </c>
      <c r="E17" s="342" t="s">
        <v>27</v>
      </c>
      <c r="F17" s="343"/>
      <c r="G17" s="343"/>
      <c r="H17" s="343"/>
    </row>
    <row r="18" s="324" customFormat="1" customHeight="1" spans="1:8">
      <c r="A18" s="337" t="s">
        <v>25</v>
      </c>
      <c r="B18" s="15" t="s">
        <v>19</v>
      </c>
      <c r="C18" s="15" t="s">
        <v>20</v>
      </c>
      <c r="D18" s="341">
        <f>(381.6/44)*30</f>
        <v>260.18</v>
      </c>
      <c r="E18" s="342" t="s">
        <v>27</v>
      </c>
      <c r="F18" s="343"/>
      <c r="G18" s="343"/>
      <c r="H18" s="343"/>
    </row>
    <row r="19" s="324" customFormat="1" customHeight="1" spans="1:8">
      <c r="A19" s="337" t="s">
        <v>26</v>
      </c>
      <c r="B19" s="15" t="s">
        <v>19</v>
      </c>
      <c r="C19" s="15" t="s">
        <v>20</v>
      </c>
      <c r="D19" s="344">
        <f>(135.91/44)*30</f>
        <v>92.67</v>
      </c>
      <c r="E19" s="342" t="s">
        <v>27</v>
      </c>
      <c r="F19" s="343"/>
      <c r="G19" s="343"/>
      <c r="H19" s="343"/>
    </row>
    <row r="20" s="324" customFormat="1" ht="45" customHeight="1" spans="1:8">
      <c r="A20" s="28" t="s">
        <v>28</v>
      </c>
      <c r="B20" s="15" t="s">
        <v>29</v>
      </c>
      <c r="C20" s="15" t="s">
        <v>30</v>
      </c>
      <c r="D20" s="348">
        <f>112</f>
        <v>112</v>
      </c>
      <c r="E20" s="349" t="s">
        <v>31</v>
      </c>
      <c r="F20" s="343"/>
      <c r="G20" s="343"/>
      <c r="H20" s="343"/>
    </row>
    <row r="21" s="325" customFormat="1" ht="45" customHeight="1" spans="1:8">
      <c r="A21" s="28" t="s">
        <v>32</v>
      </c>
      <c r="B21" s="15" t="s">
        <v>29</v>
      </c>
      <c r="C21" s="15" t="s">
        <v>30</v>
      </c>
      <c r="D21" s="348">
        <f>112*50%</f>
        <v>56</v>
      </c>
      <c r="E21" s="349"/>
      <c r="F21" s="350"/>
      <c r="G21" s="350"/>
      <c r="H21" s="350"/>
    </row>
    <row r="22" s="325" customFormat="1" ht="45" customHeight="1" spans="1:8">
      <c r="A22" s="28" t="s">
        <v>33</v>
      </c>
      <c r="B22" s="15" t="s">
        <v>29</v>
      </c>
      <c r="C22" s="15" t="s">
        <v>30</v>
      </c>
      <c r="D22" s="348">
        <f>100</f>
        <v>100</v>
      </c>
      <c r="E22" s="349"/>
      <c r="F22" s="350"/>
      <c r="G22" s="350"/>
      <c r="H22" s="350"/>
    </row>
    <row r="23" s="324" customFormat="1" customHeight="1" spans="1:8">
      <c r="A23" s="337" t="s">
        <v>34</v>
      </c>
      <c r="B23" s="15" t="s">
        <v>35</v>
      </c>
      <c r="C23" s="15" t="s">
        <v>36</v>
      </c>
      <c r="D23" s="344">
        <v>14.66</v>
      </c>
      <c r="E23" s="342"/>
      <c r="F23" s="346"/>
      <c r="G23" s="346"/>
      <c r="H23" s="346"/>
    </row>
    <row r="24" s="324" customFormat="1" customHeight="1" spans="1:8">
      <c r="A24" s="337" t="s">
        <v>37</v>
      </c>
      <c r="B24" s="15" t="s">
        <v>38</v>
      </c>
      <c r="C24" s="15" t="s">
        <v>39</v>
      </c>
      <c r="D24" s="344">
        <v>6.4</v>
      </c>
      <c r="E24" s="342"/>
      <c r="F24" s="351"/>
      <c r="G24" s="351"/>
      <c r="H24" s="351"/>
    </row>
    <row r="25" s="324" customFormat="1" customHeight="1" spans="1:8">
      <c r="A25" s="337" t="s">
        <v>40</v>
      </c>
      <c r="B25" s="15" t="s">
        <v>41</v>
      </c>
      <c r="C25" s="15" t="s">
        <v>10</v>
      </c>
      <c r="D25" s="352" t="s">
        <v>42</v>
      </c>
      <c r="E25" s="342"/>
      <c r="F25" s="351"/>
      <c r="G25" s="351"/>
      <c r="H25" s="351"/>
    </row>
    <row r="27" customHeight="1" spans="1:8">
      <c r="A27" s="332" t="s">
        <v>43</v>
      </c>
      <c r="B27" s="333" t="s">
        <v>44</v>
      </c>
      <c r="C27" s="333" t="s">
        <v>3</v>
      </c>
      <c r="D27" s="334" t="s">
        <v>4</v>
      </c>
    </row>
    <row r="28" s="324" customFormat="1" customHeight="1" spans="1:8">
      <c r="A28" s="337" t="s">
        <v>45</v>
      </c>
      <c r="B28" s="15">
        <v>2026</v>
      </c>
      <c r="C28" s="13" t="s">
        <v>46</v>
      </c>
      <c r="D28" s="344">
        <v>1651</v>
      </c>
      <c r="E28" s="353"/>
    </row>
    <row r="29" s="324" customFormat="1" customHeight="1" spans="1:8">
      <c r="A29" s="337" t="s">
        <v>47</v>
      </c>
      <c r="B29" s="15">
        <v>2026</v>
      </c>
      <c r="C29" s="21"/>
      <c r="D29" s="354">
        <v>0.2</v>
      </c>
      <c r="E29" s="353"/>
    </row>
    <row r="30" s="324" customFormat="1" customHeight="1" spans="1:8">
      <c r="A30" s="337" t="s">
        <v>48</v>
      </c>
      <c r="B30" s="15">
        <v>2026</v>
      </c>
      <c r="C30" s="15" t="s">
        <v>49</v>
      </c>
      <c r="D30" s="341">
        <v>3</v>
      </c>
      <c r="E30" s="355" t="s">
        <v>50</v>
      </c>
      <c r="F30" s="343"/>
      <c r="G30" s="343"/>
      <c r="H30" s="343"/>
    </row>
    <row r="31" s="324" customFormat="1" customHeight="1" spans="1:8">
      <c r="A31" s="337" t="s">
        <v>51</v>
      </c>
      <c r="B31" s="15" t="s">
        <v>52</v>
      </c>
      <c r="C31" s="15" t="s">
        <v>53</v>
      </c>
      <c r="D31" s="356">
        <v>0.03</v>
      </c>
      <c r="E31" s="357"/>
      <c r="F31" s="358"/>
      <c r="G31" s="358"/>
      <c r="H31" s="358"/>
    </row>
    <row r="32" s="324" customFormat="1" customHeight="1" spans="1:8">
      <c r="A32" s="337" t="s">
        <v>54</v>
      </c>
      <c r="B32" s="15" t="s">
        <v>52</v>
      </c>
      <c r="C32" s="15" t="s">
        <v>55</v>
      </c>
      <c r="D32" s="359">
        <v>22</v>
      </c>
      <c r="E32" s="353"/>
    </row>
    <row r="33" s="324" customFormat="1" customHeight="1" spans="1:5">
      <c r="A33" s="337" t="s">
        <v>56</v>
      </c>
      <c r="B33" s="15" t="s">
        <v>52</v>
      </c>
      <c r="C33" s="13" t="s">
        <v>57</v>
      </c>
      <c r="D33" s="359">
        <v>2</v>
      </c>
      <c r="E33" s="353"/>
    </row>
    <row r="34" s="324" customFormat="1" customHeight="1" spans="1:5">
      <c r="A34" s="337" t="s">
        <v>58</v>
      </c>
      <c r="B34" s="15" t="s">
        <v>52</v>
      </c>
      <c r="C34" s="21"/>
      <c r="D34" s="359">
        <v>4</v>
      </c>
      <c r="E34" s="353"/>
    </row>
  </sheetData>
  <mergeCells count="7">
    <mergeCell ref="A1:D1"/>
    <mergeCell ref="A2:D2"/>
    <mergeCell ref="C8:C11"/>
    <mergeCell ref="C14:C17"/>
    <mergeCell ref="C28:C29"/>
    <mergeCell ref="C33:C34"/>
    <mergeCell ref="E20:E22"/>
  </mergeCells>
  <pageMargins left="0.554166666666667" right="0.357638888888889" top="0.802777777777778" bottom="0.605555555555556" header="0.5" footer="0.5"/>
  <pageSetup paperSize="9" scale="75" orientation="portrait"/>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8"/>
  </sheetPr>
  <dimension ref="A1:M74"/>
  <sheetViews>
    <sheetView tabSelected="1" view="pageBreakPreview" zoomScaleNormal="100" workbookViewId="0">
      <selection activeCell="J41" sqref="J41"/>
    </sheetView>
  </sheetViews>
  <sheetFormatPr defaultColWidth="9.14285714285714" defaultRowHeight="18" customHeight="1"/>
  <cols>
    <col min="1" max="1" width="16.1428571428571" style="85" customWidth="1"/>
    <col min="2" max="7" width="13.7142857142857" style="266" customWidth="1"/>
    <col min="8" max="8" width="13.7142857142857" style="267" customWidth="1"/>
    <col min="9" max="13" width="13.7142857142857" style="85" customWidth="1"/>
    <col min="14" max="16384" width="9.14285714285714" style="85"/>
  </cols>
  <sheetData>
    <row r="1" customHeight="1" spans="1:13">
      <c r="A1" s="268" t="s">
        <v>59</v>
      </c>
      <c r="B1" s="268"/>
      <c r="C1" s="268"/>
      <c r="D1" s="268"/>
      <c r="E1" s="268"/>
      <c r="F1" s="268"/>
      <c r="G1" s="268"/>
      <c r="H1" s="268"/>
      <c r="I1" s="268"/>
      <c r="J1" s="268"/>
      <c r="K1" s="268"/>
      <c r="L1" s="268"/>
      <c r="M1" s="268"/>
    </row>
    <row r="2" customHeight="1" spans="1:13">
      <c r="A2" s="268" t="s">
        <v>60</v>
      </c>
      <c r="B2" s="268"/>
      <c r="C2" s="268"/>
      <c r="D2" s="268"/>
      <c r="E2" s="268"/>
      <c r="F2" s="268"/>
      <c r="G2" s="268"/>
      <c r="H2" s="268"/>
      <c r="I2" s="268"/>
      <c r="J2" s="268"/>
      <c r="K2" s="268"/>
      <c r="L2" s="268"/>
      <c r="M2" s="268"/>
    </row>
    <row r="3" customHeight="1" spans="1:13">
      <c r="A3" s="269" t="s">
        <v>61</v>
      </c>
      <c r="B3" s="269" t="s">
        <v>62</v>
      </c>
      <c r="C3" s="269"/>
      <c r="D3" s="269"/>
      <c r="E3" s="269"/>
      <c r="F3" s="269"/>
      <c r="G3" s="269"/>
      <c r="H3" s="269" t="s">
        <v>63</v>
      </c>
      <c r="I3" s="269" t="s">
        <v>64</v>
      </c>
      <c r="J3" s="269" t="s">
        <v>64</v>
      </c>
      <c r="K3" s="269" t="s">
        <v>65</v>
      </c>
      <c r="L3" s="269" t="s">
        <v>66</v>
      </c>
      <c r="M3" s="270" t="s">
        <v>67</v>
      </c>
    </row>
    <row r="4" customHeight="1" spans="1:13">
      <c r="A4" s="269"/>
      <c r="B4" s="269" t="s">
        <v>68</v>
      </c>
      <c r="C4" s="269" t="s">
        <v>68</v>
      </c>
      <c r="D4" s="269" t="s">
        <v>69</v>
      </c>
      <c r="E4" s="269" t="s">
        <v>69</v>
      </c>
      <c r="F4" s="269" t="s">
        <v>70</v>
      </c>
      <c r="G4" s="269" t="s">
        <v>70</v>
      </c>
      <c r="H4" s="269"/>
      <c r="I4" s="269"/>
      <c r="J4" s="269"/>
      <c r="K4" s="269"/>
      <c r="L4" s="269"/>
      <c r="M4" s="270"/>
    </row>
    <row r="5" customHeight="1" spans="1:13">
      <c r="A5" s="271" t="s">
        <v>59</v>
      </c>
      <c r="B5" s="272">
        <v>17</v>
      </c>
      <c r="C5" s="272">
        <v>0</v>
      </c>
      <c r="D5" s="272">
        <v>7</v>
      </c>
      <c r="E5" s="272">
        <v>0</v>
      </c>
      <c r="F5" s="272">
        <v>7</v>
      </c>
      <c r="G5" s="272">
        <v>0</v>
      </c>
      <c r="H5" s="272">
        <v>2</v>
      </c>
      <c r="I5" s="272">
        <v>1</v>
      </c>
      <c r="J5" s="272">
        <v>0</v>
      </c>
      <c r="K5" s="272">
        <v>1</v>
      </c>
      <c r="L5" s="273">
        <f>SUM(B5:K5)</f>
        <v>35</v>
      </c>
      <c r="M5" s="274">
        <v>26</v>
      </c>
    </row>
    <row r="6" customHeight="1" spans="1:13">
      <c r="A6" s="275" t="s">
        <v>71</v>
      </c>
      <c r="B6" s="276">
        <f>SUM(B1:B5)</f>
        <v>17</v>
      </c>
      <c r="C6" s="276">
        <f>SUM(C1:C5)</f>
        <v>0</v>
      </c>
      <c r="D6" s="276">
        <f t="shared" ref="D6:L6" si="0">SUM(D1:D5)</f>
        <v>7</v>
      </c>
      <c r="E6" s="276">
        <f t="shared" si="0"/>
        <v>0</v>
      </c>
      <c r="F6" s="276">
        <f t="shared" si="0"/>
        <v>7</v>
      </c>
      <c r="G6" s="276">
        <f t="shared" si="0"/>
        <v>0</v>
      </c>
      <c r="H6" s="276">
        <f t="shared" si="0"/>
        <v>2</v>
      </c>
      <c r="I6" s="276">
        <f t="shared" si="0"/>
        <v>1</v>
      </c>
      <c r="J6" s="276">
        <f t="shared" si="0"/>
        <v>0</v>
      </c>
      <c r="K6" s="276">
        <f t="shared" si="0"/>
        <v>1</v>
      </c>
      <c r="L6" s="276">
        <f t="shared" si="0"/>
        <v>35</v>
      </c>
      <c r="M6" s="277">
        <f>SUM(M5:M5)</f>
        <v>26</v>
      </c>
    </row>
    <row r="7" customHeight="1" spans="1:13">
      <c r="A7" s="278" t="s">
        <v>72</v>
      </c>
      <c r="B7" s="279" t="s">
        <v>73</v>
      </c>
      <c r="C7" s="279" t="s">
        <v>74</v>
      </c>
      <c r="D7" s="279" t="s">
        <v>73</v>
      </c>
      <c r="E7" s="279" t="s">
        <v>74</v>
      </c>
      <c r="F7" s="279" t="s">
        <v>73</v>
      </c>
      <c r="G7" s="279" t="s">
        <v>74</v>
      </c>
      <c r="H7" s="279" t="s">
        <v>73</v>
      </c>
      <c r="I7" s="279" t="s">
        <v>73</v>
      </c>
      <c r="J7" s="279" t="s">
        <v>74</v>
      </c>
      <c r="K7" s="279" t="s">
        <v>73</v>
      </c>
      <c r="L7" s="267"/>
    </row>
    <row r="8" customHeight="1" spans="1:13">
      <c r="A8" s="280" t="s">
        <v>75</v>
      </c>
      <c r="B8" s="281" t="s">
        <v>76</v>
      </c>
      <c r="C8" s="281" t="s">
        <v>52</v>
      </c>
      <c r="D8" s="281" t="s">
        <v>77</v>
      </c>
      <c r="E8" s="281" t="s">
        <v>52</v>
      </c>
      <c r="F8" s="281" t="s">
        <v>78</v>
      </c>
      <c r="G8" s="281" t="s">
        <v>52</v>
      </c>
      <c r="H8" s="281" t="s">
        <v>79</v>
      </c>
      <c r="I8" s="281" t="s">
        <v>80</v>
      </c>
      <c r="J8" s="281" t="s">
        <v>52</v>
      </c>
      <c r="K8" s="281" t="s">
        <v>81</v>
      </c>
      <c r="L8" s="282"/>
    </row>
    <row r="9" customHeight="1" spans="1:13">
      <c r="B9" s="283"/>
      <c r="C9" s="284"/>
      <c r="D9" s="285"/>
      <c r="E9" s="283"/>
      <c r="F9" s="283"/>
      <c r="G9" s="283"/>
      <c r="H9" s="286"/>
    </row>
    <row r="10" customHeight="1" spans="1:13">
      <c r="A10" s="268" t="s">
        <v>82</v>
      </c>
      <c r="B10" s="268"/>
      <c r="C10" s="268"/>
      <c r="D10" s="268"/>
      <c r="E10" s="268"/>
      <c r="F10" s="268"/>
      <c r="G10" s="268"/>
      <c r="H10" s="268"/>
      <c r="I10" s="268"/>
      <c r="J10" s="268"/>
      <c r="K10" s="268"/>
      <c r="L10" s="268"/>
      <c r="M10" s="268"/>
    </row>
    <row r="11" customHeight="1" spans="1:13">
      <c r="A11" s="268" t="s">
        <v>60</v>
      </c>
      <c r="B11" s="268"/>
      <c r="C11" s="268"/>
      <c r="D11" s="268"/>
      <c r="E11" s="268"/>
      <c r="F11" s="268"/>
      <c r="G11" s="268"/>
      <c r="H11" s="268"/>
      <c r="I11" s="268"/>
      <c r="J11" s="268"/>
      <c r="K11" s="268"/>
      <c r="L11" s="268"/>
      <c r="M11" s="268"/>
    </row>
    <row r="12" customHeight="1" spans="1:13">
      <c r="A12" s="269" t="s">
        <v>61</v>
      </c>
      <c r="B12" s="269" t="s">
        <v>62</v>
      </c>
      <c r="C12" s="269"/>
      <c r="D12" s="269"/>
      <c r="E12" s="269"/>
      <c r="F12" s="269"/>
      <c r="G12" s="269"/>
      <c r="H12" s="269" t="s">
        <v>63</v>
      </c>
      <c r="I12" s="269" t="s">
        <v>64</v>
      </c>
      <c r="J12" s="269" t="s">
        <v>64</v>
      </c>
      <c r="K12" s="269" t="s">
        <v>65</v>
      </c>
      <c r="L12" s="269" t="s">
        <v>66</v>
      </c>
      <c r="M12" s="270" t="s">
        <v>67</v>
      </c>
    </row>
    <row r="13" customHeight="1" spans="1:13">
      <c r="A13" s="269"/>
      <c r="B13" s="269" t="s">
        <v>68</v>
      </c>
      <c r="C13" s="269" t="s">
        <v>68</v>
      </c>
      <c r="D13" s="269" t="s">
        <v>69</v>
      </c>
      <c r="E13" s="269" t="s">
        <v>69</v>
      </c>
      <c r="F13" s="269" t="s">
        <v>70</v>
      </c>
      <c r="G13" s="269" t="s">
        <v>70</v>
      </c>
      <c r="H13" s="269"/>
      <c r="I13" s="269"/>
      <c r="J13" s="269"/>
      <c r="K13" s="269"/>
      <c r="L13" s="269"/>
      <c r="M13" s="270"/>
    </row>
    <row r="14" customHeight="1" spans="1:13">
      <c r="A14" s="271" t="s">
        <v>82</v>
      </c>
      <c r="B14" s="272">
        <v>1</v>
      </c>
      <c r="C14" s="272">
        <v>0</v>
      </c>
      <c r="D14" s="272">
        <v>0</v>
      </c>
      <c r="E14" s="272">
        <v>0</v>
      </c>
      <c r="F14" s="272">
        <v>0</v>
      </c>
      <c r="G14" s="272">
        <v>0</v>
      </c>
      <c r="H14" s="272">
        <v>0</v>
      </c>
      <c r="I14" s="272">
        <v>0</v>
      </c>
      <c r="J14" s="267">
        <v>0</v>
      </c>
      <c r="K14" s="272">
        <v>0</v>
      </c>
      <c r="L14" s="273">
        <f>SUM(B14:K14)</f>
        <v>1</v>
      </c>
      <c r="M14" s="274">
        <v>1</v>
      </c>
    </row>
    <row r="15" customHeight="1" spans="1:13">
      <c r="A15" s="275" t="s">
        <v>71</v>
      </c>
      <c r="B15" s="276">
        <f t="shared" ref="B15:L15" si="1">SUM(B10:B14)</f>
        <v>1</v>
      </c>
      <c r="C15" s="276">
        <f t="shared" si="1"/>
        <v>0</v>
      </c>
      <c r="D15" s="276">
        <f t="shared" si="1"/>
        <v>0</v>
      </c>
      <c r="E15" s="276">
        <f t="shared" si="1"/>
        <v>0</v>
      </c>
      <c r="F15" s="276">
        <f t="shared" si="1"/>
        <v>0</v>
      </c>
      <c r="G15" s="276">
        <f t="shared" si="1"/>
        <v>0</v>
      </c>
      <c r="H15" s="276">
        <f t="shared" si="1"/>
        <v>0</v>
      </c>
      <c r="I15" s="276">
        <f t="shared" si="1"/>
        <v>0</v>
      </c>
      <c r="J15" s="276">
        <f t="shared" si="1"/>
        <v>0</v>
      </c>
      <c r="K15" s="276">
        <f t="shared" si="1"/>
        <v>0</v>
      </c>
      <c r="L15" s="276">
        <f t="shared" si="1"/>
        <v>1</v>
      </c>
      <c r="M15" s="277">
        <f>SUM(M14:M14)</f>
        <v>1</v>
      </c>
    </row>
    <row r="16" customHeight="1" spans="1:13">
      <c r="A16" s="278" t="s">
        <v>72</v>
      </c>
      <c r="B16" s="279" t="s">
        <v>73</v>
      </c>
      <c r="C16" s="279" t="s">
        <v>74</v>
      </c>
      <c r="D16" s="279" t="s">
        <v>73</v>
      </c>
      <c r="E16" s="279" t="s">
        <v>74</v>
      </c>
      <c r="F16" s="279" t="s">
        <v>73</v>
      </c>
      <c r="G16" s="279" t="s">
        <v>74</v>
      </c>
      <c r="H16" s="279" t="s">
        <v>73</v>
      </c>
      <c r="I16" s="279" t="s">
        <v>73</v>
      </c>
      <c r="J16" s="279" t="s">
        <v>74</v>
      </c>
      <c r="K16" s="279" t="s">
        <v>73</v>
      </c>
      <c r="L16" s="267"/>
    </row>
    <row r="17" customHeight="1" spans="1:13">
      <c r="A17" s="280" t="s">
        <v>75</v>
      </c>
      <c r="B17" s="281" t="s">
        <v>83</v>
      </c>
      <c r="C17" s="281" t="s">
        <v>52</v>
      </c>
      <c r="D17" s="281" t="s">
        <v>52</v>
      </c>
      <c r="E17" s="281" t="s">
        <v>52</v>
      </c>
      <c r="F17" s="281" t="s">
        <v>52</v>
      </c>
      <c r="G17" s="281" t="s">
        <v>52</v>
      </c>
      <c r="H17" s="281" t="s">
        <v>52</v>
      </c>
      <c r="I17" s="281" t="s">
        <v>52</v>
      </c>
      <c r="J17" s="281" t="s">
        <v>52</v>
      </c>
      <c r="K17" s="281" t="s">
        <v>52</v>
      </c>
      <c r="L17" s="282"/>
    </row>
    <row r="18" customHeight="1" spans="1:13">
      <c r="A18" s="287" t="s">
        <v>84</v>
      </c>
      <c r="B18" s="287"/>
      <c r="C18" s="287"/>
      <c r="D18" s="287"/>
      <c r="E18" s="287"/>
      <c r="F18" s="287"/>
      <c r="G18" s="287"/>
      <c r="H18" s="287"/>
      <c r="I18" s="287"/>
      <c r="J18" s="287"/>
      <c r="K18" s="287"/>
      <c r="L18" s="287"/>
      <c r="M18" s="287"/>
    </row>
    <row r="19" customHeight="1" spans="1:13">
      <c r="A19" s="288" t="s">
        <v>85</v>
      </c>
      <c r="B19" s="288"/>
      <c r="C19" s="288"/>
      <c r="D19" s="288"/>
      <c r="E19" s="288"/>
      <c r="F19" s="288"/>
      <c r="G19" s="288"/>
      <c r="H19" s="288"/>
      <c r="I19" s="288"/>
      <c r="J19" s="288"/>
      <c r="K19" s="288"/>
      <c r="L19" s="288"/>
      <c r="M19" s="288"/>
    </row>
    <row r="20" s="265" customFormat="1" customHeight="1" spans="1:13">
      <c r="A20" s="289" t="s">
        <v>86</v>
      </c>
      <c r="B20" s="289"/>
      <c r="C20" s="289"/>
      <c r="D20" s="289"/>
      <c r="E20" s="289"/>
      <c r="F20" s="289"/>
      <c r="G20" s="289"/>
      <c r="H20" s="289"/>
      <c r="I20" s="289"/>
      <c r="J20" s="289"/>
      <c r="K20" s="289"/>
      <c r="L20" s="289"/>
      <c r="M20" s="289"/>
    </row>
    <row r="21" s="265" customFormat="1" customHeight="1" spans="1:13">
      <c r="A21" s="289" t="s">
        <v>87</v>
      </c>
      <c r="B21" s="289"/>
      <c r="C21" s="289"/>
      <c r="D21" s="289"/>
      <c r="E21" s="289"/>
      <c r="F21" s="289"/>
      <c r="G21" s="289"/>
      <c r="H21" s="289"/>
      <c r="I21" s="289"/>
      <c r="J21" s="289"/>
      <c r="K21" s="289"/>
      <c r="L21" s="289"/>
      <c r="M21" s="289"/>
    </row>
    <row r="22" customHeight="1" spans="1:13">
      <c r="A22" s="290" t="s">
        <v>59</v>
      </c>
      <c r="B22" s="290"/>
      <c r="C22" s="290"/>
      <c r="D22" s="290"/>
      <c r="E22" s="290"/>
      <c r="F22" s="290"/>
      <c r="G22" s="290"/>
      <c r="H22" s="290"/>
      <c r="I22" s="290"/>
      <c r="J22" s="290"/>
    </row>
    <row r="23" customHeight="1" spans="1:13">
      <c r="A23" s="290" t="s">
        <v>88</v>
      </c>
      <c r="B23" s="290"/>
      <c r="C23" s="290"/>
      <c r="D23" s="290"/>
      <c r="E23" s="290"/>
      <c r="F23" s="290"/>
      <c r="G23" s="290"/>
      <c r="H23" s="290"/>
      <c r="I23" s="290"/>
      <c r="J23" s="290"/>
    </row>
    <row r="24" ht="26.1" customHeight="1" spans="1:13">
      <c r="A24" s="291" t="s">
        <v>89</v>
      </c>
      <c r="B24" s="291" t="s">
        <v>90</v>
      </c>
      <c r="C24" s="291"/>
      <c r="D24" s="291"/>
      <c r="E24" s="269" t="s">
        <v>91</v>
      </c>
      <c r="F24" s="269" t="s">
        <v>92</v>
      </c>
      <c r="G24" s="269" t="s">
        <v>93</v>
      </c>
      <c r="H24" s="269" t="s">
        <v>94</v>
      </c>
      <c r="I24" s="269" t="s">
        <v>95</v>
      </c>
      <c r="J24" s="269"/>
    </row>
    <row r="25" customHeight="1" spans="1:13">
      <c r="A25" s="292" t="str">
        <f>B8</f>
        <v>1 - A</v>
      </c>
      <c r="B25" s="279" t="str">
        <f>'SEMAD 1-A_Servente Insal 30h'!A136</f>
        <v>Servente Interno: 30 h + Insalubridade</v>
      </c>
      <c r="C25" s="279"/>
      <c r="D25" s="279"/>
      <c r="E25" s="293">
        <f>'SEMAD 1-A_Servente Insal 30h'!B136</f>
        <v>4462.92</v>
      </c>
      <c r="F25" s="279">
        <f>'SEMAD 1-A_Servente Insal 30h'!E136</f>
        <v>17</v>
      </c>
      <c r="G25" s="293">
        <f t="shared" ref="G25:G30" si="2">E25*F25</f>
        <v>75869.64</v>
      </c>
      <c r="H25" s="279">
        <v>12</v>
      </c>
      <c r="I25" s="293">
        <f t="shared" ref="I25:I30" si="3">H25*G25</f>
        <v>910435.68</v>
      </c>
      <c r="J25" s="293"/>
    </row>
    <row r="26" customHeight="1" spans="1:13">
      <c r="A26" s="292" t="str">
        <f>D8</f>
        <v>1 - B</v>
      </c>
      <c r="B26" s="279" t="str">
        <f>'SEMAD 1-B_Servente 30 h'!A136</f>
        <v>Servente Interno: 30 h</v>
      </c>
      <c r="C26" s="279"/>
      <c r="D26" s="279"/>
      <c r="E26" s="293">
        <f>'SEMAD 1-B_Servente 30 h'!B136</f>
        <v>3671.11</v>
      </c>
      <c r="F26" s="279">
        <f>'SEMAD 1-B_Servente 30 h'!E136</f>
        <v>7</v>
      </c>
      <c r="G26" s="293">
        <f t="shared" si="2"/>
        <v>25697.77</v>
      </c>
      <c r="H26" s="279">
        <v>12</v>
      </c>
      <c r="I26" s="293">
        <f t="shared" si="3"/>
        <v>308373.24</v>
      </c>
      <c r="J26" s="293"/>
    </row>
    <row r="27" customHeight="1" spans="1:13">
      <c r="A27" s="292" t="str">
        <f>F8</f>
        <v>1 - C</v>
      </c>
      <c r="B27" s="279" t="str">
        <f>'SEMAD 1-C_Servente Ext 30 h'!A136</f>
        <v>Servente externo: 30 h</v>
      </c>
      <c r="C27" s="279"/>
      <c r="D27" s="279"/>
      <c r="E27" s="293">
        <f>'SEMAD 1-C_Servente Ext 30 h'!B136</f>
        <v>3796.99</v>
      </c>
      <c r="F27" s="272">
        <f>'SEMAD 1-C_Servente Ext 30 h'!E136</f>
        <v>7</v>
      </c>
      <c r="G27" s="293">
        <f t="shared" si="2"/>
        <v>26578.93</v>
      </c>
      <c r="H27" s="279">
        <v>12</v>
      </c>
      <c r="I27" s="293">
        <f t="shared" si="3"/>
        <v>318947.16</v>
      </c>
      <c r="J27" s="293"/>
    </row>
    <row r="28" customHeight="1" spans="1:13">
      <c r="A28" s="292" t="str">
        <f>H8</f>
        <v>1 - D</v>
      </c>
      <c r="B28" s="279" t="str">
        <f>'SEMAD 1-D_Limpador Vidros 30 h'!A136</f>
        <v>Limpador de vidros: 30 h</v>
      </c>
      <c r="C28" s="279"/>
      <c r="D28" s="279"/>
      <c r="E28" s="293">
        <f>'SEMAD 1-D_Limpador Vidros 30 h'!B136</f>
        <v>4059.14</v>
      </c>
      <c r="F28" s="279">
        <f>'SEMAD 1-D_Limpador Vidros 30 h'!E136</f>
        <v>2</v>
      </c>
      <c r="G28" s="293">
        <f t="shared" si="2"/>
        <v>8118.28</v>
      </c>
      <c r="H28" s="279">
        <v>12</v>
      </c>
      <c r="I28" s="293">
        <f t="shared" si="3"/>
        <v>97419.36</v>
      </c>
      <c r="J28" s="293"/>
    </row>
    <row r="29" customHeight="1" spans="1:13">
      <c r="A29" s="292" t="str">
        <f>I8</f>
        <v>1 - E</v>
      </c>
      <c r="B29" s="279" t="str">
        <f>'SEMAD 1-E_Encarregado 30 h'!A136</f>
        <v>Encarregado de limpeza: 30 h</v>
      </c>
      <c r="C29" s="279"/>
      <c r="D29" s="279"/>
      <c r="E29" s="293">
        <f>'SEMAD 1-E_Encarregado 30 h'!B136</f>
        <v>4122.07</v>
      </c>
      <c r="F29" s="279">
        <f>'SEMAD 1-E_Encarregado 30 h'!E136</f>
        <v>1</v>
      </c>
      <c r="G29" s="293">
        <f t="shared" si="2"/>
        <v>4122.07</v>
      </c>
      <c r="H29" s="279">
        <v>12</v>
      </c>
      <c r="I29" s="293">
        <f t="shared" si="3"/>
        <v>49464.84</v>
      </c>
      <c r="J29" s="293"/>
    </row>
    <row r="30" customHeight="1" spans="1:13">
      <c r="A30" s="292" t="str">
        <f>K8</f>
        <v>1 - F</v>
      </c>
      <c r="B30" s="279" t="str">
        <f>'SEMAD 1-F_Jardineiro 30 hs'!A136</f>
        <v>Jardineiro: 30 h</v>
      </c>
      <c r="C30" s="279"/>
      <c r="D30" s="279"/>
      <c r="E30" s="293">
        <f>'SEMAD 1-F_Jardineiro 30 hs'!B136</f>
        <v>4420.89</v>
      </c>
      <c r="F30" s="279">
        <f>'SEMAD 1-F_Jardineiro 30 hs'!E136</f>
        <v>1</v>
      </c>
      <c r="G30" s="293">
        <f t="shared" si="2"/>
        <v>4420.89</v>
      </c>
      <c r="H30" s="279">
        <v>12</v>
      </c>
      <c r="I30" s="293">
        <f t="shared" si="3"/>
        <v>53050.68</v>
      </c>
      <c r="J30" s="293"/>
    </row>
    <row r="31" customHeight="1" spans="1:13">
      <c r="A31" s="294" t="s">
        <v>96</v>
      </c>
      <c r="B31" s="294"/>
      <c r="C31" s="294"/>
      <c r="D31" s="294"/>
      <c r="E31" s="275"/>
      <c r="F31" s="295">
        <f>SUM(F25:F30)</f>
        <v>35</v>
      </c>
      <c r="G31" s="296">
        <f>SUM(G25:G30)</f>
        <v>144807.58</v>
      </c>
      <c r="H31" s="295"/>
      <c r="I31" s="296">
        <f>SUM(I25:J30)</f>
        <v>1737690.96</v>
      </c>
      <c r="J31" s="296"/>
    </row>
    <row r="32" customHeight="1" spans="1:13">
      <c r="A32" s="290" t="s">
        <v>82</v>
      </c>
      <c r="B32" s="290"/>
      <c r="C32" s="290"/>
      <c r="D32" s="290"/>
      <c r="E32" s="290"/>
      <c r="F32" s="290"/>
      <c r="G32" s="290"/>
      <c r="H32" s="290"/>
      <c r="I32" s="290"/>
      <c r="J32" s="290"/>
    </row>
    <row r="33" customHeight="1" spans="1:11">
      <c r="A33" s="290" t="s">
        <v>88</v>
      </c>
      <c r="B33" s="290"/>
      <c r="C33" s="290"/>
      <c r="D33" s="290"/>
      <c r="E33" s="290"/>
      <c r="F33" s="290"/>
      <c r="G33" s="290"/>
      <c r="H33" s="290"/>
      <c r="I33" s="290"/>
      <c r="J33" s="290"/>
    </row>
    <row r="34" ht="24" customHeight="1" spans="1:11">
      <c r="A34" s="291" t="s">
        <v>89</v>
      </c>
      <c r="B34" s="291" t="s">
        <v>90</v>
      </c>
      <c r="C34" s="291"/>
      <c r="D34" s="291"/>
      <c r="E34" s="269" t="s">
        <v>91</v>
      </c>
      <c r="F34" s="269" t="s">
        <v>92</v>
      </c>
      <c r="G34" s="269" t="s">
        <v>93</v>
      </c>
      <c r="H34" s="269" t="s">
        <v>94</v>
      </c>
      <c r="I34" s="269" t="s">
        <v>95</v>
      </c>
      <c r="J34" s="269"/>
    </row>
    <row r="35" customHeight="1" spans="1:11">
      <c r="A35" s="292" t="str">
        <f>B17</f>
        <v>1 - G</v>
      </c>
      <c r="B35" s="279" t="str">
        <f>'AGEHAB 1-G_Servente Insal 30h'!A136</f>
        <v>Servente Interno: 30 h + Insalubridade</v>
      </c>
      <c r="C35" s="279"/>
      <c r="D35" s="279"/>
      <c r="E35" s="293">
        <f>'AGEHAB 1-G_Servente Insal 30h'!B136</f>
        <v>4593.43</v>
      </c>
      <c r="F35" s="279">
        <f>'AGEHAB 1-G_Servente Insal 30h'!E136</f>
        <v>1</v>
      </c>
      <c r="G35" s="293">
        <f>E35*F35</f>
        <v>4593.43</v>
      </c>
      <c r="H35" s="279">
        <v>12</v>
      </c>
      <c r="I35" s="293">
        <f>H35*G35</f>
        <v>55121.16</v>
      </c>
      <c r="J35" s="293"/>
    </row>
    <row r="36" customHeight="1" spans="1:11">
      <c r="A36" s="294" t="s">
        <v>97</v>
      </c>
      <c r="B36" s="294"/>
      <c r="C36" s="294"/>
      <c r="D36" s="294"/>
      <c r="E36" s="275"/>
      <c r="F36" s="295">
        <f t="shared" ref="F36:I36" si="4">SUM(F35:F35)</f>
        <v>1</v>
      </c>
      <c r="G36" s="296">
        <f t="shared" si="4"/>
        <v>4593.43</v>
      </c>
      <c r="H36" s="295"/>
      <c r="I36" s="296">
        <f t="shared" si="4"/>
        <v>55121.16</v>
      </c>
      <c r="J36" s="296"/>
    </row>
    <row r="37" customHeight="1" spans="1:11">
      <c r="I37" s="297"/>
      <c r="J37" s="297"/>
    </row>
    <row r="38" customHeight="1" spans="1:11">
      <c r="A38" s="298" t="s">
        <v>59</v>
      </c>
      <c r="B38" s="298"/>
      <c r="C38" s="298"/>
      <c r="D38" s="298"/>
      <c r="E38" s="298"/>
      <c r="F38" s="298"/>
      <c r="G38" s="298"/>
      <c r="H38" s="298"/>
      <c r="I38" s="297"/>
      <c r="J38" s="297"/>
    </row>
    <row r="39" customHeight="1" spans="1:11">
      <c r="A39" s="299" t="s">
        <v>98</v>
      </c>
      <c r="B39" s="299"/>
      <c r="C39" s="299"/>
      <c r="D39" s="299"/>
      <c r="E39" s="299"/>
      <c r="F39" s="299"/>
      <c r="G39" s="299"/>
      <c r="H39" s="299"/>
      <c r="I39" s="297"/>
      <c r="J39" s="297"/>
    </row>
    <row r="40" customHeight="1" spans="1:11">
      <c r="A40" s="300" t="s">
        <v>99</v>
      </c>
      <c r="B40" s="300"/>
      <c r="C40" s="300"/>
      <c r="D40" s="301" t="s">
        <v>100</v>
      </c>
      <c r="E40" s="301" t="s">
        <v>91</v>
      </c>
      <c r="F40" s="301" t="s">
        <v>101</v>
      </c>
      <c r="G40" s="301" t="s">
        <v>102</v>
      </c>
      <c r="H40" s="301" t="s">
        <v>71</v>
      </c>
      <c r="I40" s="297"/>
      <c r="J40" s="297"/>
    </row>
    <row r="41" customHeight="1" spans="1:11">
      <c r="A41" s="302" t="s">
        <v>103</v>
      </c>
      <c r="B41" s="302"/>
      <c r="C41" s="302"/>
      <c r="D41" s="303">
        <v>1</v>
      </c>
      <c r="E41" s="304">
        <v>555.93</v>
      </c>
      <c r="F41" s="304">
        <f t="shared" ref="F41:F46" si="5">D41*E41</f>
        <v>555.93</v>
      </c>
      <c r="G41" s="303">
        <v>12</v>
      </c>
      <c r="H41" s="304">
        <f t="shared" ref="H41:H46" si="6">F41*G41</f>
        <v>6671.16</v>
      </c>
      <c r="I41" s="297"/>
      <c r="J41" s="297"/>
    </row>
    <row r="42" customHeight="1" spans="1:11">
      <c r="A42" s="302" t="s">
        <v>104</v>
      </c>
      <c r="B42" s="302"/>
      <c r="C42" s="302"/>
      <c r="D42" s="303">
        <v>1</v>
      </c>
      <c r="E42" s="304">
        <v>555.93</v>
      </c>
      <c r="F42" s="304">
        <f t="shared" si="5"/>
        <v>555.93</v>
      </c>
      <c r="G42" s="303">
        <v>12</v>
      </c>
      <c r="H42" s="304">
        <f t="shared" si="6"/>
        <v>6671.16</v>
      </c>
      <c r="I42" s="297"/>
      <c r="J42" s="297"/>
      <c r="K42" s="305"/>
    </row>
    <row r="43" customHeight="1" spans="1:11">
      <c r="A43" s="302" t="s">
        <v>105</v>
      </c>
      <c r="B43" s="302"/>
      <c r="C43" s="302"/>
      <c r="D43" s="303">
        <v>11</v>
      </c>
      <c r="E43" s="304">
        <v>194.3</v>
      </c>
      <c r="F43" s="304">
        <f t="shared" si="5"/>
        <v>2137.3</v>
      </c>
      <c r="G43" s="303">
        <v>12</v>
      </c>
      <c r="H43" s="304">
        <f t="shared" si="6"/>
        <v>25647.6</v>
      </c>
      <c r="I43" s="297"/>
      <c r="J43" s="297"/>
    </row>
    <row r="44" customHeight="1" spans="1:11">
      <c r="A44" s="302" t="s">
        <v>106</v>
      </c>
      <c r="B44" s="302"/>
      <c r="C44" s="302"/>
      <c r="D44" s="303">
        <v>35</v>
      </c>
      <c r="E44" s="304">
        <v>280.67</v>
      </c>
      <c r="F44" s="304">
        <f t="shared" si="5"/>
        <v>9823.45</v>
      </c>
      <c r="G44" s="303">
        <v>12</v>
      </c>
      <c r="H44" s="304">
        <f t="shared" si="6"/>
        <v>117881.4</v>
      </c>
      <c r="I44" s="297"/>
      <c r="J44" s="297"/>
      <c r="K44" s="305"/>
    </row>
    <row r="45" customHeight="1" spans="1:11">
      <c r="A45" s="302" t="s">
        <v>107</v>
      </c>
      <c r="B45" s="302"/>
      <c r="C45" s="302"/>
      <c r="D45" s="303">
        <v>46</v>
      </c>
      <c r="E45" s="304">
        <v>86.36</v>
      </c>
      <c r="F45" s="304">
        <f t="shared" si="5"/>
        <v>3972.56</v>
      </c>
      <c r="G45" s="303">
        <v>12</v>
      </c>
      <c r="H45" s="304">
        <f t="shared" si="6"/>
        <v>47670.72</v>
      </c>
      <c r="I45" s="297"/>
      <c r="J45" s="297"/>
    </row>
    <row r="46" ht="38.25" customHeight="1" spans="1:11">
      <c r="A46" s="306" t="s">
        <v>108</v>
      </c>
      <c r="B46" s="306"/>
      <c r="C46" s="306"/>
      <c r="D46" s="303">
        <v>1</v>
      </c>
      <c r="E46" s="304">
        <v>269.87</v>
      </c>
      <c r="F46" s="304">
        <f t="shared" si="5"/>
        <v>269.87</v>
      </c>
      <c r="G46" s="303">
        <v>12</v>
      </c>
      <c r="H46" s="304">
        <f t="shared" si="6"/>
        <v>3238.44</v>
      </c>
      <c r="I46" s="297"/>
      <c r="J46" s="297"/>
    </row>
    <row r="47" customHeight="1" spans="1:11">
      <c r="A47" s="307" t="s">
        <v>109</v>
      </c>
      <c r="B47" s="308"/>
      <c r="C47" s="308"/>
      <c r="D47" s="308"/>
      <c r="E47" s="308"/>
      <c r="F47" s="308"/>
      <c r="G47" s="309"/>
      <c r="H47" s="310">
        <f>SUM(H41:H46)</f>
        <v>207780.48</v>
      </c>
      <c r="I47" s="297"/>
      <c r="J47" s="297"/>
    </row>
    <row r="48" customHeight="1" spans="1:11">
      <c r="I48" s="297"/>
      <c r="J48" s="297"/>
    </row>
    <row r="49" customHeight="1" spans="1:11">
      <c r="A49" s="311" t="s">
        <v>110</v>
      </c>
      <c r="B49" s="312"/>
      <c r="C49" s="312"/>
      <c r="D49" s="312"/>
      <c r="E49" s="313"/>
      <c r="I49" s="297"/>
      <c r="J49" s="297"/>
    </row>
    <row r="50" customHeight="1" spans="1:11">
      <c r="A50" s="314" t="s">
        <v>111</v>
      </c>
      <c r="B50" s="315" t="s">
        <v>112</v>
      </c>
      <c r="C50" s="314" t="s">
        <v>113</v>
      </c>
      <c r="D50" s="315" t="s">
        <v>114</v>
      </c>
      <c r="E50" s="314" t="s">
        <v>115</v>
      </c>
      <c r="I50" s="297"/>
      <c r="J50" s="297"/>
    </row>
    <row r="51" customHeight="1" spans="1:11">
      <c r="A51" s="316"/>
      <c r="B51" s="315"/>
      <c r="C51" s="316"/>
      <c r="D51" s="315"/>
      <c r="E51" s="316"/>
      <c r="I51" s="297"/>
      <c r="J51" s="297"/>
    </row>
    <row r="52" customHeight="1" spans="1:11">
      <c r="A52" s="317">
        <f>I31</f>
        <v>1737690.96</v>
      </c>
      <c r="B52" s="318" t="s">
        <v>112</v>
      </c>
      <c r="C52" s="317">
        <f>H47</f>
        <v>207780.48</v>
      </c>
      <c r="D52" s="318" t="s">
        <v>114</v>
      </c>
      <c r="E52" s="317">
        <f>A52+C52</f>
        <v>1945471.44</v>
      </c>
      <c r="G52" s="319"/>
      <c r="I52" s="297"/>
      <c r="J52" s="297"/>
    </row>
    <row r="53" customHeight="1" spans="1:11">
      <c r="A53" s="320"/>
      <c r="B53" s="321"/>
      <c r="C53" s="320"/>
      <c r="D53" s="321"/>
      <c r="E53" s="320"/>
      <c r="I53" s="297"/>
      <c r="J53" s="297"/>
    </row>
    <row r="54" customHeight="1" spans="1:11">
      <c r="I54" s="297"/>
      <c r="J54" s="297"/>
    </row>
    <row r="55" customHeight="1" spans="1:11">
      <c r="A55" s="298" t="s">
        <v>82</v>
      </c>
      <c r="B55" s="298"/>
      <c r="C55" s="298"/>
      <c r="D55" s="298"/>
      <c r="E55" s="298"/>
      <c r="F55" s="298"/>
      <c r="G55" s="298"/>
      <c r="H55" s="298"/>
      <c r="I55" s="297"/>
      <c r="J55" s="297"/>
    </row>
    <row r="56" customHeight="1" spans="1:11">
      <c r="A56" s="299" t="s">
        <v>98</v>
      </c>
      <c r="B56" s="299"/>
      <c r="C56" s="299"/>
      <c r="D56" s="299"/>
      <c r="E56" s="299"/>
      <c r="F56" s="299"/>
      <c r="G56" s="299"/>
      <c r="H56" s="299"/>
      <c r="I56" s="297"/>
      <c r="J56" s="297"/>
    </row>
    <row r="57" customHeight="1" spans="1:11">
      <c r="A57" s="322" t="s">
        <v>99</v>
      </c>
      <c r="B57" s="322"/>
      <c r="C57" s="322"/>
      <c r="D57" s="314" t="s">
        <v>100</v>
      </c>
      <c r="E57" s="314" t="s">
        <v>91</v>
      </c>
      <c r="F57" s="314" t="s">
        <v>101</v>
      </c>
      <c r="G57" s="314" t="s">
        <v>102</v>
      </c>
      <c r="H57" s="314" t="s">
        <v>71</v>
      </c>
      <c r="I57" s="297"/>
      <c r="J57" s="297"/>
    </row>
    <row r="58" customHeight="1" spans="1:11">
      <c r="A58" s="302" t="s">
        <v>103</v>
      </c>
      <c r="B58" s="302"/>
      <c r="C58" s="302"/>
      <c r="D58" s="303">
        <v>1</v>
      </c>
      <c r="E58" s="304">
        <v>555.93</v>
      </c>
      <c r="F58" s="304">
        <f t="shared" ref="F58:F63" si="7">D58*E58</f>
        <v>555.93</v>
      </c>
      <c r="G58" s="303">
        <v>12</v>
      </c>
      <c r="H58" s="304">
        <f t="shared" ref="H58:H63" si="8">F58*G58</f>
        <v>6671.16</v>
      </c>
      <c r="I58" s="297"/>
      <c r="J58" s="297"/>
      <c r="K58" s="305"/>
    </row>
    <row r="59" customHeight="1" spans="1:11">
      <c r="A59" s="302" t="s">
        <v>104</v>
      </c>
      <c r="B59" s="302"/>
      <c r="C59" s="302"/>
      <c r="D59" s="303">
        <v>1</v>
      </c>
      <c r="E59" s="304">
        <v>555.93</v>
      </c>
      <c r="F59" s="304">
        <f t="shared" si="7"/>
        <v>555.93</v>
      </c>
      <c r="G59" s="303">
        <v>12</v>
      </c>
      <c r="H59" s="304">
        <f t="shared" si="8"/>
        <v>6671.16</v>
      </c>
      <c r="I59" s="297"/>
      <c r="J59" s="297"/>
      <c r="K59" s="305"/>
    </row>
    <row r="60" customHeight="1" spans="1:11">
      <c r="A60" s="302" t="s">
        <v>105</v>
      </c>
      <c r="B60" s="302"/>
      <c r="C60" s="302"/>
      <c r="D60" s="303">
        <v>1</v>
      </c>
      <c r="E60" s="304">
        <v>194.3</v>
      </c>
      <c r="F60" s="304">
        <f t="shared" si="7"/>
        <v>194.3</v>
      </c>
      <c r="G60" s="303">
        <v>12</v>
      </c>
      <c r="H60" s="304">
        <f t="shared" si="8"/>
        <v>2331.6</v>
      </c>
      <c r="I60" s="297"/>
      <c r="J60" s="297"/>
    </row>
    <row r="61" customHeight="1" spans="1:11">
      <c r="A61" s="302" t="s">
        <v>106</v>
      </c>
      <c r="B61" s="302"/>
      <c r="C61" s="302"/>
      <c r="D61" s="303">
        <v>1</v>
      </c>
      <c r="E61" s="304">
        <v>280.67</v>
      </c>
      <c r="F61" s="304">
        <f t="shared" si="7"/>
        <v>280.67</v>
      </c>
      <c r="G61" s="303">
        <v>12</v>
      </c>
      <c r="H61" s="304">
        <f t="shared" si="8"/>
        <v>3368.04</v>
      </c>
      <c r="I61" s="297"/>
      <c r="J61" s="297"/>
    </row>
    <row r="62" customHeight="1" spans="1:11">
      <c r="A62" s="302" t="s">
        <v>107</v>
      </c>
      <c r="B62" s="302"/>
      <c r="C62" s="302"/>
      <c r="D62" s="303">
        <v>2</v>
      </c>
      <c r="E62" s="304">
        <v>86.36</v>
      </c>
      <c r="F62" s="304">
        <f t="shared" si="7"/>
        <v>172.72</v>
      </c>
      <c r="G62" s="303">
        <v>12</v>
      </c>
      <c r="H62" s="304">
        <f t="shared" si="8"/>
        <v>2072.64</v>
      </c>
      <c r="I62" s="297"/>
      <c r="J62" s="297"/>
    </row>
    <row r="63" ht="24.75" customHeight="1" spans="1:11">
      <c r="A63" s="306" t="s">
        <v>108</v>
      </c>
      <c r="B63" s="306"/>
      <c r="C63" s="306"/>
      <c r="D63" s="303">
        <v>1</v>
      </c>
      <c r="E63" s="304">
        <v>269.87</v>
      </c>
      <c r="F63" s="304">
        <f t="shared" si="7"/>
        <v>269.87</v>
      </c>
      <c r="G63" s="303">
        <v>12</v>
      </c>
      <c r="H63" s="304">
        <f t="shared" si="8"/>
        <v>3238.44</v>
      </c>
      <c r="I63" s="297"/>
      <c r="J63" s="297"/>
    </row>
    <row r="64" customHeight="1" spans="1:11">
      <c r="A64" s="307" t="s">
        <v>116</v>
      </c>
      <c r="B64" s="308"/>
      <c r="C64" s="308"/>
      <c r="D64" s="308"/>
      <c r="E64" s="308"/>
      <c r="F64" s="308"/>
      <c r="G64" s="309"/>
      <c r="H64" s="310">
        <f>SUM(H58:H63)</f>
        <v>24353.04</v>
      </c>
      <c r="I64" s="297"/>
      <c r="J64" s="297"/>
    </row>
    <row r="65" customHeight="1" spans="1:10">
      <c r="I65" s="297"/>
      <c r="J65" s="297"/>
    </row>
    <row r="66" customHeight="1" spans="1:10">
      <c r="A66" s="311" t="s">
        <v>117</v>
      </c>
      <c r="B66" s="312"/>
      <c r="C66" s="312"/>
      <c r="D66" s="312"/>
      <c r="E66" s="313"/>
      <c r="I66" s="297"/>
      <c r="J66" s="297"/>
    </row>
    <row r="67" customHeight="1" spans="1:10">
      <c r="A67" s="314" t="s">
        <v>118</v>
      </c>
      <c r="B67" s="315" t="s">
        <v>112</v>
      </c>
      <c r="C67" s="314" t="s">
        <v>119</v>
      </c>
      <c r="D67" s="315" t="s">
        <v>114</v>
      </c>
      <c r="E67" s="314" t="s">
        <v>120</v>
      </c>
      <c r="I67" s="297"/>
      <c r="J67" s="297"/>
    </row>
    <row r="68" customHeight="1" spans="1:10">
      <c r="A68" s="316"/>
      <c r="B68" s="315"/>
      <c r="C68" s="316"/>
      <c r="D68" s="315"/>
      <c r="E68" s="316"/>
      <c r="I68" s="297"/>
      <c r="J68" s="297"/>
    </row>
    <row r="69" customHeight="1" spans="1:10">
      <c r="A69" s="317">
        <f>I36</f>
        <v>55121.16</v>
      </c>
      <c r="B69" s="318" t="s">
        <v>112</v>
      </c>
      <c r="C69" s="317">
        <f>H64</f>
        <v>24353.04</v>
      </c>
      <c r="D69" s="318" t="s">
        <v>114</v>
      </c>
      <c r="E69" s="317">
        <f>A69+C69</f>
        <v>79474.2</v>
      </c>
      <c r="H69" s="297">
        <f>E69/12</f>
        <v>6622.85</v>
      </c>
      <c r="I69" s="297"/>
      <c r="J69" s="297"/>
    </row>
    <row r="70" customHeight="1" spans="1:10">
      <c r="A70" s="320"/>
      <c r="B70" s="321"/>
      <c r="C70" s="320"/>
      <c r="D70" s="321"/>
      <c r="E70" s="320"/>
      <c r="I70" s="297"/>
      <c r="J70" s="297"/>
    </row>
    <row r="71" customHeight="1" spans="1:10">
      <c r="I71" s="297"/>
      <c r="J71" s="297"/>
    </row>
    <row r="72" customHeight="1" spans="1:10">
      <c r="I72" s="297"/>
      <c r="J72" s="297"/>
    </row>
    <row r="73" customHeight="1" spans="1:10">
      <c r="I73" s="297">
        <f>SUM(I31,'[1]SEMAS TOTALIZADOR GERAL'!$I$25,'[2]SEMED - TOTALIZADOR GERAL'!$I$27,'[3]SEMSUR_TOTALIZADOR GERAL'!$I$26,'[4]AGETRAN - TOTALIZADOR GERAL'!$J$34,'[5]FUNED - TOTALIZADOR GERAL'!$I$24)</f>
        <v>34572507.36</v>
      </c>
      <c r="J73" s="297"/>
    </row>
    <row r="74" customHeight="1" spans="1:10">
      <c r="G74" s="319">
        <f>SUM(G25:G30)</f>
        <v>144807.58</v>
      </c>
      <c r="I74" s="305">
        <f>SUM(I25:J30)</f>
        <v>1737690.96</v>
      </c>
    </row>
  </sheetData>
  <mergeCells count="94">
    <mergeCell ref="A1:M1"/>
    <mergeCell ref="A2:M2"/>
    <mergeCell ref="B3:G3"/>
    <mergeCell ref="C9:D9"/>
    <mergeCell ref="A10:M10"/>
    <mergeCell ref="A11:M11"/>
    <mergeCell ref="B12:G12"/>
    <mergeCell ref="A18:M18"/>
    <mergeCell ref="A19:M19"/>
    <mergeCell ref="A20:M20"/>
    <mergeCell ref="A21:M21"/>
    <mergeCell ref="A22:J22"/>
    <mergeCell ref="A23:J23"/>
    <mergeCell ref="B24:D24"/>
    <mergeCell ref="I24:J24"/>
    <mergeCell ref="B25:D25"/>
    <mergeCell ref="I25:J25"/>
    <mergeCell ref="B26:D26"/>
    <mergeCell ref="I26:J26"/>
    <mergeCell ref="B27:D27"/>
    <mergeCell ref="I27:J27"/>
    <mergeCell ref="B28:D28"/>
    <mergeCell ref="I28:J28"/>
    <mergeCell ref="B29:D29"/>
    <mergeCell ref="I29:J29"/>
    <mergeCell ref="B30:D30"/>
    <mergeCell ref="I30:J30"/>
    <mergeCell ref="A31:D31"/>
    <mergeCell ref="I31:J31"/>
    <mergeCell ref="A32:J32"/>
    <mergeCell ref="A33:J33"/>
    <mergeCell ref="B34:D34"/>
    <mergeCell ref="I34:J34"/>
    <mergeCell ref="B35:D35"/>
    <mergeCell ref="I35:J35"/>
    <mergeCell ref="A36:D36"/>
    <mergeCell ref="I36:J36"/>
    <mergeCell ref="A38:H38"/>
    <mergeCell ref="A39:H39"/>
    <mergeCell ref="A40:C40"/>
    <mergeCell ref="A41:C41"/>
    <mergeCell ref="A42:C42"/>
    <mergeCell ref="A43:C43"/>
    <mergeCell ref="A44:C44"/>
    <mergeCell ref="A45:C45"/>
    <mergeCell ref="A46:C46"/>
    <mergeCell ref="A47:G47"/>
    <mergeCell ref="A49:E49"/>
    <mergeCell ref="A55:H55"/>
    <mergeCell ref="A56:H56"/>
    <mergeCell ref="A57:C57"/>
    <mergeCell ref="A58:C58"/>
    <mergeCell ref="A59:C59"/>
    <mergeCell ref="A60:C60"/>
    <mergeCell ref="A61:C61"/>
    <mergeCell ref="A62:C62"/>
    <mergeCell ref="A63:C63"/>
    <mergeCell ref="A64:G64"/>
    <mergeCell ref="A66:E66"/>
    <mergeCell ref="I73:J73"/>
    <mergeCell ref="A3:A4"/>
    <mergeCell ref="A12:A13"/>
    <mergeCell ref="A50:A51"/>
    <mergeCell ref="A52:A53"/>
    <mergeCell ref="A67:A68"/>
    <mergeCell ref="A69:A70"/>
    <mergeCell ref="B50:B51"/>
    <mergeCell ref="B52:B53"/>
    <mergeCell ref="B67:B68"/>
    <mergeCell ref="B69:B70"/>
    <mergeCell ref="C50:C51"/>
    <mergeCell ref="C52:C53"/>
    <mergeCell ref="C67:C68"/>
    <mergeCell ref="C69:C70"/>
    <mergeCell ref="D50:D51"/>
    <mergeCell ref="D52:D53"/>
    <mergeCell ref="D67:D68"/>
    <mergeCell ref="D69:D70"/>
    <mergeCell ref="E50:E51"/>
    <mergeCell ref="E52:E53"/>
    <mergeCell ref="E67:E68"/>
    <mergeCell ref="E69:E70"/>
    <mergeCell ref="H3:H4"/>
    <mergeCell ref="H12:H13"/>
    <mergeCell ref="I3:I4"/>
    <mergeCell ref="I12:I13"/>
    <mergeCell ref="J3:J4"/>
    <mergeCell ref="J12:J13"/>
    <mergeCell ref="K3:K4"/>
    <mergeCell ref="K12:K13"/>
    <mergeCell ref="L3:L4"/>
    <mergeCell ref="L12:L13"/>
    <mergeCell ref="M3:M4"/>
    <mergeCell ref="M12:M13"/>
  </mergeCells>
  <pageMargins left="0.554166666666667" right="0.357638888888889" top="0.802777777777778" bottom="0.605555555555556" header="0.5" footer="0.5"/>
  <pageSetup paperSize="9" scale="75"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9" tint="0.599993896298105"/>
  </sheetPr>
  <dimension ref="A1:K139"/>
  <sheetViews>
    <sheetView view="pageBreakPreview" zoomScale="110" zoomScaleNormal="115" topLeftCell="A56" workbookViewId="0">
      <selection activeCell="E87" sqref="E87"/>
    </sheetView>
  </sheetViews>
  <sheetFormatPr defaultColWidth="2.57142857142857" defaultRowHeight="12.75"/>
  <cols>
    <col min="1" max="1" width="12.8571428571429" style="156" customWidth="1"/>
    <col min="2" max="2" width="24.5714285714286" style="126" customWidth="1"/>
    <col min="3" max="3" width="24.2857142857143" style="126" customWidth="1"/>
    <col min="4" max="4" width="15.7142857142857" style="126" customWidth="1"/>
    <col min="5" max="5" width="15.1428571428571" style="126" customWidth="1"/>
    <col min="6" max="6" width="30.1428571428571" style="157" customWidth="1"/>
    <col min="7" max="7" width="21.5714285714286" style="158" customWidth="1"/>
    <col min="8" max="8" width="85.2857142857143" style="158" customWidth="1"/>
    <col min="9" max="9" width="18.2857142857143" style="158" customWidth="1"/>
    <col min="10" max="10" width="25.7142857142857" style="158" customWidth="1"/>
    <col min="11" max="16384" width="2.57142857142857" style="158"/>
  </cols>
  <sheetData>
    <row r="1" s="150" customFormat="1" ht="23.1" customHeight="1" spans="1:11">
      <c r="A1" s="159" t="s">
        <v>121</v>
      </c>
      <c r="B1" s="159"/>
      <c r="C1" s="159"/>
      <c r="D1" s="159"/>
      <c r="E1" s="159"/>
      <c r="F1" s="160"/>
      <c r="G1" s="156"/>
      <c r="H1" s="156"/>
    </row>
    <row r="2" ht="21" customHeight="1" spans="1:11">
      <c r="A2" s="159" t="s">
        <v>122</v>
      </c>
      <c r="B2" s="159"/>
      <c r="C2" s="159"/>
      <c r="D2" s="159"/>
      <c r="E2" s="159"/>
      <c r="F2" s="160"/>
      <c r="G2" s="161"/>
      <c r="H2" s="161"/>
    </row>
    <row r="3" s="151" customFormat="1" ht="16.5" spans="1:11">
      <c r="A3" s="162" t="s">
        <v>123</v>
      </c>
      <c r="B3" s="162"/>
      <c r="C3" s="162"/>
      <c r="D3" s="162"/>
      <c r="E3" s="162"/>
      <c r="F3" s="160"/>
      <c r="G3" s="163"/>
      <c r="H3" s="163"/>
      <c r="I3" s="163"/>
      <c r="J3" s="163"/>
      <c r="K3" s="163"/>
    </row>
    <row r="4" s="151" customFormat="1" ht="16.5" spans="1:11">
      <c r="A4" s="162" t="s">
        <v>124</v>
      </c>
      <c r="B4" s="162"/>
      <c r="C4" s="162"/>
      <c r="D4" s="162"/>
      <c r="E4" s="162"/>
      <c r="F4" s="160"/>
      <c r="G4" s="163"/>
      <c r="H4" s="164"/>
      <c r="I4" s="163"/>
      <c r="J4" s="163"/>
      <c r="K4" s="163"/>
    </row>
    <row r="5" s="151" customFormat="1" ht="16.5" spans="1:11">
      <c r="A5" s="162" t="s">
        <v>125</v>
      </c>
      <c r="B5" s="162"/>
      <c r="C5" s="162"/>
      <c r="D5" s="162"/>
      <c r="E5" s="162"/>
      <c r="F5" s="160"/>
      <c r="G5" s="163"/>
      <c r="H5" s="163"/>
      <c r="I5" s="163"/>
      <c r="J5" s="163"/>
      <c r="K5" s="163"/>
    </row>
    <row r="6" s="151" customFormat="1" ht="16.5" spans="1:11">
      <c r="A6" s="165"/>
      <c r="B6" s="165"/>
      <c r="C6" s="165"/>
      <c r="D6" s="165"/>
      <c r="E6" s="165"/>
      <c r="F6" s="166"/>
      <c r="G6" s="163"/>
      <c r="H6" s="163"/>
      <c r="I6" s="163"/>
      <c r="J6" s="163"/>
      <c r="K6" s="163"/>
    </row>
    <row r="7" ht="14.25" spans="1:11">
      <c r="A7" s="167" t="s">
        <v>126</v>
      </c>
      <c r="B7" s="167"/>
      <c r="C7" s="167"/>
      <c r="D7" s="167"/>
      <c r="E7" s="167"/>
      <c r="F7" s="168"/>
      <c r="G7" s="150"/>
      <c r="H7" s="150"/>
    </row>
    <row r="8" ht="18" customHeight="1" spans="1:11">
      <c r="A8" s="167" t="s">
        <v>127</v>
      </c>
      <c r="B8" s="169" t="s">
        <v>128</v>
      </c>
      <c r="C8" s="169"/>
      <c r="D8" s="169"/>
      <c r="E8" s="169"/>
      <c r="F8" s="170" t="s">
        <v>129</v>
      </c>
    </row>
    <row r="9" ht="18" customHeight="1" spans="1:11">
      <c r="A9" s="167" t="s">
        <v>127</v>
      </c>
      <c r="B9" s="169" t="s">
        <v>130</v>
      </c>
      <c r="C9" s="169"/>
      <c r="D9" s="169"/>
      <c r="E9" s="169"/>
      <c r="F9" s="171" t="s">
        <v>131</v>
      </c>
    </row>
    <row r="10" ht="18" customHeight="1" spans="1:11">
      <c r="A10" s="167" t="s">
        <v>127</v>
      </c>
      <c r="B10" s="169" t="s">
        <v>132</v>
      </c>
      <c r="C10" s="169"/>
      <c r="D10" s="169"/>
      <c r="E10" s="169"/>
      <c r="F10" s="170" t="s">
        <v>133</v>
      </c>
    </row>
    <row r="11" ht="18" customHeight="1" spans="1:11">
      <c r="A11" s="167" t="s">
        <v>127</v>
      </c>
      <c r="B11" s="169" t="s">
        <v>134</v>
      </c>
      <c r="C11" s="169"/>
      <c r="D11" s="169"/>
      <c r="E11" s="169"/>
      <c r="F11" s="172">
        <v>12</v>
      </c>
    </row>
    <row r="12" customFormat="1" ht="16.5" spans="1:11">
      <c r="A12" s="173"/>
      <c r="B12" s="154"/>
      <c r="C12" s="154"/>
      <c r="D12" s="154"/>
      <c r="E12" s="154"/>
      <c r="F12" s="174"/>
      <c r="G12" s="158"/>
      <c r="H12" s="158"/>
    </row>
    <row r="13" s="150" customFormat="1" ht="14.25" spans="1:11">
      <c r="A13" s="167" t="s">
        <v>135</v>
      </c>
      <c r="B13" s="167"/>
      <c r="C13" s="167"/>
      <c r="D13" s="167"/>
      <c r="E13" s="167"/>
      <c r="F13" s="168"/>
    </row>
    <row r="14" ht="14.25" spans="1:11">
      <c r="A14" s="175" t="s">
        <v>136</v>
      </c>
      <c r="B14" s="175"/>
      <c r="C14" s="175"/>
      <c r="D14" s="175" t="s">
        <v>137</v>
      </c>
      <c r="E14" s="175"/>
      <c r="F14" s="175" t="s">
        <v>138</v>
      </c>
      <c r="H14" s="150"/>
    </row>
    <row r="15" ht="14.25" spans="1:11">
      <c r="A15" s="175" t="s">
        <v>139</v>
      </c>
      <c r="B15" s="175"/>
      <c r="C15" s="175"/>
      <c r="D15" s="176" t="s">
        <v>90</v>
      </c>
      <c r="E15" s="176"/>
      <c r="F15" s="177">
        <f>'SEMAD e AGEHAB TOTALIZADOR'!B5</f>
        <v>17</v>
      </c>
      <c r="H15" s="150"/>
    </row>
    <row r="16" customFormat="1" ht="16.5" spans="1:11">
      <c r="A16" s="173"/>
      <c r="B16" s="154"/>
      <c r="C16" s="154"/>
      <c r="D16" s="154"/>
      <c r="E16" s="154"/>
      <c r="F16" s="174"/>
      <c r="G16" s="158"/>
      <c r="H16" s="150"/>
    </row>
    <row r="17" s="150" customFormat="1" ht="14.25" spans="1:9">
      <c r="A17" s="167" t="s">
        <v>140</v>
      </c>
      <c r="B17" s="167"/>
      <c r="C17" s="167"/>
      <c r="D17" s="167"/>
      <c r="E17" s="167"/>
      <c r="F17" s="168"/>
    </row>
    <row r="18" ht="14.25" spans="1:9">
      <c r="A18" s="167" t="s">
        <v>141</v>
      </c>
      <c r="B18" s="167"/>
      <c r="C18" s="167"/>
      <c r="D18" s="167"/>
      <c r="E18" s="167"/>
      <c r="F18" s="168"/>
      <c r="G18" s="150"/>
      <c r="H18" s="150"/>
    </row>
    <row r="19" ht="14.25" spans="1:9">
      <c r="A19" s="167">
        <v>1</v>
      </c>
      <c r="B19" s="178" t="s">
        <v>142</v>
      </c>
      <c r="C19" s="179"/>
      <c r="D19" s="179"/>
      <c r="E19" s="180"/>
      <c r="F19" s="181" t="s">
        <v>143</v>
      </c>
    </row>
    <row r="20" ht="16.5" spans="1:9">
      <c r="A20" s="182">
        <v>2</v>
      </c>
      <c r="B20" s="183" t="s">
        <v>144</v>
      </c>
      <c r="C20" s="184"/>
      <c r="D20" s="184"/>
      <c r="E20" s="185"/>
      <c r="F20" s="186" t="s">
        <v>145</v>
      </c>
      <c r="G20" s="187"/>
      <c r="H20" s="188"/>
      <c r="I20" s="188"/>
    </row>
    <row r="21" ht="14.25" spans="1:9">
      <c r="A21" s="167">
        <v>3</v>
      </c>
      <c r="B21" s="178" t="s">
        <v>146</v>
      </c>
      <c r="C21" s="179"/>
      <c r="D21" s="179"/>
      <c r="E21" s="180"/>
      <c r="F21" s="189">
        <f>RAIZ_DADOS!D5</f>
        <v>1651</v>
      </c>
    </row>
    <row r="22" ht="14.25" spans="1:9">
      <c r="A22" s="167">
        <v>4</v>
      </c>
      <c r="B22" s="178" t="s">
        <v>147</v>
      </c>
      <c r="C22" s="179"/>
      <c r="D22" s="179"/>
      <c r="E22" s="180"/>
      <c r="F22" s="181" t="s">
        <v>62</v>
      </c>
    </row>
    <row r="23" ht="14.25" spans="1:9">
      <c r="A23" s="167">
        <v>5</v>
      </c>
      <c r="B23" s="178" t="s">
        <v>148</v>
      </c>
      <c r="C23" s="179"/>
      <c r="D23" s="179"/>
      <c r="E23" s="180"/>
      <c r="F23" s="181" t="s">
        <v>149</v>
      </c>
    </row>
    <row r="24" ht="14.25" spans="1:9">
      <c r="A24" s="173"/>
      <c r="B24" s="154"/>
      <c r="C24" s="154"/>
      <c r="D24" s="154"/>
      <c r="E24" s="154"/>
      <c r="F24" s="174"/>
    </row>
    <row r="25" ht="14.25" spans="1:9">
      <c r="A25" s="190" t="s">
        <v>150</v>
      </c>
      <c r="B25" s="191"/>
      <c r="C25" s="191"/>
      <c r="D25" s="191"/>
      <c r="E25" s="191"/>
      <c r="F25" s="192"/>
    </row>
    <row r="26" ht="14.25" spans="1:9">
      <c r="A26" s="193">
        <v>1</v>
      </c>
      <c r="B26" s="190" t="s">
        <v>151</v>
      </c>
      <c r="C26" s="191"/>
      <c r="D26" s="194"/>
      <c r="E26" s="193"/>
      <c r="F26" s="195" t="s">
        <v>152</v>
      </c>
    </row>
    <row r="27" ht="14.25" spans="1:9">
      <c r="A27" s="193" t="s">
        <v>153</v>
      </c>
      <c r="B27" s="196" t="s">
        <v>154</v>
      </c>
      <c r="C27" s="197"/>
      <c r="D27" s="198"/>
      <c r="E27" s="199" t="s">
        <v>73</v>
      </c>
      <c r="F27" s="200">
        <f>(F21/44)*30</f>
        <v>1125.68</v>
      </c>
      <c r="H27" s="201"/>
    </row>
    <row r="28" ht="14.25" spans="1:9">
      <c r="A28" s="193" t="s">
        <v>155</v>
      </c>
      <c r="B28" s="196" t="s">
        <v>156</v>
      </c>
      <c r="C28" s="197"/>
      <c r="D28" s="198"/>
      <c r="E28" s="199"/>
      <c r="F28" s="200"/>
    </row>
    <row r="29" ht="14.25" spans="1:9">
      <c r="A29" s="193" t="s">
        <v>157</v>
      </c>
      <c r="B29" s="196" t="s">
        <v>158</v>
      </c>
      <c r="C29" s="197"/>
      <c r="D29" s="198"/>
      <c r="E29" s="202">
        <f>RAIZ_DADOS!D29</f>
        <v>0.2</v>
      </c>
      <c r="F29" s="200">
        <f>E29*RAIZ_DADOS!D28</f>
        <v>330.2</v>
      </c>
    </row>
    <row r="30" ht="14.25" spans="1:9">
      <c r="A30" s="193" t="s">
        <v>159</v>
      </c>
      <c r="B30" s="196" t="s">
        <v>160</v>
      </c>
      <c r="C30" s="197"/>
      <c r="D30" s="198"/>
      <c r="E30" s="199"/>
      <c r="F30" s="200"/>
    </row>
    <row r="31" ht="14.25" spans="1:9">
      <c r="A31" s="193" t="s">
        <v>161</v>
      </c>
      <c r="B31" s="196" t="s">
        <v>162</v>
      </c>
      <c r="C31" s="197"/>
      <c r="D31" s="198"/>
      <c r="E31" s="199"/>
      <c r="F31" s="200"/>
    </row>
    <row r="32" ht="14.25" spans="1:9">
      <c r="A32" s="193" t="s">
        <v>163</v>
      </c>
      <c r="B32" s="196" t="s">
        <v>164</v>
      </c>
      <c r="C32" s="197"/>
      <c r="D32" s="198"/>
      <c r="E32" s="199"/>
      <c r="F32" s="200"/>
    </row>
    <row r="33" ht="14.25" spans="1:8">
      <c r="A33" s="203" t="s">
        <v>71</v>
      </c>
      <c r="B33" s="204"/>
      <c r="C33" s="204"/>
      <c r="D33" s="205"/>
      <c r="E33" s="206"/>
      <c r="F33" s="207">
        <f>SUM(F27:F32)</f>
        <v>1455.88</v>
      </c>
    </row>
    <row r="34" ht="14.25" spans="1:8">
      <c r="A34" s="208"/>
      <c r="B34" s="209"/>
      <c r="C34" s="209"/>
      <c r="D34" s="209"/>
      <c r="E34" s="209"/>
      <c r="F34" s="210"/>
    </row>
    <row r="35" ht="14.25" spans="1:8">
      <c r="A35" s="193" t="s">
        <v>165</v>
      </c>
      <c r="B35" s="193"/>
      <c r="C35" s="193"/>
      <c r="D35" s="193"/>
      <c r="E35" s="193"/>
      <c r="F35" s="211"/>
    </row>
    <row r="36" ht="14.25" spans="1:8">
      <c r="A36" s="193" t="s">
        <v>166</v>
      </c>
      <c r="B36" s="193"/>
      <c r="C36" s="193"/>
      <c r="D36" s="193"/>
      <c r="E36" s="193"/>
      <c r="F36" s="211"/>
      <c r="H36" s="212"/>
    </row>
    <row r="37" ht="14.25" spans="1:8">
      <c r="A37" s="193" t="s">
        <v>167</v>
      </c>
      <c r="B37" s="190" t="s">
        <v>168</v>
      </c>
      <c r="C37" s="191"/>
      <c r="D37" s="194"/>
      <c r="E37" s="193" t="s">
        <v>169</v>
      </c>
      <c r="F37" s="195" t="s">
        <v>152</v>
      </c>
    </row>
    <row r="38" ht="14.25" spans="1:8">
      <c r="A38" s="193" t="s">
        <v>153</v>
      </c>
      <c r="B38" s="196" t="s">
        <v>170</v>
      </c>
      <c r="C38" s="197"/>
      <c r="D38" s="198"/>
      <c r="E38" s="213">
        <f>1/12</f>
        <v>0.0833</v>
      </c>
      <c r="F38" s="200">
        <f>F33*E38</f>
        <v>121.27</v>
      </c>
    </row>
    <row r="39" ht="14.25" spans="1:8">
      <c r="A39" s="193" t="s">
        <v>155</v>
      </c>
      <c r="B39" s="196" t="s">
        <v>171</v>
      </c>
      <c r="C39" s="197"/>
      <c r="D39" s="198"/>
      <c r="E39" s="213">
        <f>(1/12)+(1/3)/12</f>
        <v>0.1111</v>
      </c>
      <c r="F39" s="200">
        <f>F33*E39</f>
        <v>161.75</v>
      </c>
    </row>
    <row r="40" ht="14.25" spans="1:8">
      <c r="A40" s="214" t="s">
        <v>71</v>
      </c>
      <c r="B40" s="215"/>
      <c r="C40" s="215"/>
      <c r="D40" s="216"/>
      <c r="E40" s="217">
        <f>SUM(E38:E39)</f>
        <v>0.1944</v>
      </c>
      <c r="F40" s="218">
        <f>SUM(F38:F39)</f>
        <v>283.02</v>
      </c>
    </row>
    <row r="41" ht="14.25" spans="1:8">
      <c r="A41" s="193" t="s">
        <v>157</v>
      </c>
      <c r="B41" s="196" t="s">
        <v>172</v>
      </c>
      <c r="C41" s="197"/>
      <c r="D41" s="198"/>
      <c r="E41" s="213">
        <f>E40*E53</f>
        <v>0.0774</v>
      </c>
      <c r="F41" s="218">
        <f>E41*F33</f>
        <v>112.69</v>
      </c>
    </row>
    <row r="42" ht="14.25" spans="1:8">
      <c r="A42" s="203" t="s">
        <v>71</v>
      </c>
      <c r="B42" s="204"/>
      <c r="C42" s="204"/>
      <c r="D42" s="205"/>
      <c r="E42" s="219">
        <f>SUM(E40:E41)</f>
        <v>0.2718</v>
      </c>
      <c r="F42" s="207">
        <f>SUM(F40:F41)</f>
        <v>395.71</v>
      </c>
      <c r="H42" s="212"/>
    </row>
    <row r="43" ht="14.25" spans="1:8">
      <c r="A43" s="193" t="s">
        <v>173</v>
      </c>
      <c r="B43" s="193"/>
      <c r="C43" s="193"/>
      <c r="D43" s="193"/>
      <c r="E43" s="193"/>
      <c r="F43" s="211"/>
    </row>
    <row r="44" ht="14.25" spans="1:8">
      <c r="A44" s="193" t="s">
        <v>174</v>
      </c>
      <c r="B44" s="190" t="s">
        <v>175</v>
      </c>
      <c r="C44" s="191"/>
      <c r="D44" s="194"/>
      <c r="E44" s="193" t="s">
        <v>169</v>
      </c>
      <c r="F44" s="195" t="s">
        <v>152</v>
      </c>
    </row>
    <row r="45" ht="14.25" spans="1:8">
      <c r="A45" s="193" t="s">
        <v>153</v>
      </c>
      <c r="B45" s="196" t="s">
        <v>176</v>
      </c>
      <c r="C45" s="197"/>
      <c r="D45" s="198"/>
      <c r="E45" s="213">
        <v>0.2</v>
      </c>
      <c r="F45" s="200">
        <f t="shared" ref="F45:F52" si="0">E45*F$33</f>
        <v>291.18</v>
      </c>
    </row>
    <row r="46" ht="14.25" spans="1:8">
      <c r="A46" s="193" t="s">
        <v>155</v>
      </c>
      <c r="B46" s="196" t="s">
        <v>177</v>
      </c>
      <c r="C46" s="197"/>
      <c r="D46" s="198"/>
      <c r="E46" s="213">
        <v>0.025</v>
      </c>
      <c r="F46" s="200">
        <f t="shared" si="0"/>
        <v>36.4</v>
      </c>
      <c r="G46" s="152"/>
      <c r="H46" s="220"/>
    </row>
    <row r="47" ht="14.25" spans="1:8">
      <c r="A47" s="193" t="s">
        <v>157</v>
      </c>
      <c r="B47" s="196" t="s">
        <v>178</v>
      </c>
      <c r="C47" s="197"/>
      <c r="D47" s="198"/>
      <c r="E47" s="221">
        <f>(2*3)/100</f>
        <v>0.06</v>
      </c>
      <c r="F47" s="200">
        <f t="shared" si="0"/>
        <v>87.35</v>
      </c>
      <c r="G47" s="222"/>
      <c r="H47" s="222"/>
    </row>
    <row r="48" ht="14.25" spans="1:8">
      <c r="A48" s="193" t="s">
        <v>159</v>
      </c>
      <c r="B48" s="196" t="s">
        <v>179</v>
      </c>
      <c r="C48" s="197"/>
      <c r="D48" s="198"/>
      <c r="E48" s="213">
        <v>0.015</v>
      </c>
      <c r="F48" s="200">
        <f t="shared" si="0"/>
        <v>21.84</v>
      </c>
    </row>
    <row r="49" ht="14.25" spans="1:8">
      <c r="A49" s="193" t="s">
        <v>161</v>
      </c>
      <c r="B49" s="196" t="s">
        <v>180</v>
      </c>
      <c r="C49" s="197"/>
      <c r="D49" s="198"/>
      <c r="E49" s="213">
        <v>0.01</v>
      </c>
      <c r="F49" s="200">
        <f t="shared" si="0"/>
        <v>14.56</v>
      </c>
    </row>
    <row r="50" ht="14.25" spans="1:8">
      <c r="A50" s="193" t="s">
        <v>163</v>
      </c>
      <c r="B50" s="196" t="s">
        <v>181</v>
      </c>
      <c r="C50" s="197"/>
      <c r="D50" s="198"/>
      <c r="E50" s="213">
        <v>0.006</v>
      </c>
      <c r="F50" s="200">
        <f t="shared" si="0"/>
        <v>8.74</v>
      </c>
    </row>
    <row r="51" ht="14.25" spans="1:8">
      <c r="A51" s="193" t="s">
        <v>182</v>
      </c>
      <c r="B51" s="196" t="s">
        <v>183</v>
      </c>
      <c r="C51" s="197"/>
      <c r="D51" s="198"/>
      <c r="E51" s="213">
        <v>0.002</v>
      </c>
      <c r="F51" s="200">
        <f t="shared" si="0"/>
        <v>2.91</v>
      </c>
    </row>
    <row r="52" ht="14.25" spans="1:8">
      <c r="A52" s="193" t="s">
        <v>184</v>
      </c>
      <c r="B52" s="196" t="s">
        <v>185</v>
      </c>
      <c r="C52" s="197"/>
      <c r="D52" s="198"/>
      <c r="E52" s="213">
        <v>0.08</v>
      </c>
      <c r="F52" s="200">
        <f t="shared" si="0"/>
        <v>116.47</v>
      </c>
    </row>
    <row r="53" ht="14.25" spans="1:8">
      <c r="A53" s="203" t="s">
        <v>186</v>
      </c>
      <c r="B53" s="204"/>
      <c r="C53" s="204"/>
      <c r="D53" s="205"/>
      <c r="E53" s="219">
        <f>SUM(E45:E52)</f>
        <v>0.398</v>
      </c>
      <c r="F53" s="207">
        <f>SUM(F45:F52)</f>
        <v>579.45</v>
      </c>
    </row>
    <row r="54" ht="14.25" spans="1:8">
      <c r="A54" s="190" t="s">
        <v>187</v>
      </c>
      <c r="B54" s="191"/>
      <c r="C54" s="191"/>
      <c r="D54" s="191"/>
      <c r="E54" s="191"/>
      <c r="F54" s="192"/>
    </row>
    <row r="55" ht="14.25" spans="1:8">
      <c r="A55" s="193" t="s">
        <v>188</v>
      </c>
      <c r="B55" s="190" t="s">
        <v>189</v>
      </c>
      <c r="C55" s="191"/>
      <c r="D55" s="194"/>
      <c r="E55" s="193"/>
      <c r="F55" s="195" t="s">
        <v>152</v>
      </c>
    </row>
    <row r="56" ht="14.25" spans="1:8">
      <c r="A56" s="193" t="s">
        <v>153</v>
      </c>
      <c r="B56" s="196" t="s">
        <v>190</v>
      </c>
      <c r="C56" s="197"/>
      <c r="D56" s="198"/>
      <c r="E56" s="199"/>
      <c r="F56" s="200">
        <f>((E57*E58)*E59)-(6%*F27)</f>
        <v>64.46</v>
      </c>
      <c r="H56" s="161"/>
    </row>
    <row r="57" ht="14.25" spans="1:8">
      <c r="A57" s="193"/>
      <c r="B57" s="196" t="s">
        <v>191</v>
      </c>
      <c r="C57" s="197"/>
      <c r="D57" s="198"/>
      <c r="E57" s="223">
        <f>RAIZ_DADOS!D30</f>
        <v>3</v>
      </c>
      <c r="F57" s="181" t="s">
        <v>52</v>
      </c>
      <c r="H57" s="161"/>
    </row>
    <row r="58" ht="14.25" spans="1:8">
      <c r="A58" s="193"/>
      <c r="B58" s="196" t="s">
        <v>192</v>
      </c>
      <c r="C58" s="197"/>
      <c r="D58" s="198"/>
      <c r="E58" s="224">
        <f>RAIZ_DADOS!D33</f>
        <v>2</v>
      </c>
      <c r="F58" s="181" t="s">
        <v>52</v>
      </c>
      <c r="H58" s="161"/>
    </row>
    <row r="59" ht="14.25" spans="1:8">
      <c r="A59" s="193"/>
      <c r="B59" s="196" t="s">
        <v>193</v>
      </c>
      <c r="C59" s="197"/>
      <c r="D59" s="198"/>
      <c r="E59" s="224">
        <f>RAIZ_DADOS!D32</f>
        <v>22</v>
      </c>
      <c r="F59" s="181" t="s">
        <v>52</v>
      </c>
      <c r="H59" s="161"/>
    </row>
    <row r="60" ht="14.25" spans="1:8">
      <c r="A60" s="193" t="s">
        <v>155</v>
      </c>
      <c r="B60" s="196" t="s">
        <v>194</v>
      </c>
      <c r="C60" s="197"/>
      <c r="D60" s="198"/>
      <c r="E60" s="199"/>
      <c r="F60" s="200">
        <f>RAIZ_DADOS!D6</f>
        <v>400</v>
      </c>
      <c r="H60" s="161"/>
    </row>
    <row r="61" ht="14.25" spans="1:8">
      <c r="A61" s="193" t="s">
        <v>157</v>
      </c>
      <c r="B61" s="196" t="s">
        <v>34</v>
      </c>
      <c r="C61" s="197"/>
      <c r="D61" s="198"/>
      <c r="E61" s="199"/>
      <c r="F61" s="200">
        <f>RAIZ_DADOS!D23</f>
        <v>14.66</v>
      </c>
      <c r="H61" s="161"/>
    </row>
    <row r="62" ht="14.25" spans="1:8">
      <c r="A62" s="193" t="s">
        <v>159</v>
      </c>
      <c r="B62" s="196" t="s">
        <v>195</v>
      </c>
      <c r="C62" s="197"/>
      <c r="D62" s="198"/>
      <c r="E62" s="199"/>
      <c r="F62" s="200">
        <f>RAIZ_DADOS!D24</f>
        <v>6.4</v>
      </c>
      <c r="H62" s="161"/>
    </row>
    <row r="63" ht="14.25" spans="1:8">
      <c r="A63" s="193" t="s">
        <v>161</v>
      </c>
      <c r="B63" s="225" t="s">
        <v>196</v>
      </c>
      <c r="C63" s="226"/>
      <c r="D63" s="227"/>
      <c r="E63" s="228"/>
      <c r="F63" s="229">
        <v>0</v>
      </c>
      <c r="H63" s="230"/>
    </row>
    <row r="64" ht="14.25" spans="1:8">
      <c r="A64" s="193" t="s">
        <v>163</v>
      </c>
      <c r="B64" s="225" t="s">
        <v>197</v>
      </c>
      <c r="C64" s="226"/>
      <c r="D64" s="227"/>
      <c r="E64" s="228"/>
      <c r="F64" s="229">
        <f>RAIZ_DADOS!D7</f>
        <v>130</v>
      </c>
      <c r="H64" s="230"/>
    </row>
    <row r="65" s="152" customFormat="1" ht="14.25" spans="1:10">
      <c r="A65" s="203" t="s">
        <v>71</v>
      </c>
      <c r="B65" s="204"/>
      <c r="C65" s="204"/>
      <c r="D65" s="205"/>
      <c r="E65" s="231"/>
      <c r="F65" s="207">
        <f>SUM(F56:F64)</f>
        <v>615.52</v>
      </c>
      <c r="G65" s="158"/>
      <c r="H65" s="158"/>
    </row>
    <row r="66" ht="14.25" spans="1:10">
      <c r="A66" s="190" t="s">
        <v>198</v>
      </c>
      <c r="B66" s="191"/>
      <c r="C66" s="191"/>
      <c r="D66" s="191"/>
      <c r="E66" s="191"/>
      <c r="F66" s="192"/>
    </row>
    <row r="67" ht="14.25" spans="1:10">
      <c r="A67" s="193">
        <v>2</v>
      </c>
      <c r="B67" s="190" t="s">
        <v>199</v>
      </c>
      <c r="C67" s="191"/>
      <c r="D67" s="194"/>
      <c r="E67" s="193"/>
      <c r="F67" s="195" t="s">
        <v>152</v>
      </c>
    </row>
    <row r="68" ht="14.25" spans="1:10">
      <c r="A68" s="193" t="s">
        <v>167</v>
      </c>
      <c r="B68" s="196" t="s">
        <v>168</v>
      </c>
      <c r="C68" s="197"/>
      <c r="D68" s="198"/>
      <c r="E68" s="232"/>
      <c r="F68" s="200">
        <f>F40</f>
        <v>283.02</v>
      </c>
      <c r="G68" s="153"/>
      <c r="H68" s="153"/>
    </row>
    <row r="69" ht="14.25" spans="1:10">
      <c r="A69" s="193" t="s">
        <v>174</v>
      </c>
      <c r="B69" s="196" t="s">
        <v>200</v>
      </c>
      <c r="C69" s="197"/>
      <c r="D69" s="198"/>
      <c r="E69" s="233"/>
      <c r="F69" s="200">
        <f>F53+F41</f>
        <v>692.14</v>
      </c>
      <c r="G69" s="153"/>
      <c r="H69" s="153"/>
    </row>
    <row r="70" ht="14.25" spans="1:10">
      <c r="A70" s="193" t="s">
        <v>188</v>
      </c>
      <c r="B70" s="196" t="s">
        <v>189</v>
      </c>
      <c r="C70" s="197"/>
      <c r="D70" s="198"/>
      <c r="E70" s="234"/>
      <c r="F70" s="200">
        <f>F65</f>
        <v>615.52</v>
      </c>
      <c r="G70" s="153"/>
      <c r="H70" s="153"/>
    </row>
    <row r="71" ht="14.25" spans="1:10">
      <c r="A71" s="203" t="s">
        <v>71</v>
      </c>
      <c r="B71" s="204"/>
      <c r="C71" s="204"/>
      <c r="D71" s="205"/>
      <c r="E71" s="206"/>
      <c r="F71" s="207">
        <f>SUM(F68:F70)</f>
        <v>1590.68</v>
      </c>
      <c r="J71" s="235"/>
    </row>
    <row r="72" ht="14.25"/>
    <row r="73" ht="14.25" spans="1:10">
      <c r="A73" s="193" t="s">
        <v>201</v>
      </c>
      <c r="B73" s="193"/>
      <c r="C73" s="193"/>
      <c r="D73" s="193"/>
      <c r="E73" s="193"/>
      <c r="F73" s="211"/>
    </row>
    <row r="74" ht="14.25" spans="1:10">
      <c r="A74" s="193">
        <v>3</v>
      </c>
      <c r="B74" s="190" t="s">
        <v>202</v>
      </c>
      <c r="C74" s="191"/>
      <c r="D74" s="194"/>
      <c r="E74" s="193" t="s">
        <v>169</v>
      </c>
      <c r="F74" s="195" t="s">
        <v>152</v>
      </c>
    </row>
    <row r="75" ht="14.25" spans="1:10">
      <c r="A75" s="193" t="s">
        <v>153</v>
      </c>
      <c r="B75" s="196" t="s">
        <v>203</v>
      </c>
      <c r="C75" s="197"/>
      <c r="D75" s="198"/>
      <c r="E75" s="232">
        <f>(1/12)*5%</f>
        <v>0.0042</v>
      </c>
      <c r="F75" s="200">
        <f>E75*F33</f>
        <v>6.11</v>
      </c>
    </row>
    <row r="76" ht="14.25" spans="1:10">
      <c r="A76" s="193" t="s">
        <v>155</v>
      </c>
      <c r="B76" s="196" t="s">
        <v>204</v>
      </c>
      <c r="C76" s="197"/>
      <c r="D76" s="198"/>
      <c r="E76" s="232">
        <f>E75*E52</f>
        <v>0.0003</v>
      </c>
      <c r="F76" s="200">
        <f>E76*F33</f>
        <v>0.44</v>
      </c>
      <c r="G76" s="236"/>
    </row>
    <row r="77" ht="14.25" spans="1:10">
      <c r="A77" s="193" t="s">
        <v>157</v>
      </c>
      <c r="B77" s="196" t="s">
        <v>205</v>
      </c>
      <c r="C77" s="197"/>
      <c r="D77" s="198"/>
      <c r="E77" s="232">
        <f>((8%*(40%)*90%)*(1+5/56+5/56+(1/3*5/56)))</f>
        <v>0.0348</v>
      </c>
      <c r="F77" s="200">
        <f>E77*(F33+F40)</f>
        <v>60.51</v>
      </c>
      <c r="G77" s="236"/>
      <c r="H77" s="237"/>
    </row>
    <row r="78" ht="14.25" spans="1:10">
      <c r="A78" s="193" t="s">
        <v>159</v>
      </c>
      <c r="B78" s="196" t="s">
        <v>206</v>
      </c>
      <c r="C78" s="197"/>
      <c r="D78" s="198"/>
      <c r="E78" s="232">
        <f>((7/30)/12)</f>
        <v>0.0194</v>
      </c>
      <c r="F78" s="200">
        <f>E78*F33</f>
        <v>28.24</v>
      </c>
      <c r="G78" s="153"/>
      <c r="H78" s="153"/>
    </row>
    <row r="79" ht="14.25" spans="1:10">
      <c r="A79" s="193" t="s">
        <v>161</v>
      </c>
      <c r="B79" s="196" t="s">
        <v>207</v>
      </c>
      <c r="C79" s="197"/>
      <c r="D79" s="198"/>
      <c r="E79" s="232">
        <f>E78*E53</f>
        <v>0.0077</v>
      </c>
      <c r="F79" s="200">
        <f>E79*F33</f>
        <v>11.21</v>
      </c>
    </row>
    <row r="80" ht="14.25" spans="1:10">
      <c r="A80" s="193" t="s">
        <v>163</v>
      </c>
      <c r="B80" s="196" t="s">
        <v>208</v>
      </c>
      <c r="C80" s="197"/>
      <c r="D80" s="198"/>
      <c r="E80" s="232">
        <f>(40%*8%*E78)</f>
        <v>0.0006</v>
      </c>
      <c r="F80" s="200">
        <f>E80*F33</f>
        <v>0.87</v>
      </c>
    </row>
    <row r="81" ht="14.25" spans="1:10">
      <c r="A81" s="203" t="s">
        <v>71</v>
      </c>
      <c r="B81" s="204"/>
      <c r="C81" s="204"/>
      <c r="D81" s="205"/>
      <c r="E81" s="238"/>
      <c r="F81" s="207">
        <f>SUM(F75:F80)</f>
        <v>107.38</v>
      </c>
      <c r="J81" s="235"/>
    </row>
    <row r="82" s="153" customFormat="1" ht="14.25" spans="1:10">
      <c r="A82" s="156"/>
      <c r="B82" s="126"/>
      <c r="C82" s="126"/>
      <c r="D82" s="126"/>
      <c r="E82" s="126"/>
      <c r="F82" s="157"/>
      <c r="G82" s="158"/>
      <c r="H82" s="158"/>
    </row>
    <row r="83" s="153" customFormat="1" ht="14.25" spans="1:10">
      <c r="A83" s="190" t="s">
        <v>209</v>
      </c>
      <c r="B83" s="191"/>
      <c r="C83" s="191"/>
      <c r="D83" s="191"/>
      <c r="E83" s="191"/>
      <c r="F83" s="192"/>
      <c r="G83" s="158"/>
      <c r="H83" s="158"/>
    </row>
    <row r="84" ht="14.25" spans="1:10">
      <c r="A84" s="190" t="s">
        <v>210</v>
      </c>
      <c r="B84" s="191"/>
      <c r="C84" s="191"/>
      <c r="D84" s="191"/>
      <c r="E84" s="191"/>
      <c r="F84" s="192"/>
    </row>
    <row r="85" ht="14.25" spans="1:10">
      <c r="A85" s="193" t="s">
        <v>211</v>
      </c>
      <c r="B85" s="190" t="s">
        <v>212</v>
      </c>
      <c r="C85" s="191"/>
      <c r="D85" s="194"/>
      <c r="E85" s="193" t="s">
        <v>169</v>
      </c>
      <c r="F85" s="195" t="s">
        <v>152</v>
      </c>
    </row>
    <row r="86" ht="14.25" spans="1:10">
      <c r="A86" s="193" t="s">
        <v>153</v>
      </c>
      <c r="B86" s="196" t="s">
        <v>213</v>
      </c>
      <c r="C86" s="197"/>
      <c r="D86" s="198"/>
      <c r="E86" s="232">
        <f>(1/12)</f>
        <v>0.0833</v>
      </c>
      <c r="F86" s="200">
        <f t="shared" ref="F86:F91" si="1">E86*F$33</f>
        <v>121.27</v>
      </c>
      <c r="G86" s="264"/>
    </row>
    <row r="87" ht="14.25" spans="1:10">
      <c r="A87" s="193" t="s">
        <v>155</v>
      </c>
      <c r="B87" s="196" t="s">
        <v>212</v>
      </c>
      <c r="C87" s="197"/>
      <c r="D87" s="198"/>
      <c r="E87" s="232">
        <f>(1/30)/12</f>
        <v>0.0028</v>
      </c>
      <c r="F87" s="200">
        <f t="shared" si="1"/>
        <v>4.08</v>
      </c>
    </row>
    <row r="88" ht="14.25" spans="1:10">
      <c r="A88" s="193" t="s">
        <v>157</v>
      </c>
      <c r="B88" s="196" t="s">
        <v>214</v>
      </c>
      <c r="C88" s="197"/>
      <c r="D88" s="198"/>
      <c r="E88" s="232">
        <f>((5/30)/12)*1.5%</f>
        <v>0.0002</v>
      </c>
      <c r="F88" s="200">
        <f t="shared" si="1"/>
        <v>0.29</v>
      </c>
    </row>
    <row r="89" ht="14.25" spans="1:10">
      <c r="A89" s="193" t="s">
        <v>159</v>
      </c>
      <c r="B89" s="196" t="s">
        <v>215</v>
      </c>
      <c r="C89" s="197"/>
      <c r="D89" s="198"/>
      <c r="E89" s="232">
        <f>((15/365)*8%)</f>
        <v>0.0033</v>
      </c>
      <c r="F89" s="200">
        <f t="shared" si="1"/>
        <v>4.8</v>
      </c>
    </row>
    <row r="90" ht="14.25" spans="1:10">
      <c r="A90" s="193" t="s">
        <v>161</v>
      </c>
      <c r="B90" s="196" t="s">
        <v>216</v>
      </c>
      <c r="C90" s="197"/>
      <c r="D90" s="198"/>
      <c r="E90" s="232">
        <f>(11.11%*2%*(4/12))</f>
        <v>0.0007</v>
      </c>
      <c r="F90" s="200">
        <f t="shared" si="1"/>
        <v>1.02</v>
      </c>
    </row>
    <row r="91" ht="14.25" spans="1:10">
      <c r="A91" s="193" t="s">
        <v>163</v>
      </c>
      <c r="B91" s="196" t="s">
        <v>217</v>
      </c>
      <c r="C91" s="197"/>
      <c r="D91" s="198"/>
      <c r="E91" s="232"/>
      <c r="F91" s="200">
        <f t="shared" si="1"/>
        <v>0</v>
      </c>
    </row>
    <row r="92" s="153" customFormat="1" ht="14.25" spans="1:10">
      <c r="A92" s="203" t="s">
        <v>186</v>
      </c>
      <c r="B92" s="204"/>
      <c r="C92" s="204"/>
      <c r="D92" s="205"/>
      <c r="E92" s="238"/>
      <c r="F92" s="207">
        <f>SUM(F86:F91)</f>
        <v>131.46</v>
      </c>
      <c r="G92" s="158"/>
      <c r="H92" s="158"/>
      <c r="J92" s="235"/>
    </row>
    <row r="93" ht="14.25" spans="1:10">
      <c r="A93" s="190" t="s">
        <v>218</v>
      </c>
      <c r="B93" s="191"/>
      <c r="C93" s="191"/>
      <c r="D93" s="191"/>
      <c r="E93" s="191"/>
      <c r="F93" s="192"/>
    </row>
    <row r="94" ht="14.25" spans="1:10">
      <c r="A94" s="193" t="s">
        <v>219</v>
      </c>
      <c r="B94" s="190" t="s">
        <v>220</v>
      </c>
      <c r="C94" s="191"/>
      <c r="D94" s="194"/>
      <c r="E94" s="193"/>
      <c r="F94" s="195" t="s">
        <v>152</v>
      </c>
    </row>
    <row r="95" ht="14.25" spans="1:10">
      <c r="A95" s="193" t="s">
        <v>153</v>
      </c>
      <c r="B95" s="196" t="s">
        <v>221</v>
      </c>
      <c r="C95" s="197"/>
      <c r="D95" s="198"/>
      <c r="E95" s="199"/>
      <c r="F95" s="200">
        <v>0</v>
      </c>
    </row>
    <row r="96" ht="14.25" spans="1:10">
      <c r="A96" s="203" t="s">
        <v>71</v>
      </c>
      <c r="B96" s="204"/>
      <c r="C96" s="204"/>
      <c r="D96" s="205"/>
      <c r="E96" s="206"/>
      <c r="F96" s="207">
        <f>SUM(F95:F95)</f>
        <v>0</v>
      </c>
    </row>
    <row r="97" ht="14.25" spans="1:10">
      <c r="A97" s="190" t="s">
        <v>222</v>
      </c>
      <c r="B97" s="191"/>
      <c r="C97" s="191"/>
      <c r="D97" s="191"/>
      <c r="E97" s="191"/>
      <c r="F97" s="192"/>
    </row>
    <row r="98" ht="14.25" spans="1:10">
      <c r="A98" s="193">
        <v>4</v>
      </c>
      <c r="B98" s="190" t="s">
        <v>223</v>
      </c>
      <c r="C98" s="191"/>
      <c r="D98" s="194"/>
      <c r="E98" s="193"/>
      <c r="F98" s="195" t="s">
        <v>152</v>
      </c>
    </row>
    <row r="99" ht="14.25" spans="1:10">
      <c r="A99" s="193" t="s">
        <v>211</v>
      </c>
      <c r="B99" s="196" t="s">
        <v>212</v>
      </c>
      <c r="C99" s="197"/>
      <c r="D99" s="198"/>
      <c r="E99" s="199"/>
      <c r="F99" s="200">
        <f>F92</f>
        <v>131.46</v>
      </c>
    </row>
    <row r="100" ht="14.25" spans="1:10">
      <c r="A100" s="193" t="s">
        <v>219</v>
      </c>
      <c r="B100" s="196" t="s">
        <v>220</v>
      </c>
      <c r="C100" s="197"/>
      <c r="D100" s="198"/>
      <c r="E100" s="199"/>
      <c r="F100" s="200">
        <f>F96</f>
        <v>0</v>
      </c>
    </row>
    <row r="101" ht="14.25" spans="1:10">
      <c r="A101" s="203" t="s">
        <v>71</v>
      </c>
      <c r="B101" s="204"/>
      <c r="C101" s="204"/>
      <c r="D101" s="205"/>
      <c r="E101" s="206"/>
      <c r="F101" s="207">
        <f>SUM(F99:F100)</f>
        <v>131.46</v>
      </c>
      <c r="J101" s="235"/>
    </row>
    <row r="102" ht="14.25"/>
    <row r="103" ht="14.25" spans="1:10">
      <c r="A103" s="190" t="s">
        <v>224</v>
      </c>
      <c r="B103" s="191"/>
      <c r="C103" s="191"/>
      <c r="D103" s="191"/>
      <c r="E103" s="191"/>
      <c r="F103" s="192"/>
    </row>
    <row r="104" ht="14.25" spans="1:10">
      <c r="A104" s="193">
        <v>5</v>
      </c>
      <c r="B104" s="190" t="s">
        <v>225</v>
      </c>
      <c r="C104" s="191"/>
      <c r="D104" s="191"/>
      <c r="E104" s="194"/>
      <c r="F104" s="195" t="s">
        <v>152</v>
      </c>
    </row>
    <row r="105" ht="14.25" spans="1:10">
      <c r="A105" s="239" t="s">
        <v>153</v>
      </c>
      <c r="B105" s="196" t="s">
        <v>226</v>
      </c>
      <c r="C105" s="197"/>
      <c r="D105" s="197"/>
      <c r="E105" s="198"/>
      <c r="F105" s="200">
        <f>'SEMAD 1_Uniformes_SEMAD'!K17</f>
        <v>47.46</v>
      </c>
      <c r="H105" s="240"/>
    </row>
    <row r="106" ht="14.25" spans="1:10">
      <c r="A106" s="193" t="s">
        <v>155</v>
      </c>
      <c r="B106" s="196" t="s">
        <v>227</v>
      </c>
      <c r="C106" s="197"/>
      <c r="D106" s="197"/>
      <c r="E106" s="198"/>
      <c r="F106" s="200">
        <f>'SEMAD 1_EPI''s_SEMAD'!K17</f>
        <v>31.73</v>
      </c>
    </row>
    <row r="107" ht="14.25" spans="1:10">
      <c r="A107" s="193" t="s">
        <v>157</v>
      </c>
      <c r="B107" s="196" t="s">
        <v>228</v>
      </c>
      <c r="C107" s="197"/>
      <c r="D107" s="197"/>
      <c r="E107" s="198"/>
      <c r="F107" s="200">
        <f>'SEMAD 1_Materiais_SEMAD'!K26</f>
        <v>14.4</v>
      </c>
    </row>
    <row r="108" ht="14.25" spans="1:10">
      <c r="A108" s="193" t="s">
        <v>159</v>
      </c>
      <c r="B108" s="196" t="s">
        <v>229</v>
      </c>
      <c r="C108" s="197"/>
      <c r="D108" s="197"/>
      <c r="E108" s="198"/>
      <c r="F108" s="200">
        <f>'SEMAD 1_Equipamentos_SEMAD'!M30</f>
        <v>33.98</v>
      </c>
      <c r="H108" s="240"/>
    </row>
    <row r="109" ht="14.25" spans="1:10">
      <c r="A109" s="203" t="s">
        <v>186</v>
      </c>
      <c r="B109" s="204"/>
      <c r="C109" s="204"/>
      <c r="D109" s="204"/>
      <c r="E109" s="205"/>
      <c r="F109" s="207">
        <f>SUM(F105:F108)</f>
        <v>127.57</v>
      </c>
      <c r="J109" s="235"/>
    </row>
    <row r="110" ht="14.25"/>
    <row r="111" ht="14.25" spans="1:10">
      <c r="A111" s="193" t="s">
        <v>230</v>
      </c>
      <c r="B111" s="193"/>
      <c r="C111" s="193"/>
      <c r="D111" s="193"/>
      <c r="E111" s="193"/>
      <c r="F111" s="211"/>
    </row>
    <row r="112" ht="14.25" spans="1:10">
      <c r="A112" s="193">
        <v>6</v>
      </c>
      <c r="B112" s="190" t="s">
        <v>231</v>
      </c>
      <c r="C112" s="191"/>
      <c r="D112" s="194"/>
      <c r="E112" s="193" t="s">
        <v>169</v>
      </c>
      <c r="F112" s="195" t="s">
        <v>152</v>
      </c>
    </row>
    <row r="113" ht="14.25" spans="1:10">
      <c r="A113" s="193" t="s">
        <v>153</v>
      </c>
      <c r="B113" s="196" t="s">
        <v>232</v>
      </c>
      <c r="C113" s="197"/>
      <c r="D113" s="198"/>
      <c r="E113" s="232">
        <v>0.05</v>
      </c>
      <c r="F113" s="200">
        <f>E113*F130</f>
        <v>170.65</v>
      </c>
    </row>
    <row r="114" ht="14.25" spans="1:10">
      <c r="A114" s="193" t="s">
        <v>155</v>
      </c>
      <c r="B114" s="196" t="s">
        <v>233</v>
      </c>
      <c r="C114" s="197"/>
      <c r="D114" s="198"/>
      <c r="E114" s="232">
        <v>0.0679</v>
      </c>
      <c r="F114" s="200">
        <f>E114*(F130+F113)</f>
        <v>243.33</v>
      </c>
    </row>
    <row r="115" ht="14.25" spans="1:10">
      <c r="A115" s="193" t="s">
        <v>157</v>
      </c>
      <c r="B115" s="196" t="s">
        <v>234</v>
      </c>
      <c r="C115" s="197"/>
      <c r="D115" s="198"/>
      <c r="E115" s="232">
        <f>SUM(E116:E120)</f>
        <v>0.1425</v>
      </c>
      <c r="F115" s="200"/>
    </row>
    <row r="116" ht="14.25" spans="1:10">
      <c r="A116" s="193"/>
      <c r="B116" s="196" t="s">
        <v>235</v>
      </c>
      <c r="C116" s="197"/>
      <c r="D116" s="198"/>
      <c r="E116" s="232"/>
      <c r="F116" s="200"/>
      <c r="H116" s="241"/>
    </row>
    <row r="117" ht="14.25" spans="1:10">
      <c r="A117" s="193"/>
      <c r="B117" s="196" t="s">
        <v>236</v>
      </c>
      <c r="C117" s="197"/>
      <c r="D117" s="198"/>
      <c r="E117" s="232">
        <v>0.0165</v>
      </c>
      <c r="F117" s="200">
        <f>E117*((F130+F113+F114)/(1-$E$115))</f>
        <v>73.64</v>
      </c>
      <c r="H117" s="242"/>
      <c r="J117" s="243"/>
    </row>
    <row r="118" ht="14.25" spans="1:10">
      <c r="A118" s="193"/>
      <c r="B118" s="196" t="s">
        <v>237</v>
      </c>
      <c r="C118" s="197"/>
      <c r="D118" s="198"/>
      <c r="E118" s="232">
        <v>0.076</v>
      </c>
      <c r="F118" s="200">
        <f>E118*(($F$130+$F$113+$F$114)/(1-$E$115))</f>
        <v>339.18</v>
      </c>
      <c r="H118" s="242"/>
      <c r="J118" s="243"/>
    </row>
    <row r="119" s="154" customFormat="1" ht="14.25" spans="1:10">
      <c r="A119" s="193"/>
      <c r="B119" s="196" t="s">
        <v>238</v>
      </c>
      <c r="C119" s="197"/>
      <c r="D119" s="198"/>
      <c r="E119" s="232"/>
      <c r="F119" s="200"/>
      <c r="H119" s="242"/>
      <c r="J119" s="244"/>
    </row>
    <row r="120" ht="14.25" spans="1:10">
      <c r="A120" s="193"/>
      <c r="B120" s="196" t="s">
        <v>239</v>
      </c>
      <c r="C120" s="197"/>
      <c r="D120" s="198"/>
      <c r="E120" s="232">
        <v>0.05</v>
      </c>
      <c r="F120" s="200">
        <f>E120*(($F$130+$F$113+$F$114)/(1-$E$115))</f>
        <v>223.15</v>
      </c>
      <c r="H120" s="242"/>
      <c r="J120" s="243"/>
    </row>
    <row r="121" ht="14.25" spans="1:10">
      <c r="A121" s="203" t="s">
        <v>186</v>
      </c>
      <c r="B121" s="204"/>
      <c r="C121" s="204"/>
      <c r="D121" s="205"/>
      <c r="E121" s="245"/>
      <c r="F121" s="207">
        <f>SUM(F113:F120)</f>
        <v>1049.95</v>
      </c>
      <c r="J121" s="235"/>
    </row>
    <row r="122" ht="14.25"/>
    <row r="123" ht="14.25" spans="1:10">
      <c r="A123" s="159" t="s">
        <v>240</v>
      </c>
      <c r="B123" s="159"/>
      <c r="C123" s="159"/>
      <c r="D123" s="159"/>
      <c r="E123" s="159"/>
      <c r="F123" s="246"/>
    </row>
    <row r="124" ht="14.25" spans="1:10">
      <c r="A124" s="159"/>
      <c r="B124" s="247" t="s">
        <v>241</v>
      </c>
      <c r="C124" s="248"/>
      <c r="D124" s="248"/>
      <c r="E124" s="249"/>
      <c r="F124" s="250" t="s">
        <v>152</v>
      </c>
    </row>
    <row r="125" ht="14.25" spans="1:10">
      <c r="A125" s="193" t="s">
        <v>153</v>
      </c>
      <c r="B125" s="196" t="s">
        <v>150</v>
      </c>
      <c r="C125" s="197"/>
      <c r="D125" s="197"/>
      <c r="E125" s="198"/>
      <c r="F125" s="200">
        <f>F33</f>
        <v>1455.88</v>
      </c>
      <c r="H125" s="236"/>
    </row>
    <row r="126" ht="14.25" spans="1:10">
      <c r="A126" s="193" t="s">
        <v>155</v>
      </c>
      <c r="B126" s="196" t="s">
        <v>165</v>
      </c>
      <c r="C126" s="197"/>
      <c r="D126" s="197"/>
      <c r="E126" s="198"/>
      <c r="F126" s="200">
        <f>F71</f>
        <v>1590.68</v>
      </c>
    </row>
    <row r="127" ht="14.25" spans="1:10">
      <c r="A127" s="193" t="s">
        <v>157</v>
      </c>
      <c r="B127" s="196" t="s">
        <v>201</v>
      </c>
      <c r="C127" s="197"/>
      <c r="D127" s="197"/>
      <c r="E127" s="198"/>
      <c r="F127" s="200">
        <f>F81</f>
        <v>107.38</v>
      </c>
    </row>
    <row r="128" ht="14.25" spans="1:10">
      <c r="A128" s="193" t="s">
        <v>159</v>
      </c>
      <c r="B128" s="196" t="s">
        <v>209</v>
      </c>
      <c r="C128" s="197"/>
      <c r="D128" s="197"/>
      <c r="E128" s="198"/>
      <c r="F128" s="200">
        <f>F101</f>
        <v>131.46</v>
      </c>
      <c r="H128" s="236"/>
    </row>
    <row r="129" ht="14.25" spans="1:10">
      <c r="A129" s="193" t="s">
        <v>161</v>
      </c>
      <c r="B129" s="196" t="s">
        <v>224</v>
      </c>
      <c r="C129" s="197"/>
      <c r="D129" s="197"/>
      <c r="E129" s="198"/>
      <c r="F129" s="200">
        <f>F109</f>
        <v>127.57</v>
      </c>
      <c r="H129" s="236"/>
    </row>
    <row r="130" ht="14.25" spans="1:10">
      <c r="A130" s="203" t="s">
        <v>242</v>
      </c>
      <c r="B130" s="204"/>
      <c r="C130" s="204"/>
      <c r="D130" s="204"/>
      <c r="E130" s="205"/>
      <c r="F130" s="207">
        <f>SUM(F125:F129)</f>
        <v>3412.97</v>
      </c>
      <c r="I130" s="240"/>
      <c r="J130" s="240"/>
    </row>
    <row r="131" ht="14.25" spans="1:10">
      <c r="A131" s="193" t="s">
        <v>163</v>
      </c>
      <c r="B131" s="196" t="s">
        <v>243</v>
      </c>
      <c r="C131" s="197"/>
      <c r="D131" s="197"/>
      <c r="E131" s="198"/>
      <c r="F131" s="200">
        <f>F121</f>
        <v>1049.95</v>
      </c>
    </row>
    <row r="132" ht="14.25" spans="1:10">
      <c r="A132" s="251" t="s">
        <v>244</v>
      </c>
      <c r="B132" s="252"/>
      <c r="C132" s="252"/>
      <c r="D132" s="252"/>
      <c r="E132" s="253"/>
      <c r="F132" s="254">
        <f>SUM(F130:F131)</f>
        <v>4462.92</v>
      </c>
      <c r="H132" s="236"/>
    </row>
    <row r="133" ht="14.25"/>
    <row r="134" s="155" customFormat="1" ht="14.25" spans="1:10">
      <c r="A134" s="159" t="s">
        <v>245</v>
      </c>
      <c r="B134" s="159"/>
      <c r="C134" s="159"/>
      <c r="D134" s="159"/>
      <c r="E134" s="159"/>
      <c r="F134" s="159"/>
      <c r="G134" s="255"/>
      <c r="H134" s="255"/>
      <c r="I134" s="255"/>
    </row>
    <row r="135" s="155" customFormat="1" ht="39.75" spans="1:10">
      <c r="A135" s="159" t="s">
        <v>246</v>
      </c>
      <c r="B135" s="159" t="s">
        <v>247</v>
      </c>
      <c r="C135" s="159" t="s">
        <v>248</v>
      </c>
      <c r="D135" s="159" t="s">
        <v>249</v>
      </c>
      <c r="E135" s="159" t="s">
        <v>250</v>
      </c>
      <c r="F135" s="256" t="s">
        <v>251</v>
      </c>
    </row>
    <row r="136" s="155" customFormat="1" ht="45" customHeight="1" spans="1:10">
      <c r="A136" s="257" t="str">
        <f>A15</f>
        <v>Servente Interno: 30 h + Insalubridade</v>
      </c>
      <c r="B136" s="258">
        <f>F132</f>
        <v>4462.92</v>
      </c>
      <c r="C136" s="259">
        <v>1</v>
      </c>
      <c r="D136" s="258">
        <f>B136*C136</f>
        <v>4462.92</v>
      </c>
      <c r="E136" s="199">
        <f>F15</f>
        <v>17</v>
      </c>
      <c r="F136" s="258">
        <f>D136*E136</f>
        <v>75869.64</v>
      </c>
    </row>
    <row r="137" s="155" customFormat="1" ht="21" customHeight="1" spans="1:10">
      <c r="A137" s="203" t="s">
        <v>252</v>
      </c>
      <c r="B137" s="204"/>
      <c r="C137" s="204"/>
      <c r="D137" s="204"/>
      <c r="E137" s="205"/>
      <c r="F137" s="260">
        <f>SUM(F136)</f>
        <v>75869.64</v>
      </c>
    </row>
    <row r="138" s="155" customFormat="1" ht="21" customHeight="1" spans="1:10">
      <c r="A138" s="251" t="s">
        <v>253</v>
      </c>
      <c r="B138" s="252"/>
      <c r="C138" s="252"/>
      <c r="D138" s="252"/>
      <c r="E138" s="253"/>
      <c r="F138" s="261">
        <f>F137*F11</f>
        <v>910435.68</v>
      </c>
    </row>
    <row r="139" ht="13.5"/>
  </sheetData>
  <mergeCells count="134">
    <mergeCell ref="A1:E1"/>
    <mergeCell ref="A2:E2"/>
    <mergeCell ref="A3:E3"/>
    <mergeCell ref="A4:E4"/>
    <mergeCell ref="A5:E5"/>
    <mergeCell ref="A6:F6"/>
    <mergeCell ref="A7:F7"/>
    <mergeCell ref="B8:E8"/>
    <mergeCell ref="B9:E9"/>
    <mergeCell ref="B10:E10"/>
    <mergeCell ref="B11:E11"/>
    <mergeCell ref="A12:F12"/>
    <mergeCell ref="A13:F13"/>
    <mergeCell ref="A14:C14"/>
    <mergeCell ref="D14:E14"/>
    <mergeCell ref="A15:C15"/>
    <mergeCell ref="D15:E15"/>
    <mergeCell ref="A16:F16"/>
    <mergeCell ref="A17:F17"/>
    <mergeCell ref="A18:F18"/>
    <mergeCell ref="B19:E19"/>
    <mergeCell ref="B20:E20"/>
    <mergeCell ref="B21:E21"/>
    <mergeCell ref="B22:E22"/>
    <mergeCell ref="B23:E23"/>
    <mergeCell ref="A24:F24"/>
    <mergeCell ref="A25:F25"/>
    <mergeCell ref="B26:D26"/>
    <mergeCell ref="B27:D27"/>
    <mergeCell ref="B28:D28"/>
    <mergeCell ref="B29:D29"/>
    <mergeCell ref="B30:D30"/>
    <mergeCell ref="B31:D31"/>
    <mergeCell ref="B32:D32"/>
    <mergeCell ref="A33:D33"/>
    <mergeCell ref="A34:F34"/>
    <mergeCell ref="A35:F35"/>
    <mergeCell ref="A36:F36"/>
    <mergeCell ref="B37:D37"/>
    <mergeCell ref="B38:D38"/>
    <mergeCell ref="B39:D39"/>
    <mergeCell ref="A40:D40"/>
    <mergeCell ref="B41:D41"/>
    <mergeCell ref="A42:D42"/>
    <mergeCell ref="A43:F43"/>
    <mergeCell ref="B44:D44"/>
    <mergeCell ref="B45:D45"/>
    <mergeCell ref="B46:D46"/>
    <mergeCell ref="B47:D47"/>
    <mergeCell ref="B48:D48"/>
    <mergeCell ref="B49:D49"/>
    <mergeCell ref="B50:D50"/>
    <mergeCell ref="B51:D51"/>
    <mergeCell ref="B52:D52"/>
    <mergeCell ref="A53:D53"/>
    <mergeCell ref="A54:F54"/>
    <mergeCell ref="B55:D55"/>
    <mergeCell ref="B56:D56"/>
    <mergeCell ref="B57:D57"/>
    <mergeCell ref="B58:D58"/>
    <mergeCell ref="B59:D59"/>
    <mergeCell ref="B60:D60"/>
    <mergeCell ref="B61:D61"/>
    <mergeCell ref="B62:D62"/>
    <mergeCell ref="B63:D63"/>
    <mergeCell ref="B64:D64"/>
    <mergeCell ref="A65:D65"/>
    <mergeCell ref="A66:F66"/>
    <mergeCell ref="B67:D67"/>
    <mergeCell ref="B68:D68"/>
    <mergeCell ref="B69:D69"/>
    <mergeCell ref="B70:D70"/>
    <mergeCell ref="A71:D71"/>
    <mergeCell ref="A73:F73"/>
    <mergeCell ref="B74:D74"/>
    <mergeCell ref="B75:D75"/>
    <mergeCell ref="B76:D76"/>
    <mergeCell ref="B77:D77"/>
    <mergeCell ref="B78:D78"/>
    <mergeCell ref="B79:D79"/>
    <mergeCell ref="B80:D80"/>
    <mergeCell ref="A81:D81"/>
    <mergeCell ref="A83:F83"/>
    <mergeCell ref="A84:F84"/>
    <mergeCell ref="B85:D85"/>
    <mergeCell ref="B86:D86"/>
    <mergeCell ref="B87:D87"/>
    <mergeCell ref="B88:D88"/>
    <mergeCell ref="B89:D89"/>
    <mergeCell ref="B90:D90"/>
    <mergeCell ref="B91:D91"/>
    <mergeCell ref="A92:D92"/>
    <mergeCell ref="A93:F93"/>
    <mergeCell ref="B94:D94"/>
    <mergeCell ref="B95:D95"/>
    <mergeCell ref="A96:D96"/>
    <mergeCell ref="A97:F97"/>
    <mergeCell ref="B98:D98"/>
    <mergeCell ref="B99:D99"/>
    <mergeCell ref="B100:D100"/>
    <mergeCell ref="A101:D101"/>
    <mergeCell ref="A103:F103"/>
    <mergeCell ref="B104:E104"/>
    <mergeCell ref="B105:E105"/>
    <mergeCell ref="B106:E106"/>
    <mergeCell ref="B107:E107"/>
    <mergeCell ref="B108:E108"/>
    <mergeCell ref="A109:E109"/>
    <mergeCell ref="A111:F111"/>
    <mergeCell ref="B112:D112"/>
    <mergeCell ref="B113:D113"/>
    <mergeCell ref="B114:D114"/>
    <mergeCell ref="B115:D115"/>
    <mergeCell ref="B116:D116"/>
    <mergeCell ref="B117:D117"/>
    <mergeCell ref="B118:D118"/>
    <mergeCell ref="B119:D119"/>
    <mergeCell ref="B120:D120"/>
    <mergeCell ref="A121:D121"/>
    <mergeCell ref="A123:F123"/>
    <mergeCell ref="B124:E124"/>
    <mergeCell ref="B125:E125"/>
    <mergeCell ref="B126:E126"/>
    <mergeCell ref="B127:E127"/>
    <mergeCell ref="B128:E128"/>
    <mergeCell ref="B129:E129"/>
    <mergeCell ref="A130:E130"/>
    <mergeCell ref="B131:E131"/>
    <mergeCell ref="A132:E132"/>
    <mergeCell ref="A134:F134"/>
    <mergeCell ref="A137:E137"/>
    <mergeCell ref="A138:E138"/>
    <mergeCell ref="F1:F5"/>
    <mergeCell ref="H117:H120"/>
  </mergeCells>
  <pageMargins left="0.554166666666667" right="0.357638888888889" top="0.605555555555556" bottom="0.409027777777778" header="0.5" footer="0.5"/>
  <pageSetup paperSize="9" scale="75"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9" tint="0.599993896298105"/>
  </sheetPr>
  <dimension ref="A1:K139"/>
  <sheetViews>
    <sheetView view="pageBreakPreview" zoomScale="110" zoomScaleNormal="115" topLeftCell="A69" workbookViewId="0">
      <selection activeCell="E87" sqref="E87"/>
    </sheetView>
  </sheetViews>
  <sheetFormatPr defaultColWidth="2.57142857142857" defaultRowHeight="12.75"/>
  <cols>
    <col min="1" max="1" width="12.8571428571429" style="156" customWidth="1"/>
    <col min="2" max="2" width="24.5714285714286" style="126" customWidth="1"/>
    <col min="3" max="3" width="24.2857142857143" style="126" customWidth="1"/>
    <col min="4" max="4" width="15.7142857142857" style="126" customWidth="1"/>
    <col min="5" max="5" width="15.1428571428571" style="126" customWidth="1"/>
    <col min="6" max="6" width="30.1428571428571" style="157" customWidth="1"/>
    <col min="7" max="7" width="21.5714285714286" style="158" customWidth="1"/>
    <col min="8" max="8" width="85.2857142857143" style="158" customWidth="1"/>
    <col min="9" max="9" width="18.2857142857143" style="158" customWidth="1"/>
    <col min="10" max="10" width="25.7142857142857" style="158" customWidth="1"/>
    <col min="11" max="16384" width="2.57142857142857" style="158"/>
  </cols>
  <sheetData>
    <row r="1" s="150" customFormat="1" ht="23.1" customHeight="1" spans="1:11">
      <c r="A1" s="159" t="s">
        <v>121</v>
      </c>
      <c r="B1" s="159"/>
      <c r="C1" s="159"/>
      <c r="D1" s="159"/>
      <c r="E1" s="159"/>
      <c r="F1" s="160"/>
      <c r="G1" s="156"/>
      <c r="H1" s="156"/>
    </row>
    <row r="2" ht="21" customHeight="1" spans="1:11">
      <c r="A2" s="159" t="s">
        <v>254</v>
      </c>
      <c r="B2" s="159"/>
      <c r="C2" s="159"/>
      <c r="D2" s="159"/>
      <c r="E2" s="159"/>
      <c r="F2" s="160"/>
      <c r="G2" s="161"/>
      <c r="H2" s="161"/>
    </row>
    <row r="3" s="151" customFormat="1" ht="16.5" spans="1:11">
      <c r="A3" s="162" t="s">
        <v>123</v>
      </c>
      <c r="B3" s="162"/>
      <c r="C3" s="162"/>
      <c r="D3" s="162"/>
      <c r="E3" s="162"/>
      <c r="F3" s="160"/>
      <c r="G3" s="163"/>
      <c r="H3" s="163"/>
      <c r="I3" s="163"/>
      <c r="J3" s="163"/>
      <c r="K3" s="163"/>
    </row>
    <row r="4" s="151" customFormat="1" ht="16.5" spans="1:11">
      <c r="A4" s="162" t="s">
        <v>124</v>
      </c>
      <c r="B4" s="162"/>
      <c r="C4" s="162"/>
      <c r="D4" s="162"/>
      <c r="E4" s="162"/>
      <c r="F4" s="160"/>
      <c r="G4" s="163"/>
      <c r="H4" s="164"/>
      <c r="I4" s="163"/>
      <c r="J4" s="163"/>
      <c r="K4" s="163"/>
    </row>
    <row r="5" s="151" customFormat="1" ht="16.5" spans="1:11">
      <c r="A5" s="162" t="s">
        <v>125</v>
      </c>
      <c r="B5" s="162"/>
      <c r="C5" s="162"/>
      <c r="D5" s="162"/>
      <c r="E5" s="162"/>
      <c r="F5" s="160"/>
      <c r="G5" s="163"/>
      <c r="H5" s="163"/>
      <c r="I5" s="163"/>
      <c r="J5" s="163"/>
      <c r="K5" s="163"/>
    </row>
    <row r="6" s="151" customFormat="1" ht="16.5" spans="1:11">
      <c r="A6" s="165"/>
      <c r="B6" s="165"/>
      <c r="C6" s="165"/>
      <c r="D6" s="165"/>
      <c r="E6" s="165"/>
      <c r="F6" s="166"/>
      <c r="G6" s="163"/>
      <c r="H6" s="163"/>
      <c r="I6" s="163"/>
      <c r="J6" s="163"/>
      <c r="K6" s="163"/>
    </row>
    <row r="7" ht="14.25" spans="1:11">
      <c r="A7" s="167" t="s">
        <v>126</v>
      </c>
      <c r="B7" s="167"/>
      <c r="C7" s="167"/>
      <c r="D7" s="167"/>
      <c r="E7" s="167"/>
      <c r="F7" s="168"/>
      <c r="G7" s="150"/>
      <c r="H7" s="150"/>
    </row>
    <row r="8" ht="18" customHeight="1" spans="1:11">
      <c r="A8" s="167" t="s">
        <v>127</v>
      </c>
      <c r="B8" s="169" t="s">
        <v>128</v>
      </c>
      <c r="C8" s="169"/>
      <c r="D8" s="169"/>
      <c r="E8" s="169"/>
      <c r="F8" s="170" t="s">
        <v>129</v>
      </c>
    </row>
    <row r="9" ht="18" customHeight="1" spans="1:11">
      <c r="A9" s="167" t="s">
        <v>127</v>
      </c>
      <c r="B9" s="169" t="s">
        <v>130</v>
      </c>
      <c r="C9" s="169"/>
      <c r="D9" s="169"/>
      <c r="E9" s="169"/>
      <c r="F9" s="171" t="s">
        <v>131</v>
      </c>
    </row>
    <row r="10" ht="18" customHeight="1" spans="1:11">
      <c r="A10" s="167" t="s">
        <v>127</v>
      </c>
      <c r="B10" s="169" t="s">
        <v>132</v>
      </c>
      <c r="C10" s="169"/>
      <c r="D10" s="169"/>
      <c r="E10" s="169"/>
      <c r="F10" s="170" t="s">
        <v>133</v>
      </c>
    </row>
    <row r="11" ht="18" customHeight="1" spans="1:11">
      <c r="A11" s="167" t="s">
        <v>127</v>
      </c>
      <c r="B11" s="169" t="s">
        <v>134</v>
      </c>
      <c r="C11" s="169"/>
      <c r="D11" s="169"/>
      <c r="E11" s="169"/>
      <c r="F11" s="172">
        <v>12</v>
      </c>
    </row>
    <row r="12" customFormat="1" ht="16.5" spans="1:11">
      <c r="A12" s="173"/>
      <c r="B12" s="154"/>
      <c r="C12" s="154"/>
      <c r="D12" s="154"/>
      <c r="E12" s="154"/>
      <c r="F12" s="174"/>
      <c r="G12" s="158"/>
      <c r="H12" s="158"/>
    </row>
    <row r="13" s="150" customFormat="1" ht="14.25" spans="1:11">
      <c r="A13" s="167" t="s">
        <v>135</v>
      </c>
      <c r="B13" s="167"/>
      <c r="C13" s="167"/>
      <c r="D13" s="167"/>
      <c r="E13" s="167"/>
      <c r="F13" s="168"/>
    </row>
    <row r="14" ht="14.25" spans="1:11">
      <c r="A14" s="175" t="s">
        <v>136</v>
      </c>
      <c r="B14" s="175"/>
      <c r="C14" s="175"/>
      <c r="D14" s="175" t="s">
        <v>137</v>
      </c>
      <c r="E14" s="175"/>
      <c r="F14" s="175" t="s">
        <v>138</v>
      </c>
      <c r="H14" s="150"/>
    </row>
    <row r="15" ht="14.25" spans="1:11">
      <c r="A15" s="175" t="s">
        <v>255</v>
      </c>
      <c r="B15" s="175"/>
      <c r="C15" s="175"/>
      <c r="D15" s="176" t="s">
        <v>90</v>
      </c>
      <c r="E15" s="176"/>
      <c r="F15" s="177">
        <f>'SEMAD e AGEHAB TOTALIZADOR'!D6</f>
        <v>7</v>
      </c>
      <c r="H15" s="150"/>
    </row>
    <row r="16" customFormat="1" ht="16.5" spans="1:11">
      <c r="A16" s="173"/>
      <c r="B16" s="154"/>
      <c r="C16" s="154"/>
      <c r="D16" s="154"/>
      <c r="E16" s="154"/>
      <c r="F16" s="174"/>
      <c r="G16" s="158"/>
      <c r="H16" s="150"/>
    </row>
    <row r="17" s="150" customFormat="1" ht="14.25" spans="1:9">
      <c r="A17" s="167" t="s">
        <v>140</v>
      </c>
      <c r="B17" s="167"/>
      <c r="C17" s="167"/>
      <c r="D17" s="167"/>
      <c r="E17" s="167"/>
      <c r="F17" s="168"/>
    </row>
    <row r="18" ht="14.25" spans="1:9">
      <c r="A18" s="167" t="s">
        <v>141</v>
      </c>
      <c r="B18" s="167"/>
      <c r="C18" s="167"/>
      <c r="D18" s="167"/>
      <c r="E18" s="167"/>
      <c r="F18" s="168"/>
      <c r="G18" s="150"/>
      <c r="H18" s="150"/>
    </row>
    <row r="19" ht="14.25" spans="1:9">
      <c r="A19" s="167">
        <v>1</v>
      </c>
      <c r="B19" s="178" t="s">
        <v>142</v>
      </c>
      <c r="C19" s="179"/>
      <c r="D19" s="179"/>
      <c r="E19" s="180"/>
      <c r="F19" s="181" t="s">
        <v>143</v>
      </c>
    </row>
    <row r="20" ht="16.5" spans="1:9">
      <c r="A20" s="182">
        <v>2</v>
      </c>
      <c r="B20" s="183" t="s">
        <v>144</v>
      </c>
      <c r="C20" s="184"/>
      <c r="D20" s="184"/>
      <c r="E20" s="185"/>
      <c r="F20" s="186" t="s">
        <v>145</v>
      </c>
      <c r="G20" s="187"/>
      <c r="H20" s="188"/>
      <c r="I20" s="188"/>
    </row>
    <row r="21" ht="14.25" spans="1:9">
      <c r="A21" s="167">
        <v>3</v>
      </c>
      <c r="B21" s="178" t="s">
        <v>146</v>
      </c>
      <c r="C21" s="179"/>
      <c r="D21" s="179"/>
      <c r="E21" s="180"/>
      <c r="F21" s="189">
        <f>RAIZ_DADOS!D5</f>
        <v>1651</v>
      </c>
    </row>
    <row r="22" ht="14.25" spans="1:9">
      <c r="A22" s="167">
        <v>4</v>
      </c>
      <c r="B22" s="178" t="s">
        <v>147</v>
      </c>
      <c r="C22" s="179"/>
      <c r="D22" s="179"/>
      <c r="E22" s="180"/>
      <c r="F22" s="181" t="s">
        <v>62</v>
      </c>
    </row>
    <row r="23" ht="14.25" spans="1:9">
      <c r="A23" s="167">
        <v>5</v>
      </c>
      <c r="B23" s="178" t="s">
        <v>148</v>
      </c>
      <c r="C23" s="179"/>
      <c r="D23" s="179"/>
      <c r="E23" s="180"/>
      <c r="F23" s="181" t="s">
        <v>149</v>
      </c>
    </row>
    <row r="24" ht="14.25" spans="1:9">
      <c r="A24" s="173"/>
      <c r="B24" s="154"/>
      <c r="C24" s="154"/>
      <c r="D24" s="154"/>
      <c r="E24" s="154"/>
      <c r="F24" s="174"/>
    </row>
    <row r="25" ht="14.25" spans="1:9">
      <c r="A25" s="190" t="s">
        <v>150</v>
      </c>
      <c r="B25" s="191"/>
      <c r="C25" s="191"/>
      <c r="D25" s="191"/>
      <c r="E25" s="191"/>
      <c r="F25" s="192"/>
    </row>
    <row r="26" ht="14.25" spans="1:9">
      <c r="A26" s="193">
        <v>1</v>
      </c>
      <c r="B26" s="190" t="s">
        <v>151</v>
      </c>
      <c r="C26" s="191"/>
      <c r="D26" s="194"/>
      <c r="E26" s="193"/>
      <c r="F26" s="195" t="s">
        <v>152</v>
      </c>
    </row>
    <row r="27" ht="14.25" spans="1:9">
      <c r="A27" s="193" t="s">
        <v>153</v>
      </c>
      <c r="B27" s="196" t="s">
        <v>154</v>
      </c>
      <c r="C27" s="197"/>
      <c r="D27" s="198"/>
      <c r="E27" s="199" t="s">
        <v>73</v>
      </c>
      <c r="F27" s="200">
        <f>(F21/44)*30</f>
        <v>1125.68</v>
      </c>
      <c r="H27" s="201"/>
    </row>
    <row r="28" ht="14.25" spans="1:9">
      <c r="A28" s="193" t="s">
        <v>155</v>
      </c>
      <c r="B28" s="196" t="s">
        <v>156</v>
      </c>
      <c r="C28" s="197"/>
      <c r="D28" s="198"/>
      <c r="E28" s="199"/>
      <c r="F28" s="200"/>
    </row>
    <row r="29" ht="14.25" spans="1:9">
      <c r="A29" s="193" t="s">
        <v>157</v>
      </c>
      <c r="B29" s="196" t="s">
        <v>158</v>
      </c>
      <c r="C29" s="197"/>
      <c r="D29" s="198"/>
      <c r="E29" s="202"/>
      <c r="F29" s="200"/>
    </row>
    <row r="30" ht="14.25" spans="1:9">
      <c r="A30" s="193" t="s">
        <v>159</v>
      </c>
      <c r="B30" s="196" t="s">
        <v>160</v>
      </c>
      <c r="C30" s="197"/>
      <c r="D30" s="198"/>
      <c r="E30" s="199"/>
      <c r="F30" s="200"/>
    </row>
    <row r="31" ht="14.25" spans="1:9">
      <c r="A31" s="193" t="s">
        <v>161</v>
      </c>
      <c r="B31" s="196" t="s">
        <v>162</v>
      </c>
      <c r="C31" s="197"/>
      <c r="D31" s="198"/>
      <c r="E31" s="199"/>
      <c r="F31" s="200"/>
    </row>
    <row r="32" ht="14.25" spans="1:9">
      <c r="A32" s="193" t="s">
        <v>163</v>
      </c>
      <c r="B32" s="196" t="s">
        <v>164</v>
      </c>
      <c r="C32" s="197"/>
      <c r="D32" s="198"/>
      <c r="E32" s="199"/>
      <c r="F32" s="200"/>
    </row>
    <row r="33" ht="14.25" spans="1:8">
      <c r="A33" s="203" t="s">
        <v>71</v>
      </c>
      <c r="B33" s="204"/>
      <c r="C33" s="204"/>
      <c r="D33" s="205"/>
      <c r="E33" s="206"/>
      <c r="F33" s="207">
        <f>SUM(F27:F32)</f>
        <v>1125.68</v>
      </c>
    </row>
    <row r="34" ht="14.25" spans="1:8">
      <c r="A34" s="208"/>
      <c r="B34" s="209"/>
      <c r="C34" s="209"/>
      <c r="D34" s="209"/>
      <c r="E34" s="209"/>
      <c r="F34" s="210"/>
    </row>
    <row r="35" ht="14.25" spans="1:8">
      <c r="A35" s="193" t="s">
        <v>165</v>
      </c>
      <c r="B35" s="193"/>
      <c r="C35" s="193"/>
      <c r="D35" s="193"/>
      <c r="E35" s="193"/>
      <c r="F35" s="211"/>
    </row>
    <row r="36" ht="14.25" spans="1:8">
      <c r="A36" s="193" t="s">
        <v>166</v>
      </c>
      <c r="B36" s="193"/>
      <c r="C36" s="193"/>
      <c r="D36" s="193"/>
      <c r="E36" s="193"/>
      <c r="F36" s="211"/>
      <c r="H36" s="212"/>
    </row>
    <row r="37" ht="14.25" spans="1:8">
      <c r="A37" s="193" t="s">
        <v>167</v>
      </c>
      <c r="B37" s="190" t="s">
        <v>168</v>
      </c>
      <c r="C37" s="191"/>
      <c r="D37" s="194"/>
      <c r="E37" s="193" t="s">
        <v>169</v>
      </c>
      <c r="F37" s="195" t="s">
        <v>152</v>
      </c>
    </row>
    <row r="38" ht="14.25" spans="1:8">
      <c r="A38" s="193" t="s">
        <v>153</v>
      </c>
      <c r="B38" s="196" t="s">
        <v>170</v>
      </c>
      <c r="C38" s="197"/>
      <c r="D38" s="198"/>
      <c r="E38" s="213">
        <f>1/12</f>
        <v>0.0833</v>
      </c>
      <c r="F38" s="200">
        <f>F33*E38</f>
        <v>93.77</v>
      </c>
    </row>
    <row r="39" ht="14.25" spans="1:8">
      <c r="A39" s="193" t="s">
        <v>155</v>
      </c>
      <c r="B39" s="196" t="s">
        <v>171</v>
      </c>
      <c r="C39" s="197"/>
      <c r="D39" s="198"/>
      <c r="E39" s="213">
        <f>(1/12)+(1/3)/12</f>
        <v>0.1111</v>
      </c>
      <c r="F39" s="200">
        <f>F33*E39</f>
        <v>125.06</v>
      </c>
    </row>
    <row r="40" ht="14.25" spans="1:8">
      <c r="A40" s="214" t="s">
        <v>71</v>
      </c>
      <c r="B40" s="215"/>
      <c r="C40" s="215"/>
      <c r="D40" s="216"/>
      <c r="E40" s="217">
        <f>SUM(E38:E39)</f>
        <v>0.1944</v>
      </c>
      <c r="F40" s="218">
        <f>SUM(F38:F39)</f>
        <v>218.83</v>
      </c>
    </row>
    <row r="41" ht="14.25" spans="1:8">
      <c r="A41" s="193" t="s">
        <v>157</v>
      </c>
      <c r="B41" s="196" t="s">
        <v>172</v>
      </c>
      <c r="C41" s="197"/>
      <c r="D41" s="198"/>
      <c r="E41" s="213">
        <f>E40*E53</f>
        <v>0.0774</v>
      </c>
      <c r="F41" s="218">
        <f>E41*F33</f>
        <v>87.13</v>
      </c>
    </row>
    <row r="42" ht="14.25" spans="1:8">
      <c r="A42" s="203" t="s">
        <v>71</v>
      </c>
      <c r="B42" s="204"/>
      <c r="C42" s="204"/>
      <c r="D42" s="205"/>
      <c r="E42" s="219">
        <f>SUM(E40:E41)</f>
        <v>0.2718</v>
      </c>
      <c r="F42" s="207">
        <f>SUM(F40:F41)</f>
        <v>305.96</v>
      </c>
      <c r="H42" s="212"/>
    </row>
    <row r="43" ht="14.25" spans="1:8">
      <c r="A43" s="193" t="s">
        <v>173</v>
      </c>
      <c r="B43" s="193"/>
      <c r="C43" s="193"/>
      <c r="D43" s="193"/>
      <c r="E43" s="193"/>
      <c r="F43" s="211"/>
    </row>
    <row r="44" ht="14.25" spans="1:8">
      <c r="A44" s="193" t="s">
        <v>174</v>
      </c>
      <c r="B44" s="190" t="s">
        <v>175</v>
      </c>
      <c r="C44" s="191"/>
      <c r="D44" s="194"/>
      <c r="E44" s="193" t="s">
        <v>169</v>
      </c>
      <c r="F44" s="195" t="s">
        <v>152</v>
      </c>
    </row>
    <row r="45" ht="14.25" spans="1:8">
      <c r="A45" s="193" t="s">
        <v>153</v>
      </c>
      <c r="B45" s="196" t="s">
        <v>176</v>
      </c>
      <c r="C45" s="197"/>
      <c r="D45" s="198"/>
      <c r="E45" s="213">
        <v>0.2</v>
      </c>
      <c r="F45" s="200">
        <f t="shared" ref="F45:F52" si="0">E45*F$33</f>
        <v>225.14</v>
      </c>
    </row>
    <row r="46" ht="14.25" spans="1:8">
      <c r="A46" s="193" t="s">
        <v>155</v>
      </c>
      <c r="B46" s="196" t="s">
        <v>177</v>
      </c>
      <c r="C46" s="197"/>
      <c r="D46" s="198"/>
      <c r="E46" s="213">
        <v>0.025</v>
      </c>
      <c r="F46" s="200">
        <f t="shared" si="0"/>
        <v>28.14</v>
      </c>
      <c r="G46" s="152"/>
      <c r="H46" s="220"/>
    </row>
    <row r="47" ht="14.25" spans="1:8">
      <c r="A47" s="193" t="s">
        <v>157</v>
      </c>
      <c r="B47" s="196" t="s">
        <v>178</v>
      </c>
      <c r="C47" s="197"/>
      <c r="D47" s="198"/>
      <c r="E47" s="221">
        <f>(2*3)/100</f>
        <v>0.06</v>
      </c>
      <c r="F47" s="200">
        <f t="shared" si="0"/>
        <v>67.54</v>
      </c>
      <c r="G47" s="222"/>
      <c r="H47" s="222"/>
    </row>
    <row r="48" ht="14.25" spans="1:8">
      <c r="A48" s="193" t="s">
        <v>159</v>
      </c>
      <c r="B48" s="196" t="s">
        <v>179</v>
      </c>
      <c r="C48" s="197"/>
      <c r="D48" s="198"/>
      <c r="E48" s="213">
        <v>0.015</v>
      </c>
      <c r="F48" s="200">
        <f t="shared" si="0"/>
        <v>16.89</v>
      </c>
    </row>
    <row r="49" ht="14.25" spans="1:8">
      <c r="A49" s="193" t="s">
        <v>161</v>
      </c>
      <c r="B49" s="196" t="s">
        <v>180</v>
      </c>
      <c r="C49" s="197"/>
      <c r="D49" s="198"/>
      <c r="E49" s="213">
        <v>0.01</v>
      </c>
      <c r="F49" s="200">
        <f t="shared" si="0"/>
        <v>11.26</v>
      </c>
    </row>
    <row r="50" ht="14.25" spans="1:8">
      <c r="A50" s="193" t="s">
        <v>163</v>
      </c>
      <c r="B50" s="196" t="s">
        <v>181</v>
      </c>
      <c r="C50" s="197"/>
      <c r="D50" s="198"/>
      <c r="E50" s="213">
        <v>0.006</v>
      </c>
      <c r="F50" s="200">
        <f t="shared" si="0"/>
        <v>6.75</v>
      </c>
    </row>
    <row r="51" ht="14.25" spans="1:8">
      <c r="A51" s="193" t="s">
        <v>182</v>
      </c>
      <c r="B51" s="196" t="s">
        <v>183</v>
      </c>
      <c r="C51" s="197"/>
      <c r="D51" s="198"/>
      <c r="E51" s="213">
        <v>0.002</v>
      </c>
      <c r="F51" s="200">
        <f t="shared" si="0"/>
        <v>2.25</v>
      </c>
    </row>
    <row r="52" ht="14.25" spans="1:8">
      <c r="A52" s="193" t="s">
        <v>184</v>
      </c>
      <c r="B52" s="196" t="s">
        <v>185</v>
      </c>
      <c r="C52" s="197"/>
      <c r="D52" s="198"/>
      <c r="E52" s="213">
        <v>0.08</v>
      </c>
      <c r="F52" s="200">
        <f t="shared" si="0"/>
        <v>90.05</v>
      </c>
    </row>
    <row r="53" ht="14.25" spans="1:8">
      <c r="A53" s="203" t="s">
        <v>186</v>
      </c>
      <c r="B53" s="204"/>
      <c r="C53" s="204"/>
      <c r="D53" s="205"/>
      <c r="E53" s="219">
        <f>SUM(E45:E52)</f>
        <v>0.398</v>
      </c>
      <c r="F53" s="207">
        <f>SUM(F45:F52)</f>
        <v>448.02</v>
      </c>
    </row>
    <row r="54" ht="14.25" spans="1:8">
      <c r="A54" s="190" t="s">
        <v>187</v>
      </c>
      <c r="B54" s="191"/>
      <c r="C54" s="191"/>
      <c r="D54" s="191"/>
      <c r="E54" s="191"/>
      <c r="F54" s="192"/>
    </row>
    <row r="55" ht="14.25" spans="1:8">
      <c r="A55" s="193" t="s">
        <v>188</v>
      </c>
      <c r="B55" s="190" t="s">
        <v>189</v>
      </c>
      <c r="C55" s="191"/>
      <c r="D55" s="194"/>
      <c r="E55" s="193"/>
      <c r="F55" s="195" t="s">
        <v>152</v>
      </c>
    </row>
    <row r="56" ht="14.25" spans="1:8">
      <c r="A56" s="193" t="s">
        <v>153</v>
      </c>
      <c r="B56" s="196" t="s">
        <v>190</v>
      </c>
      <c r="C56" s="197"/>
      <c r="D56" s="198"/>
      <c r="E56" s="199"/>
      <c r="F56" s="200">
        <f>((E57*E58)*E59)-(6%*F27)</f>
        <v>64.46</v>
      </c>
      <c r="H56" s="161"/>
    </row>
    <row r="57" ht="14.25" spans="1:8">
      <c r="A57" s="193"/>
      <c r="B57" s="196" t="s">
        <v>191</v>
      </c>
      <c r="C57" s="197"/>
      <c r="D57" s="198"/>
      <c r="E57" s="223">
        <f>RAIZ_DADOS!D30</f>
        <v>3</v>
      </c>
      <c r="F57" s="181" t="s">
        <v>52</v>
      </c>
      <c r="H57" s="161"/>
    </row>
    <row r="58" ht="14.25" spans="1:8">
      <c r="A58" s="193"/>
      <c r="B58" s="196" t="s">
        <v>192</v>
      </c>
      <c r="C58" s="197"/>
      <c r="D58" s="198"/>
      <c r="E58" s="224">
        <f>RAIZ_DADOS!D33</f>
        <v>2</v>
      </c>
      <c r="F58" s="181" t="s">
        <v>52</v>
      </c>
      <c r="H58" s="161"/>
    </row>
    <row r="59" ht="14.25" spans="1:8">
      <c r="A59" s="193"/>
      <c r="B59" s="196" t="s">
        <v>193</v>
      </c>
      <c r="C59" s="197"/>
      <c r="D59" s="198"/>
      <c r="E59" s="224">
        <f>RAIZ_DADOS!D32</f>
        <v>22</v>
      </c>
      <c r="F59" s="181" t="s">
        <v>52</v>
      </c>
      <c r="H59" s="161"/>
    </row>
    <row r="60" ht="14.25" spans="1:8">
      <c r="A60" s="193" t="s">
        <v>155</v>
      </c>
      <c r="B60" s="196" t="s">
        <v>194</v>
      </c>
      <c r="C60" s="197"/>
      <c r="D60" s="198"/>
      <c r="E60" s="199"/>
      <c r="F60" s="200">
        <f>RAIZ_DADOS!D6</f>
        <v>400</v>
      </c>
      <c r="H60" s="161"/>
    </row>
    <row r="61" ht="14.25" spans="1:8">
      <c r="A61" s="193" t="s">
        <v>157</v>
      </c>
      <c r="B61" s="196" t="s">
        <v>34</v>
      </c>
      <c r="C61" s="197"/>
      <c r="D61" s="198"/>
      <c r="E61" s="199"/>
      <c r="F61" s="200">
        <f>RAIZ_DADOS!D23</f>
        <v>14.66</v>
      </c>
      <c r="H61" s="161"/>
    </row>
    <row r="62" ht="14.25" spans="1:8">
      <c r="A62" s="193" t="s">
        <v>159</v>
      </c>
      <c r="B62" s="196" t="s">
        <v>195</v>
      </c>
      <c r="C62" s="197"/>
      <c r="D62" s="198"/>
      <c r="E62" s="199"/>
      <c r="F62" s="200">
        <f>RAIZ_DADOS!D24</f>
        <v>6.4</v>
      </c>
      <c r="H62" s="161"/>
    </row>
    <row r="63" ht="14.25" spans="1:8">
      <c r="A63" s="193" t="s">
        <v>161</v>
      </c>
      <c r="B63" s="225" t="s">
        <v>196</v>
      </c>
      <c r="C63" s="226"/>
      <c r="D63" s="227"/>
      <c r="E63" s="228"/>
      <c r="F63" s="229">
        <v>0</v>
      </c>
      <c r="H63" s="230"/>
    </row>
    <row r="64" ht="14.25" spans="1:8">
      <c r="A64" s="193" t="s">
        <v>163</v>
      </c>
      <c r="B64" s="225" t="s">
        <v>197</v>
      </c>
      <c r="C64" s="226"/>
      <c r="D64" s="227"/>
      <c r="E64" s="228"/>
      <c r="F64" s="229">
        <f>RAIZ_DADOS!D7</f>
        <v>130</v>
      </c>
      <c r="H64" s="230"/>
    </row>
    <row r="65" s="152" customFormat="1" ht="14.25" spans="1:10">
      <c r="A65" s="203" t="s">
        <v>71</v>
      </c>
      <c r="B65" s="204"/>
      <c r="C65" s="204"/>
      <c r="D65" s="205"/>
      <c r="E65" s="231"/>
      <c r="F65" s="207">
        <f>SUM(F56:F64)</f>
        <v>615.52</v>
      </c>
      <c r="G65" s="158"/>
      <c r="H65" s="158"/>
    </row>
    <row r="66" ht="14.25" spans="1:10">
      <c r="A66" s="190" t="s">
        <v>198</v>
      </c>
      <c r="B66" s="191"/>
      <c r="C66" s="191"/>
      <c r="D66" s="191"/>
      <c r="E66" s="191"/>
      <c r="F66" s="192"/>
    </row>
    <row r="67" ht="14.25" spans="1:10">
      <c r="A67" s="193">
        <v>2</v>
      </c>
      <c r="B67" s="190" t="s">
        <v>199</v>
      </c>
      <c r="C67" s="191"/>
      <c r="D67" s="194"/>
      <c r="E67" s="193"/>
      <c r="F67" s="195" t="s">
        <v>152</v>
      </c>
    </row>
    <row r="68" ht="14.25" spans="1:10">
      <c r="A68" s="193" t="s">
        <v>167</v>
      </c>
      <c r="B68" s="196" t="s">
        <v>168</v>
      </c>
      <c r="C68" s="197"/>
      <c r="D68" s="198"/>
      <c r="E68" s="232"/>
      <c r="F68" s="200">
        <f>F40</f>
        <v>218.83</v>
      </c>
      <c r="G68" s="153"/>
      <c r="H68" s="153"/>
    </row>
    <row r="69" ht="14.25" spans="1:10">
      <c r="A69" s="193" t="s">
        <v>174</v>
      </c>
      <c r="B69" s="196" t="s">
        <v>200</v>
      </c>
      <c r="C69" s="197"/>
      <c r="D69" s="198"/>
      <c r="E69" s="233"/>
      <c r="F69" s="200">
        <f>F53+F41</f>
        <v>535.15</v>
      </c>
      <c r="G69" s="153"/>
      <c r="H69" s="153"/>
    </row>
    <row r="70" ht="14.25" spans="1:10">
      <c r="A70" s="193" t="s">
        <v>188</v>
      </c>
      <c r="B70" s="196" t="s">
        <v>189</v>
      </c>
      <c r="C70" s="197"/>
      <c r="D70" s="198"/>
      <c r="E70" s="234"/>
      <c r="F70" s="200">
        <f>F65</f>
        <v>615.52</v>
      </c>
      <c r="G70" s="153"/>
      <c r="H70" s="153"/>
    </row>
    <row r="71" ht="14.25" spans="1:10">
      <c r="A71" s="203" t="s">
        <v>71</v>
      </c>
      <c r="B71" s="204"/>
      <c r="C71" s="204"/>
      <c r="D71" s="205"/>
      <c r="E71" s="206"/>
      <c r="F71" s="207">
        <f>SUM(F68:F70)</f>
        <v>1369.5</v>
      </c>
      <c r="J71" s="235"/>
    </row>
    <row r="72" ht="14.25"/>
    <row r="73" ht="14.25" spans="1:10">
      <c r="A73" s="193" t="s">
        <v>201</v>
      </c>
      <c r="B73" s="193"/>
      <c r="C73" s="193"/>
      <c r="D73" s="193"/>
      <c r="E73" s="193"/>
      <c r="F73" s="211"/>
    </row>
    <row r="74" ht="14.25" spans="1:10">
      <c r="A74" s="193">
        <v>3</v>
      </c>
      <c r="B74" s="190" t="s">
        <v>202</v>
      </c>
      <c r="C74" s="191"/>
      <c r="D74" s="194"/>
      <c r="E74" s="193" t="s">
        <v>169</v>
      </c>
      <c r="F74" s="195" t="s">
        <v>152</v>
      </c>
    </row>
    <row r="75" ht="14.25" spans="1:10">
      <c r="A75" s="193" t="s">
        <v>153</v>
      </c>
      <c r="B75" s="196" t="s">
        <v>203</v>
      </c>
      <c r="C75" s="197"/>
      <c r="D75" s="198"/>
      <c r="E75" s="232">
        <f>(1/12)*5%</f>
        <v>0.0042</v>
      </c>
      <c r="F75" s="200">
        <f>E75*F33</f>
        <v>4.73</v>
      </c>
    </row>
    <row r="76" ht="14.25" spans="1:10">
      <c r="A76" s="193" t="s">
        <v>155</v>
      </c>
      <c r="B76" s="196" t="s">
        <v>204</v>
      </c>
      <c r="C76" s="197"/>
      <c r="D76" s="198"/>
      <c r="E76" s="232">
        <f>E75*E52</f>
        <v>0.0003</v>
      </c>
      <c r="F76" s="200">
        <f>E76*F33</f>
        <v>0.34</v>
      </c>
      <c r="G76" s="236"/>
    </row>
    <row r="77" ht="14.25" spans="1:10">
      <c r="A77" s="193" t="s">
        <v>157</v>
      </c>
      <c r="B77" s="196" t="s">
        <v>205</v>
      </c>
      <c r="C77" s="197"/>
      <c r="D77" s="198"/>
      <c r="E77" s="232">
        <f>((8%*(40%)*90%)*(1+5/56+5/56+(1/3*5/56)))</f>
        <v>0.0348</v>
      </c>
      <c r="F77" s="200">
        <f>E77*(F33+F40)</f>
        <v>46.79</v>
      </c>
      <c r="G77" s="236"/>
      <c r="H77" s="237"/>
    </row>
    <row r="78" ht="14.25" spans="1:10">
      <c r="A78" s="193" t="s">
        <v>159</v>
      </c>
      <c r="B78" s="196" t="s">
        <v>206</v>
      </c>
      <c r="C78" s="197"/>
      <c r="D78" s="198"/>
      <c r="E78" s="232">
        <f>((7/30)/12)</f>
        <v>0.0194</v>
      </c>
      <c r="F78" s="200">
        <f>E78*F33</f>
        <v>21.84</v>
      </c>
      <c r="G78" s="153"/>
      <c r="H78" s="153"/>
    </row>
    <row r="79" ht="14.25" spans="1:10">
      <c r="A79" s="193" t="s">
        <v>161</v>
      </c>
      <c r="B79" s="196" t="s">
        <v>207</v>
      </c>
      <c r="C79" s="197"/>
      <c r="D79" s="198"/>
      <c r="E79" s="232">
        <f>E78*E53</f>
        <v>0.0077</v>
      </c>
      <c r="F79" s="200">
        <f>E79*F33</f>
        <v>8.67</v>
      </c>
    </row>
    <row r="80" ht="14.25" spans="1:10">
      <c r="A80" s="193" t="s">
        <v>163</v>
      </c>
      <c r="B80" s="196" t="s">
        <v>208</v>
      </c>
      <c r="C80" s="197"/>
      <c r="D80" s="198"/>
      <c r="E80" s="232">
        <f>(40%*8%*E78)</f>
        <v>0.0006</v>
      </c>
      <c r="F80" s="200">
        <f>E80*F33</f>
        <v>0.68</v>
      </c>
    </row>
    <row r="81" ht="14.25" spans="1:10">
      <c r="A81" s="203" t="s">
        <v>71</v>
      </c>
      <c r="B81" s="204"/>
      <c r="C81" s="204"/>
      <c r="D81" s="205"/>
      <c r="E81" s="238"/>
      <c r="F81" s="207">
        <f>SUM(F75:F80)</f>
        <v>83.05</v>
      </c>
      <c r="J81" s="235"/>
    </row>
    <row r="82" s="153" customFormat="1" ht="14.25" spans="1:10">
      <c r="A82" s="156"/>
      <c r="B82" s="126"/>
      <c r="C82" s="126"/>
      <c r="D82" s="126"/>
      <c r="E82" s="126"/>
      <c r="F82" s="157"/>
      <c r="G82" s="158"/>
      <c r="H82" s="158"/>
    </row>
    <row r="83" s="153" customFormat="1" ht="14.25" spans="1:10">
      <c r="A83" s="190" t="s">
        <v>209</v>
      </c>
      <c r="B83" s="191"/>
      <c r="C83" s="191"/>
      <c r="D83" s="191"/>
      <c r="E83" s="191"/>
      <c r="F83" s="192"/>
      <c r="G83" s="158"/>
      <c r="H83" s="158"/>
    </row>
    <row r="84" ht="14.25" spans="1:10">
      <c r="A84" s="190" t="s">
        <v>210</v>
      </c>
      <c r="B84" s="191"/>
      <c r="C84" s="191"/>
      <c r="D84" s="191"/>
      <c r="E84" s="191"/>
      <c r="F84" s="192"/>
    </row>
    <row r="85" ht="14.25" spans="1:10">
      <c r="A85" s="193" t="s">
        <v>211</v>
      </c>
      <c r="B85" s="190" t="s">
        <v>212</v>
      </c>
      <c r="C85" s="191"/>
      <c r="D85" s="194"/>
      <c r="E85" s="193" t="s">
        <v>169</v>
      </c>
      <c r="F85" s="195" t="s">
        <v>152</v>
      </c>
    </row>
    <row r="86" ht="14.25" spans="1:10">
      <c r="A86" s="193" t="s">
        <v>153</v>
      </c>
      <c r="B86" s="196" t="s">
        <v>213</v>
      </c>
      <c r="C86" s="197"/>
      <c r="D86" s="198"/>
      <c r="E86" s="232">
        <f>(1/12)</f>
        <v>0.0833</v>
      </c>
      <c r="F86" s="200">
        <f t="shared" ref="F86:F91" si="1">E86*F$33</f>
        <v>93.77</v>
      </c>
    </row>
    <row r="87" ht="14.25" spans="1:10">
      <c r="A87" s="193" t="s">
        <v>155</v>
      </c>
      <c r="B87" s="196" t="s">
        <v>212</v>
      </c>
      <c r="C87" s="197"/>
      <c r="D87" s="198"/>
      <c r="E87" s="232">
        <f>(1/30)/12</f>
        <v>0.0028</v>
      </c>
      <c r="F87" s="200">
        <f t="shared" si="1"/>
        <v>3.15</v>
      </c>
    </row>
    <row r="88" ht="14.25" spans="1:10">
      <c r="A88" s="193" t="s">
        <v>157</v>
      </c>
      <c r="B88" s="196" t="s">
        <v>214</v>
      </c>
      <c r="C88" s="197"/>
      <c r="D88" s="198"/>
      <c r="E88" s="232">
        <f>((5/30)/12)*1.5%</f>
        <v>0.0002</v>
      </c>
      <c r="F88" s="200">
        <f t="shared" si="1"/>
        <v>0.23</v>
      </c>
    </row>
    <row r="89" ht="14.25" spans="1:10">
      <c r="A89" s="193" t="s">
        <v>159</v>
      </c>
      <c r="B89" s="196" t="s">
        <v>215</v>
      </c>
      <c r="C89" s="197"/>
      <c r="D89" s="198"/>
      <c r="E89" s="232">
        <f>((15/365)*8%)</f>
        <v>0.0033</v>
      </c>
      <c r="F89" s="200">
        <f t="shared" si="1"/>
        <v>3.71</v>
      </c>
    </row>
    <row r="90" ht="14.25" spans="1:10">
      <c r="A90" s="193" t="s">
        <v>161</v>
      </c>
      <c r="B90" s="196" t="s">
        <v>216</v>
      </c>
      <c r="C90" s="197"/>
      <c r="D90" s="198"/>
      <c r="E90" s="232">
        <f>(11.11%*2%*(4/12))</f>
        <v>0.0007</v>
      </c>
      <c r="F90" s="200">
        <f t="shared" si="1"/>
        <v>0.79</v>
      </c>
    </row>
    <row r="91" ht="14.25" spans="1:10">
      <c r="A91" s="193" t="s">
        <v>163</v>
      </c>
      <c r="B91" s="196" t="s">
        <v>217</v>
      </c>
      <c r="C91" s="197"/>
      <c r="D91" s="198"/>
      <c r="E91" s="232"/>
      <c r="F91" s="200">
        <f t="shared" si="1"/>
        <v>0</v>
      </c>
    </row>
    <row r="92" s="153" customFormat="1" ht="14.25" spans="1:10">
      <c r="A92" s="203" t="s">
        <v>186</v>
      </c>
      <c r="B92" s="204"/>
      <c r="C92" s="204"/>
      <c r="D92" s="205"/>
      <c r="E92" s="238"/>
      <c r="F92" s="207">
        <f>SUM(F86:F91)</f>
        <v>101.65</v>
      </c>
      <c r="G92" s="158"/>
      <c r="H92" s="158"/>
      <c r="J92" s="235"/>
    </row>
    <row r="93" ht="14.25" spans="1:10">
      <c r="A93" s="190" t="s">
        <v>218</v>
      </c>
      <c r="B93" s="191"/>
      <c r="C93" s="191"/>
      <c r="D93" s="191"/>
      <c r="E93" s="191"/>
      <c r="F93" s="192"/>
    </row>
    <row r="94" ht="14.25" spans="1:10">
      <c r="A94" s="193" t="s">
        <v>219</v>
      </c>
      <c r="B94" s="190" t="s">
        <v>220</v>
      </c>
      <c r="C94" s="191"/>
      <c r="D94" s="194"/>
      <c r="E94" s="193"/>
      <c r="F94" s="195" t="s">
        <v>152</v>
      </c>
    </row>
    <row r="95" ht="14.25" spans="1:10">
      <c r="A95" s="193" t="s">
        <v>153</v>
      </c>
      <c r="B95" s="196" t="s">
        <v>221</v>
      </c>
      <c r="C95" s="197"/>
      <c r="D95" s="198"/>
      <c r="E95" s="199"/>
      <c r="F95" s="200">
        <v>0</v>
      </c>
    </row>
    <row r="96" ht="14.25" spans="1:10">
      <c r="A96" s="203" t="s">
        <v>71</v>
      </c>
      <c r="B96" s="204"/>
      <c r="C96" s="204"/>
      <c r="D96" s="205"/>
      <c r="E96" s="206"/>
      <c r="F96" s="207">
        <f>SUM(F95:F95)</f>
        <v>0</v>
      </c>
    </row>
    <row r="97" ht="14.25" spans="1:10">
      <c r="A97" s="190" t="s">
        <v>222</v>
      </c>
      <c r="B97" s="191"/>
      <c r="C97" s="191"/>
      <c r="D97" s="191"/>
      <c r="E97" s="191"/>
      <c r="F97" s="192"/>
    </row>
    <row r="98" ht="14.25" spans="1:10">
      <c r="A98" s="193">
        <v>4</v>
      </c>
      <c r="B98" s="190" t="s">
        <v>223</v>
      </c>
      <c r="C98" s="191"/>
      <c r="D98" s="194"/>
      <c r="E98" s="193"/>
      <c r="F98" s="195" t="s">
        <v>152</v>
      </c>
    </row>
    <row r="99" ht="14.25" spans="1:10">
      <c r="A99" s="193" t="s">
        <v>211</v>
      </c>
      <c r="B99" s="196" t="s">
        <v>212</v>
      </c>
      <c r="C99" s="197"/>
      <c r="D99" s="198"/>
      <c r="E99" s="199"/>
      <c r="F99" s="200">
        <f>F92</f>
        <v>101.65</v>
      </c>
    </row>
    <row r="100" ht="14.25" spans="1:10">
      <c r="A100" s="193" t="s">
        <v>219</v>
      </c>
      <c r="B100" s="196" t="s">
        <v>220</v>
      </c>
      <c r="C100" s="197"/>
      <c r="D100" s="198"/>
      <c r="E100" s="199"/>
      <c r="F100" s="200">
        <f>F96</f>
        <v>0</v>
      </c>
    </row>
    <row r="101" ht="14.25" spans="1:10">
      <c r="A101" s="203" t="s">
        <v>71</v>
      </c>
      <c r="B101" s="204"/>
      <c r="C101" s="204"/>
      <c r="D101" s="205"/>
      <c r="E101" s="206"/>
      <c r="F101" s="207">
        <f>SUM(F99:F100)</f>
        <v>101.65</v>
      </c>
      <c r="J101" s="235"/>
    </row>
    <row r="102" ht="14.25"/>
    <row r="103" ht="14.25" spans="1:10">
      <c r="A103" s="190" t="s">
        <v>224</v>
      </c>
      <c r="B103" s="191"/>
      <c r="C103" s="191"/>
      <c r="D103" s="191"/>
      <c r="E103" s="191"/>
      <c r="F103" s="192"/>
    </row>
    <row r="104" ht="14.25" spans="1:10">
      <c r="A104" s="193">
        <v>5</v>
      </c>
      <c r="B104" s="190" t="s">
        <v>225</v>
      </c>
      <c r="C104" s="191"/>
      <c r="D104" s="191"/>
      <c r="E104" s="194"/>
      <c r="F104" s="195" t="s">
        <v>152</v>
      </c>
    </row>
    <row r="105" ht="14.25" spans="1:10">
      <c r="A105" s="239" t="s">
        <v>153</v>
      </c>
      <c r="B105" s="196" t="s">
        <v>226</v>
      </c>
      <c r="C105" s="197"/>
      <c r="D105" s="197"/>
      <c r="E105" s="198"/>
      <c r="F105" s="200">
        <f>'SEMAD 1_Uniformes_SEMAD'!K17</f>
        <v>47.46</v>
      </c>
      <c r="H105" s="240"/>
    </row>
    <row r="106" ht="14.25" spans="1:10">
      <c r="A106" s="193" t="s">
        <v>155</v>
      </c>
      <c r="B106" s="196" t="s">
        <v>227</v>
      </c>
      <c r="C106" s="197"/>
      <c r="D106" s="197"/>
      <c r="E106" s="198"/>
      <c r="F106" s="200">
        <f>'SEMAD 1_EPI''s_SEMAD'!K17</f>
        <v>31.73</v>
      </c>
    </row>
    <row r="107" ht="14.25" spans="1:10">
      <c r="A107" s="193" t="s">
        <v>157</v>
      </c>
      <c r="B107" s="196" t="s">
        <v>228</v>
      </c>
      <c r="C107" s="197"/>
      <c r="D107" s="197"/>
      <c r="E107" s="198"/>
      <c r="F107" s="200">
        <f>'SEMAD 1_Materiais_SEMAD'!K26</f>
        <v>14.4</v>
      </c>
    </row>
    <row r="108" ht="14.25" spans="1:10">
      <c r="A108" s="193" t="s">
        <v>159</v>
      </c>
      <c r="B108" s="196" t="s">
        <v>229</v>
      </c>
      <c r="C108" s="197"/>
      <c r="D108" s="197"/>
      <c r="E108" s="198"/>
      <c r="F108" s="200">
        <f>'SEMAD 1_Equipamentos_SEMAD'!M30</f>
        <v>33.98</v>
      </c>
      <c r="H108" s="240"/>
    </row>
    <row r="109" ht="14.25" spans="1:10">
      <c r="A109" s="203" t="s">
        <v>186</v>
      </c>
      <c r="B109" s="204"/>
      <c r="C109" s="204"/>
      <c r="D109" s="204"/>
      <c r="E109" s="205"/>
      <c r="F109" s="207">
        <f>SUM(F105:F108)</f>
        <v>127.57</v>
      </c>
      <c r="J109" s="235"/>
    </row>
    <row r="110" ht="14.25"/>
    <row r="111" ht="14.25" spans="1:10">
      <c r="A111" s="193" t="s">
        <v>230</v>
      </c>
      <c r="B111" s="193"/>
      <c r="C111" s="193"/>
      <c r="D111" s="193"/>
      <c r="E111" s="193"/>
      <c r="F111" s="211"/>
    </row>
    <row r="112" ht="14.25" spans="1:10">
      <c r="A112" s="193">
        <v>6</v>
      </c>
      <c r="B112" s="190" t="s">
        <v>231</v>
      </c>
      <c r="C112" s="191"/>
      <c r="D112" s="194"/>
      <c r="E112" s="193" t="s">
        <v>169</v>
      </c>
      <c r="F112" s="195" t="s">
        <v>152</v>
      </c>
    </row>
    <row r="113" ht="14.25" spans="1:10">
      <c r="A113" s="193" t="s">
        <v>153</v>
      </c>
      <c r="B113" s="196" t="s">
        <v>232</v>
      </c>
      <c r="C113" s="197"/>
      <c r="D113" s="198"/>
      <c r="E113" s="232">
        <v>0.05</v>
      </c>
      <c r="F113" s="200">
        <f>E113*F130</f>
        <v>140.37</v>
      </c>
    </row>
    <row r="114" ht="14.25" spans="1:10">
      <c r="A114" s="193" t="s">
        <v>155</v>
      </c>
      <c r="B114" s="196" t="s">
        <v>233</v>
      </c>
      <c r="C114" s="197"/>
      <c r="D114" s="198"/>
      <c r="E114" s="232">
        <v>0.0679</v>
      </c>
      <c r="F114" s="200">
        <f>E114*(F130+F113)</f>
        <v>200.16</v>
      </c>
    </row>
    <row r="115" ht="14.25" spans="1:10">
      <c r="A115" s="193" t="s">
        <v>157</v>
      </c>
      <c r="B115" s="196" t="s">
        <v>234</v>
      </c>
      <c r="C115" s="197"/>
      <c r="D115" s="198"/>
      <c r="E115" s="232">
        <f>SUM(E116:E120)</f>
        <v>0.1425</v>
      </c>
      <c r="F115" s="200"/>
    </row>
    <row r="116" ht="14.25" spans="1:10">
      <c r="A116" s="193"/>
      <c r="B116" s="196" t="s">
        <v>235</v>
      </c>
      <c r="C116" s="197"/>
      <c r="D116" s="198"/>
      <c r="E116" s="232"/>
      <c r="F116" s="200"/>
      <c r="H116" s="241"/>
    </row>
    <row r="117" ht="14.25" spans="1:10">
      <c r="A117" s="193"/>
      <c r="B117" s="196" t="s">
        <v>236</v>
      </c>
      <c r="C117" s="197"/>
      <c r="D117" s="198"/>
      <c r="E117" s="232">
        <v>0.0165</v>
      </c>
      <c r="F117" s="200">
        <f>E117*((F130+F113+F114)/(1-$E$115))</f>
        <v>60.57</v>
      </c>
      <c r="H117" s="242"/>
      <c r="J117" s="243"/>
    </row>
    <row r="118" ht="14.25" spans="1:10">
      <c r="A118" s="193"/>
      <c r="B118" s="196" t="s">
        <v>237</v>
      </c>
      <c r="C118" s="197"/>
      <c r="D118" s="198"/>
      <c r="E118" s="232">
        <v>0.076</v>
      </c>
      <c r="F118" s="200">
        <f>E118*(($F$130+$F$113+$F$114)/(1-$E$115))</f>
        <v>279</v>
      </c>
      <c r="H118" s="242"/>
      <c r="J118" s="243"/>
    </row>
    <row r="119" s="154" customFormat="1" ht="14.25" spans="1:10">
      <c r="A119" s="193"/>
      <c r="B119" s="196" t="s">
        <v>238</v>
      </c>
      <c r="C119" s="197"/>
      <c r="D119" s="198"/>
      <c r="E119" s="232"/>
      <c r="F119" s="200"/>
      <c r="H119" s="242"/>
      <c r="J119" s="244"/>
    </row>
    <row r="120" ht="14.25" spans="1:10">
      <c r="A120" s="193"/>
      <c r="B120" s="196" t="s">
        <v>239</v>
      </c>
      <c r="C120" s="197"/>
      <c r="D120" s="198"/>
      <c r="E120" s="232">
        <v>0.05</v>
      </c>
      <c r="F120" s="200">
        <f>E120*(($F$130+$F$113+$F$114)/(1-$E$115))</f>
        <v>183.56</v>
      </c>
      <c r="H120" s="242"/>
      <c r="J120" s="243"/>
    </row>
    <row r="121" ht="14.25" spans="1:10">
      <c r="A121" s="203" t="s">
        <v>186</v>
      </c>
      <c r="B121" s="204"/>
      <c r="C121" s="204"/>
      <c r="D121" s="205"/>
      <c r="E121" s="245"/>
      <c r="F121" s="207">
        <f>SUM(F113:F120)</f>
        <v>863.66</v>
      </c>
      <c r="J121" s="235"/>
    </row>
    <row r="122" ht="14.25"/>
    <row r="123" ht="14.25" spans="1:10">
      <c r="A123" s="159" t="s">
        <v>240</v>
      </c>
      <c r="B123" s="159"/>
      <c r="C123" s="159"/>
      <c r="D123" s="159"/>
      <c r="E123" s="159"/>
      <c r="F123" s="246"/>
    </row>
    <row r="124" ht="14.25" spans="1:10">
      <c r="A124" s="159"/>
      <c r="B124" s="247" t="s">
        <v>241</v>
      </c>
      <c r="C124" s="248"/>
      <c r="D124" s="248"/>
      <c r="E124" s="249"/>
      <c r="F124" s="250" t="s">
        <v>152</v>
      </c>
    </row>
    <row r="125" ht="14.25" spans="1:10">
      <c r="A125" s="193" t="s">
        <v>153</v>
      </c>
      <c r="B125" s="196" t="s">
        <v>150</v>
      </c>
      <c r="C125" s="197"/>
      <c r="D125" s="197"/>
      <c r="E125" s="198"/>
      <c r="F125" s="200">
        <f>F33</f>
        <v>1125.68</v>
      </c>
      <c r="H125" s="236"/>
    </row>
    <row r="126" ht="14.25" spans="1:10">
      <c r="A126" s="193" t="s">
        <v>155</v>
      </c>
      <c r="B126" s="196" t="s">
        <v>165</v>
      </c>
      <c r="C126" s="197"/>
      <c r="D126" s="197"/>
      <c r="E126" s="198"/>
      <c r="F126" s="200">
        <f>F71</f>
        <v>1369.5</v>
      </c>
    </row>
    <row r="127" ht="14.25" spans="1:10">
      <c r="A127" s="193" t="s">
        <v>157</v>
      </c>
      <c r="B127" s="196" t="s">
        <v>201</v>
      </c>
      <c r="C127" s="197"/>
      <c r="D127" s="197"/>
      <c r="E127" s="198"/>
      <c r="F127" s="200">
        <f>F81</f>
        <v>83.05</v>
      </c>
    </row>
    <row r="128" ht="14.25" spans="1:10">
      <c r="A128" s="193" t="s">
        <v>159</v>
      </c>
      <c r="B128" s="196" t="s">
        <v>209</v>
      </c>
      <c r="C128" s="197"/>
      <c r="D128" s="197"/>
      <c r="E128" s="198"/>
      <c r="F128" s="200">
        <f>F101</f>
        <v>101.65</v>
      </c>
      <c r="H128" s="236"/>
    </row>
    <row r="129" ht="14.25" spans="1:10">
      <c r="A129" s="193" t="s">
        <v>161</v>
      </c>
      <c r="B129" s="196" t="s">
        <v>224</v>
      </c>
      <c r="C129" s="197"/>
      <c r="D129" s="197"/>
      <c r="E129" s="198"/>
      <c r="F129" s="200">
        <f>F109</f>
        <v>127.57</v>
      </c>
      <c r="H129" s="236"/>
    </row>
    <row r="130" ht="14.25" spans="1:10">
      <c r="A130" s="203" t="s">
        <v>242</v>
      </c>
      <c r="B130" s="204"/>
      <c r="C130" s="204"/>
      <c r="D130" s="204"/>
      <c r="E130" s="205"/>
      <c r="F130" s="207">
        <f>SUM(F125:F129)</f>
        <v>2807.45</v>
      </c>
      <c r="I130" s="240"/>
      <c r="J130" s="240"/>
    </row>
    <row r="131" ht="14.25" spans="1:10">
      <c r="A131" s="193" t="s">
        <v>163</v>
      </c>
      <c r="B131" s="196" t="s">
        <v>243</v>
      </c>
      <c r="C131" s="197"/>
      <c r="D131" s="197"/>
      <c r="E131" s="198"/>
      <c r="F131" s="200">
        <f>F121</f>
        <v>863.66</v>
      </c>
    </row>
    <row r="132" ht="14.25" spans="1:10">
      <c r="A132" s="251" t="s">
        <v>244</v>
      </c>
      <c r="B132" s="252"/>
      <c r="C132" s="252"/>
      <c r="D132" s="252"/>
      <c r="E132" s="253"/>
      <c r="F132" s="254">
        <f>SUM(F130:F131)</f>
        <v>3671.11</v>
      </c>
      <c r="H132" s="236"/>
    </row>
    <row r="133" ht="14.25"/>
    <row r="134" s="155" customFormat="1" ht="14.25" spans="1:10">
      <c r="A134" s="159" t="s">
        <v>245</v>
      </c>
      <c r="B134" s="159"/>
      <c r="C134" s="159"/>
      <c r="D134" s="159"/>
      <c r="E134" s="159"/>
      <c r="F134" s="159"/>
      <c r="G134" s="255"/>
      <c r="H134" s="255"/>
      <c r="I134" s="255"/>
    </row>
    <row r="135" s="155" customFormat="1" ht="39.75" spans="1:10">
      <c r="A135" s="159" t="s">
        <v>246</v>
      </c>
      <c r="B135" s="159" t="s">
        <v>247</v>
      </c>
      <c r="C135" s="159" t="s">
        <v>248</v>
      </c>
      <c r="D135" s="159" t="s">
        <v>249</v>
      </c>
      <c r="E135" s="159" t="s">
        <v>250</v>
      </c>
      <c r="F135" s="256" t="s">
        <v>251</v>
      </c>
    </row>
    <row r="136" s="155" customFormat="1" ht="45" customHeight="1" spans="1:10">
      <c r="A136" s="257" t="str">
        <f>A15</f>
        <v>Servente Interno: 30 h</v>
      </c>
      <c r="B136" s="258">
        <f>F132</f>
        <v>3671.11</v>
      </c>
      <c r="C136" s="259">
        <v>1</v>
      </c>
      <c r="D136" s="258">
        <f>B136*C136</f>
        <v>3671.11</v>
      </c>
      <c r="E136" s="199">
        <f>F15</f>
        <v>7</v>
      </c>
      <c r="F136" s="258">
        <f>D136*E136</f>
        <v>25697.77</v>
      </c>
    </row>
    <row r="137" s="155" customFormat="1" ht="21" customHeight="1" spans="1:10">
      <c r="A137" s="203" t="s">
        <v>252</v>
      </c>
      <c r="B137" s="204"/>
      <c r="C137" s="204"/>
      <c r="D137" s="204"/>
      <c r="E137" s="205"/>
      <c r="F137" s="260">
        <f>SUM(F136)</f>
        <v>25697.77</v>
      </c>
    </row>
    <row r="138" s="155" customFormat="1" ht="21" customHeight="1" spans="1:10">
      <c r="A138" s="251" t="s">
        <v>253</v>
      </c>
      <c r="B138" s="252"/>
      <c r="C138" s="252"/>
      <c r="D138" s="252"/>
      <c r="E138" s="253"/>
      <c r="F138" s="261">
        <f>F137*F11</f>
        <v>308373.24</v>
      </c>
    </row>
    <row r="139" ht="13.5"/>
  </sheetData>
  <mergeCells count="134">
    <mergeCell ref="A1:E1"/>
    <mergeCell ref="A2:E2"/>
    <mergeCell ref="A3:E3"/>
    <mergeCell ref="A4:E4"/>
    <mergeCell ref="A5:E5"/>
    <mergeCell ref="A6:F6"/>
    <mergeCell ref="A7:F7"/>
    <mergeCell ref="B8:E8"/>
    <mergeCell ref="B9:E9"/>
    <mergeCell ref="B10:E10"/>
    <mergeCell ref="B11:E11"/>
    <mergeCell ref="A12:F12"/>
    <mergeCell ref="A13:F13"/>
    <mergeCell ref="A14:C14"/>
    <mergeCell ref="D14:E14"/>
    <mergeCell ref="A15:C15"/>
    <mergeCell ref="D15:E15"/>
    <mergeCell ref="A16:F16"/>
    <mergeCell ref="A17:F17"/>
    <mergeCell ref="A18:F18"/>
    <mergeCell ref="B19:E19"/>
    <mergeCell ref="B20:E20"/>
    <mergeCell ref="B21:E21"/>
    <mergeCell ref="B22:E22"/>
    <mergeCell ref="B23:E23"/>
    <mergeCell ref="A24:F24"/>
    <mergeCell ref="A25:F25"/>
    <mergeCell ref="B26:D26"/>
    <mergeCell ref="B27:D27"/>
    <mergeCell ref="B28:D28"/>
    <mergeCell ref="B29:D29"/>
    <mergeCell ref="B30:D30"/>
    <mergeCell ref="B31:D31"/>
    <mergeCell ref="B32:D32"/>
    <mergeCell ref="A33:D33"/>
    <mergeCell ref="A34:F34"/>
    <mergeCell ref="A35:F35"/>
    <mergeCell ref="A36:F36"/>
    <mergeCell ref="B37:D37"/>
    <mergeCell ref="B38:D38"/>
    <mergeCell ref="B39:D39"/>
    <mergeCell ref="A40:D40"/>
    <mergeCell ref="B41:D41"/>
    <mergeCell ref="A42:D42"/>
    <mergeCell ref="A43:F43"/>
    <mergeCell ref="B44:D44"/>
    <mergeCell ref="B45:D45"/>
    <mergeCell ref="B46:D46"/>
    <mergeCell ref="B47:D47"/>
    <mergeCell ref="B48:D48"/>
    <mergeCell ref="B49:D49"/>
    <mergeCell ref="B50:D50"/>
    <mergeCell ref="B51:D51"/>
    <mergeCell ref="B52:D52"/>
    <mergeCell ref="A53:D53"/>
    <mergeCell ref="A54:F54"/>
    <mergeCell ref="B55:D55"/>
    <mergeCell ref="B56:D56"/>
    <mergeCell ref="B57:D57"/>
    <mergeCell ref="B58:D58"/>
    <mergeCell ref="B59:D59"/>
    <mergeCell ref="B60:D60"/>
    <mergeCell ref="B61:D61"/>
    <mergeCell ref="B62:D62"/>
    <mergeCell ref="B63:D63"/>
    <mergeCell ref="B64:D64"/>
    <mergeCell ref="A65:D65"/>
    <mergeCell ref="A66:F66"/>
    <mergeCell ref="B67:D67"/>
    <mergeCell ref="B68:D68"/>
    <mergeCell ref="B69:D69"/>
    <mergeCell ref="B70:D70"/>
    <mergeCell ref="A71:D71"/>
    <mergeCell ref="A73:F73"/>
    <mergeCell ref="B74:D74"/>
    <mergeCell ref="B75:D75"/>
    <mergeCell ref="B76:D76"/>
    <mergeCell ref="B77:D77"/>
    <mergeCell ref="B78:D78"/>
    <mergeCell ref="B79:D79"/>
    <mergeCell ref="B80:D80"/>
    <mergeCell ref="A81:D81"/>
    <mergeCell ref="A83:F83"/>
    <mergeCell ref="A84:F84"/>
    <mergeCell ref="B85:D85"/>
    <mergeCell ref="B86:D86"/>
    <mergeCell ref="B87:D87"/>
    <mergeCell ref="B88:D88"/>
    <mergeCell ref="B89:D89"/>
    <mergeCell ref="B90:D90"/>
    <mergeCell ref="B91:D91"/>
    <mergeCell ref="A92:D92"/>
    <mergeCell ref="A93:F93"/>
    <mergeCell ref="B94:D94"/>
    <mergeCell ref="B95:D95"/>
    <mergeCell ref="A96:D96"/>
    <mergeCell ref="A97:F97"/>
    <mergeCell ref="B98:D98"/>
    <mergeCell ref="B99:D99"/>
    <mergeCell ref="B100:D100"/>
    <mergeCell ref="A101:D101"/>
    <mergeCell ref="A103:F103"/>
    <mergeCell ref="B104:E104"/>
    <mergeCell ref="B105:E105"/>
    <mergeCell ref="B106:E106"/>
    <mergeCell ref="B107:E107"/>
    <mergeCell ref="B108:E108"/>
    <mergeCell ref="A109:E109"/>
    <mergeCell ref="A111:F111"/>
    <mergeCell ref="B112:D112"/>
    <mergeCell ref="B113:D113"/>
    <mergeCell ref="B114:D114"/>
    <mergeCell ref="B115:D115"/>
    <mergeCell ref="B116:D116"/>
    <mergeCell ref="B117:D117"/>
    <mergeCell ref="B118:D118"/>
    <mergeCell ref="B119:D119"/>
    <mergeCell ref="B120:D120"/>
    <mergeCell ref="A121:D121"/>
    <mergeCell ref="A123:F123"/>
    <mergeCell ref="B124:E124"/>
    <mergeCell ref="B125:E125"/>
    <mergeCell ref="B126:E126"/>
    <mergeCell ref="B127:E127"/>
    <mergeCell ref="B128:E128"/>
    <mergeCell ref="B129:E129"/>
    <mergeCell ref="A130:E130"/>
    <mergeCell ref="B131:E131"/>
    <mergeCell ref="A132:E132"/>
    <mergeCell ref="A134:F134"/>
    <mergeCell ref="A137:E137"/>
    <mergeCell ref="A138:E138"/>
    <mergeCell ref="F1:F5"/>
    <mergeCell ref="H117:H120"/>
  </mergeCells>
  <pageMargins left="0.554166666666667" right="0.357638888888889" top="0.605555555555556" bottom="0.409027777777778" header="0.5" footer="0.5"/>
  <pageSetup paperSize="9" scale="75"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9" tint="0.599993896298105"/>
  </sheetPr>
  <dimension ref="A1:K139"/>
  <sheetViews>
    <sheetView view="pageBreakPreview" zoomScale="110" zoomScaleNormal="115" topLeftCell="A56" workbookViewId="0">
      <selection activeCell="E86" sqref="E86"/>
    </sheetView>
  </sheetViews>
  <sheetFormatPr defaultColWidth="2.57142857142857" defaultRowHeight="12.75"/>
  <cols>
    <col min="1" max="1" width="12.8571428571429" style="156" customWidth="1"/>
    <col min="2" max="2" width="24.5714285714286" style="126" customWidth="1"/>
    <col min="3" max="3" width="24.2857142857143" style="126" customWidth="1"/>
    <col min="4" max="4" width="15.7142857142857" style="126" customWidth="1"/>
    <col min="5" max="5" width="15.1428571428571" style="126" customWidth="1"/>
    <col min="6" max="6" width="30.1428571428571" style="157" customWidth="1"/>
    <col min="7" max="7" width="21.5714285714286" style="158" customWidth="1"/>
    <col min="8" max="8" width="85.2857142857143" style="158" customWidth="1"/>
    <col min="9" max="9" width="18.2857142857143" style="158" customWidth="1"/>
    <col min="10" max="10" width="25.7142857142857" style="158" customWidth="1"/>
    <col min="11" max="16384" width="2.57142857142857" style="158"/>
  </cols>
  <sheetData>
    <row r="1" s="150" customFormat="1" ht="23.1" customHeight="1" spans="1:11">
      <c r="A1" s="159" t="s">
        <v>121</v>
      </c>
      <c r="B1" s="159"/>
      <c r="C1" s="159"/>
      <c r="D1" s="159"/>
      <c r="E1" s="159"/>
      <c r="F1" s="160"/>
      <c r="G1" s="156"/>
      <c r="H1" s="156"/>
    </row>
    <row r="2" ht="21" customHeight="1" spans="1:11">
      <c r="A2" s="159" t="s">
        <v>256</v>
      </c>
      <c r="B2" s="159"/>
      <c r="C2" s="159"/>
      <c r="D2" s="159"/>
      <c r="E2" s="159"/>
      <c r="F2" s="160"/>
      <c r="G2" s="161"/>
      <c r="H2" s="161"/>
    </row>
    <row r="3" s="151" customFormat="1" ht="16.5" spans="1:11">
      <c r="A3" s="162" t="s">
        <v>123</v>
      </c>
      <c r="B3" s="162"/>
      <c r="C3" s="162"/>
      <c r="D3" s="162"/>
      <c r="E3" s="162"/>
      <c r="F3" s="160"/>
      <c r="G3" s="163"/>
      <c r="H3" s="163"/>
      <c r="I3" s="163"/>
      <c r="J3" s="163"/>
      <c r="K3" s="163"/>
    </row>
    <row r="4" s="151" customFormat="1" ht="16.5" spans="1:11">
      <c r="A4" s="162" t="s">
        <v>124</v>
      </c>
      <c r="B4" s="162"/>
      <c r="C4" s="162"/>
      <c r="D4" s="162"/>
      <c r="E4" s="162"/>
      <c r="F4" s="160"/>
      <c r="G4" s="163"/>
      <c r="H4" s="164"/>
      <c r="I4" s="163"/>
      <c r="J4" s="163"/>
      <c r="K4" s="163"/>
    </row>
    <row r="5" s="151" customFormat="1" ht="16.5" spans="1:11">
      <c r="A5" s="162" t="s">
        <v>125</v>
      </c>
      <c r="B5" s="162"/>
      <c r="C5" s="162"/>
      <c r="D5" s="162"/>
      <c r="E5" s="162"/>
      <c r="F5" s="160"/>
      <c r="G5" s="163"/>
      <c r="H5" s="163"/>
      <c r="I5" s="163"/>
      <c r="J5" s="163"/>
      <c r="K5" s="163"/>
    </row>
    <row r="6" s="151" customFormat="1" ht="16.5" spans="1:11">
      <c r="A6" s="165"/>
      <c r="B6" s="165"/>
      <c r="C6" s="165"/>
      <c r="D6" s="165"/>
      <c r="E6" s="165"/>
      <c r="F6" s="166"/>
      <c r="G6" s="163"/>
      <c r="H6" s="163"/>
      <c r="I6" s="163"/>
      <c r="J6" s="163"/>
      <c r="K6" s="163"/>
    </row>
    <row r="7" ht="14.25" spans="1:11">
      <c r="A7" s="167" t="s">
        <v>126</v>
      </c>
      <c r="B7" s="167"/>
      <c r="C7" s="167"/>
      <c r="D7" s="167"/>
      <c r="E7" s="167"/>
      <c r="F7" s="168"/>
      <c r="G7" s="150"/>
      <c r="H7" s="150"/>
    </row>
    <row r="8" ht="18" customHeight="1" spans="1:11">
      <c r="A8" s="167" t="s">
        <v>127</v>
      </c>
      <c r="B8" s="169" t="s">
        <v>128</v>
      </c>
      <c r="C8" s="169"/>
      <c r="D8" s="169"/>
      <c r="E8" s="169"/>
      <c r="F8" s="170" t="s">
        <v>129</v>
      </c>
    </row>
    <row r="9" ht="18" customHeight="1" spans="1:11">
      <c r="A9" s="167" t="s">
        <v>127</v>
      </c>
      <c r="B9" s="169" t="s">
        <v>130</v>
      </c>
      <c r="C9" s="169"/>
      <c r="D9" s="169"/>
      <c r="E9" s="169"/>
      <c r="F9" s="171" t="s">
        <v>131</v>
      </c>
    </row>
    <row r="10" ht="18" customHeight="1" spans="1:11">
      <c r="A10" s="167" t="s">
        <v>127</v>
      </c>
      <c r="B10" s="169" t="s">
        <v>132</v>
      </c>
      <c r="C10" s="169"/>
      <c r="D10" s="169"/>
      <c r="E10" s="169"/>
      <c r="F10" s="170" t="s">
        <v>133</v>
      </c>
    </row>
    <row r="11" ht="18" customHeight="1" spans="1:11">
      <c r="A11" s="167" t="s">
        <v>127</v>
      </c>
      <c r="B11" s="169" t="s">
        <v>134</v>
      </c>
      <c r="C11" s="169"/>
      <c r="D11" s="169"/>
      <c r="E11" s="169"/>
      <c r="F11" s="172">
        <v>12</v>
      </c>
    </row>
    <row r="12" customFormat="1" ht="16.5" spans="1:11">
      <c r="A12" s="173"/>
      <c r="B12" s="154"/>
      <c r="C12" s="154"/>
      <c r="D12" s="154"/>
      <c r="E12" s="154"/>
      <c r="F12" s="174"/>
      <c r="G12" s="158"/>
      <c r="H12" s="158"/>
    </row>
    <row r="13" s="150" customFormat="1" ht="14.25" spans="1:11">
      <c r="A13" s="167" t="s">
        <v>135</v>
      </c>
      <c r="B13" s="167"/>
      <c r="C13" s="167"/>
      <c r="D13" s="167"/>
      <c r="E13" s="167"/>
      <c r="F13" s="168"/>
    </row>
    <row r="14" ht="14.25" spans="1:11">
      <c r="A14" s="175" t="s">
        <v>136</v>
      </c>
      <c r="B14" s="175"/>
      <c r="C14" s="175"/>
      <c r="D14" s="175" t="s">
        <v>137</v>
      </c>
      <c r="E14" s="175"/>
      <c r="F14" s="175" t="s">
        <v>138</v>
      </c>
      <c r="H14" s="150"/>
    </row>
    <row r="15" ht="14.25" spans="1:11">
      <c r="A15" s="175" t="s">
        <v>257</v>
      </c>
      <c r="B15" s="175"/>
      <c r="C15" s="175"/>
      <c r="D15" s="176" t="s">
        <v>90</v>
      </c>
      <c r="E15" s="176"/>
      <c r="F15" s="177">
        <f>'SEMAD e AGEHAB TOTALIZADOR'!F6</f>
        <v>7</v>
      </c>
      <c r="H15" s="150"/>
    </row>
    <row r="16" customFormat="1" ht="16.5" spans="1:11">
      <c r="A16" s="173"/>
      <c r="B16" s="154"/>
      <c r="C16" s="154"/>
      <c r="D16" s="154"/>
      <c r="E16" s="154"/>
      <c r="F16" s="174"/>
      <c r="G16" s="158"/>
      <c r="H16" s="150"/>
    </row>
    <row r="17" s="150" customFormat="1" ht="14.25" spans="1:9">
      <c r="A17" s="167" t="s">
        <v>140</v>
      </c>
      <c r="B17" s="167"/>
      <c r="C17" s="167"/>
      <c r="D17" s="167"/>
      <c r="E17" s="167"/>
      <c r="F17" s="168"/>
    </row>
    <row r="18" ht="14.25" spans="1:9">
      <c r="A18" s="167" t="s">
        <v>141</v>
      </c>
      <c r="B18" s="167"/>
      <c r="C18" s="167"/>
      <c r="D18" s="167"/>
      <c r="E18" s="167"/>
      <c r="F18" s="168"/>
      <c r="G18" s="150"/>
      <c r="H18" s="150"/>
    </row>
    <row r="19" ht="14.25" spans="1:9">
      <c r="A19" s="167">
        <v>1</v>
      </c>
      <c r="B19" s="178" t="s">
        <v>142</v>
      </c>
      <c r="C19" s="179"/>
      <c r="D19" s="179"/>
      <c r="E19" s="180"/>
      <c r="F19" s="181" t="s">
        <v>143</v>
      </c>
    </row>
    <row r="20" ht="16.5" spans="1:9">
      <c r="A20" s="182">
        <v>2</v>
      </c>
      <c r="B20" s="183" t="s">
        <v>144</v>
      </c>
      <c r="C20" s="184"/>
      <c r="D20" s="184"/>
      <c r="E20" s="185"/>
      <c r="F20" s="186" t="s">
        <v>145</v>
      </c>
      <c r="G20" s="187"/>
      <c r="H20" s="188"/>
      <c r="I20" s="188"/>
    </row>
    <row r="21" ht="14.25" spans="1:9">
      <c r="A21" s="167">
        <v>3</v>
      </c>
      <c r="B21" s="178" t="s">
        <v>146</v>
      </c>
      <c r="C21" s="179"/>
      <c r="D21" s="179"/>
      <c r="E21" s="180"/>
      <c r="F21" s="189">
        <f>RAIZ_DADOS!D5</f>
        <v>1651</v>
      </c>
    </row>
    <row r="22" ht="14.25" spans="1:9">
      <c r="A22" s="167">
        <v>4</v>
      </c>
      <c r="B22" s="178" t="s">
        <v>147</v>
      </c>
      <c r="C22" s="179"/>
      <c r="D22" s="179"/>
      <c r="E22" s="180"/>
      <c r="F22" s="181" t="s">
        <v>62</v>
      </c>
    </row>
    <row r="23" ht="14.25" spans="1:9">
      <c r="A23" s="167">
        <v>5</v>
      </c>
      <c r="B23" s="178" t="s">
        <v>148</v>
      </c>
      <c r="C23" s="179"/>
      <c r="D23" s="179"/>
      <c r="E23" s="180"/>
      <c r="F23" s="181" t="s">
        <v>149</v>
      </c>
    </row>
    <row r="24" ht="14.25" spans="1:9">
      <c r="A24" s="173"/>
      <c r="B24" s="154"/>
      <c r="C24" s="154"/>
      <c r="D24" s="154"/>
      <c r="E24" s="154"/>
      <c r="F24" s="174"/>
    </row>
    <row r="25" ht="14.25" spans="1:9">
      <c r="A25" s="190" t="s">
        <v>150</v>
      </c>
      <c r="B25" s="191"/>
      <c r="C25" s="191"/>
      <c r="D25" s="191"/>
      <c r="E25" s="191"/>
      <c r="F25" s="192"/>
    </row>
    <row r="26" ht="14.25" spans="1:9">
      <c r="A26" s="193">
        <v>1</v>
      </c>
      <c r="B26" s="190" t="s">
        <v>151</v>
      </c>
      <c r="C26" s="191"/>
      <c r="D26" s="194"/>
      <c r="E26" s="193"/>
      <c r="F26" s="195" t="s">
        <v>152</v>
      </c>
    </row>
    <row r="27" ht="14.25" spans="1:9">
      <c r="A27" s="193" t="s">
        <v>153</v>
      </c>
      <c r="B27" s="196" t="s">
        <v>154</v>
      </c>
      <c r="C27" s="197"/>
      <c r="D27" s="198"/>
      <c r="E27" s="199" t="s">
        <v>73</v>
      </c>
      <c r="F27" s="200">
        <f>(F21/44)*30</f>
        <v>1125.68</v>
      </c>
      <c r="H27" s="201"/>
    </row>
    <row r="28" ht="14.25" spans="1:9">
      <c r="A28" s="193" t="s">
        <v>155</v>
      </c>
      <c r="B28" s="196" t="s">
        <v>156</v>
      </c>
      <c r="C28" s="197"/>
      <c r="D28" s="198"/>
      <c r="E28" s="199"/>
      <c r="F28" s="200"/>
    </row>
    <row r="29" ht="14.25" spans="1:9">
      <c r="A29" s="193" t="s">
        <v>157</v>
      </c>
      <c r="B29" s="196" t="s">
        <v>158</v>
      </c>
      <c r="C29" s="197"/>
      <c r="D29" s="198"/>
      <c r="E29" s="202"/>
      <c r="F29" s="200"/>
    </row>
    <row r="30" ht="14.25" spans="1:9">
      <c r="A30" s="193" t="s">
        <v>159</v>
      </c>
      <c r="B30" s="196" t="s">
        <v>160</v>
      </c>
      <c r="C30" s="197"/>
      <c r="D30" s="198"/>
      <c r="E30" s="199"/>
      <c r="F30" s="200"/>
    </row>
    <row r="31" ht="14.25" spans="1:9">
      <c r="A31" s="193" t="s">
        <v>161</v>
      </c>
      <c r="B31" s="196" t="s">
        <v>162</v>
      </c>
      <c r="C31" s="197"/>
      <c r="D31" s="198"/>
      <c r="E31" s="199"/>
      <c r="F31" s="200"/>
    </row>
    <row r="32" ht="14.25" spans="1:9">
      <c r="A32" s="193" t="s">
        <v>163</v>
      </c>
      <c r="B32" s="196" t="s">
        <v>164</v>
      </c>
      <c r="C32" s="197"/>
      <c r="D32" s="198"/>
      <c r="E32" s="199"/>
      <c r="F32" s="200"/>
    </row>
    <row r="33" ht="14.25" spans="1:8">
      <c r="A33" s="203" t="s">
        <v>71</v>
      </c>
      <c r="B33" s="204"/>
      <c r="C33" s="204"/>
      <c r="D33" s="205"/>
      <c r="E33" s="206"/>
      <c r="F33" s="207">
        <f>SUM(F27:F32)</f>
        <v>1125.68</v>
      </c>
    </row>
    <row r="34" ht="14.25" spans="1:8">
      <c r="A34" s="208"/>
      <c r="B34" s="209"/>
      <c r="C34" s="209"/>
      <c r="D34" s="209"/>
      <c r="E34" s="209"/>
      <c r="F34" s="210"/>
    </row>
    <row r="35" ht="14.25" spans="1:8">
      <c r="A35" s="193" t="s">
        <v>165</v>
      </c>
      <c r="B35" s="193"/>
      <c r="C35" s="193"/>
      <c r="D35" s="193"/>
      <c r="E35" s="193"/>
      <c r="F35" s="211"/>
    </row>
    <row r="36" ht="14.25" spans="1:8">
      <c r="A36" s="193" t="s">
        <v>166</v>
      </c>
      <c r="B36" s="193"/>
      <c r="C36" s="193"/>
      <c r="D36" s="193"/>
      <c r="E36" s="193"/>
      <c r="F36" s="211"/>
      <c r="H36" s="212"/>
    </row>
    <row r="37" ht="14.25" spans="1:8">
      <c r="A37" s="193" t="s">
        <v>167</v>
      </c>
      <c r="B37" s="190" t="s">
        <v>168</v>
      </c>
      <c r="C37" s="191"/>
      <c r="D37" s="194"/>
      <c r="E37" s="193" t="s">
        <v>169</v>
      </c>
      <c r="F37" s="195" t="s">
        <v>152</v>
      </c>
    </row>
    <row r="38" ht="14.25" spans="1:8">
      <c r="A38" s="193" t="s">
        <v>153</v>
      </c>
      <c r="B38" s="196" t="s">
        <v>170</v>
      </c>
      <c r="C38" s="197"/>
      <c r="D38" s="198"/>
      <c r="E38" s="213">
        <f>1/12</f>
        <v>0.0833</v>
      </c>
      <c r="F38" s="200">
        <f>F33*E38</f>
        <v>93.77</v>
      </c>
    </row>
    <row r="39" ht="14.25" spans="1:8">
      <c r="A39" s="193" t="s">
        <v>155</v>
      </c>
      <c r="B39" s="196" t="s">
        <v>171</v>
      </c>
      <c r="C39" s="197"/>
      <c r="D39" s="198"/>
      <c r="E39" s="213">
        <f>(1/12)+(1/3)/12</f>
        <v>0.1111</v>
      </c>
      <c r="F39" s="200">
        <f>F33*E39</f>
        <v>125.06</v>
      </c>
    </row>
    <row r="40" ht="14.25" spans="1:8">
      <c r="A40" s="214" t="s">
        <v>71</v>
      </c>
      <c r="B40" s="215"/>
      <c r="C40" s="215"/>
      <c r="D40" s="216"/>
      <c r="E40" s="217">
        <f>SUM(E38:E39)</f>
        <v>0.1944</v>
      </c>
      <c r="F40" s="218">
        <f>SUM(F38:F39)</f>
        <v>218.83</v>
      </c>
    </row>
    <row r="41" ht="14.25" spans="1:8">
      <c r="A41" s="193" t="s">
        <v>157</v>
      </c>
      <c r="B41" s="196" t="s">
        <v>172</v>
      </c>
      <c r="C41" s="197"/>
      <c r="D41" s="198"/>
      <c r="E41" s="213">
        <f>E40*E53</f>
        <v>0.0774</v>
      </c>
      <c r="F41" s="218">
        <f>E41*F33</f>
        <v>87.13</v>
      </c>
    </row>
    <row r="42" ht="14.25" spans="1:8">
      <c r="A42" s="203" t="s">
        <v>71</v>
      </c>
      <c r="B42" s="204"/>
      <c r="C42" s="204"/>
      <c r="D42" s="205"/>
      <c r="E42" s="219">
        <f>SUM(E40:E41)</f>
        <v>0.2718</v>
      </c>
      <c r="F42" s="207">
        <f>SUM(F40:F41)</f>
        <v>305.96</v>
      </c>
      <c r="H42" s="212"/>
    </row>
    <row r="43" ht="14.25" spans="1:8">
      <c r="A43" s="193" t="s">
        <v>173</v>
      </c>
      <c r="B43" s="193"/>
      <c r="C43" s="193"/>
      <c r="D43" s="193"/>
      <c r="E43" s="193"/>
      <c r="F43" s="211"/>
    </row>
    <row r="44" ht="14.25" spans="1:8">
      <c r="A44" s="193" t="s">
        <v>174</v>
      </c>
      <c r="B44" s="190" t="s">
        <v>175</v>
      </c>
      <c r="C44" s="191"/>
      <c r="D44" s="194"/>
      <c r="E44" s="193" t="s">
        <v>169</v>
      </c>
      <c r="F44" s="195" t="s">
        <v>152</v>
      </c>
    </row>
    <row r="45" ht="14.25" spans="1:8">
      <c r="A45" s="193" t="s">
        <v>153</v>
      </c>
      <c r="B45" s="196" t="s">
        <v>176</v>
      </c>
      <c r="C45" s="197"/>
      <c r="D45" s="198"/>
      <c r="E45" s="213">
        <v>0.2</v>
      </c>
      <c r="F45" s="200">
        <f t="shared" ref="F45:F52" si="0">E45*F$33</f>
        <v>225.14</v>
      </c>
    </row>
    <row r="46" ht="14.25" spans="1:8">
      <c r="A46" s="193" t="s">
        <v>155</v>
      </c>
      <c r="B46" s="196" t="s">
        <v>177</v>
      </c>
      <c r="C46" s="197"/>
      <c r="D46" s="198"/>
      <c r="E46" s="213">
        <v>0.025</v>
      </c>
      <c r="F46" s="200">
        <f t="shared" si="0"/>
        <v>28.14</v>
      </c>
      <c r="G46" s="152"/>
      <c r="H46" s="220"/>
    </row>
    <row r="47" ht="14.25" spans="1:8">
      <c r="A47" s="193" t="s">
        <v>157</v>
      </c>
      <c r="B47" s="196" t="s">
        <v>178</v>
      </c>
      <c r="C47" s="197"/>
      <c r="D47" s="198"/>
      <c r="E47" s="221">
        <f>(2*3)/100</f>
        <v>0.06</v>
      </c>
      <c r="F47" s="200">
        <f t="shared" si="0"/>
        <v>67.54</v>
      </c>
      <c r="G47" s="222"/>
      <c r="H47" s="222"/>
    </row>
    <row r="48" ht="14.25" spans="1:8">
      <c r="A48" s="193" t="s">
        <v>159</v>
      </c>
      <c r="B48" s="196" t="s">
        <v>179</v>
      </c>
      <c r="C48" s="197"/>
      <c r="D48" s="198"/>
      <c r="E48" s="213">
        <v>0.015</v>
      </c>
      <c r="F48" s="200">
        <f t="shared" si="0"/>
        <v>16.89</v>
      </c>
    </row>
    <row r="49" ht="14.25" spans="1:8">
      <c r="A49" s="193" t="s">
        <v>161</v>
      </c>
      <c r="B49" s="196" t="s">
        <v>180</v>
      </c>
      <c r="C49" s="197"/>
      <c r="D49" s="198"/>
      <c r="E49" s="213">
        <v>0.01</v>
      </c>
      <c r="F49" s="200">
        <f t="shared" si="0"/>
        <v>11.26</v>
      </c>
    </row>
    <row r="50" ht="14.25" spans="1:8">
      <c r="A50" s="193" t="s">
        <v>163</v>
      </c>
      <c r="B50" s="196" t="s">
        <v>181</v>
      </c>
      <c r="C50" s="197"/>
      <c r="D50" s="198"/>
      <c r="E50" s="213">
        <v>0.006</v>
      </c>
      <c r="F50" s="200">
        <f t="shared" si="0"/>
        <v>6.75</v>
      </c>
    </row>
    <row r="51" ht="14.25" spans="1:8">
      <c r="A51" s="193" t="s">
        <v>182</v>
      </c>
      <c r="B51" s="196" t="s">
        <v>183</v>
      </c>
      <c r="C51" s="197"/>
      <c r="D51" s="198"/>
      <c r="E51" s="213">
        <v>0.002</v>
      </c>
      <c r="F51" s="200">
        <f t="shared" si="0"/>
        <v>2.25</v>
      </c>
    </row>
    <row r="52" ht="14.25" spans="1:8">
      <c r="A52" s="193" t="s">
        <v>184</v>
      </c>
      <c r="B52" s="196" t="s">
        <v>185</v>
      </c>
      <c r="C52" s="197"/>
      <c r="D52" s="198"/>
      <c r="E52" s="213">
        <v>0.08</v>
      </c>
      <c r="F52" s="200">
        <f t="shared" si="0"/>
        <v>90.05</v>
      </c>
    </row>
    <row r="53" ht="14.25" spans="1:8">
      <c r="A53" s="203" t="s">
        <v>186</v>
      </c>
      <c r="B53" s="204"/>
      <c r="C53" s="204"/>
      <c r="D53" s="205"/>
      <c r="E53" s="219">
        <f>SUM(E45:E52)</f>
        <v>0.398</v>
      </c>
      <c r="F53" s="207">
        <f>SUM(F45:F52)</f>
        <v>448.02</v>
      </c>
    </row>
    <row r="54" ht="14.25" spans="1:8">
      <c r="A54" s="190" t="s">
        <v>187</v>
      </c>
      <c r="B54" s="191"/>
      <c r="C54" s="191"/>
      <c r="D54" s="191"/>
      <c r="E54" s="191"/>
      <c r="F54" s="192"/>
    </row>
    <row r="55" ht="14.25" spans="1:8">
      <c r="A55" s="193" t="s">
        <v>188</v>
      </c>
      <c r="B55" s="190" t="s">
        <v>189</v>
      </c>
      <c r="C55" s="191"/>
      <c r="D55" s="194"/>
      <c r="E55" s="193"/>
      <c r="F55" s="195" t="s">
        <v>152</v>
      </c>
    </row>
    <row r="56" ht="14.25" spans="1:8">
      <c r="A56" s="193" t="s">
        <v>153</v>
      </c>
      <c r="B56" s="196" t="s">
        <v>190</v>
      </c>
      <c r="C56" s="197"/>
      <c r="D56" s="198"/>
      <c r="E56" s="199"/>
      <c r="F56" s="200">
        <f>((E57*E58)*E59)-(6%*F27)</f>
        <v>64.46</v>
      </c>
      <c r="H56" s="161"/>
    </row>
    <row r="57" ht="14.25" spans="1:8">
      <c r="A57" s="193"/>
      <c r="B57" s="196" t="s">
        <v>191</v>
      </c>
      <c r="C57" s="197"/>
      <c r="D57" s="198"/>
      <c r="E57" s="223">
        <f>RAIZ_DADOS!D30</f>
        <v>3</v>
      </c>
      <c r="F57" s="181" t="s">
        <v>52</v>
      </c>
      <c r="H57" s="161"/>
    </row>
    <row r="58" ht="14.25" spans="1:8">
      <c r="A58" s="193"/>
      <c r="B58" s="196" t="s">
        <v>192</v>
      </c>
      <c r="C58" s="197"/>
      <c r="D58" s="198"/>
      <c r="E58" s="224">
        <f>RAIZ_DADOS!D33</f>
        <v>2</v>
      </c>
      <c r="F58" s="181" t="s">
        <v>52</v>
      </c>
      <c r="H58" s="161"/>
    </row>
    <row r="59" ht="14.25" spans="1:8">
      <c r="A59" s="193"/>
      <c r="B59" s="196" t="s">
        <v>193</v>
      </c>
      <c r="C59" s="197"/>
      <c r="D59" s="198"/>
      <c r="E59" s="224">
        <f>RAIZ_DADOS!D32</f>
        <v>22</v>
      </c>
      <c r="F59" s="181" t="s">
        <v>52</v>
      </c>
      <c r="H59" s="161"/>
    </row>
    <row r="60" ht="14.25" spans="1:8">
      <c r="A60" s="193" t="s">
        <v>155</v>
      </c>
      <c r="B60" s="196" t="s">
        <v>194</v>
      </c>
      <c r="C60" s="197"/>
      <c r="D60" s="198"/>
      <c r="E60" s="199"/>
      <c r="F60" s="200">
        <f>RAIZ_DADOS!D6</f>
        <v>400</v>
      </c>
      <c r="H60" s="161"/>
    </row>
    <row r="61" ht="14.25" spans="1:8">
      <c r="A61" s="193" t="s">
        <v>157</v>
      </c>
      <c r="B61" s="196" t="s">
        <v>34</v>
      </c>
      <c r="C61" s="197"/>
      <c r="D61" s="198"/>
      <c r="E61" s="199"/>
      <c r="F61" s="200">
        <f>RAIZ_DADOS!D23</f>
        <v>14.66</v>
      </c>
      <c r="H61" s="161"/>
    </row>
    <row r="62" ht="14.25" spans="1:8">
      <c r="A62" s="193" t="s">
        <v>159</v>
      </c>
      <c r="B62" s="196" t="s">
        <v>195</v>
      </c>
      <c r="C62" s="197"/>
      <c r="D62" s="198"/>
      <c r="E62" s="199"/>
      <c r="F62" s="200">
        <f>RAIZ_DADOS!D24</f>
        <v>6.4</v>
      </c>
      <c r="H62" s="161"/>
    </row>
    <row r="63" ht="14.25" spans="1:8">
      <c r="A63" s="193" t="s">
        <v>161</v>
      </c>
      <c r="B63" s="225" t="s">
        <v>196</v>
      </c>
      <c r="C63" s="226"/>
      <c r="D63" s="227"/>
      <c r="E63" s="228"/>
      <c r="F63" s="229">
        <v>0</v>
      </c>
      <c r="H63" s="230"/>
    </row>
    <row r="64" ht="14.25" spans="1:8">
      <c r="A64" s="193" t="s">
        <v>163</v>
      </c>
      <c r="B64" s="225" t="s">
        <v>197</v>
      </c>
      <c r="C64" s="226"/>
      <c r="D64" s="227"/>
      <c r="E64" s="228"/>
      <c r="F64" s="229">
        <f>RAIZ_DADOS!D7</f>
        <v>130</v>
      </c>
      <c r="H64" s="230"/>
    </row>
    <row r="65" s="152" customFormat="1" ht="14.25" spans="1:10">
      <c r="A65" s="203" t="s">
        <v>71</v>
      </c>
      <c r="B65" s="204"/>
      <c r="C65" s="204"/>
      <c r="D65" s="205"/>
      <c r="E65" s="231"/>
      <c r="F65" s="207">
        <f>SUM(F56:F64)</f>
        <v>615.52</v>
      </c>
      <c r="G65" s="158"/>
      <c r="H65" s="158"/>
    </row>
    <row r="66" ht="14.25" spans="1:10">
      <c r="A66" s="190" t="s">
        <v>198</v>
      </c>
      <c r="B66" s="191"/>
      <c r="C66" s="191"/>
      <c r="D66" s="191"/>
      <c r="E66" s="191"/>
      <c r="F66" s="192"/>
    </row>
    <row r="67" ht="14.25" spans="1:10">
      <c r="A67" s="193">
        <v>2</v>
      </c>
      <c r="B67" s="190" t="s">
        <v>199</v>
      </c>
      <c r="C67" s="191"/>
      <c r="D67" s="194"/>
      <c r="E67" s="193"/>
      <c r="F67" s="195" t="s">
        <v>152</v>
      </c>
    </row>
    <row r="68" ht="14.25" spans="1:10">
      <c r="A68" s="193" t="s">
        <v>167</v>
      </c>
      <c r="B68" s="196" t="s">
        <v>168</v>
      </c>
      <c r="C68" s="197"/>
      <c r="D68" s="198"/>
      <c r="E68" s="232"/>
      <c r="F68" s="200">
        <f>F40</f>
        <v>218.83</v>
      </c>
      <c r="G68" s="153"/>
      <c r="H68" s="153"/>
    </row>
    <row r="69" ht="14.25" spans="1:10">
      <c r="A69" s="193" t="s">
        <v>174</v>
      </c>
      <c r="B69" s="196" t="s">
        <v>200</v>
      </c>
      <c r="C69" s="197"/>
      <c r="D69" s="198"/>
      <c r="E69" s="233"/>
      <c r="F69" s="200">
        <f>F53+F41</f>
        <v>535.15</v>
      </c>
      <c r="G69" s="153"/>
      <c r="H69" s="153"/>
    </row>
    <row r="70" ht="14.25" spans="1:10">
      <c r="A70" s="193" t="s">
        <v>188</v>
      </c>
      <c r="B70" s="196" t="s">
        <v>189</v>
      </c>
      <c r="C70" s="197"/>
      <c r="D70" s="198"/>
      <c r="E70" s="234"/>
      <c r="F70" s="200">
        <f>F65</f>
        <v>615.52</v>
      </c>
      <c r="G70" s="153"/>
      <c r="H70" s="153"/>
    </row>
    <row r="71" ht="14.25" spans="1:10">
      <c r="A71" s="203" t="s">
        <v>71</v>
      </c>
      <c r="B71" s="204"/>
      <c r="C71" s="204"/>
      <c r="D71" s="205"/>
      <c r="E71" s="206"/>
      <c r="F71" s="207">
        <f>SUM(F68:F70)</f>
        <v>1369.5</v>
      </c>
      <c r="J71" s="235"/>
    </row>
    <row r="72" ht="14.25"/>
    <row r="73" ht="14.25" spans="1:10">
      <c r="A73" s="193" t="s">
        <v>201</v>
      </c>
      <c r="B73" s="193"/>
      <c r="C73" s="193"/>
      <c r="D73" s="193"/>
      <c r="E73" s="193"/>
      <c r="F73" s="211"/>
    </row>
    <row r="74" ht="14.25" spans="1:10">
      <c r="A74" s="193">
        <v>3</v>
      </c>
      <c r="B74" s="190" t="s">
        <v>202</v>
      </c>
      <c r="C74" s="191"/>
      <c r="D74" s="194"/>
      <c r="E74" s="193" t="s">
        <v>169</v>
      </c>
      <c r="F74" s="195" t="s">
        <v>152</v>
      </c>
    </row>
    <row r="75" ht="14.25" spans="1:10">
      <c r="A75" s="193" t="s">
        <v>153</v>
      </c>
      <c r="B75" s="196" t="s">
        <v>203</v>
      </c>
      <c r="C75" s="197"/>
      <c r="D75" s="198"/>
      <c r="E75" s="232">
        <f>(1/12)*5%</f>
        <v>0.0042</v>
      </c>
      <c r="F75" s="200">
        <f>E75*F33</f>
        <v>4.73</v>
      </c>
    </row>
    <row r="76" ht="14.25" spans="1:10">
      <c r="A76" s="193" t="s">
        <v>155</v>
      </c>
      <c r="B76" s="196" t="s">
        <v>204</v>
      </c>
      <c r="C76" s="197"/>
      <c r="D76" s="198"/>
      <c r="E76" s="232">
        <f>E75*E52</f>
        <v>0.0003</v>
      </c>
      <c r="F76" s="200">
        <f>E76*F33</f>
        <v>0.34</v>
      </c>
      <c r="G76" s="236"/>
    </row>
    <row r="77" ht="14.25" spans="1:10">
      <c r="A77" s="193" t="s">
        <v>157</v>
      </c>
      <c r="B77" s="196" t="s">
        <v>205</v>
      </c>
      <c r="C77" s="197"/>
      <c r="D77" s="198"/>
      <c r="E77" s="232">
        <f>((8%*(40%)*90%)*(1+5/56+5/56+(1/3*5/56)))</f>
        <v>0.0348</v>
      </c>
      <c r="F77" s="200">
        <f>E77*(F33+F40)</f>
        <v>46.79</v>
      </c>
      <c r="G77" s="236"/>
      <c r="H77" s="237"/>
    </row>
    <row r="78" ht="14.25" spans="1:10">
      <c r="A78" s="193" t="s">
        <v>159</v>
      </c>
      <c r="B78" s="196" t="s">
        <v>206</v>
      </c>
      <c r="C78" s="197"/>
      <c r="D78" s="198"/>
      <c r="E78" s="232">
        <f>((7/30)/12)</f>
        <v>0.0194</v>
      </c>
      <c r="F78" s="200">
        <f>E78*F33</f>
        <v>21.84</v>
      </c>
      <c r="G78" s="153"/>
      <c r="H78" s="153"/>
    </row>
    <row r="79" ht="14.25" spans="1:10">
      <c r="A79" s="193" t="s">
        <v>161</v>
      </c>
      <c r="B79" s="196" t="s">
        <v>207</v>
      </c>
      <c r="C79" s="197"/>
      <c r="D79" s="198"/>
      <c r="E79" s="232">
        <f>E78*E53</f>
        <v>0.0077</v>
      </c>
      <c r="F79" s="200">
        <f>E79*F33</f>
        <v>8.67</v>
      </c>
    </row>
    <row r="80" ht="14.25" spans="1:10">
      <c r="A80" s="193" t="s">
        <v>163</v>
      </c>
      <c r="B80" s="196" t="s">
        <v>208</v>
      </c>
      <c r="C80" s="197"/>
      <c r="D80" s="198"/>
      <c r="E80" s="232">
        <f>(40%*8%*E78)</f>
        <v>0.0006</v>
      </c>
      <c r="F80" s="200">
        <f>E80*F33</f>
        <v>0.68</v>
      </c>
    </row>
    <row r="81" ht="14.25" spans="1:10">
      <c r="A81" s="203" t="s">
        <v>71</v>
      </c>
      <c r="B81" s="204"/>
      <c r="C81" s="204"/>
      <c r="D81" s="205"/>
      <c r="E81" s="238"/>
      <c r="F81" s="207">
        <f>SUM(F75:F80)</f>
        <v>83.05</v>
      </c>
      <c r="J81" s="235"/>
    </row>
    <row r="82" s="153" customFormat="1" ht="14.25" spans="1:10">
      <c r="A82" s="156"/>
      <c r="B82" s="126"/>
      <c r="C82" s="126"/>
      <c r="D82" s="126"/>
      <c r="E82" s="126"/>
      <c r="F82" s="157"/>
      <c r="G82" s="158"/>
      <c r="H82" s="158"/>
    </row>
    <row r="83" s="153" customFormat="1" ht="14.25" spans="1:10">
      <c r="A83" s="190" t="s">
        <v>209</v>
      </c>
      <c r="B83" s="191"/>
      <c r="C83" s="191"/>
      <c r="D83" s="191"/>
      <c r="E83" s="191"/>
      <c r="F83" s="192"/>
      <c r="G83" s="158"/>
      <c r="H83" s="158"/>
    </row>
    <row r="84" ht="14.25" spans="1:10">
      <c r="A84" s="190" t="s">
        <v>210</v>
      </c>
      <c r="B84" s="191"/>
      <c r="C84" s="191"/>
      <c r="D84" s="191"/>
      <c r="E84" s="191"/>
      <c r="F84" s="192"/>
    </row>
    <row r="85" ht="14.25" spans="1:10">
      <c r="A85" s="193" t="s">
        <v>211</v>
      </c>
      <c r="B85" s="190" t="s">
        <v>212</v>
      </c>
      <c r="C85" s="191"/>
      <c r="D85" s="194"/>
      <c r="E85" s="193" t="s">
        <v>169</v>
      </c>
      <c r="F85" s="195" t="s">
        <v>152</v>
      </c>
    </row>
    <row r="86" ht="14.25" spans="1:10">
      <c r="A86" s="193" t="s">
        <v>153</v>
      </c>
      <c r="B86" s="196" t="s">
        <v>213</v>
      </c>
      <c r="C86" s="197"/>
      <c r="D86" s="198"/>
      <c r="E86" s="232">
        <f>(1/12)</f>
        <v>0.0833</v>
      </c>
      <c r="F86" s="200">
        <f t="shared" ref="F86:F91" si="1">E86*F$33</f>
        <v>93.77</v>
      </c>
    </row>
    <row r="87" ht="14.25" spans="1:10">
      <c r="A87" s="193" t="s">
        <v>155</v>
      </c>
      <c r="B87" s="196" t="s">
        <v>212</v>
      </c>
      <c r="C87" s="197"/>
      <c r="D87" s="198"/>
      <c r="E87" s="232">
        <f>(1/30)/12</f>
        <v>0.0028</v>
      </c>
      <c r="F87" s="200">
        <f t="shared" si="1"/>
        <v>3.15</v>
      </c>
    </row>
    <row r="88" ht="14.25" spans="1:10">
      <c r="A88" s="193" t="s">
        <v>157</v>
      </c>
      <c r="B88" s="196" t="s">
        <v>214</v>
      </c>
      <c r="C88" s="197"/>
      <c r="D88" s="198"/>
      <c r="E88" s="232">
        <f>((5/30)/12)*1.5%</f>
        <v>0.0002</v>
      </c>
      <c r="F88" s="200">
        <f t="shared" si="1"/>
        <v>0.23</v>
      </c>
    </row>
    <row r="89" ht="14.25" spans="1:10">
      <c r="A89" s="193" t="s">
        <v>159</v>
      </c>
      <c r="B89" s="196" t="s">
        <v>215</v>
      </c>
      <c r="C89" s="197"/>
      <c r="D89" s="198"/>
      <c r="E89" s="232">
        <f>((15/365)*8%)</f>
        <v>0.0033</v>
      </c>
      <c r="F89" s="200">
        <f t="shared" si="1"/>
        <v>3.71</v>
      </c>
    </row>
    <row r="90" ht="14.25" spans="1:10">
      <c r="A90" s="193" t="s">
        <v>161</v>
      </c>
      <c r="B90" s="196" t="s">
        <v>216</v>
      </c>
      <c r="C90" s="197"/>
      <c r="D90" s="198"/>
      <c r="E90" s="232">
        <f>(11.11%*2%*(4/12))</f>
        <v>0.0007</v>
      </c>
      <c r="F90" s="200">
        <f t="shared" si="1"/>
        <v>0.79</v>
      </c>
    </row>
    <row r="91" ht="14.25" spans="1:10">
      <c r="A91" s="193" t="s">
        <v>163</v>
      </c>
      <c r="B91" s="196" t="s">
        <v>217</v>
      </c>
      <c r="C91" s="197"/>
      <c r="D91" s="198"/>
      <c r="E91" s="232"/>
      <c r="F91" s="200">
        <f t="shared" si="1"/>
        <v>0</v>
      </c>
    </row>
    <row r="92" s="153" customFormat="1" ht="14.25" spans="1:10">
      <c r="A92" s="203" t="s">
        <v>186</v>
      </c>
      <c r="B92" s="204"/>
      <c r="C92" s="204"/>
      <c r="D92" s="205"/>
      <c r="E92" s="238"/>
      <c r="F92" s="207">
        <f>SUM(F86:F91)</f>
        <v>101.65</v>
      </c>
      <c r="G92" s="158"/>
      <c r="H92" s="158"/>
      <c r="J92" s="235"/>
    </row>
    <row r="93" ht="14.25" spans="1:10">
      <c r="A93" s="190" t="s">
        <v>218</v>
      </c>
      <c r="B93" s="191"/>
      <c r="C93" s="191"/>
      <c r="D93" s="191"/>
      <c r="E93" s="191"/>
      <c r="F93" s="192"/>
    </row>
    <row r="94" ht="14.25" spans="1:10">
      <c r="A94" s="193" t="s">
        <v>219</v>
      </c>
      <c r="B94" s="190" t="s">
        <v>220</v>
      </c>
      <c r="C94" s="191"/>
      <c r="D94" s="194"/>
      <c r="E94" s="193"/>
      <c r="F94" s="195" t="s">
        <v>152</v>
      </c>
    </row>
    <row r="95" ht="14.25" spans="1:10">
      <c r="A95" s="193" t="s">
        <v>153</v>
      </c>
      <c r="B95" s="196" t="s">
        <v>221</v>
      </c>
      <c r="C95" s="197"/>
      <c r="D95" s="198"/>
      <c r="E95" s="199"/>
      <c r="F95" s="200">
        <v>0</v>
      </c>
    </row>
    <row r="96" ht="14.25" spans="1:10">
      <c r="A96" s="203" t="s">
        <v>71</v>
      </c>
      <c r="B96" s="204"/>
      <c r="C96" s="204"/>
      <c r="D96" s="205"/>
      <c r="E96" s="206"/>
      <c r="F96" s="207">
        <f>SUM(F95:F95)</f>
        <v>0</v>
      </c>
    </row>
    <row r="97" ht="14.25" spans="1:10">
      <c r="A97" s="190" t="s">
        <v>222</v>
      </c>
      <c r="B97" s="191"/>
      <c r="C97" s="191"/>
      <c r="D97" s="191"/>
      <c r="E97" s="191"/>
      <c r="F97" s="192"/>
    </row>
    <row r="98" ht="14.25" spans="1:10">
      <c r="A98" s="193">
        <v>4</v>
      </c>
      <c r="B98" s="190" t="s">
        <v>223</v>
      </c>
      <c r="C98" s="191"/>
      <c r="D98" s="194"/>
      <c r="E98" s="193"/>
      <c r="F98" s="195" t="s">
        <v>152</v>
      </c>
    </row>
    <row r="99" ht="14.25" spans="1:10">
      <c r="A99" s="193" t="s">
        <v>211</v>
      </c>
      <c r="B99" s="196" t="s">
        <v>212</v>
      </c>
      <c r="C99" s="197"/>
      <c r="D99" s="198"/>
      <c r="E99" s="199"/>
      <c r="F99" s="200">
        <f>F92</f>
        <v>101.65</v>
      </c>
    </row>
    <row r="100" ht="14.25" spans="1:10">
      <c r="A100" s="193" t="s">
        <v>219</v>
      </c>
      <c r="B100" s="196" t="s">
        <v>220</v>
      </c>
      <c r="C100" s="197"/>
      <c r="D100" s="198"/>
      <c r="E100" s="199"/>
      <c r="F100" s="200">
        <f>F96</f>
        <v>0</v>
      </c>
    </row>
    <row r="101" ht="14.25" spans="1:10">
      <c r="A101" s="203" t="s">
        <v>71</v>
      </c>
      <c r="B101" s="204"/>
      <c r="C101" s="204"/>
      <c r="D101" s="205"/>
      <c r="E101" s="206"/>
      <c r="F101" s="207">
        <f>SUM(F99:F100)</f>
        <v>101.65</v>
      </c>
      <c r="J101" s="235"/>
    </row>
    <row r="102" ht="14.25"/>
    <row r="103" ht="14.25" spans="1:10">
      <c r="A103" s="190" t="s">
        <v>224</v>
      </c>
      <c r="B103" s="191"/>
      <c r="C103" s="191"/>
      <c r="D103" s="191"/>
      <c r="E103" s="191"/>
      <c r="F103" s="192"/>
    </row>
    <row r="104" ht="14.25" spans="1:10">
      <c r="A104" s="193">
        <v>5</v>
      </c>
      <c r="B104" s="190" t="s">
        <v>225</v>
      </c>
      <c r="C104" s="191"/>
      <c r="D104" s="191"/>
      <c r="E104" s="194"/>
      <c r="F104" s="195" t="s">
        <v>152</v>
      </c>
    </row>
    <row r="105" ht="14.25" spans="1:10">
      <c r="A105" s="239" t="s">
        <v>153</v>
      </c>
      <c r="B105" s="196" t="s">
        <v>226</v>
      </c>
      <c r="C105" s="197"/>
      <c r="D105" s="197"/>
      <c r="E105" s="198"/>
      <c r="F105" s="200">
        <f>'SEMAD 1_Uniformes_SEMAD'!K66</f>
        <v>65.89</v>
      </c>
      <c r="H105" s="240"/>
    </row>
    <row r="106" ht="14.25" spans="1:10">
      <c r="A106" s="193" t="s">
        <v>155</v>
      </c>
      <c r="B106" s="196" t="s">
        <v>227</v>
      </c>
      <c r="C106" s="197"/>
      <c r="D106" s="197"/>
      <c r="E106" s="198"/>
      <c r="F106" s="200">
        <f>'SEMAD 1_EPI''s_SEMAD'!K65</f>
        <v>109.56</v>
      </c>
    </row>
    <row r="107" ht="14.25" spans="1:10">
      <c r="A107" s="193" t="s">
        <v>157</v>
      </c>
      <c r="B107" s="196" t="s">
        <v>228</v>
      </c>
      <c r="C107" s="197"/>
      <c r="D107" s="197"/>
      <c r="E107" s="198"/>
      <c r="F107" s="200">
        <f>'SEMAD 1_Materiais_SEMAD'!K26</f>
        <v>14.4</v>
      </c>
    </row>
    <row r="108" ht="14.25" spans="1:10">
      <c r="A108" s="193" t="s">
        <v>159</v>
      </c>
      <c r="B108" s="196" t="s">
        <v>229</v>
      </c>
      <c r="C108" s="197"/>
      <c r="D108" s="197"/>
      <c r="E108" s="198"/>
      <c r="F108" s="200">
        <f>'SEMAD 1_Equipamentos_SEMAD'!M30</f>
        <v>33.98</v>
      </c>
      <c r="H108" s="240"/>
    </row>
    <row r="109" ht="14.25" spans="1:10">
      <c r="A109" s="203" t="s">
        <v>186</v>
      </c>
      <c r="B109" s="204"/>
      <c r="C109" s="204"/>
      <c r="D109" s="204"/>
      <c r="E109" s="205"/>
      <c r="F109" s="207">
        <f>SUM(F105:F108)</f>
        <v>223.83</v>
      </c>
      <c r="J109" s="235"/>
    </row>
    <row r="110" ht="14.25"/>
    <row r="111" ht="14.25" spans="1:10">
      <c r="A111" s="193" t="s">
        <v>230</v>
      </c>
      <c r="B111" s="193"/>
      <c r="C111" s="193"/>
      <c r="D111" s="193"/>
      <c r="E111" s="193"/>
      <c r="F111" s="211"/>
    </row>
    <row r="112" ht="14.25" spans="1:10">
      <c r="A112" s="193">
        <v>6</v>
      </c>
      <c r="B112" s="190" t="s">
        <v>231</v>
      </c>
      <c r="C112" s="191"/>
      <c r="D112" s="194"/>
      <c r="E112" s="193" t="s">
        <v>169</v>
      </c>
      <c r="F112" s="195" t="s">
        <v>152</v>
      </c>
    </row>
    <row r="113" ht="14.25" spans="1:10">
      <c r="A113" s="193" t="s">
        <v>153</v>
      </c>
      <c r="B113" s="196" t="s">
        <v>232</v>
      </c>
      <c r="C113" s="197"/>
      <c r="D113" s="198"/>
      <c r="E113" s="232">
        <v>0.05</v>
      </c>
      <c r="F113" s="200">
        <f>E113*F130</f>
        <v>145.19</v>
      </c>
    </row>
    <row r="114" ht="14.25" spans="1:10">
      <c r="A114" s="193" t="s">
        <v>155</v>
      </c>
      <c r="B114" s="196" t="s">
        <v>233</v>
      </c>
      <c r="C114" s="197"/>
      <c r="D114" s="198"/>
      <c r="E114" s="232">
        <v>0.0679</v>
      </c>
      <c r="F114" s="200">
        <f>E114*(F130+F113)</f>
        <v>207.02</v>
      </c>
    </row>
    <row r="115" ht="14.25" spans="1:10">
      <c r="A115" s="193" t="s">
        <v>157</v>
      </c>
      <c r="B115" s="196" t="s">
        <v>234</v>
      </c>
      <c r="C115" s="197"/>
      <c r="D115" s="198"/>
      <c r="E115" s="232">
        <f>SUM(E116:E120)</f>
        <v>0.1425</v>
      </c>
      <c r="F115" s="200"/>
    </row>
    <row r="116" ht="14.25" spans="1:10">
      <c r="A116" s="193"/>
      <c r="B116" s="196" t="s">
        <v>235</v>
      </c>
      <c r="C116" s="197"/>
      <c r="D116" s="198"/>
      <c r="E116" s="232"/>
      <c r="F116" s="200"/>
      <c r="H116" s="241"/>
    </row>
    <row r="117" ht="14.25" spans="1:10">
      <c r="A117" s="193"/>
      <c r="B117" s="196" t="s">
        <v>236</v>
      </c>
      <c r="C117" s="197"/>
      <c r="D117" s="198"/>
      <c r="E117" s="232">
        <v>0.0165</v>
      </c>
      <c r="F117" s="200">
        <f>E117*((F130+F113+F114)/(1-$E$115))</f>
        <v>62.65</v>
      </c>
      <c r="H117" s="242"/>
      <c r="J117" s="243"/>
    </row>
    <row r="118" ht="14.25" spans="1:10">
      <c r="A118" s="193"/>
      <c r="B118" s="196" t="s">
        <v>237</v>
      </c>
      <c r="C118" s="197"/>
      <c r="D118" s="198"/>
      <c r="E118" s="232">
        <v>0.076</v>
      </c>
      <c r="F118" s="200">
        <f>E118*(($F$130+$F$113+$F$114)/(1-$E$115))</f>
        <v>288.57</v>
      </c>
      <c r="H118" s="242"/>
      <c r="J118" s="243"/>
    </row>
    <row r="119" s="154" customFormat="1" ht="14.25" spans="1:10">
      <c r="A119" s="193"/>
      <c r="B119" s="196" t="s">
        <v>238</v>
      </c>
      <c r="C119" s="197"/>
      <c r="D119" s="198"/>
      <c r="E119" s="232"/>
      <c r="F119" s="200"/>
      <c r="H119" s="242"/>
      <c r="J119" s="244"/>
    </row>
    <row r="120" ht="14.25" spans="1:10">
      <c r="A120" s="193"/>
      <c r="B120" s="196" t="s">
        <v>239</v>
      </c>
      <c r="C120" s="197"/>
      <c r="D120" s="198"/>
      <c r="E120" s="232">
        <v>0.05</v>
      </c>
      <c r="F120" s="200">
        <f>E120*(($F$130+$F$113+$F$114)/(1-$E$115))</f>
        <v>189.85</v>
      </c>
      <c r="H120" s="242"/>
      <c r="J120" s="243"/>
    </row>
    <row r="121" ht="14.25" spans="1:10">
      <c r="A121" s="203" t="s">
        <v>186</v>
      </c>
      <c r="B121" s="204"/>
      <c r="C121" s="204"/>
      <c r="D121" s="205"/>
      <c r="E121" s="245"/>
      <c r="F121" s="207">
        <f>SUM(F113:F120)</f>
        <v>893.28</v>
      </c>
      <c r="J121" s="235"/>
    </row>
    <row r="122" ht="14.25"/>
    <row r="123" ht="14.25" spans="1:10">
      <c r="A123" s="159" t="s">
        <v>240</v>
      </c>
      <c r="B123" s="159"/>
      <c r="C123" s="159"/>
      <c r="D123" s="159"/>
      <c r="E123" s="159"/>
      <c r="F123" s="246"/>
    </row>
    <row r="124" ht="14.25" spans="1:10">
      <c r="A124" s="159"/>
      <c r="B124" s="247" t="s">
        <v>241</v>
      </c>
      <c r="C124" s="248"/>
      <c r="D124" s="248"/>
      <c r="E124" s="249"/>
      <c r="F124" s="250" t="s">
        <v>152</v>
      </c>
    </row>
    <row r="125" ht="14.25" spans="1:10">
      <c r="A125" s="193" t="s">
        <v>153</v>
      </c>
      <c r="B125" s="196" t="s">
        <v>150</v>
      </c>
      <c r="C125" s="197"/>
      <c r="D125" s="197"/>
      <c r="E125" s="198"/>
      <c r="F125" s="200">
        <f>F33</f>
        <v>1125.68</v>
      </c>
      <c r="H125" s="236"/>
    </row>
    <row r="126" ht="14.25" spans="1:10">
      <c r="A126" s="193" t="s">
        <v>155</v>
      </c>
      <c r="B126" s="196" t="s">
        <v>165</v>
      </c>
      <c r="C126" s="197"/>
      <c r="D126" s="197"/>
      <c r="E126" s="198"/>
      <c r="F126" s="200">
        <f>F71</f>
        <v>1369.5</v>
      </c>
    </row>
    <row r="127" ht="14.25" spans="1:10">
      <c r="A127" s="193" t="s">
        <v>157</v>
      </c>
      <c r="B127" s="196" t="s">
        <v>201</v>
      </c>
      <c r="C127" s="197"/>
      <c r="D127" s="197"/>
      <c r="E127" s="198"/>
      <c r="F127" s="200">
        <f>F81</f>
        <v>83.05</v>
      </c>
    </row>
    <row r="128" ht="14.25" spans="1:10">
      <c r="A128" s="193" t="s">
        <v>159</v>
      </c>
      <c r="B128" s="196" t="s">
        <v>209</v>
      </c>
      <c r="C128" s="197"/>
      <c r="D128" s="197"/>
      <c r="E128" s="198"/>
      <c r="F128" s="200">
        <f>F101</f>
        <v>101.65</v>
      </c>
      <c r="H128" s="236"/>
    </row>
    <row r="129" ht="14.25" spans="1:10">
      <c r="A129" s="193" t="s">
        <v>161</v>
      </c>
      <c r="B129" s="196" t="s">
        <v>224</v>
      </c>
      <c r="C129" s="197"/>
      <c r="D129" s="197"/>
      <c r="E129" s="198"/>
      <c r="F129" s="200">
        <f>F109</f>
        <v>223.83</v>
      </c>
      <c r="H129" s="236"/>
    </row>
    <row r="130" ht="14.25" spans="1:10">
      <c r="A130" s="203" t="s">
        <v>242</v>
      </c>
      <c r="B130" s="204"/>
      <c r="C130" s="204"/>
      <c r="D130" s="204"/>
      <c r="E130" s="205"/>
      <c r="F130" s="207">
        <f>SUM(F125:F129)</f>
        <v>2903.71</v>
      </c>
      <c r="I130" s="240"/>
      <c r="J130" s="240"/>
    </row>
    <row r="131" ht="14.25" spans="1:10">
      <c r="A131" s="193" t="s">
        <v>163</v>
      </c>
      <c r="B131" s="196" t="s">
        <v>243</v>
      </c>
      <c r="C131" s="197"/>
      <c r="D131" s="197"/>
      <c r="E131" s="198"/>
      <c r="F131" s="200">
        <f>F121</f>
        <v>893.28</v>
      </c>
    </row>
    <row r="132" ht="14.25" spans="1:10">
      <c r="A132" s="251" t="s">
        <v>244</v>
      </c>
      <c r="B132" s="252"/>
      <c r="C132" s="252"/>
      <c r="D132" s="252"/>
      <c r="E132" s="253"/>
      <c r="F132" s="254">
        <f>SUM(F130:F131)</f>
        <v>3796.99</v>
      </c>
      <c r="H132" s="236"/>
    </row>
    <row r="133" ht="14.25"/>
    <row r="134" s="155" customFormat="1" ht="14.25" spans="1:10">
      <c r="A134" s="159" t="s">
        <v>245</v>
      </c>
      <c r="B134" s="159"/>
      <c r="C134" s="159"/>
      <c r="D134" s="159"/>
      <c r="E134" s="159"/>
      <c r="F134" s="159"/>
      <c r="G134" s="255"/>
      <c r="H134" s="255"/>
      <c r="I134" s="255"/>
    </row>
    <row r="135" s="155" customFormat="1" ht="39.75" spans="1:10">
      <c r="A135" s="159" t="s">
        <v>246</v>
      </c>
      <c r="B135" s="159" t="s">
        <v>247</v>
      </c>
      <c r="C135" s="159" t="s">
        <v>248</v>
      </c>
      <c r="D135" s="159" t="s">
        <v>249</v>
      </c>
      <c r="E135" s="159" t="s">
        <v>250</v>
      </c>
      <c r="F135" s="256" t="s">
        <v>251</v>
      </c>
    </row>
    <row r="136" s="155" customFormat="1" ht="45" customHeight="1" spans="1:10">
      <c r="A136" s="257" t="str">
        <f>A15</f>
        <v>Servente externo: 30 h</v>
      </c>
      <c r="B136" s="258">
        <f>F132</f>
        <v>3796.99</v>
      </c>
      <c r="C136" s="259">
        <v>1</v>
      </c>
      <c r="D136" s="258">
        <f>B136*C136</f>
        <v>3796.99</v>
      </c>
      <c r="E136" s="199">
        <f>F15</f>
        <v>7</v>
      </c>
      <c r="F136" s="258">
        <f>D136*E136</f>
        <v>26578.93</v>
      </c>
    </row>
    <row r="137" s="155" customFormat="1" ht="21" customHeight="1" spans="1:10">
      <c r="A137" s="203" t="s">
        <v>252</v>
      </c>
      <c r="B137" s="204"/>
      <c r="C137" s="204"/>
      <c r="D137" s="204"/>
      <c r="E137" s="205"/>
      <c r="F137" s="260">
        <f>SUM(F136)</f>
        <v>26578.93</v>
      </c>
    </row>
    <row r="138" s="155" customFormat="1" ht="21" customHeight="1" spans="1:10">
      <c r="A138" s="251" t="s">
        <v>253</v>
      </c>
      <c r="B138" s="252"/>
      <c r="C138" s="252"/>
      <c r="D138" s="252"/>
      <c r="E138" s="253"/>
      <c r="F138" s="261">
        <f>F137*F11</f>
        <v>318947.16</v>
      </c>
    </row>
    <row r="139" ht="13.5"/>
  </sheetData>
  <mergeCells count="134">
    <mergeCell ref="A1:E1"/>
    <mergeCell ref="A2:E2"/>
    <mergeCell ref="A3:E3"/>
    <mergeCell ref="A4:E4"/>
    <mergeCell ref="A5:E5"/>
    <mergeCell ref="A6:F6"/>
    <mergeCell ref="A7:F7"/>
    <mergeCell ref="B8:E8"/>
    <mergeCell ref="B9:E9"/>
    <mergeCell ref="B10:E10"/>
    <mergeCell ref="B11:E11"/>
    <mergeCell ref="A12:F12"/>
    <mergeCell ref="A13:F13"/>
    <mergeCell ref="A14:C14"/>
    <mergeCell ref="D14:E14"/>
    <mergeCell ref="A15:C15"/>
    <mergeCell ref="D15:E15"/>
    <mergeCell ref="A16:F16"/>
    <mergeCell ref="A17:F17"/>
    <mergeCell ref="A18:F18"/>
    <mergeCell ref="B19:E19"/>
    <mergeCell ref="B20:E20"/>
    <mergeCell ref="B21:E21"/>
    <mergeCell ref="B22:E22"/>
    <mergeCell ref="B23:E23"/>
    <mergeCell ref="A24:F24"/>
    <mergeCell ref="A25:F25"/>
    <mergeCell ref="B26:D26"/>
    <mergeCell ref="B27:D27"/>
    <mergeCell ref="B28:D28"/>
    <mergeCell ref="B29:D29"/>
    <mergeCell ref="B30:D30"/>
    <mergeCell ref="B31:D31"/>
    <mergeCell ref="B32:D32"/>
    <mergeCell ref="A33:D33"/>
    <mergeCell ref="A34:F34"/>
    <mergeCell ref="A35:F35"/>
    <mergeCell ref="A36:F36"/>
    <mergeCell ref="B37:D37"/>
    <mergeCell ref="B38:D38"/>
    <mergeCell ref="B39:D39"/>
    <mergeCell ref="A40:D40"/>
    <mergeCell ref="B41:D41"/>
    <mergeCell ref="A42:D42"/>
    <mergeCell ref="A43:F43"/>
    <mergeCell ref="B44:D44"/>
    <mergeCell ref="B45:D45"/>
    <mergeCell ref="B46:D46"/>
    <mergeCell ref="B47:D47"/>
    <mergeCell ref="B48:D48"/>
    <mergeCell ref="B49:D49"/>
    <mergeCell ref="B50:D50"/>
    <mergeCell ref="B51:D51"/>
    <mergeCell ref="B52:D52"/>
    <mergeCell ref="A53:D53"/>
    <mergeCell ref="A54:F54"/>
    <mergeCell ref="B55:D55"/>
    <mergeCell ref="B56:D56"/>
    <mergeCell ref="B57:D57"/>
    <mergeCell ref="B58:D58"/>
    <mergeCell ref="B59:D59"/>
    <mergeCell ref="B60:D60"/>
    <mergeCell ref="B61:D61"/>
    <mergeCell ref="B62:D62"/>
    <mergeCell ref="B63:D63"/>
    <mergeCell ref="B64:D64"/>
    <mergeCell ref="A65:D65"/>
    <mergeCell ref="A66:F66"/>
    <mergeCell ref="B67:D67"/>
    <mergeCell ref="B68:D68"/>
    <mergeCell ref="B69:D69"/>
    <mergeCell ref="B70:D70"/>
    <mergeCell ref="A71:D71"/>
    <mergeCell ref="A73:F73"/>
    <mergeCell ref="B74:D74"/>
    <mergeCell ref="B75:D75"/>
    <mergeCell ref="B76:D76"/>
    <mergeCell ref="B77:D77"/>
    <mergeCell ref="B78:D78"/>
    <mergeCell ref="B79:D79"/>
    <mergeCell ref="B80:D80"/>
    <mergeCell ref="A81:D81"/>
    <mergeCell ref="A83:F83"/>
    <mergeCell ref="A84:F84"/>
    <mergeCell ref="B85:D85"/>
    <mergeCell ref="B86:D86"/>
    <mergeCell ref="B87:D87"/>
    <mergeCell ref="B88:D88"/>
    <mergeCell ref="B89:D89"/>
    <mergeCell ref="B90:D90"/>
    <mergeCell ref="B91:D91"/>
    <mergeCell ref="A92:D92"/>
    <mergeCell ref="A93:F93"/>
    <mergeCell ref="B94:D94"/>
    <mergeCell ref="B95:D95"/>
    <mergeCell ref="A96:D96"/>
    <mergeCell ref="A97:F97"/>
    <mergeCell ref="B98:D98"/>
    <mergeCell ref="B99:D99"/>
    <mergeCell ref="B100:D100"/>
    <mergeCell ref="A101:D101"/>
    <mergeCell ref="A103:F103"/>
    <mergeCell ref="B104:E104"/>
    <mergeCell ref="B105:E105"/>
    <mergeCell ref="B106:E106"/>
    <mergeCell ref="B107:E107"/>
    <mergeCell ref="B108:E108"/>
    <mergeCell ref="A109:E109"/>
    <mergeCell ref="A111:F111"/>
    <mergeCell ref="B112:D112"/>
    <mergeCell ref="B113:D113"/>
    <mergeCell ref="B114:D114"/>
    <mergeCell ref="B115:D115"/>
    <mergeCell ref="B116:D116"/>
    <mergeCell ref="B117:D117"/>
    <mergeCell ref="B118:D118"/>
    <mergeCell ref="B119:D119"/>
    <mergeCell ref="B120:D120"/>
    <mergeCell ref="A121:D121"/>
    <mergeCell ref="A123:F123"/>
    <mergeCell ref="B124:E124"/>
    <mergeCell ref="B125:E125"/>
    <mergeCell ref="B126:E126"/>
    <mergeCell ref="B127:E127"/>
    <mergeCell ref="B128:E128"/>
    <mergeCell ref="B129:E129"/>
    <mergeCell ref="A130:E130"/>
    <mergeCell ref="B131:E131"/>
    <mergeCell ref="A132:E132"/>
    <mergeCell ref="A134:F134"/>
    <mergeCell ref="A137:E137"/>
    <mergeCell ref="A138:E138"/>
    <mergeCell ref="F1:F5"/>
    <mergeCell ref="H117:H120"/>
  </mergeCells>
  <pageMargins left="0.554166666666667" right="0.357638888888889" top="0.605555555555556" bottom="0.409027777777778" header="0.5" footer="0.5"/>
  <pageSetup paperSize="9" scale="75"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9" tint="0.599993896298105"/>
  </sheetPr>
  <dimension ref="A1:K139"/>
  <sheetViews>
    <sheetView view="pageBreakPreview" zoomScale="110" zoomScaleNormal="115" topLeftCell="A67" workbookViewId="0">
      <selection activeCell="J106" sqref="J106"/>
    </sheetView>
  </sheetViews>
  <sheetFormatPr defaultColWidth="2.57142857142857" defaultRowHeight="12.75"/>
  <cols>
    <col min="1" max="1" width="12.8571428571429" style="156" customWidth="1"/>
    <col min="2" max="2" width="24.5714285714286" style="126" customWidth="1"/>
    <col min="3" max="3" width="24.2857142857143" style="126" customWidth="1"/>
    <col min="4" max="4" width="15.7142857142857" style="126" customWidth="1"/>
    <col min="5" max="5" width="15.1428571428571" style="126" customWidth="1"/>
    <col min="6" max="6" width="30.1428571428571" style="157" customWidth="1"/>
    <col min="7" max="7" width="10.1428571428571" style="158" customWidth="1"/>
    <col min="8" max="8" width="9.28571428571429" style="158" customWidth="1"/>
    <col min="9" max="9" width="18.2857142857143" style="158" customWidth="1"/>
    <col min="10" max="10" width="25.7142857142857" style="158" customWidth="1"/>
    <col min="11" max="16384" width="2.57142857142857" style="158"/>
  </cols>
  <sheetData>
    <row r="1" s="150" customFormat="1" ht="23.1" customHeight="1" spans="1:11">
      <c r="A1" s="159" t="s">
        <v>121</v>
      </c>
      <c r="B1" s="159"/>
      <c r="C1" s="159"/>
      <c r="D1" s="159"/>
      <c r="E1" s="159"/>
      <c r="F1" s="160"/>
      <c r="G1" s="156"/>
      <c r="H1" s="156"/>
    </row>
    <row r="2" ht="21" customHeight="1" spans="1:11">
      <c r="A2" s="159" t="s">
        <v>258</v>
      </c>
      <c r="B2" s="159"/>
      <c r="C2" s="159"/>
      <c r="D2" s="159"/>
      <c r="E2" s="159"/>
      <c r="F2" s="160"/>
      <c r="G2" s="161"/>
      <c r="H2" s="161"/>
    </row>
    <row r="3" s="151" customFormat="1" ht="16.5" spans="1:11">
      <c r="A3" s="162" t="s">
        <v>123</v>
      </c>
      <c r="B3" s="162"/>
      <c r="C3" s="162"/>
      <c r="D3" s="162"/>
      <c r="E3" s="162"/>
      <c r="F3" s="160"/>
      <c r="G3" s="163"/>
      <c r="H3" s="163"/>
      <c r="I3" s="163"/>
      <c r="J3" s="163"/>
      <c r="K3" s="163"/>
    </row>
    <row r="4" s="151" customFormat="1" ht="16.5" spans="1:11">
      <c r="A4" s="162" t="s">
        <v>124</v>
      </c>
      <c r="B4" s="162"/>
      <c r="C4" s="162"/>
      <c r="D4" s="162"/>
      <c r="E4" s="162"/>
      <c r="F4" s="160"/>
      <c r="G4" s="163"/>
      <c r="H4" s="164"/>
      <c r="I4" s="163"/>
      <c r="J4" s="163"/>
      <c r="K4" s="163"/>
    </row>
    <row r="5" s="151" customFormat="1" ht="16.5" spans="1:11">
      <c r="A5" s="162" t="s">
        <v>125</v>
      </c>
      <c r="B5" s="162"/>
      <c r="C5" s="162"/>
      <c r="D5" s="162"/>
      <c r="E5" s="162"/>
      <c r="F5" s="160"/>
      <c r="G5" s="163"/>
      <c r="H5" s="163"/>
      <c r="I5" s="163"/>
      <c r="J5" s="163"/>
      <c r="K5" s="163"/>
    </row>
    <row r="6" s="151" customFormat="1" ht="16.5" spans="1:11">
      <c r="A6" s="165"/>
      <c r="B6" s="165"/>
      <c r="C6" s="165"/>
      <c r="D6" s="165"/>
      <c r="E6" s="165"/>
      <c r="F6" s="166"/>
      <c r="G6" s="163"/>
      <c r="H6" s="163"/>
      <c r="I6" s="163"/>
      <c r="J6" s="163"/>
      <c r="K6" s="163"/>
    </row>
    <row r="7" ht="14.25" spans="1:11">
      <c r="A7" s="167" t="s">
        <v>126</v>
      </c>
      <c r="B7" s="167"/>
      <c r="C7" s="167"/>
      <c r="D7" s="167"/>
      <c r="E7" s="167"/>
      <c r="F7" s="168"/>
      <c r="G7" s="150"/>
      <c r="H7" s="150"/>
    </row>
    <row r="8" ht="18" customHeight="1" spans="1:11">
      <c r="A8" s="167" t="s">
        <v>127</v>
      </c>
      <c r="B8" s="169" t="s">
        <v>128</v>
      </c>
      <c r="C8" s="169"/>
      <c r="D8" s="169"/>
      <c r="E8" s="169"/>
      <c r="F8" s="170" t="s">
        <v>129</v>
      </c>
    </row>
    <row r="9" ht="18" customHeight="1" spans="1:11">
      <c r="A9" s="167" t="s">
        <v>127</v>
      </c>
      <c r="B9" s="169" t="s">
        <v>130</v>
      </c>
      <c r="C9" s="169"/>
      <c r="D9" s="169"/>
      <c r="E9" s="169"/>
      <c r="F9" s="171" t="s">
        <v>131</v>
      </c>
    </row>
    <row r="10" ht="18" customHeight="1" spans="1:11">
      <c r="A10" s="167" t="s">
        <v>127</v>
      </c>
      <c r="B10" s="169" t="s">
        <v>132</v>
      </c>
      <c r="C10" s="169"/>
      <c r="D10" s="169"/>
      <c r="E10" s="169"/>
      <c r="F10" s="170" t="s">
        <v>133</v>
      </c>
    </row>
    <row r="11" ht="18" customHeight="1" spans="1:11">
      <c r="A11" s="167" t="s">
        <v>127</v>
      </c>
      <c r="B11" s="169" t="s">
        <v>134</v>
      </c>
      <c r="C11" s="169"/>
      <c r="D11" s="169"/>
      <c r="E11" s="169"/>
      <c r="F11" s="172">
        <v>12</v>
      </c>
    </row>
    <row r="12" customFormat="1" ht="16.5" spans="1:11">
      <c r="A12" s="173"/>
      <c r="B12" s="154"/>
      <c r="C12" s="154"/>
      <c r="D12" s="154"/>
      <c r="E12" s="154"/>
      <c r="F12" s="174"/>
      <c r="G12" s="158"/>
      <c r="H12" s="158"/>
    </row>
    <row r="13" s="150" customFormat="1" ht="14.25" spans="1:11">
      <c r="A13" s="167" t="s">
        <v>135</v>
      </c>
      <c r="B13" s="167"/>
      <c r="C13" s="167"/>
      <c r="D13" s="167"/>
      <c r="E13" s="167"/>
      <c r="F13" s="168"/>
    </row>
    <row r="14" ht="14.25" spans="1:11">
      <c r="A14" s="175" t="s">
        <v>136</v>
      </c>
      <c r="B14" s="175"/>
      <c r="C14" s="175"/>
      <c r="D14" s="175" t="s">
        <v>137</v>
      </c>
      <c r="E14" s="175"/>
      <c r="F14" s="175" t="s">
        <v>138</v>
      </c>
      <c r="H14" s="150"/>
    </row>
    <row r="15" ht="14.25" spans="1:11">
      <c r="A15" s="175" t="s">
        <v>259</v>
      </c>
      <c r="B15" s="175"/>
      <c r="C15" s="175"/>
      <c r="D15" s="176" t="s">
        <v>90</v>
      </c>
      <c r="E15" s="176"/>
      <c r="F15" s="177">
        <f>'SEMAD e AGEHAB TOTALIZADOR'!H6</f>
        <v>2</v>
      </c>
      <c r="H15" s="150"/>
    </row>
    <row r="16" customFormat="1" ht="16.5" spans="1:11">
      <c r="A16" s="173"/>
      <c r="B16" s="154"/>
      <c r="C16" s="154"/>
      <c r="D16" s="154"/>
      <c r="E16" s="154"/>
      <c r="F16" s="174"/>
      <c r="G16" s="158"/>
      <c r="H16" s="150"/>
    </row>
    <row r="17" s="150" customFormat="1" ht="14.25" spans="1:9">
      <c r="A17" s="167" t="s">
        <v>140</v>
      </c>
      <c r="B17" s="167"/>
      <c r="C17" s="167"/>
      <c r="D17" s="167"/>
      <c r="E17" s="167"/>
      <c r="F17" s="168"/>
    </row>
    <row r="18" ht="14.25" spans="1:9">
      <c r="A18" s="167" t="s">
        <v>141</v>
      </c>
      <c r="B18" s="167"/>
      <c r="C18" s="167"/>
      <c r="D18" s="167"/>
      <c r="E18" s="167"/>
      <c r="F18" s="168"/>
      <c r="G18" s="150"/>
      <c r="H18" s="150"/>
    </row>
    <row r="19" ht="14.25" spans="1:9">
      <c r="A19" s="167">
        <v>1</v>
      </c>
      <c r="B19" s="178" t="s">
        <v>142</v>
      </c>
      <c r="C19" s="179"/>
      <c r="D19" s="179"/>
      <c r="E19" s="180"/>
      <c r="F19" s="181" t="s">
        <v>63</v>
      </c>
    </row>
    <row r="20" ht="16.5" spans="1:9">
      <c r="A20" s="182">
        <v>2</v>
      </c>
      <c r="B20" s="183" t="s">
        <v>144</v>
      </c>
      <c r="C20" s="184"/>
      <c r="D20" s="184"/>
      <c r="E20" s="185"/>
      <c r="F20" s="186" t="s">
        <v>260</v>
      </c>
      <c r="G20" s="187"/>
      <c r="H20" s="188"/>
      <c r="I20" s="188"/>
    </row>
    <row r="21" ht="14.25" spans="1:9">
      <c r="A21" s="167">
        <v>3</v>
      </c>
      <c r="B21" s="178" t="s">
        <v>146</v>
      </c>
      <c r="C21" s="179"/>
      <c r="D21" s="179"/>
      <c r="E21" s="180"/>
      <c r="F21" s="189">
        <f>RAIZ_DADOS!D5</f>
        <v>1651</v>
      </c>
    </row>
    <row r="22" ht="14.25" spans="1:9">
      <c r="A22" s="167">
        <v>4</v>
      </c>
      <c r="B22" s="178" t="s">
        <v>147</v>
      </c>
      <c r="C22" s="179"/>
      <c r="D22" s="179"/>
      <c r="E22" s="180"/>
      <c r="F22" s="181" t="s">
        <v>63</v>
      </c>
    </row>
    <row r="23" ht="14.25" spans="1:9">
      <c r="A23" s="167">
        <v>5</v>
      </c>
      <c r="B23" s="178" t="s">
        <v>148</v>
      </c>
      <c r="C23" s="179"/>
      <c r="D23" s="179"/>
      <c r="E23" s="180"/>
      <c r="F23" s="181" t="s">
        <v>149</v>
      </c>
    </row>
    <row r="24" ht="14.25" spans="1:9">
      <c r="A24" s="173"/>
      <c r="B24" s="154"/>
      <c r="C24" s="154"/>
      <c r="D24" s="154"/>
      <c r="E24" s="154"/>
      <c r="F24" s="174"/>
    </row>
    <row r="25" ht="14.25" spans="1:9">
      <c r="A25" s="190" t="s">
        <v>150</v>
      </c>
      <c r="B25" s="191"/>
      <c r="C25" s="191"/>
      <c r="D25" s="191"/>
      <c r="E25" s="191"/>
      <c r="F25" s="192"/>
    </row>
    <row r="26" ht="14.25" spans="1:9">
      <c r="A26" s="193">
        <v>1</v>
      </c>
      <c r="B26" s="190" t="s">
        <v>151</v>
      </c>
      <c r="C26" s="191"/>
      <c r="D26" s="194"/>
      <c r="E26" s="193"/>
      <c r="F26" s="195" t="s">
        <v>152</v>
      </c>
    </row>
    <row r="27" ht="14.25" spans="1:9">
      <c r="A27" s="193" t="s">
        <v>153</v>
      </c>
      <c r="B27" s="196" t="s">
        <v>154</v>
      </c>
      <c r="C27" s="197"/>
      <c r="D27" s="198"/>
      <c r="E27" s="199" t="s">
        <v>73</v>
      </c>
      <c r="F27" s="200">
        <f>(F21/44)*30</f>
        <v>1125.68</v>
      </c>
      <c r="H27" s="201"/>
    </row>
    <row r="28" ht="14.25" spans="1:9">
      <c r="A28" s="193" t="s">
        <v>155</v>
      </c>
      <c r="B28" s="196" t="s">
        <v>156</v>
      </c>
      <c r="C28" s="197"/>
      <c r="D28" s="198"/>
      <c r="E28" s="199"/>
      <c r="F28" s="200"/>
    </row>
    <row r="29" ht="14.25" spans="1:9">
      <c r="A29" s="193" t="s">
        <v>157</v>
      </c>
      <c r="B29" s="196" t="s">
        <v>158</v>
      </c>
      <c r="C29" s="197"/>
      <c r="D29" s="198"/>
      <c r="E29" s="202"/>
      <c r="F29" s="200"/>
    </row>
    <row r="30" ht="14.25" spans="1:9">
      <c r="A30" s="193" t="s">
        <v>159</v>
      </c>
      <c r="B30" s="196" t="s">
        <v>160</v>
      </c>
      <c r="C30" s="197"/>
      <c r="D30" s="198"/>
      <c r="E30" s="199"/>
      <c r="F30" s="200"/>
    </row>
    <row r="31" ht="14.25" spans="1:9">
      <c r="A31" s="193" t="s">
        <v>161</v>
      </c>
      <c r="B31" s="196" t="s">
        <v>162</v>
      </c>
      <c r="C31" s="197"/>
      <c r="D31" s="198"/>
      <c r="E31" s="199"/>
      <c r="F31" s="200"/>
    </row>
    <row r="32" ht="14.25" spans="1:9">
      <c r="A32" s="193" t="s">
        <v>163</v>
      </c>
      <c r="B32" s="196" t="str">
        <f>RAIZ_DADOS!A19</f>
        <v>Gratificação Limpador de Vidros</v>
      </c>
      <c r="C32" s="197"/>
      <c r="D32" s="198"/>
      <c r="E32" s="199"/>
      <c r="F32" s="200">
        <f>RAIZ_DADOS!D19</f>
        <v>92.67</v>
      </c>
    </row>
    <row r="33" ht="14.25" spans="1:8">
      <c r="A33" s="203" t="s">
        <v>71</v>
      </c>
      <c r="B33" s="204"/>
      <c r="C33" s="204"/>
      <c r="D33" s="205"/>
      <c r="E33" s="206"/>
      <c r="F33" s="207">
        <f>SUM(F27:F32)</f>
        <v>1218.35</v>
      </c>
    </row>
    <row r="34" ht="14.25" spans="1:8">
      <c r="A34" s="208"/>
      <c r="B34" s="209"/>
      <c r="C34" s="209"/>
      <c r="D34" s="209"/>
      <c r="E34" s="209"/>
      <c r="F34" s="210"/>
    </row>
    <row r="35" ht="14.25" spans="1:8">
      <c r="A35" s="193" t="s">
        <v>165</v>
      </c>
      <c r="B35" s="193"/>
      <c r="C35" s="193"/>
      <c r="D35" s="193"/>
      <c r="E35" s="193"/>
      <c r="F35" s="211"/>
    </row>
    <row r="36" ht="14.25" spans="1:8">
      <c r="A36" s="193" t="s">
        <v>166</v>
      </c>
      <c r="B36" s="193"/>
      <c r="C36" s="193"/>
      <c r="D36" s="193"/>
      <c r="E36" s="193"/>
      <c r="F36" s="211"/>
      <c r="H36" s="212"/>
    </row>
    <row r="37" ht="14.25" spans="1:8">
      <c r="A37" s="193" t="s">
        <v>167</v>
      </c>
      <c r="B37" s="190" t="s">
        <v>168</v>
      </c>
      <c r="C37" s="191"/>
      <c r="D37" s="194"/>
      <c r="E37" s="193" t="s">
        <v>169</v>
      </c>
      <c r="F37" s="195" t="s">
        <v>152</v>
      </c>
    </row>
    <row r="38" ht="14.25" spans="1:8">
      <c r="A38" s="193" t="s">
        <v>153</v>
      </c>
      <c r="B38" s="196" t="s">
        <v>170</v>
      </c>
      <c r="C38" s="197"/>
      <c r="D38" s="198"/>
      <c r="E38" s="213">
        <f>1/12</f>
        <v>0.0833</v>
      </c>
      <c r="F38" s="200">
        <f>F33*E38</f>
        <v>101.49</v>
      </c>
    </row>
    <row r="39" ht="14.25" spans="1:8">
      <c r="A39" s="193" t="s">
        <v>155</v>
      </c>
      <c r="B39" s="196" t="s">
        <v>171</v>
      </c>
      <c r="C39" s="197"/>
      <c r="D39" s="198"/>
      <c r="E39" s="213">
        <f>(1/12)+(1/3)/12</f>
        <v>0.1111</v>
      </c>
      <c r="F39" s="200">
        <f>F33*E39</f>
        <v>135.36</v>
      </c>
    </row>
    <row r="40" ht="14.25" spans="1:8">
      <c r="A40" s="214" t="s">
        <v>71</v>
      </c>
      <c r="B40" s="215"/>
      <c r="C40" s="215"/>
      <c r="D40" s="216"/>
      <c r="E40" s="217">
        <f>SUM(E38:E39)</f>
        <v>0.1944</v>
      </c>
      <c r="F40" s="218">
        <f>SUM(F38:F39)</f>
        <v>236.85</v>
      </c>
    </row>
    <row r="41" ht="14.25" spans="1:8">
      <c r="A41" s="193" t="s">
        <v>157</v>
      </c>
      <c r="B41" s="196" t="s">
        <v>172</v>
      </c>
      <c r="C41" s="197"/>
      <c r="D41" s="198"/>
      <c r="E41" s="213">
        <f>E40*E53</f>
        <v>0.0774</v>
      </c>
      <c r="F41" s="218">
        <f>E41*F33</f>
        <v>94.3</v>
      </c>
    </row>
    <row r="42" ht="14.25" spans="1:8">
      <c r="A42" s="203" t="s">
        <v>71</v>
      </c>
      <c r="B42" s="204"/>
      <c r="C42" s="204"/>
      <c r="D42" s="205"/>
      <c r="E42" s="219">
        <f>SUM(E40:E41)</f>
        <v>0.2718</v>
      </c>
      <c r="F42" s="207">
        <f>SUM(F40:F41)</f>
        <v>331.15</v>
      </c>
      <c r="H42" s="212"/>
    </row>
    <row r="43" ht="14.25" spans="1:8">
      <c r="A43" s="193" t="s">
        <v>173</v>
      </c>
      <c r="B43" s="193"/>
      <c r="C43" s="193"/>
      <c r="D43" s="193"/>
      <c r="E43" s="193"/>
      <c r="F43" s="211"/>
    </row>
    <row r="44" ht="14.25" spans="1:8">
      <c r="A44" s="193" t="s">
        <v>174</v>
      </c>
      <c r="B44" s="190" t="s">
        <v>175</v>
      </c>
      <c r="C44" s="191"/>
      <c r="D44" s="194"/>
      <c r="E44" s="193" t="s">
        <v>169</v>
      </c>
      <c r="F44" s="195" t="s">
        <v>152</v>
      </c>
    </row>
    <row r="45" ht="14.25" spans="1:8">
      <c r="A45" s="193" t="s">
        <v>153</v>
      </c>
      <c r="B45" s="196" t="s">
        <v>176</v>
      </c>
      <c r="C45" s="197"/>
      <c r="D45" s="198"/>
      <c r="E45" s="213">
        <v>0.2</v>
      </c>
      <c r="F45" s="200">
        <f t="shared" ref="F45:F52" si="0">E45*F$33</f>
        <v>243.67</v>
      </c>
    </row>
    <row r="46" ht="14.25" spans="1:8">
      <c r="A46" s="193" t="s">
        <v>155</v>
      </c>
      <c r="B46" s="196" t="s">
        <v>177</v>
      </c>
      <c r="C46" s="197"/>
      <c r="D46" s="198"/>
      <c r="E46" s="213">
        <v>0.025</v>
      </c>
      <c r="F46" s="200">
        <f t="shared" si="0"/>
        <v>30.46</v>
      </c>
      <c r="G46" s="152"/>
      <c r="H46" s="220"/>
    </row>
    <row r="47" ht="14.25" spans="1:8">
      <c r="A47" s="193" t="s">
        <v>157</v>
      </c>
      <c r="B47" s="196" t="s">
        <v>178</v>
      </c>
      <c r="C47" s="197"/>
      <c r="D47" s="198"/>
      <c r="E47" s="221">
        <f>(2*3)/100</f>
        <v>0.06</v>
      </c>
      <c r="F47" s="200">
        <f t="shared" si="0"/>
        <v>73.1</v>
      </c>
      <c r="G47" s="222"/>
      <c r="H47" s="222"/>
    </row>
    <row r="48" ht="14.25" spans="1:8">
      <c r="A48" s="193" t="s">
        <v>159</v>
      </c>
      <c r="B48" s="196" t="s">
        <v>179</v>
      </c>
      <c r="C48" s="197"/>
      <c r="D48" s="198"/>
      <c r="E48" s="213">
        <v>0.015</v>
      </c>
      <c r="F48" s="200">
        <f t="shared" si="0"/>
        <v>18.28</v>
      </c>
    </row>
    <row r="49" ht="14.25" spans="1:8">
      <c r="A49" s="193" t="s">
        <v>161</v>
      </c>
      <c r="B49" s="196" t="s">
        <v>180</v>
      </c>
      <c r="C49" s="197"/>
      <c r="D49" s="198"/>
      <c r="E49" s="213">
        <v>0.01</v>
      </c>
      <c r="F49" s="200">
        <f t="shared" si="0"/>
        <v>12.18</v>
      </c>
    </row>
    <row r="50" ht="14.25" spans="1:8">
      <c r="A50" s="193" t="s">
        <v>163</v>
      </c>
      <c r="B50" s="196" t="s">
        <v>181</v>
      </c>
      <c r="C50" s="197"/>
      <c r="D50" s="198"/>
      <c r="E50" s="213">
        <v>0.006</v>
      </c>
      <c r="F50" s="200">
        <f t="shared" si="0"/>
        <v>7.31</v>
      </c>
    </row>
    <row r="51" ht="14.25" spans="1:8">
      <c r="A51" s="193" t="s">
        <v>182</v>
      </c>
      <c r="B51" s="196" t="s">
        <v>183</v>
      </c>
      <c r="C51" s="197"/>
      <c r="D51" s="198"/>
      <c r="E51" s="213">
        <v>0.002</v>
      </c>
      <c r="F51" s="200">
        <f t="shared" si="0"/>
        <v>2.44</v>
      </c>
    </row>
    <row r="52" ht="14.25" spans="1:8">
      <c r="A52" s="193" t="s">
        <v>184</v>
      </c>
      <c r="B52" s="196" t="s">
        <v>185</v>
      </c>
      <c r="C52" s="197"/>
      <c r="D52" s="198"/>
      <c r="E52" s="213">
        <v>0.08</v>
      </c>
      <c r="F52" s="200">
        <f t="shared" si="0"/>
        <v>97.47</v>
      </c>
    </row>
    <row r="53" ht="14.25" spans="1:8">
      <c r="A53" s="203" t="s">
        <v>186</v>
      </c>
      <c r="B53" s="204"/>
      <c r="C53" s="204"/>
      <c r="D53" s="205"/>
      <c r="E53" s="219">
        <f>SUM(E45:E52)</f>
        <v>0.398</v>
      </c>
      <c r="F53" s="207">
        <f>SUM(F45:F52)</f>
        <v>484.91</v>
      </c>
    </row>
    <row r="54" ht="14.25" spans="1:8">
      <c r="A54" s="190" t="s">
        <v>187</v>
      </c>
      <c r="B54" s="191"/>
      <c r="C54" s="191"/>
      <c r="D54" s="191"/>
      <c r="E54" s="191"/>
      <c r="F54" s="192"/>
    </row>
    <row r="55" ht="14.25" spans="1:8">
      <c r="A55" s="193" t="s">
        <v>188</v>
      </c>
      <c r="B55" s="190" t="s">
        <v>189</v>
      </c>
      <c r="C55" s="191"/>
      <c r="D55" s="194"/>
      <c r="E55" s="193"/>
      <c r="F55" s="195" t="s">
        <v>152</v>
      </c>
    </row>
    <row r="56" ht="14.25" spans="1:8">
      <c r="A56" s="193" t="s">
        <v>153</v>
      </c>
      <c r="B56" s="196" t="s">
        <v>190</v>
      </c>
      <c r="C56" s="197"/>
      <c r="D56" s="198"/>
      <c r="E56" s="199"/>
      <c r="F56" s="200">
        <f>((E57*E58)*E59)-(6%*F27)</f>
        <v>64.46</v>
      </c>
      <c r="H56" s="161"/>
    </row>
    <row r="57" ht="14.25" spans="1:8">
      <c r="A57" s="193"/>
      <c r="B57" s="196" t="s">
        <v>191</v>
      </c>
      <c r="C57" s="197"/>
      <c r="D57" s="198"/>
      <c r="E57" s="223">
        <f>RAIZ_DADOS!D30</f>
        <v>3</v>
      </c>
      <c r="F57" s="181" t="s">
        <v>52</v>
      </c>
      <c r="H57" s="161"/>
    </row>
    <row r="58" ht="14.25" spans="1:8">
      <c r="A58" s="193"/>
      <c r="B58" s="196" t="s">
        <v>192</v>
      </c>
      <c r="C58" s="197"/>
      <c r="D58" s="198"/>
      <c r="E58" s="224">
        <f>RAIZ_DADOS!D33</f>
        <v>2</v>
      </c>
      <c r="F58" s="181" t="s">
        <v>52</v>
      </c>
      <c r="H58" s="161"/>
    </row>
    <row r="59" ht="14.25" spans="1:8">
      <c r="A59" s="193"/>
      <c r="B59" s="196" t="s">
        <v>193</v>
      </c>
      <c r="C59" s="197"/>
      <c r="D59" s="198"/>
      <c r="E59" s="224">
        <f>RAIZ_DADOS!D32</f>
        <v>22</v>
      </c>
      <c r="F59" s="181" t="s">
        <v>52</v>
      </c>
      <c r="H59" s="161"/>
    </row>
    <row r="60" ht="14.25" spans="1:8">
      <c r="A60" s="193" t="s">
        <v>155</v>
      </c>
      <c r="B60" s="196" t="s">
        <v>194</v>
      </c>
      <c r="C60" s="197"/>
      <c r="D60" s="198"/>
      <c r="E60" s="199"/>
      <c r="F60" s="200">
        <f>RAIZ_DADOS!D6</f>
        <v>400</v>
      </c>
      <c r="H60" s="161"/>
    </row>
    <row r="61" ht="14.25" spans="1:8">
      <c r="A61" s="193" t="s">
        <v>157</v>
      </c>
      <c r="B61" s="196" t="s">
        <v>34</v>
      </c>
      <c r="C61" s="197"/>
      <c r="D61" s="198"/>
      <c r="E61" s="199"/>
      <c r="F61" s="200">
        <f>RAIZ_DADOS!D23</f>
        <v>14.66</v>
      </c>
      <c r="H61" s="161"/>
    </row>
    <row r="62" ht="14.25" spans="1:8">
      <c r="A62" s="193" t="s">
        <v>159</v>
      </c>
      <c r="B62" s="196" t="s">
        <v>195</v>
      </c>
      <c r="C62" s="197"/>
      <c r="D62" s="198"/>
      <c r="E62" s="199"/>
      <c r="F62" s="200">
        <f>RAIZ_DADOS!D24</f>
        <v>6.4</v>
      </c>
      <c r="H62" s="161"/>
    </row>
    <row r="63" ht="14.25" spans="1:8">
      <c r="A63" s="193" t="s">
        <v>161</v>
      </c>
      <c r="B63" s="225" t="s">
        <v>196</v>
      </c>
      <c r="C63" s="226"/>
      <c r="D63" s="227"/>
      <c r="E63" s="228"/>
      <c r="F63" s="229">
        <v>0</v>
      </c>
      <c r="H63" s="230"/>
    </row>
    <row r="64" ht="14.25" spans="1:8">
      <c r="A64" s="193" t="s">
        <v>163</v>
      </c>
      <c r="B64" s="225" t="s">
        <v>197</v>
      </c>
      <c r="C64" s="226"/>
      <c r="D64" s="227"/>
      <c r="E64" s="228"/>
      <c r="F64" s="229">
        <f>RAIZ_DADOS!D7</f>
        <v>130</v>
      </c>
      <c r="H64" s="230"/>
    </row>
    <row r="65" s="152" customFormat="1" ht="14.25" spans="1:10">
      <c r="A65" s="203" t="s">
        <v>71</v>
      </c>
      <c r="B65" s="204"/>
      <c r="C65" s="204"/>
      <c r="D65" s="205"/>
      <c r="E65" s="231"/>
      <c r="F65" s="207">
        <f>SUM(F56:F64)</f>
        <v>615.52</v>
      </c>
      <c r="G65" s="158"/>
      <c r="H65" s="158"/>
    </row>
    <row r="66" ht="14.25" spans="1:10">
      <c r="A66" s="190" t="s">
        <v>198</v>
      </c>
      <c r="B66" s="191"/>
      <c r="C66" s="191"/>
      <c r="D66" s="191"/>
      <c r="E66" s="191"/>
      <c r="F66" s="192"/>
    </row>
    <row r="67" ht="14.25" spans="1:10">
      <c r="A67" s="193">
        <v>2</v>
      </c>
      <c r="B67" s="190" t="s">
        <v>199</v>
      </c>
      <c r="C67" s="191"/>
      <c r="D67" s="194"/>
      <c r="E67" s="193"/>
      <c r="F67" s="195" t="s">
        <v>152</v>
      </c>
    </row>
    <row r="68" ht="14.25" spans="1:10">
      <c r="A68" s="193" t="s">
        <v>167</v>
      </c>
      <c r="B68" s="196" t="s">
        <v>168</v>
      </c>
      <c r="C68" s="197"/>
      <c r="D68" s="198"/>
      <c r="E68" s="232"/>
      <c r="F68" s="200">
        <f>F40</f>
        <v>236.85</v>
      </c>
      <c r="G68" s="153"/>
      <c r="H68" s="153"/>
    </row>
    <row r="69" ht="14.25" spans="1:10">
      <c r="A69" s="193" t="s">
        <v>174</v>
      </c>
      <c r="B69" s="196" t="s">
        <v>200</v>
      </c>
      <c r="C69" s="197"/>
      <c r="D69" s="198"/>
      <c r="E69" s="233"/>
      <c r="F69" s="200">
        <f>F53+F41</f>
        <v>579.21</v>
      </c>
      <c r="G69" s="153"/>
      <c r="H69" s="153"/>
    </row>
    <row r="70" ht="14.25" spans="1:10">
      <c r="A70" s="193" t="s">
        <v>188</v>
      </c>
      <c r="B70" s="196" t="s">
        <v>189</v>
      </c>
      <c r="C70" s="197"/>
      <c r="D70" s="198"/>
      <c r="E70" s="234"/>
      <c r="F70" s="200">
        <f>F65</f>
        <v>615.52</v>
      </c>
      <c r="G70" s="153"/>
      <c r="H70" s="153"/>
    </row>
    <row r="71" ht="14.25" spans="1:10">
      <c r="A71" s="203" t="s">
        <v>71</v>
      </c>
      <c r="B71" s="204"/>
      <c r="C71" s="204"/>
      <c r="D71" s="205"/>
      <c r="E71" s="206"/>
      <c r="F71" s="207">
        <f>SUM(F68:F70)</f>
        <v>1431.58</v>
      </c>
      <c r="J71" s="235"/>
    </row>
    <row r="72" ht="14.25"/>
    <row r="73" ht="14.25" spans="1:10">
      <c r="A73" s="193" t="s">
        <v>201</v>
      </c>
      <c r="B73" s="193"/>
      <c r="C73" s="193"/>
      <c r="D73" s="193"/>
      <c r="E73" s="193"/>
      <c r="F73" s="211"/>
    </row>
    <row r="74" ht="14.25" spans="1:10">
      <c r="A74" s="193">
        <v>3</v>
      </c>
      <c r="B74" s="190" t="s">
        <v>202</v>
      </c>
      <c r="C74" s="191"/>
      <c r="D74" s="194"/>
      <c r="E74" s="193" t="s">
        <v>169</v>
      </c>
      <c r="F74" s="195" t="s">
        <v>152</v>
      </c>
    </row>
    <row r="75" ht="14.25" spans="1:10">
      <c r="A75" s="193" t="s">
        <v>153</v>
      </c>
      <c r="B75" s="196" t="s">
        <v>203</v>
      </c>
      <c r="C75" s="197"/>
      <c r="D75" s="198"/>
      <c r="E75" s="232">
        <f>(1/12)*5%</f>
        <v>0.0042</v>
      </c>
      <c r="F75" s="200">
        <f>E75*F33</f>
        <v>5.12</v>
      </c>
    </row>
    <row r="76" ht="14.25" spans="1:10">
      <c r="A76" s="193" t="s">
        <v>155</v>
      </c>
      <c r="B76" s="196" t="s">
        <v>204</v>
      </c>
      <c r="C76" s="197"/>
      <c r="D76" s="198"/>
      <c r="E76" s="232">
        <f>E75*E52</f>
        <v>0.0003</v>
      </c>
      <c r="F76" s="200">
        <f>E76*F33</f>
        <v>0.37</v>
      </c>
      <c r="G76" s="236"/>
    </row>
    <row r="77" ht="14.25" spans="1:10">
      <c r="A77" s="193" t="s">
        <v>157</v>
      </c>
      <c r="B77" s="196" t="s">
        <v>205</v>
      </c>
      <c r="C77" s="197"/>
      <c r="D77" s="198"/>
      <c r="E77" s="232">
        <f>((8%*(40%)*90%)*(1+5/56+5/56+(1/3*5/56)))</f>
        <v>0.0348</v>
      </c>
      <c r="F77" s="200">
        <f>E77*(F33+F40)</f>
        <v>50.64</v>
      </c>
      <c r="G77" s="236"/>
      <c r="H77" s="237"/>
    </row>
    <row r="78" ht="14.25" spans="1:10">
      <c r="A78" s="193" t="s">
        <v>159</v>
      </c>
      <c r="B78" s="196" t="s">
        <v>206</v>
      </c>
      <c r="C78" s="197"/>
      <c r="D78" s="198"/>
      <c r="E78" s="232">
        <f>((7/30)/12)</f>
        <v>0.0194</v>
      </c>
      <c r="F78" s="200">
        <f>E78*F33</f>
        <v>23.64</v>
      </c>
      <c r="G78" s="153"/>
      <c r="H78" s="153"/>
    </row>
    <row r="79" ht="14.25" spans="1:10">
      <c r="A79" s="193" t="s">
        <v>161</v>
      </c>
      <c r="B79" s="196" t="s">
        <v>207</v>
      </c>
      <c r="C79" s="197"/>
      <c r="D79" s="198"/>
      <c r="E79" s="232">
        <f>E78*E53</f>
        <v>0.0077</v>
      </c>
      <c r="F79" s="200">
        <f>E79*F33</f>
        <v>9.38</v>
      </c>
    </row>
    <row r="80" ht="14.25" spans="1:10">
      <c r="A80" s="193" t="s">
        <v>163</v>
      </c>
      <c r="B80" s="196" t="s">
        <v>208</v>
      </c>
      <c r="C80" s="197"/>
      <c r="D80" s="198"/>
      <c r="E80" s="232">
        <f>(40%*8%*E78)</f>
        <v>0.0006</v>
      </c>
      <c r="F80" s="200">
        <f>E80*F33</f>
        <v>0.73</v>
      </c>
    </row>
    <row r="81" ht="14.25" spans="1:10">
      <c r="A81" s="203" t="s">
        <v>71</v>
      </c>
      <c r="B81" s="204"/>
      <c r="C81" s="204"/>
      <c r="D81" s="205"/>
      <c r="E81" s="238"/>
      <c r="F81" s="207">
        <f>SUM(F75:F80)</f>
        <v>89.88</v>
      </c>
      <c r="J81" s="235"/>
    </row>
    <row r="82" s="153" customFormat="1" ht="14.25" spans="1:10">
      <c r="A82" s="156"/>
      <c r="B82" s="126"/>
      <c r="C82" s="126"/>
      <c r="D82" s="126"/>
      <c r="E82" s="126"/>
      <c r="F82" s="157"/>
      <c r="G82" s="158"/>
      <c r="H82" s="158"/>
    </row>
    <row r="83" s="153" customFormat="1" ht="14.25" spans="1:10">
      <c r="A83" s="190" t="s">
        <v>209</v>
      </c>
      <c r="B83" s="191"/>
      <c r="C83" s="191"/>
      <c r="D83" s="191"/>
      <c r="E83" s="191"/>
      <c r="F83" s="192"/>
      <c r="G83" s="158"/>
      <c r="H83" s="158"/>
    </row>
    <row r="84" ht="14.25" spans="1:10">
      <c r="A84" s="190" t="s">
        <v>210</v>
      </c>
      <c r="B84" s="191"/>
      <c r="C84" s="191"/>
      <c r="D84" s="191"/>
      <c r="E84" s="191"/>
      <c r="F84" s="192"/>
    </row>
    <row r="85" ht="14.25" spans="1:10">
      <c r="A85" s="193" t="s">
        <v>211</v>
      </c>
      <c r="B85" s="190" t="s">
        <v>212</v>
      </c>
      <c r="C85" s="191"/>
      <c r="D85" s="194"/>
      <c r="E85" s="193" t="s">
        <v>169</v>
      </c>
      <c r="F85" s="195" t="s">
        <v>152</v>
      </c>
    </row>
    <row r="86" ht="14.25" spans="1:10">
      <c r="A86" s="193" t="s">
        <v>153</v>
      </c>
      <c r="B86" s="196" t="s">
        <v>213</v>
      </c>
      <c r="C86" s="197"/>
      <c r="D86" s="198"/>
      <c r="E86" s="232">
        <f>(1/12)</f>
        <v>0.0833</v>
      </c>
      <c r="F86" s="200">
        <f t="shared" ref="F86:F91" si="1">E86*F$33</f>
        <v>101.49</v>
      </c>
    </row>
    <row r="87" ht="14.25" spans="1:10">
      <c r="A87" s="193" t="s">
        <v>155</v>
      </c>
      <c r="B87" s="196" t="s">
        <v>212</v>
      </c>
      <c r="C87" s="197"/>
      <c r="D87" s="198"/>
      <c r="E87" s="232">
        <f>(1/30)/12</f>
        <v>0.0028</v>
      </c>
      <c r="F87" s="200">
        <f t="shared" si="1"/>
        <v>3.41</v>
      </c>
    </row>
    <row r="88" ht="14.25" spans="1:10">
      <c r="A88" s="193" t="s">
        <v>157</v>
      </c>
      <c r="B88" s="196" t="s">
        <v>214</v>
      </c>
      <c r="C88" s="197"/>
      <c r="D88" s="198"/>
      <c r="E88" s="232">
        <f>((5/30)/12)*1.5%</f>
        <v>0.0002</v>
      </c>
      <c r="F88" s="200">
        <f t="shared" si="1"/>
        <v>0.24</v>
      </c>
    </row>
    <row r="89" ht="14.25" spans="1:10">
      <c r="A89" s="193" t="s">
        <v>159</v>
      </c>
      <c r="B89" s="196" t="s">
        <v>215</v>
      </c>
      <c r="C89" s="197"/>
      <c r="D89" s="198"/>
      <c r="E89" s="232">
        <f>((15/365)*8%)</f>
        <v>0.0033</v>
      </c>
      <c r="F89" s="200">
        <f t="shared" si="1"/>
        <v>4.02</v>
      </c>
    </row>
    <row r="90" ht="14.25" spans="1:10">
      <c r="A90" s="193" t="s">
        <v>161</v>
      </c>
      <c r="B90" s="196" t="s">
        <v>216</v>
      </c>
      <c r="C90" s="197"/>
      <c r="D90" s="198"/>
      <c r="E90" s="232">
        <f>(11.11%*2%*(4/12))</f>
        <v>0.0007</v>
      </c>
      <c r="F90" s="200">
        <f t="shared" si="1"/>
        <v>0.85</v>
      </c>
    </row>
    <row r="91" ht="14.25" spans="1:10">
      <c r="A91" s="193" t="s">
        <v>163</v>
      </c>
      <c r="B91" s="196" t="s">
        <v>217</v>
      </c>
      <c r="C91" s="197"/>
      <c r="D91" s="198"/>
      <c r="E91" s="232"/>
      <c r="F91" s="200">
        <f t="shared" si="1"/>
        <v>0</v>
      </c>
    </row>
    <row r="92" s="153" customFormat="1" ht="14.25" spans="1:10">
      <c r="A92" s="203" t="s">
        <v>186</v>
      </c>
      <c r="B92" s="204"/>
      <c r="C92" s="204"/>
      <c r="D92" s="205"/>
      <c r="E92" s="238"/>
      <c r="F92" s="207">
        <f>SUM(F86:F91)</f>
        <v>110.01</v>
      </c>
      <c r="G92" s="158"/>
      <c r="H92" s="158"/>
      <c r="J92" s="235"/>
    </row>
    <row r="93" ht="14.25" spans="1:10">
      <c r="A93" s="190" t="s">
        <v>218</v>
      </c>
      <c r="B93" s="191"/>
      <c r="C93" s="191"/>
      <c r="D93" s="191"/>
      <c r="E93" s="191"/>
      <c r="F93" s="192"/>
    </row>
    <row r="94" ht="14.25" spans="1:10">
      <c r="A94" s="193" t="s">
        <v>219</v>
      </c>
      <c r="B94" s="190" t="s">
        <v>220</v>
      </c>
      <c r="C94" s="191"/>
      <c r="D94" s="194"/>
      <c r="E94" s="193"/>
      <c r="F94" s="195" t="s">
        <v>152</v>
      </c>
    </row>
    <row r="95" ht="14.25" spans="1:10">
      <c r="A95" s="193" t="s">
        <v>153</v>
      </c>
      <c r="B95" s="196" t="s">
        <v>221</v>
      </c>
      <c r="C95" s="197"/>
      <c r="D95" s="198"/>
      <c r="E95" s="199"/>
      <c r="F95" s="200">
        <v>0</v>
      </c>
    </row>
    <row r="96" ht="14.25" spans="1:10">
      <c r="A96" s="203" t="s">
        <v>71</v>
      </c>
      <c r="B96" s="204"/>
      <c r="C96" s="204"/>
      <c r="D96" s="205"/>
      <c r="E96" s="206"/>
      <c r="F96" s="207">
        <f>SUM(F95:F95)</f>
        <v>0</v>
      </c>
    </row>
    <row r="97" ht="14.25" spans="1:10">
      <c r="A97" s="190" t="s">
        <v>222</v>
      </c>
      <c r="B97" s="191"/>
      <c r="C97" s="191"/>
      <c r="D97" s="191"/>
      <c r="E97" s="191"/>
      <c r="F97" s="192"/>
    </row>
    <row r="98" ht="14.25" spans="1:10">
      <c r="A98" s="193">
        <v>4</v>
      </c>
      <c r="B98" s="190" t="s">
        <v>223</v>
      </c>
      <c r="C98" s="191"/>
      <c r="D98" s="194"/>
      <c r="E98" s="193"/>
      <c r="F98" s="195" t="s">
        <v>152</v>
      </c>
    </row>
    <row r="99" ht="14.25" spans="1:10">
      <c r="A99" s="193" t="s">
        <v>211</v>
      </c>
      <c r="B99" s="196" t="s">
        <v>212</v>
      </c>
      <c r="C99" s="197"/>
      <c r="D99" s="198"/>
      <c r="E99" s="199"/>
      <c r="F99" s="200">
        <f>F92</f>
        <v>110.01</v>
      </c>
    </row>
    <row r="100" ht="14.25" spans="1:10">
      <c r="A100" s="193" t="s">
        <v>219</v>
      </c>
      <c r="B100" s="196" t="s">
        <v>220</v>
      </c>
      <c r="C100" s="197"/>
      <c r="D100" s="198"/>
      <c r="E100" s="199"/>
      <c r="F100" s="200">
        <f>F96</f>
        <v>0</v>
      </c>
    </row>
    <row r="101" ht="14.25" spans="1:10">
      <c r="A101" s="203" t="s">
        <v>71</v>
      </c>
      <c r="B101" s="204"/>
      <c r="C101" s="204"/>
      <c r="D101" s="205"/>
      <c r="E101" s="206"/>
      <c r="F101" s="207">
        <f>SUM(F99:F100)</f>
        <v>110.01</v>
      </c>
      <c r="J101" s="235"/>
    </row>
    <row r="102" ht="14.25"/>
    <row r="103" ht="14.25" spans="1:10">
      <c r="A103" s="190" t="s">
        <v>224</v>
      </c>
      <c r="B103" s="191"/>
      <c r="C103" s="191"/>
      <c r="D103" s="191"/>
      <c r="E103" s="191"/>
      <c r="F103" s="192"/>
    </row>
    <row r="104" ht="14.25" spans="1:10">
      <c r="A104" s="193">
        <v>5</v>
      </c>
      <c r="B104" s="190" t="s">
        <v>225</v>
      </c>
      <c r="C104" s="191"/>
      <c r="D104" s="191"/>
      <c r="E104" s="194"/>
      <c r="F104" s="195" t="s">
        <v>152</v>
      </c>
    </row>
    <row r="105" ht="14.25" spans="1:10">
      <c r="A105" s="239" t="s">
        <v>153</v>
      </c>
      <c r="B105" s="196" t="s">
        <v>226</v>
      </c>
      <c r="C105" s="197"/>
      <c r="D105" s="197"/>
      <c r="E105" s="198"/>
      <c r="F105" s="200">
        <f>'SEMAD 1_Uniformes_SEMAD'!K32</f>
        <v>50.36</v>
      </c>
      <c r="H105" s="240"/>
    </row>
    <row r="106" ht="14.25" spans="1:10">
      <c r="A106" s="193" t="s">
        <v>155</v>
      </c>
      <c r="B106" s="196" t="s">
        <v>227</v>
      </c>
      <c r="C106" s="197"/>
      <c r="D106" s="197"/>
      <c r="E106" s="198"/>
      <c r="F106" s="200">
        <f>'SEMAD 1_EPI''s_SEMAD'!K44</f>
        <v>155.63</v>
      </c>
    </row>
    <row r="107" ht="14.25" spans="1:10">
      <c r="A107" s="193" t="s">
        <v>157</v>
      </c>
      <c r="B107" s="196" t="s">
        <v>228</v>
      </c>
      <c r="C107" s="197"/>
      <c r="D107" s="197"/>
      <c r="E107" s="198"/>
      <c r="F107" s="200">
        <f>'SEMAD 1_Materiais_SEMAD'!K26</f>
        <v>14.4</v>
      </c>
    </row>
    <row r="108" ht="14.25" spans="1:10">
      <c r="A108" s="193" t="s">
        <v>159</v>
      </c>
      <c r="B108" s="196" t="s">
        <v>229</v>
      </c>
      <c r="C108" s="197"/>
      <c r="D108" s="197"/>
      <c r="E108" s="198"/>
      <c r="F108" s="200">
        <f>'SEMAD 1_Equipamentos_SEMAD'!M30</f>
        <v>33.98</v>
      </c>
      <c r="H108" s="240"/>
    </row>
    <row r="109" ht="14.25" spans="1:10">
      <c r="A109" s="203" t="s">
        <v>186</v>
      </c>
      <c r="B109" s="204"/>
      <c r="C109" s="204"/>
      <c r="D109" s="204"/>
      <c r="E109" s="205"/>
      <c r="F109" s="207">
        <f>SUM(F105:F108)</f>
        <v>254.37</v>
      </c>
      <c r="J109" s="235"/>
    </row>
    <row r="110" ht="14.25"/>
    <row r="111" ht="14.25" spans="1:10">
      <c r="A111" s="193" t="s">
        <v>230</v>
      </c>
      <c r="B111" s="193"/>
      <c r="C111" s="193"/>
      <c r="D111" s="193"/>
      <c r="E111" s="193"/>
      <c r="F111" s="211"/>
    </row>
    <row r="112" ht="14.25" spans="1:10">
      <c r="A112" s="193">
        <v>6</v>
      </c>
      <c r="B112" s="190" t="s">
        <v>231</v>
      </c>
      <c r="C112" s="191"/>
      <c r="D112" s="194"/>
      <c r="E112" s="193" t="s">
        <v>169</v>
      </c>
      <c r="F112" s="195" t="s">
        <v>152</v>
      </c>
    </row>
    <row r="113" ht="14.25" spans="1:10">
      <c r="A113" s="193" t="s">
        <v>153</v>
      </c>
      <c r="B113" s="196" t="s">
        <v>232</v>
      </c>
      <c r="C113" s="197"/>
      <c r="D113" s="198"/>
      <c r="E113" s="232">
        <v>0.05</v>
      </c>
      <c r="F113" s="200">
        <f>E113*F130</f>
        <v>155.21</v>
      </c>
    </row>
    <row r="114" ht="14.25" spans="1:10">
      <c r="A114" s="193" t="s">
        <v>155</v>
      </c>
      <c r="B114" s="196" t="s">
        <v>233</v>
      </c>
      <c r="C114" s="197"/>
      <c r="D114" s="198"/>
      <c r="E114" s="232">
        <v>0.0679</v>
      </c>
      <c r="F114" s="200">
        <f>E114*(F130+F113)</f>
        <v>221.31</v>
      </c>
    </row>
    <row r="115" ht="14.25" spans="1:10">
      <c r="A115" s="193" t="s">
        <v>157</v>
      </c>
      <c r="B115" s="196" t="s">
        <v>234</v>
      </c>
      <c r="C115" s="197"/>
      <c r="D115" s="198"/>
      <c r="E115" s="232">
        <f>SUM(E116:E120)</f>
        <v>0.1425</v>
      </c>
      <c r="F115" s="200"/>
    </row>
    <row r="116" ht="14.25" spans="1:10">
      <c r="A116" s="193"/>
      <c r="B116" s="196" t="s">
        <v>235</v>
      </c>
      <c r="C116" s="197"/>
      <c r="D116" s="198"/>
      <c r="E116" s="232"/>
      <c r="F116" s="200"/>
      <c r="H116" s="241"/>
    </row>
    <row r="117" ht="14.25" spans="1:10">
      <c r="A117" s="193"/>
      <c r="B117" s="196" t="s">
        <v>236</v>
      </c>
      <c r="C117" s="197"/>
      <c r="D117" s="198"/>
      <c r="E117" s="232">
        <v>0.0165</v>
      </c>
      <c r="F117" s="200">
        <f>E117*((F130+F113+F114)/(1-$E$115))</f>
        <v>66.98</v>
      </c>
      <c r="H117" s="242"/>
      <c r="J117" s="243"/>
    </row>
    <row r="118" ht="14.25" spans="1:10">
      <c r="A118" s="193"/>
      <c r="B118" s="196" t="s">
        <v>237</v>
      </c>
      <c r="C118" s="197"/>
      <c r="D118" s="198"/>
      <c r="E118" s="232">
        <v>0.076</v>
      </c>
      <c r="F118" s="200">
        <f>E118*(($F$130+$F$113+$F$114)/(1-$E$115))</f>
        <v>308.49</v>
      </c>
      <c r="H118" s="242"/>
      <c r="J118" s="243"/>
    </row>
    <row r="119" s="154" customFormat="1" ht="14.25" spans="1:10">
      <c r="A119" s="193"/>
      <c r="B119" s="196" t="s">
        <v>238</v>
      </c>
      <c r="C119" s="197"/>
      <c r="D119" s="198"/>
      <c r="E119" s="232"/>
      <c r="F119" s="200"/>
      <c r="H119" s="242"/>
      <c r="J119" s="244"/>
    </row>
    <row r="120" ht="14.25" spans="1:10">
      <c r="A120" s="193"/>
      <c r="B120" s="196" t="s">
        <v>239</v>
      </c>
      <c r="C120" s="197"/>
      <c r="D120" s="198"/>
      <c r="E120" s="232">
        <v>0.05</v>
      </c>
      <c r="F120" s="200">
        <f>E120*(($F$130+$F$113+$F$114)/(1-$E$115))</f>
        <v>202.96</v>
      </c>
      <c r="H120" s="242"/>
      <c r="J120" s="243"/>
    </row>
    <row r="121" ht="14.25" spans="1:10">
      <c r="A121" s="203" t="s">
        <v>186</v>
      </c>
      <c r="B121" s="204"/>
      <c r="C121" s="204"/>
      <c r="D121" s="205"/>
      <c r="E121" s="245"/>
      <c r="F121" s="207">
        <f>SUM(F113:F120)</f>
        <v>954.95</v>
      </c>
      <c r="J121" s="235"/>
    </row>
    <row r="122" ht="14.25"/>
    <row r="123" ht="14.25" spans="1:10">
      <c r="A123" s="159" t="s">
        <v>240</v>
      </c>
      <c r="B123" s="159"/>
      <c r="C123" s="159"/>
      <c r="D123" s="159"/>
      <c r="E123" s="159"/>
      <c r="F123" s="246"/>
    </row>
    <row r="124" ht="14.25" spans="1:10">
      <c r="A124" s="159"/>
      <c r="B124" s="247" t="s">
        <v>241</v>
      </c>
      <c r="C124" s="248"/>
      <c r="D124" s="248"/>
      <c r="E124" s="249"/>
      <c r="F124" s="250" t="s">
        <v>152</v>
      </c>
    </row>
    <row r="125" ht="14.25" spans="1:10">
      <c r="A125" s="193" t="s">
        <v>153</v>
      </c>
      <c r="B125" s="196" t="s">
        <v>150</v>
      </c>
      <c r="C125" s="197"/>
      <c r="D125" s="197"/>
      <c r="E125" s="198"/>
      <c r="F125" s="200">
        <f>F33</f>
        <v>1218.35</v>
      </c>
      <c r="H125" s="236"/>
    </row>
    <row r="126" ht="14.25" spans="1:10">
      <c r="A126" s="193" t="s">
        <v>155</v>
      </c>
      <c r="B126" s="196" t="s">
        <v>165</v>
      </c>
      <c r="C126" s="197"/>
      <c r="D126" s="197"/>
      <c r="E126" s="198"/>
      <c r="F126" s="200">
        <f>F71</f>
        <v>1431.58</v>
      </c>
    </row>
    <row r="127" ht="14.25" spans="1:10">
      <c r="A127" s="193" t="s">
        <v>157</v>
      </c>
      <c r="B127" s="196" t="s">
        <v>201</v>
      </c>
      <c r="C127" s="197"/>
      <c r="D127" s="197"/>
      <c r="E127" s="198"/>
      <c r="F127" s="200">
        <f>F81</f>
        <v>89.88</v>
      </c>
    </row>
    <row r="128" ht="14.25" spans="1:10">
      <c r="A128" s="193" t="s">
        <v>159</v>
      </c>
      <c r="B128" s="196" t="s">
        <v>209</v>
      </c>
      <c r="C128" s="197"/>
      <c r="D128" s="197"/>
      <c r="E128" s="198"/>
      <c r="F128" s="200">
        <f>F101</f>
        <v>110.01</v>
      </c>
      <c r="H128" s="236"/>
    </row>
    <row r="129" ht="14.25" spans="1:10">
      <c r="A129" s="193" t="s">
        <v>161</v>
      </c>
      <c r="B129" s="196" t="s">
        <v>224</v>
      </c>
      <c r="C129" s="197"/>
      <c r="D129" s="197"/>
      <c r="E129" s="198"/>
      <c r="F129" s="200">
        <f>F109</f>
        <v>254.37</v>
      </c>
      <c r="H129" s="236"/>
    </row>
    <row r="130" ht="14.25" spans="1:10">
      <c r="A130" s="203" t="s">
        <v>242</v>
      </c>
      <c r="B130" s="204"/>
      <c r="C130" s="204"/>
      <c r="D130" s="204"/>
      <c r="E130" s="205"/>
      <c r="F130" s="207">
        <f>SUM(F125:F129)</f>
        <v>3104.19</v>
      </c>
      <c r="I130" s="240"/>
      <c r="J130" s="240"/>
    </row>
    <row r="131" ht="14.25" spans="1:10">
      <c r="A131" s="193" t="s">
        <v>163</v>
      </c>
      <c r="B131" s="196" t="s">
        <v>243</v>
      </c>
      <c r="C131" s="197"/>
      <c r="D131" s="197"/>
      <c r="E131" s="198"/>
      <c r="F131" s="200">
        <f>F121</f>
        <v>954.95</v>
      </c>
    </row>
    <row r="132" ht="14.25" spans="1:10">
      <c r="A132" s="251" t="s">
        <v>244</v>
      </c>
      <c r="B132" s="252"/>
      <c r="C132" s="252"/>
      <c r="D132" s="252"/>
      <c r="E132" s="253"/>
      <c r="F132" s="254">
        <f>SUM(F130:F131)</f>
        <v>4059.14</v>
      </c>
      <c r="H132" s="236"/>
    </row>
    <row r="133" ht="14.25"/>
    <row r="134" s="155" customFormat="1" ht="14.25" spans="1:10">
      <c r="A134" s="159" t="s">
        <v>245</v>
      </c>
      <c r="B134" s="159"/>
      <c r="C134" s="159"/>
      <c r="D134" s="159"/>
      <c r="E134" s="159"/>
      <c r="F134" s="159"/>
      <c r="G134" s="255"/>
      <c r="H134" s="255"/>
      <c r="I134" s="255"/>
    </row>
    <row r="135" s="155" customFormat="1" ht="39.75" spans="1:10">
      <c r="A135" s="159" t="s">
        <v>246</v>
      </c>
      <c r="B135" s="159" t="s">
        <v>247</v>
      </c>
      <c r="C135" s="159" t="s">
        <v>248</v>
      </c>
      <c r="D135" s="159" t="s">
        <v>249</v>
      </c>
      <c r="E135" s="159" t="s">
        <v>250</v>
      </c>
      <c r="F135" s="256" t="s">
        <v>251</v>
      </c>
    </row>
    <row r="136" s="155" customFormat="1" ht="45" customHeight="1" spans="1:10">
      <c r="A136" s="257" t="str">
        <f>A15</f>
        <v>Limpador de vidros: 30 h</v>
      </c>
      <c r="B136" s="258">
        <f>F132</f>
        <v>4059.14</v>
      </c>
      <c r="C136" s="259">
        <v>1</v>
      </c>
      <c r="D136" s="258">
        <f>B136*C136</f>
        <v>4059.14</v>
      </c>
      <c r="E136" s="199">
        <f>F15</f>
        <v>2</v>
      </c>
      <c r="F136" s="258">
        <f>D136*E136</f>
        <v>8118.28</v>
      </c>
    </row>
    <row r="137" s="155" customFormat="1" ht="21" customHeight="1" spans="1:10">
      <c r="A137" s="203" t="s">
        <v>252</v>
      </c>
      <c r="B137" s="204"/>
      <c r="C137" s="204"/>
      <c r="D137" s="204"/>
      <c r="E137" s="205"/>
      <c r="F137" s="260">
        <f>SUM(F136)</f>
        <v>8118.28</v>
      </c>
    </row>
    <row r="138" s="155" customFormat="1" ht="21" customHeight="1" spans="1:10">
      <c r="A138" s="251" t="s">
        <v>253</v>
      </c>
      <c r="B138" s="252"/>
      <c r="C138" s="252"/>
      <c r="D138" s="252"/>
      <c r="E138" s="253"/>
      <c r="F138" s="261">
        <f>F137*F11</f>
        <v>97419.36</v>
      </c>
    </row>
    <row r="139" ht="13.5"/>
  </sheetData>
  <mergeCells count="134">
    <mergeCell ref="A1:E1"/>
    <mergeCell ref="A2:E2"/>
    <mergeCell ref="A3:E3"/>
    <mergeCell ref="A4:E4"/>
    <mergeCell ref="A5:E5"/>
    <mergeCell ref="A6:F6"/>
    <mergeCell ref="A7:F7"/>
    <mergeCell ref="B8:E8"/>
    <mergeCell ref="B9:E9"/>
    <mergeCell ref="B10:E10"/>
    <mergeCell ref="B11:E11"/>
    <mergeCell ref="A12:F12"/>
    <mergeCell ref="A13:F13"/>
    <mergeCell ref="A14:C14"/>
    <mergeCell ref="D14:E14"/>
    <mergeCell ref="A15:C15"/>
    <mergeCell ref="D15:E15"/>
    <mergeCell ref="A16:F16"/>
    <mergeCell ref="A17:F17"/>
    <mergeCell ref="A18:F18"/>
    <mergeCell ref="B19:E19"/>
    <mergeCell ref="B20:E20"/>
    <mergeCell ref="B21:E21"/>
    <mergeCell ref="B22:E22"/>
    <mergeCell ref="B23:E23"/>
    <mergeCell ref="A24:F24"/>
    <mergeCell ref="A25:F25"/>
    <mergeCell ref="B26:D26"/>
    <mergeCell ref="B27:D27"/>
    <mergeCell ref="B28:D28"/>
    <mergeCell ref="B29:D29"/>
    <mergeCell ref="B30:D30"/>
    <mergeCell ref="B31:D31"/>
    <mergeCell ref="B32:D32"/>
    <mergeCell ref="A33:D33"/>
    <mergeCell ref="A34:F34"/>
    <mergeCell ref="A35:F35"/>
    <mergeCell ref="A36:F36"/>
    <mergeCell ref="B37:D37"/>
    <mergeCell ref="B38:D38"/>
    <mergeCell ref="B39:D39"/>
    <mergeCell ref="A40:D40"/>
    <mergeCell ref="B41:D41"/>
    <mergeCell ref="A42:D42"/>
    <mergeCell ref="A43:F43"/>
    <mergeCell ref="B44:D44"/>
    <mergeCell ref="B45:D45"/>
    <mergeCell ref="B46:D46"/>
    <mergeCell ref="B47:D47"/>
    <mergeCell ref="B48:D48"/>
    <mergeCell ref="B49:D49"/>
    <mergeCell ref="B50:D50"/>
    <mergeCell ref="B51:D51"/>
    <mergeCell ref="B52:D52"/>
    <mergeCell ref="A53:D53"/>
    <mergeCell ref="A54:F54"/>
    <mergeCell ref="B55:D55"/>
    <mergeCell ref="B56:D56"/>
    <mergeCell ref="B57:D57"/>
    <mergeCell ref="B58:D58"/>
    <mergeCell ref="B59:D59"/>
    <mergeCell ref="B60:D60"/>
    <mergeCell ref="B61:D61"/>
    <mergeCell ref="B62:D62"/>
    <mergeCell ref="B63:D63"/>
    <mergeCell ref="B64:D64"/>
    <mergeCell ref="A65:D65"/>
    <mergeCell ref="A66:F66"/>
    <mergeCell ref="B67:D67"/>
    <mergeCell ref="B68:D68"/>
    <mergeCell ref="B69:D69"/>
    <mergeCell ref="B70:D70"/>
    <mergeCell ref="A71:D71"/>
    <mergeCell ref="A73:F73"/>
    <mergeCell ref="B74:D74"/>
    <mergeCell ref="B75:D75"/>
    <mergeCell ref="B76:D76"/>
    <mergeCell ref="B77:D77"/>
    <mergeCell ref="B78:D78"/>
    <mergeCell ref="B79:D79"/>
    <mergeCell ref="B80:D80"/>
    <mergeCell ref="A81:D81"/>
    <mergeCell ref="A83:F83"/>
    <mergeCell ref="A84:F84"/>
    <mergeCell ref="B85:D85"/>
    <mergeCell ref="B86:D86"/>
    <mergeCell ref="B87:D87"/>
    <mergeCell ref="B88:D88"/>
    <mergeCell ref="B89:D89"/>
    <mergeCell ref="B90:D90"/>
    <mergeCell ref="B91:D91"/>
    <mergeCell ref="A92:D92"/>
    <mergeCell ref="A93:F93"/>
    <mergeCell ref="B94:D94"/>
    <mergeCell ref="B95:D95"/>
    <mergeCell ref="A96:D96"/>
    <mergeCell ref="A97:F97"/>
    <mergeCell ref="B98:D98"/>
    <mergeCell ref="B99:D99"/>
    <mergeCell ref="B100:D100"/>
    <mergeCell ref="A101:D101"/>
    <mergeCell ref="A103:F103"/>
    <mergeCell ref="B104:E104"/>
    <mergeCell ref="B105:E105"/>
    <mergeCell ref="B106:E106"/>
    <mergeCell ref="B107:E107"/>
    <mergeCell ref="B108:E108"/>
    <mergeCell ref="A109:E109"/>
    <mergeCell ref="A111:F111"/>
    <mergeCell ref="B112:D112"/>
    <mergeCell ref="B113:D113"/>
    <mergeCell ref="B114:D114"/>
    <mergeCell ref="B115:D115"/>
    <mergeCell ref="B116:D116"/>
    <mergeCell ref="B117:D117"/>
    <mergeCell ref="B118:D118"/>
    <mergeCell ref="B119:D119"/>
    <mergeCell ref="B120:D120"/>
    <mergeCell ref="A121:D121"/>
    <mergeCell ref="A123:F123"/>
    <mergeCell ref="B124:E124"/>
    <mergeCell ref="B125:E125"/>
    <mergeCell ref="B126:E126"/>
    <mergeCell ref="B127:E127"/>
    <mergeCell ref="B128:E128"/>
    <mergeCell ref="B129:E129"/>
    <mergeCell ref="A130:E130"/>
    <mergeCell ref="B131:E131"/>
    <mergeCell ref="A132:E132"/>
    <mergeCell ref="A134:F134"/>
    <mergeCell ref="A137:E137"/>
    <mergeCell ref="A138:E138"/>
    <mergeCell ref="F1:F5"/>
    <mergeCell ref="H117:H120"/>
  </mergeCells>
  <pageMargins left="0.554166666666667" right="0.357638888888889" top="0.605555555555556" bottom="0.409027777777778" header="0.5" footer="0.5"/>
  <pageSetup paperSize="9" scale="75"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9" tint="0.599993896298105"/>
  </sheetPr>
  <dimension ref="A1:K139"/>
  <sheetViews>
    <sheetView view="pageBreakPreview" zoomScale="110" zoomScaleNormal="115" topLeftCell="A67" workbookViewId="0">
      <selection activeCell="G85" sqref="G85"/>
    </sheetView>
  </sheetViews>
  <sheetFormatPr defaultColWidth="2.57142857142857" defaultRowHeight="12.75"/>
  <cols>
    <col min="1" max="1" width="12.8571428571429" style="156" customWidth="1"/>
    <col min="2" max="2" width="24.5714285714286" style="126" customWidth="1"/>
    <col min="3" max="3" width="24.2857142857143" style="126" customWidth="1"/>
    <col min="4" max="4" width="15.7142857142857" style="126" customWidth="1"/>
    <col min="5" max="5" width="15.1428571428571" style="126" customWidth="1"/>
    <col min="6" max="6" width="30.1428571428571" style="157" customWidth="1"/>
    <col min="7" max="7" width="44.4285714285714" style="158" customWidth="1"/>
    <col min="8" max="8" width="9.28571428571429" style="158" customWidth="1"/>
    <col min="9" max="9" width="18.2857142857143" style="158" customWidth="1"/>
    <col min="10" max="10" width="25.7142857142857" style="158" customWidth="1"/>
    <col min="11" max="16384" width="2.57142857142857" style="158"/>
  </cols>
  <sheetData>
    <row r="1" s="150" customFormat="1" ht="23.1" customHeight="1" spans="1:11">
      <c r="A1" s="159" t="s">
        <v>121</v>
      </c>
      <c r="B1" s="159"/>
      <c r="C1" s="159"/>
      <c r="D1" s="159"/>
      <c r="E1" s="159"/>
      <c r="F1" s="160"/>
      <c r="G1" s="156"/>
      <c r="H1" s="156"/>
    </row>
    <row r="2" ht="21" customHeight="1" spans="1:11">
      <c r="A2" s="159" t="s">
        <v>261</v>
      </c>
      <c r="B2" s="159"/>
      <c r="C2" s="159"/>
      <c r="D2" s="159"/>
      <c r="E2" s="159"/>
      <c r="F2" s="160"/>
      <c r="G2" s="161"/>
      <c r="H2" s="161"/>
    </row>
    <row r="3" s="151" customFormat="1" ht="16.5" spans="1:11">
      <c r="A3" s="162" t="s">
        <v>123</v>
      </c>
      <c r="B3" s="162"/>
      <c r="C3" s="162"/>
      <c r="D3" s="162"/>
      <c r="E3" s="162"/>
      <c r="F3" s="160"/>
      <c r="G3" s="163"/>
      <c r="H3" s="163"/>
      <c r="I3" s="163"/>
      <c r="J3" s="163"/>
      <c r="K3" s="163"/>
    </row>
    <row r="4" s="151" customFormat="1" ht="16.5" spans="1:11">
      <c r="A4" s="162" t="s">
        <v>124</v>
      </c>
      <c r="B4" s="162"/>
      <c r="C4" s="162"/>
      <c r="D4" s="162"/>
      <c r="E4" s="162"/>
      <c r="F4" s="160"/>
      <c r="G4" s="163"/>
      <c r="H4" s="164"/>
      <c r="I4" s="163"/>
      <c r="J4" s="163"/>
      <c r="K4" s="163"/>
    </row>
    <row r="5" s="151" customFormat="1" ht="16.5" spans="1:11">
      <c r="A5" s="162" t="s">
        <v>125</v>
      </c>
      <c r="B5" s="162"/>
      <c r="C5" s="162"/>
      <c r="D5" s="162"/>
      <c r="E5" s="162"/>
      <c r="F5" s="160"/>
      <c r="G5" s="163"/>
      <c r="H5" s="163"/>
      <c r="I5" s="163"/>
      <c r="J5" s="163"/>
      <c r="K5" s="163"/>
    </row>
    <row r="6" s="151" customFormat="1" ht="16.5" spans="1:11">
      <c r="A6" s="165"/>
      <c r="B6" s="165"/>
      <c r="C6" s="165"/>
      <c r="D6" s="165"/>
      <c r="E6" s="165"/>
      <c r="F6" s="166"/>
      <c r="G6" s="163"/>
      <c r="H6" s="163"/>
      <c r="I6" s="163"/>
      <c r="J6" s="163"/>
      <c r="K6" s="163"/>
    </row>
    <row r="7" ht="14.25" spans="1:11">
      <c r="A7" s="167" t="s">
        <v>126</v>
      </c>
      <c r="B7" s="167"/>
      <c r="C7" s="167"/>
      <c r="D7" s="167"/>
      <c r="E7" s="167"/>
      <c r="F7" s="168"/>
      <c r="G7" s="150"/>
      <c r="H7" s="150"/>
    </row>
    <row r="8" ht="18" customHeight="1" spans="1:11">
      <c r="A8" s="167" t="s">
        <v>127</v>
      </c>
      <c r="B8" s="169" t="s">
        <v>128</v>
      </c>
      <c r="C8" s="169"/>
      <c r="D8" s="169"/>
      <c r="E8" s="169"/>
      <c r="F8" s="170" t="s">
        <v>129</v>
      </c>
    </row>
    <row r="9" ht="18" customHeight="1" spans="1:11">
      <c r="A9" s="167" t="s">
        <v>127</v>
      </c>
      <c r="B9" s="169" t="s">
        <v>130</v>
      </c>
      <c r="C9" s="169"/>
      <c r="D9" s="169"/>
      <c r="E9" s="169"/>
      <c r="F9" s="171" t="s">
        <v>131</v>
      </c>
    </row>
    <row r="10" ht="18" customHeight="1" spans="1:11">
      <c r="A10" s="167" t="s">
        <v>127</v>
      </c>
      <c r="B10" s="169" t="s">
        <v>132</v>
      </c>
      <c r="C10" s="169"/>
      <c r="D10" s="169"/>
      <c r="E10" s="169"/>
      <c r="F10" s="170" t="s">
        <v>133</v>
      </c>
    </row>
    <row r="11" ht="18" customHeight="1" spans="1:11">
      <c r="A11" s="167" t="s">
        <v>127</v>
      </c>
      <c r="B11" s="169" t="s">
        <v>134</v>
      </c>
      <c r="C11" s="169"/>
      <c r="D11" s="169"/>
      <c r="E11" s="169"/>
      <c r="F11" s="172">
        <v>12</v>
      </c>
    </row>
    <row r="12" customFormat="1" ht="16.5" spans="1:11">
      <c r="A12" s="173"/>
      <c r="B12" s="154"/>
      <c r="C12" s="154"/>
      <c r="D12" s="154"/>
      <c r="E12" s="154"/>
      <c r="F12" s="174"/>
      <c r="G12" s="158"/>
      <c r="H12" s="158"/>
    </row>
    <row r="13" s="150" customFormat="1" ht="14.25" spans="1:11">
      <c r="A13" s="167" t="s">
        <v>135</v>
      </c>
      <c r="B13" s="167"/>
      <c r="C13" s="167"/>
      <c r="D13" s="167"/>
      <c r="E13" s="167"/>
      <c r="F13" s="168"/>
    </row>
    <row r="14" ht="14.25" spans="1:11">
      <c r="A14" s="175" t="s">
        <v>136</v>
      </c>
      <c r="B14" s="175"/>
      <c r="C14" s="175"/>
      <c r="D14" s="175" t="s">
        <v>137</v>
      </c>
      <c r="E14" s="175"/>
      <c r="F14" s="175" t="s">
        <v>138</v>
      </c>
      <c r="H14" s="150"/>
    </row>
    <row r="15" ht="14.25" spans="1:11">
      <c r="A15" s="175" t="s">
        <v>262</v>
      </c>
      <c r="B15" s="175"/>
      <c r="C15" s="175"/>
      <c r="D15" s="176" t="s">
        <v>90</v>
      </c>
      <c r="E15" s="176"/>
      <c r="F15" s="177">
        <f>'SEMAD e AGEHAB TOTALIZADOR'!I6</f>
        <v>1</v>
      </c>
      <c r="H15" s="150"/>
    </row>
    <row r="16" customFormat="1" ht="16.5" spans="1:11">
      <c r="A16" s="173"/>
      <c r="B16" s="154"/>
      <c r="C16" s="154"/>
      <c r="D16" s="154"/>
      <c r="E16" s="154"/>
      <c r="F16" s="174"/>
      <c r="G16" s="158"/>
      <c r="H16" s="150"/>
    </row>
    <row r="17" s="150" customFormat="1" ht="14.25" spans="1:9">
      <c r="A17" s="167" t="s">
        <v>140</v>
      </c>
      <c r="B17" s="167"/>
      <c r="C17" s="167"/>
      <c r="D17" s="167"/>
      <c r="E17" s="167"/>
      <c r="F17" s="168"/>
    </row>
    <row r="18" ht="14.25" spans="1:9">
      <c r="A18" s="167" t="s">
        <v>141</v>
      </c>
      <c r="B18" s="167"/>
      <c r="C18" s="167"/>
      <c r="D18" s="167"/>
      <c r="E18" s="167"/>
      <c r="F18" s="168"/>
      <c r="G18" s="150"/>
      <c r="H18" s="150"/>
    </row>
    <row r="19" ht="14.25" spans="1:9">
      <c r="A19" s="167">
        <v>1</v>
      </c>
      <c r="B19" s="178" t="s">
        <v>142</v>
      </c>
      <c r="C19" s="179"/>
      <c r="D19" s="179"/>
      <c r="E19" s="180"/>
      <c r="F19" s="181" t="s">
        <v>263</v>
      </c>
    </row>
    <row r="20" ht="16.5" spans="1:9">
      <c r="A20" s="182">
        <v>2</v>
      </c>
      <c r="B20" s="183" t="s">
        <v>144</v>
      </c>
      <c r="C20" s="184"/>
      <c r="D20" s="184"/>
      <c r="E20" s="185"/>
      <c r="F20" s="186" t="s">
        <v>264</v>
      </c>
      <c r="G20" s="187"/>
      <c r="H20" s="188"/>
      <c r="I20" s="188"/>
    </row>
    <row r="21" ht="14.25" spans="1:9">
      <c r="A21" s="167">
        <v>3</v>
      </c>
      <c r="B21" s="178" t="s">
        <v>146</v>
      </c>
      <c r="C21" s="179"/>
      <c r="D21" s="179"/>
      <c r="E21" s="180"/>
      <c r="F21" s="189">
        <f>RAIZ_DADOS!D5</f>
        <v>1651</v>
      </c>
    </row>
    <row r="22" ht="14.25" spans="1:9">
      <c r="A22" s="167">
        <v>4</v>
      </c>
      <c r="B22" s="178" t="s">
        <v>147</v>
      </c>
      <c r="C22" s="179"/>
      <c r="D22" s="179"/>
      <c r="E22" s="180"/>
      <c r="F22" s="181" t="str">
        <f>F19</f>
        <v>Encarregado de limpeza</v>
      </c>
    </row>
    <row r="23" ht="14.25" spans="1:9">
      <c r="A23" s="167">
        <v>5</v>
      </c>
      <c r="B23" s="178" t="s">
        <v>148</v>
      </c>
      <c r="C23" s="179"/>
      <c r="D23" s="179"/>
      <c r="E23" s="180"/>
      <c r="F23" s="181" t="s">
        <v>149</v>
      </c>
    </row>
    <row r="24" ht="14.25" spans="1:9">
      <c r="A24" s="173"/>
      <c r="B24" s="154"/>
      <c r="C24" s="154"/>
      <c r="D24" s="154"/>
      <c r="E24" s="154"/>
      <c r="F24" s="174"/>
    </row>
    <row r="25" ht="14.25" spans="1:9">
      <c r="A25" s="190" t="s">
        <v>150</v>
      </c>
      <c r="B25" s="191"/>
      <c r="C25" s="191"/>
      <c r="D25" s="191"/>
      <c r="E25" s="191"/>
      <c r="F25" s="192"/>
    </row>
    <row r="26" ht="14.25" spans="1:9">
      <c r="A26" s="193">
        <v>1</v>
      </c>
      <c r="B26" s="190" t="s">
        <v>151</v>
      </c>
      <c r="C26" s="191"/>
      <c r="D26" s="194"/>
      <c r="E26" s="193"/>
      <c r="F26" s="195" t="s">
        <v>152</v>
      </c>
    </row>
    <row r="27" ht="14.25" spans="1:9">
      <c r="A27" s="193" t="s">
        <v>153</v>
      </c>
      <c r="B27" s="196" t="s">
        <v>154</v>
      </c>
      <c r="C27" s="197"/>
      <c r="D27" s="198"/>
      <c r="E27" s="199" t="s">
        <v>73</v>
      </c>
      <c r="F27" s="200">
        <f>(F21/44)*30</f>
        <v>1125.68</v>
      </c>
      <c r="H27" s="201"/>
    </row>
    <row r="28" ht="14.25" spans="1:9">
      <c r="A28" s="193" t="s">
        <v>155</v>
      </c>
      <c r="B28" s="196" t="s">
        <v>156</v>
      </c>
      <c r="C28" s="197"/>
      <c r="D28" s="198"/>
      <c r="E28" s="199"/>
      <c r="F28" s="200"/>
    </row>
    <row r="29" ht="14.25" spans="1:9">
      <c r="A29" s="193" t="s">
        <v>157</v>
      </c>
      <c r="B29" s="196" t="s">
        <v>158</v>
      </c>
      <c r="C29" s="197"/>
      <c r="D29" s="198"/>
      <c r="E29" s="202"/>
      <c r="F29" s="200"/>
    </row>
    <row r="30" ht="14.25" spans="1:9">
      <c r="A30" s="193" t="s">
        <v>159</v>
      </c>
      <c r="B30" s="196" t="s">
        <v>160</v>
      </c>
      <c r="C30" s="197"/>
      <c r="D30" s="198"/>
      <c r="E30" s="199"/>
      <c r="F30" s="200"/>
    </row>
    <row r="31" ht="14.25" spans="1:9">
      <c r="A31" s="193" t="s">
        <v>161</v>
      </c>
      <c r="B31" s="196" t="s">
        <v>162</v>
      </c>
      <c r="C31" s="197"/>
      <c r="D31" s="198"/>
      <c r="E31" s="199"/>
      <c r="F31" s="200"/>
    </row>
    <row r="32" ht="14.25" spans="1:9">
      <c r="A32" s="193" t="s">
        <v>163</v>
      </c>
      <c r="B32" s="196" t="str">
        <f>RAIZ_DADOS!A16</f>
        <v>Gratificação Encarregado - de 21 até 40 empregados</v>
      </c>
      <c r="C32" s="197"/>
      <c r="D32" s="198"/>
      <c r="E32" s="199"/>
      <c r="F32" s="200">
        <f>RAIZ_DADOS!D16</f>
        <v>231.76</v>
      </c>
    </row>
    <row r="33" ht="14.25" spans="1:8">
      <c r="A33" s="203" t="s">
        <v>71</v>
      </c>
      <c r="B33" s="204"/>
      <c r="C33" s="204"/>
      <c r="D33" s="205"/>
      <c r="E33" s="206"/>
      <c r="F33" s="207">
        <f>SUM(F27:F32)</f>
        <v>1357.44</v>
      </c>
    </row>
    <row r="34" ht="14.25" spans="1:8">
      <c r="A34" s="208"/>
      <c r="B34" s="209"/>
      <c r="C34" s="209"/>
      <c r="D34" s="209"/>
      <c r="E34" s="209"/>
      <c r="F34" s="210"/>
    </row>
    <row r="35" ht="14.25" spans="1:8">
      <c r="A35" s="193" t="s">
        <v>165</v>
      </c>
      <c r="B35" s="193"/>
      <c r="C35" s="193"/>
      <c r="D35" s="193"/>
      <c r="E35" s="193"/>
      <c r="F35" s="211"/>
    </row>
    <row r="36" ht="14.25" spans="1:8">
      <c r="A36" s="193" t="s">
        <v>166</v>
      </c>
      <c r="B36" s="193"/>
      <c r="C36" s="193"/>
      <c r="D36" s="193"/>
      <c r="E36" s="193"/>
      <c r="F36" s="211"/>
      <c r="H36" s="212"/>
    </row>
    <row r="37" ht="14.25" spans="1:8">
      <c r="A37" s="193" t="s">
        <v>167</v>
      </c>
      <c r="B37" s="190" t="s">
        <v>168</v>
      </c>
      <c r="C37" s="191"/>
      <c r="D37" s="194"/>
      <c r="E37" s="193" t="s">
        <v>169</v>
      </c>
      <c r="F37" s="195" t="s">
        <v>152</v>
      </c>
    </row>
    <row r="38" ht="14.25" spans="1:8">
      <c r="A38" s="193" t="s">
        <v>153</v>
      </c>
      <c r="B38" s="196" t="s">
        <v>170</v>
      </c>
      <c r="C38" s="197"/>
      <c r="D38" s="198"/>
      <c r="E38" s="213">
        <f>1/12</f>
        <v>0.0833</v>
      </c>
      <c r="F38" s="200">
        <f>F33*E38</f>
        <v>113.07</v>
      </c>
    </row>
    <row r="39" ht="14.25" spans="1:8">
      <c r="A39" s="193" t="s">
        <v>155</v>
      </c>
      <c r="B39" s="196" t="s">
        <v>171</v>
      </c>
      <c r="C39" s="197"/>
      <c r="D39" s="198"/>
      <c r="E39" s="213">
        <f>(1/12)+(1/3)/12</f>
        <v>0.1111</v>
      </c>
      <c r="F39" s="200">
        <f>F33*E39</f>
        <v>150.81</v>
      </c>
    </row>
    <row r="40" ht="14.25" spans="1:8">
      <c r="A40" s="214" t="s">
        <v>71</v>
      </c>
      <c r="B40" s="215"/>
      <c r="C40" s="215"/>
      <c r="D40" s="216"/>
      <c r="E40" s="217">
        <f>SUM(E38:E39)</f>
        <v>0.1944</v>
      </c>
      <c r="F40" s="218">
        <f>SUM(F38:F39)</f>
        <v>263.88</v>
      </c>
    </row>
    <row r="41" ht="14.25" spans="1:8">
      <c r="A41" s="193" t="s">
        <v>157</v>
      </c>
      <c r="B41" s="196" t="s">
        <v>172</v>
      </c>
      <c r="C41" s="197"/>
      <c r="D41" s="198"/>
      <c r="E41" s="213">
        <f>E40*E53</f>
        <v>0.0774</v>
      </c>
      <c r="F41" s="218">
        <f>E41*F33</f>
        <v>105.07</v>
      </c>
    </row>
    <row r="42" ht="14.25" spans="1:8">
      <c r="A42" s="203" t="s">
        <v>71</v>
      </c>
      <c r="B42" s="204"/>
      <c r="C42" s="204"/>
      <c r="D42" s="205"/>
      <c r="E42" s="219">
        <f>SUM(E40:E41)</f>
        <v>0.2718</v>
      </c>
      <c r="F42" s="207">
        <f>SUM(F40:F41)</f>
        <v>368.95</v>
      </c>
      <c r="H42" s="212"/>
    </row>
    <row r="43" ht="14.25" spans="1:8">
      <c r="A43" s="193" t="s">
        <v>173</v>
      </c>
      <c r="B43" s="193"/>
      <c r="C43" s="193"/>
      <c r="D43" s="193"/>
      <c r="E43" s="193"/>
      <c r="F43" s="211"/>
    </row>
    <row r="44" ht="14.25" spans="1:8">
      <c r="A44" s="193" t="s">
        <v>174</v>
      </c>
      <c r="B44" s="190" t="s">
        <v>175</v>
      </c>
      <c r="C44" s="191"/>
      <c r="D44" s="194"/>
      <c r="E44" s="193" t="s">
        <v>169</v>
      </c>
      <c r="F44" s="195" t="s">
        <v>152</v>
      </c>
    </row>
    <row r="45" ht="14.25" spans="1:8">
      <c r="A45" s="193" t="s">
        <v>153</v>
      </c>
      <c r="B45" s="196" t="s">
        <v>176</v>
      </c>
      <c r="C45" s="197"/>
      <c r="D45" s="198"/>
      <c r="E45" s="213">
        <v>0.2</v>
      </c>
      <c r="F45" s="200">
        <f t="shared" ref="F45:F52" si="0">E45*F$33</f>
        <v>271.49</v>
      </c>
    </row>
    <row r="46" ht="14.25" spans="1:8">
      <c r="A46" s="193" t="s">
        <v>155</v>
      </c>
      <c r="B46" s="196" t="s">
        <v>177</v>
      </c>
      <c r="C46" s="197"/>
      <c r="D46" s="198"/>
      <c r="E46" s="213">
        <v>0.025</v>
      </c>
      <c r="F46" s="200">
        <f t="shared" si="0"/>
        <v>33.94</v>
      </c>
      <c r="G46" s="152"/>
      <c r="H46" s="220"/>
    </row>
    <row r="47" ht="14.25" spans="1:8">
      <c r="A47" s="193" t="s">
        <v>157</v>
      </c>
      <c r="B47" s="196" t="s">
        <v>178</v>
      </c>
      <c r="C47" s="197"/>
      <c r="D47" s="198"/>
      <c r="E47" s="221">
        <f>(2*3)/100</f>
        <v>0.06</v>
      </c>
      <c r="F47" s="200">
        <f t="shared" si="0"/>
        <v>81.45</v>
      </c>
      <c r="G47" s="222"/>
      <c r="H47" s="222"/>
    </row>
    <row r="48" ht="14.25" spans="1:8">
      <c r="A48" s="193" t="s">
        <v>159</v>
      </c>
      <c r="B48" s="196" t="s">
        <v>179</v>
      </c>
      <c r="C48" s="197"/>
      <c r="D48" s="198"/>
      <c r="E48" s="213">
        <v>0.015</v>
      </c>
      <c r="F48" s="200">
        <f t="shared" si="0"/>
        <v>20.36</v>
      </c>
    </row>
    <row r="49" ht="14.25" spans="1:8">
      <c r="A49" s="193" t="s">
        <v>161</v>
      </c>
      <c r="B49" s="196" t="s">
        <v>180</v>
      </c>
      <c r="C49" s="197"/>
      <c r="D49" s="198"/>
      <c r="E49" s="213">
        <v>0.01</v>
      </c>
      <c r="F49" s="200">
        <f t="shared" si="0"/>
        <v>13.57</v>
      </c>
    </row>
    <row r="50" ht="14.25" spans="1:8">
      <c r="A50" s="193" t="s">
        <v>163</v>
      </c>
      <c r="B50" s="196" t="s">
        <v>181</v>
      </c>
      <c r="C50" s="197"/>
      <c r="D50" s="198"/>
      <c r="E50" s="213">
        <v>0.006</v>
      </c>
      <c r="F50" s="200">
        <f t="shared" si="0"/>
        <v>8.14</v>
      </c>
    </row>
    <row r="51" ht="14.25" spans="1:8">
      <c r="A51" s="193" t="s">
        <v>182</v>
      </c>
      <c r="B51" s="196" t="s">
        <v>183</v>
      </c>
      <c r="C51" s="197"/>
      <c r="D51" s="198"/>
      <c r="E51" s="213">
        <v>0.002</v>
      </c>
      <c r="F51" s="200">
        <f t="shared" si="0"/>
        <v>2.71</v>
      </c>
    </row>
    <row r="52" ht="14.25" spans="1:8">
      <c r="A52" s="193" t="s">
        <v>184</v>
      </c>
      <c r="B52" s="196" t="s">
        <v>185</v>
      </c>
      <c r="C52" s="197"/>
      <c r="D52" s="198"/>
      <c r="E52" s="213">
        <v>0.08</v>
      </c>
      <c r="F52" s="200">
        <f t="shared" si="0"/>
        <v>108.6</v>
      </c>
    </row>
    <row r="53" ht="14.25" spans="1:8">
      <c r="A53" s="203" t="s">
        <v>186</v>
      </c>
      <c r="B53" s="204"/>
      <c r="C53" s="204"/>
      <c r="D53" s="205"/>
      <c r="E53" s="219">
        <f>SUM(E45:E52)</f>
        <v>0.398</v>
      </c>
      <c r="F53" s="207">
        <f>SUM(F45:F52)</f>
        <v>540.26</v>
      </c>
    </row>
    <row r="54" ht="14.25" spans="1:8">
      <c r="A54" s="190" t="s">
        <v>187</v>
      </c>
      <c r="B54" s="191"/>
      <c r="C54" s="191"/>
      <c r="D54" s="191"/>
      <c r="E54" s="191"/>
      <c r="F54" s="192"/>
    </row>
    <row r="55" ht="14.25" spans="1:8">
      <c r="A55" s="193" t="s">
        <v>188</v>
      </c>
      <c r="B55" s="190" t="s">
        <v>189</v>
      </c>
      <c r="C55" s="191"/>
      <c r="D55" s="194"/>
      <c r="E55" s="193"/>
      <c r="F55" s="195" t="s">
        <v>152</v>
      </c>
    </row>
    <row r="56" ht="14.25" spans="1:8">
      <c r="A56" s="193" t="s">
        <v>153</v>
      </c>
      <c r="B56" s="196" t="s">
        <v>190</v>
      </c>
      <c r="C56" s="197"/>
      <c r="D56" s="198"/>
      <c r="E56" s="199"/>
      <c r="F56" s="200">
        <f>((E57*E58)*E59)-(6%*F27)</f>
        <v>64.46</v>
      </c>
      <c r="H56" s="161"/>
    </row>
    <row r="57" ht="14.25" spans="1:8">
      <c r="A57" s="193"/>
      <c r="B57" s="196" t="s">
        <v>191</v>
      </c>
      <c r="C57" s="197"/>
      <c r="D57" s="198"/>
      <c r="E57" s="223">
        <f>RAIZ_DADOS!D30</f>
        <v>3</v>
      </c>
      <c r="F57" s="181" t="s">
        <v>52</v>
      </c>
      <c r="H57" s="161"/>
    </row>
    <row r="58" ht="14.25" spans="1:8">
      <c r="A58" s="193"/>
      <c r="B58" s="196" t="s">
        <v>192</v>
      </c>
      <c r="C58" s="197"/>
      <c r="D58" s="198"/>
      <c r="E58" s="224">
        <f>RAIZ_DADOS!D33</f>
        <v>2</v>
      </c>
      <c r="F58" s="181" t="s">
        <v>52</v>
      </c>
      <c r="H58" s="161"/>
    </row>
    <row r="59" ht="14.25" spans="1:8">
      <c r="A59" s="193"/>
      <c r="B59" s="196" t="s">
        <v>193</v>
      </c>
      <c r="C59" s="197"/>
      <c r="D59" s="198"/>
      <c r="E59" s="224">
        <f>RAIZ_DADOS!D32</f>
        <v>22</v>
      </c>
      <c r="F59" s="181" t="s">
        <v>52</v>
      </c>
      <c r="H59" s="161"/>
    </row>
    <row r="60" ht="14.25" spans="1:8">
      <c r="A60" s="193" t="s">
        <v>155</v>
      </c>
      <c r="B60" s="196" t="s">
        <v>194</v>
      </c>
      <c r="C60" s="197"/>
      <c r="D60" s="198"/>
      <c r="E60" s="199"/>
      <c r="F60" s="200">
        <f>RAIZ_DADOS!D6</f>
        <v>400</v>
      </c>
      <c r="H60" s="161"/>
    </row>
    <row r="61" ht="14.25" spans="1:8">
      <c r="A61" s="193" t="s">
        <v>157</v>
      </c>
      <c r="B61" s="196" t="s">
        <v>34</v>
      </c>
      <c r="C61" s="197"/>
      <c r="D61" s="198"/>
      <c r="E61" s="199"/>
      <c r="F61" s="200">
        <f>RAIZ_DADOS!D23</f>
        <v>14.66</v>
      </c>
      <c r="H61" s="161"/>
    </row>
    <row r="62" ht="14.25" spans="1:8">
      <c r="A62" s="193" t="s">
        <v>159</v>
      </c>
      <c r="B62" s="196" t="s">
        <v>195</v>
      </c>
      <c r="C62" s="197"/>
      <c r="D62" s="198"/>
      <c r="E62" s="199"/>
      <c r="F62" s="200">
        <f>RAIZ_DADOS!D24</f>
        <v>6.4</v>
      </c>
      <c r="H62" s="161"/>
    </row>
    <row r="63" ht="14.25" spans="1:8">
      <c r="A63" s="193" t="s">
        <v>161</v>
      </c>
      <c r="B63" s="225" t="s">
        <v>196</v>
      </c>
      <c r="C63" s="226"/>
      <c r="D63" s="227"/>
      <c r="E63" s="228"/>
      <c r="F63" s="229">
        <v>0</v>
      </c>
      <c r="H63" s="230"/>
    </row>
    <row r="64" ht="14.25" spans="1:8">
      <c r="A64" s="193" t="s">
        <v>163</v>
      </c>
      <c r="B64" s="225" t="s">
        <v>197</v>
      </c>
      <c r="C64" s="226"/>
      <c r="D64" s="227"/>
      <c r="E64" s="228"/>
      <c r="F64" s="229">
        <f>RAIZ_DADOS!D7</f>
        <v>130</v>
      </c>
      <c r="H64" s="230"/>
    </row>
    <row r="65" s="152" customFormat="1" ht="14.25" spans="1:10">
      <c r="A65" s="203" t="s">
        <v>71</v>
      </c>
      <c r="B65" s="204"/>
      <c r="C65" s="204"/>
      <c r="D65" s="205"/>
      <c r="E65" s="231"/>
      <c r="F65" s="207">
        <f>SUM(F56:F64)</f>
        <v>615.52</v>
      </c>
      <c r="G65" s="158"/>
      <c r="H65" s="158"/>
    </row>
    <row r="66" ht="14.25" spans="1:10">
      <c r="A66" s="190" t="s">
        <v>198</v>
      </c>
      <c r="B66" s="191"/>
      <c r="C66" s="191"/>
      <c r="D66" s="191"/>
      <c r="E66" s="191"/>
      <c r="F66" s="192"/>
    </row>
    <row r="67" ht="14.25" spans="1:10">
      <c r="A67" s="193">
        <v>2</v>
      </c>
      <c r="B67" s="190" t="s">
        <v>199</v>
      </c>
      <c r="C67" s="191"/>
      <c r="D67" s="194"/>
      <c r="E67" s="193"/>
      <c r="F67" s="195" t="s">
        <v>152</v>
      </c>
    </row>
    <row r="68" ht="14.25" spans="1:10">
      <c r="A68" s="193" t="s">
        <v>167</v>
      </c>
      <c r="B68" s="196" t="s">
        <v>168</v>
      </c>
      <c r="C68" s="197"/>
      <c r="D68" s="198"/>
      <c r="E68" s="232"/>
      <c r="F68" s="200">
        <f>F40</f>
        <v>263.88</v>
      </c>
      <c r="G68" s="153"/>
      <c r="H68" s="153"/>
    </row>
    <row r="69" ht="14.25" spans="1:10">
      <c r="A69" s="193" t="s">
        <v>174</v>
      </c>
      <c r="B69" s="196" t="s">
        <v>200</v>
      </c>
      <c r="C69" s="197"/>
      <c r="D69" s="198"/>
      <c r="E69" s="233"/>
      <c r="F69" s="200">
        <f>F53+F41</f>
        <v>645.33</v>
      </c>
      <c r="G69" s="153"/>
      <c r="H69" s="153"/>
    </row>
    <row r="70" ht="14.25" spans="1:10">
      <c r="A70" s="193" t="s">
        <v>188</v>
      </c>
      <c r="B70" s="196" t="s">
        <v>189</v>
      </c>
      <c r="C70" s="197"/>
      <c r="D70" s="198"/>
      <c r="E70" s="234"/>
      <c r="F70" s="200">
        <f>F65</f>
        <v>615.52</v>
      </c>
      <c r="G70" s="153"/>
      <c r="H70" s="153"/>
    </row>
    <row r="71" ht="14.25" spans="1:10">
      <c r="A71" s="203" t="s">
        <v>71</v>
      </c>
      <c r="B71" s="204"/>
      <c r="C71" s="204"/>
      <c r="D71" s="205"/>
      <c r="E71" s="206"/>
      <c r="F71" s="207">
        <f>SUM(F68:F70)</f>
        <v>1524.73</v>
      </c>
      <c r="J71" s="235"/>
    </row>
    <row r="72" ht="14.25"/>
    <row r="73" ht="14.25" spans="1:10">
      <c r="A73" s="193" t="s">
        <v>201</v>
      </c>
      <c r="B73" s="193"/>
      <c r="C73" s="193"/>
      <c r="D73" s="193"/>
      <c r="E73" s="193"/>
      <c r="F73" s="211"/>
    </row>
    <row r="74" ht="14.25" spans="1:10">
      <c r="A74" s="193">
        <v>3</v>
      </c>
      <c r="B74" s="190" t="s">
        <v>202</v>
      </c>
      <c r="C74" s="191"/>
      <c r="D74" s="194"/>
      <c r="E74" s="193" t="s">
        <v>169</v>
      </c>
      <c r="F74" s="195" t="s">
        <v>152</v>
      </c>
    </row>
    <row r="75" ht="14.25" spans="1:10">
      <c r="A75" s="193" t="s">
        <v>153</v>
      </c>
      <c r="B75" s="196" t="s">
        <v>203</v>
      </c>
      <c r="C75" s="197"/>
      <c r="D75" s="198"/>
      <c r="E75" s="232">
        <f>(1/12)*5%</f>
        <v>0.0042</v>
      </c>
      <c r="F75" s="200">
        <f>E75*F33</f>
        <v>5.7</v>
      </c>
    </row>
    <row r="76" ht="14.25" spans="1:10">
      <c r="A76" s="193" t="s">
        <v>155</v>
      </c>
      <c r="B76" s="196" t="s">
        <v>204</v>
      </c>
      <c r="C76" s="197"/>
      <c r="D76" s="198"/>
      <c r="E76" s="232">
        <f>E75*E52</f>
        <v>0.0003</v>
      </c>
      <c r="F76" s="200">
        <f>E76*F33</f>
        <v>0.41</v>
      </c>
      <c r="G76" s="236"/>
    </row>
    <row r="77" ht="14.25" spans="1:10">
      <c r="A77" s="193" t="s">
        <v>157</v>
      </c>
      <c r="B77" s="196" t="s">
        <v>205</v>
      </c>
      <c r="C77" s="197"/>
      <c r="D77" s="198"/>
      <c r="E77" s="232">
        <f>((8%*(40%)*90%)*(1+5/56+5/56+(1/3*5/56)))</f>
        <v>0.0348</v>
      </c>
      <c r="F77" s="200">
        <f>E77*(F33+F40)</f>
        <v>56.42</v>
      </c>
      <c r="G77" s="236"/>
      <c r="H77" s="237"/>
    </row>
    <row r="78" ht="14.25" spans="1:10">
      <c r="A78" s="193" t="s">
        <v>159</v>
      </c>
      <c r="B78" s="196" t="s">
        <v>206</v>
      </c>
      <c r="C78" s="197"/>
      <c r="D78" s="198"/>
      <c r="E78" s="232">
        <f>((7/30)/12)</f>
        <v>0.0194</v>
      </c>
      <c r="F78" s="200">
        <f>E78*F33</f>
        <v>26.33</v>
      </c>
      <c r="G78" s="153"/>
      <c r="H78" s="153"/>
    </row>
    <row r="79" ht="14.25" spans="1:10">
      <c r="A79" s="193" t="s">
        <v>161</v>
      </c>
      <c r="B79" s="196" t="s">
        <v>207</v>
      </c>
      <c r="C79" s="197"/>
      <c r="D79" s="198"/>
      <c r="E79" s="232">
        <f>E78*E53</f>
        <v>0.0077</v>
      </c>
      <c r="F79" s="200">
        <f>E79*F33</f>
        <v>10.45</v>
      </c>
    </row>
    <row r="80" ht="14.25" spans="1:10">
      <c r="A80" s="193" t="s">
        <v>163</v>
      </c>
      <c r="B80" s="196" t="s">
        <v>208</v>
      </c>
      <c r="C80" s="197"/>
      <c r="D80" s="198"/>
      <c r="E80" s="232">
        <f>(40%*8%*E78)</f>
        <v>0.0006</v>
      </c>
      <c r="F80" s="200">
        <f>E80*F33</f>
        <v>0.81</v>
      </c>
    </row>
    <row r="81" ht="14.25" spans="1:10">
      <c r="A81" s="203" t="s">
        <v>71</v>
      </c>
      <c r="B81" s="204"/>
      <c r="C81" s="204"/>
      <c r="D81" s="205"/>
      <c r="E81" s="238"/>
      <c r="F81" s="207">
        <f>SUM(F75:F80)</f>
        <v>100.12</v>
      </c>
      <c r="J81" s="235"/>
    </row>
    <row r="82" s="153" customFormat="1" ht="14.25" spans="1:10">
      <c r="A82" s="156"/>
      <c r="B82" s="126"/>
      <c r="C82" s="126"/>
      <c r="D82" s="126"/>
      <c r="E82" s="126"/>
      <c r="F82" s="157"/>
      <c r="G82" s="158"/>
      <c r="H82" s="158"/>
    </row>
    <row r="83" s="153" customFormat="1" ht="14.25" spans="1:10">
      <c r="A83" s="190" t="s">
        <v>209</v>
      </c>
      <c r="B83" s="191"/>
      <c r="C83" s="191"/>
      <c r="D83" s="191"/>
      <c r="E83" s="191"/>
      <c r="F83" s="192"/>
      <c r="G83" s="158"/>
      <c r="H83" s="158"/>
    </row>
    <row r="84" ht="14.25" spans="1:10">
      <c r="A84" s="190" t="s">
        <v>210</v>
      </c>
      <c r="B84" s="191"/>
      <c r="C84" s="191"/>
      <c r="D84" s="191"/>
      <c r="E84" s="191"/>
      <c r="F84" s="192"/>
    </row>
    <row r="85" ht="14.25" spans="1:10">
      <c r="A85" s="193" t="s">
        <v>211</v>
      </c>
      <c r="B85" s="190" t="s">
        <v>212</v>
      </c>
      <c r="C85" s="191"/>
      <c r="D85" s="194"/>
      <c r="E85" s="193" t="s">
        <v>169</v>
      </c>
      <c r="F85" s="195" t="s">
        <v>152</v>
      </c>
    </row>
    <row r="86" ht="14.25" spans="1:10">
      <c r="A86" s="193" t="s">
        <v>153</v>
      </c>
      <c r="B86" s="196" t="s">
        <v>213</v>
      </c>
      <c r="C86" s="197"/>
      <c r="D86" s="198"/>
      <c r="E86" s="232">
        <f>(1/12)</f>
        <v>0.0833</v>
      </c>
      <c r="F86" s="200">
        <f t="shared" ref="F86:F91" si="1">E86*F$33</f>
        <v>113.07</v>
      </c>
    </row>
    <row r="87" ht="14.25" spans="1:10">
      <c r="A87" s="193" t="s">
        <v>155</v>
      </c>
      <c r="B87" s="196" t="s">
        <v>212</v>
      </c>
      <c r="C87" s="197"/>
      <c r="D87" s="198"/>
      <c r="E87" s="232">
        <f>(1/30)/12</f>
        <v>0.0028</v>
      </c>
      <c r="F87" s="200">
        <f t="shared" si="1"/>
        <v>3.8</v>
      </c>
    </row>
    <row r="88" ht="14.25" spans="1:10">
      <c r="A88" s="193" t="s">
        <v>157</v>
      </c>
      <c r="B88" s="196" t="s">
        <v>214</v>
      </c>
      <c r="C88" s="197"/>
      <c r="D88" s="198"/>
      <c r="E88" s="232">
        <f>((5/30)/12)*1.5%</f>
        <v>0.0002</v>
      </c>
      <c r="F88" s="200">
        <f t="shared" si="1"/>
        <v>0.27</v>
      </c>
    </row>
    <row r="89" ht="14.25" spans="1:10">
      <c r="A89" s="193" t="s">
        <v>159</v>
      </c>
      <c r="B89" s="196" t="s">
        <v>215</v>
      </c>
      <c r="C89" s="197"/>
      <c r="D89" s="198"/>
      <c r="E89" s="232">
        <f>((15/365)*8%)</f>
        <v>0.0033</v>
      </c>
      <c r="F89" s="200">
        <f t="shared" si="1"/>
        <v>4.48</v>
      </c>
    </row>
    <row r="90" ht="14.25" spans="1:10">
      <c r="A90" s="193" t="s">
        <v>161</v>
      </c>
      <c r="B90" s="196" t="s">
        <v>216</v>
      </c>
      <c r="C90" s="197"/>
      <c r="D90" s="198"/>
      <c r="E90" s="232">
        <f>(11.11%*2%*(4/12))</f>
        <v>0.0007</v>
      </c>
      <c r="F90" s="200">
        <f t="shared" si="1"/>
        <v>0.95</v>
      </c>
    </row>
    <row r="91" ht="14.25" spans="1:10">
      <c r="A91" s="193" t="s">
        <v>163</v>
      </c>
      <c r="B91" s="196" t="s">
        <v>217</v>
      </c>
      <c r="C91" s="197"/>
      <c r="D91" s="198"/>
      <c r="E91" s="232"/>
      <c r="F91" s="200">
        <f t="shared" si="1"/>
        <v>0</v>
      </c>
    </row>
    <row r="92" s="153" customFormat="1" ht="14.25" spans="1:10">
      <c r="A92" s="203" t="s">
        <v>186</v>
      </c>
      <c r="B92" s="204"/>
      <c r="C92" s="204"/>
      <c r="D92" s="205"/>
      <c r="E92" s="238"/>
      <c r="F92" s="207">
        <f>SUM(F86:F91)</f>
        <v>122.57</v>
      </c>
      <c r="G92" s="158"/>
      <c r="H92" s="158"/>
      <c r="J92" s="235"/>
    </row>
    <row r="93" ht="14.25" spans="1:10">
      <c r="A93" s="190" t="s">
        <v>218</v>
      </c>
      <c r="B93" s="191"/>
      <c r="C93" s="191"/>
      <c r="D93" s="191"/>
      <c r="E93" s="191"/>
      <c r="F93" s="192"/>
    </row>
    <row r="94" ht="14.25" spans="1:10">
      <c r="A94" s="193" t="s">
        <v>219</v>
      </c>
      <c r="B94" s="190" t="s">
        <v>220</v>
      </c>
      <c r="C94" s="191"/>
      <c r="D94" s="194"/>
      <c r="E94" s="193"/>
      <c r="F94" s="195" t="s">
        <v>152</v>
      </c>
    </row>
    <row r="95" ht="14.25" spans="1:10">
      <c r="A95" s="193" t="s">
        <v>153</v>
      </c>
      <c r="B95" s="196" t="s">
        <v>221</v>
      </c>
      <c r="C95" s="197"/>
      <c r="D95" s="198"/>
      <c r="E95" s="199"/>
      <c r="F95" s="200">
        <v>0</v>
      </c>
    </row>
    <row r="96" ht="14.25" spans="1:10">
      <c r="A96" s="203" t="s">
        <v>71</v>
      </c>
      <c r="B96" s="204"/>
      <c r="C96" s="204"/>
      <c r="D96" s="205"/>
      <c r="E96" s="206"/>
      <c r="F96" s="207">
        <f>SUM(F95:F95)</f>
        <v>0</v>
      </c>
    </row>
    <row r="97" ht="14.25" spans="1:10">
      <c r="A97" s="190" t="s">
        <v>222</v>
      </c>
      <c r="B97" s="191"/>
      <c r="C97" s="191"/>
      <c r="D97" s="191"/>
      <c r="E97" s="191"/>
      <c r="F97" s="192"/>
    </row>
    <row r="98" ht="14.25" spans="1:10">
      <c r="A98" s="193">
        <v>4</v>
      </c>
      <c r="B98" s="190" t="s">
        <v>223</v>
      </c>
      <c r="C98" s="191"/>
      <c r="D98" s="194"/>
      <c r="E98" s="193"/>
      <c r="F98" s="195" t="s">
        <v>152</v>
      </c>
    </row>
    <row r="99" ht="14.25" spans="1:10">
      <c r="A99" s="193" t="s">
        <v>211</v>
      </c>
      <c r="B99" s="196" t="s">
        <v>212</v>
      </c>
      <c r="C99" s="197"/>
      <c r="D99" s="198"/>
      <c r="E99" s="199"/>
      <c r="F99" s="200">
        <f>F92</f>
        <v>122.57</v>
      </c>
    </row>
    <row r="100" ht="14.25" spans="1:10">
      <c r="A100" s="193" t="s">
        <v>219</v>
      </c>
      <c r="B100" s="196" t="s">
        <v>220</v>
      </c>
      <c r="C100" s="197"/>
      <c r="D100" s="198"/>
      <c r="E100" s="199"/>
      <c r="F100" s="200">
        <f>F96</f>
        <v>0</v>
      </c>
    </row>
    <row r="101" ht="14.25" spans="1:10">
      <c r="A101" s="203" t="s">
        <v>71</v>
      </c>
      <c r="B101" s="204"/>
      <c r="C101" s="204"/>
      <c r="D101" s="205"/>
      <c r="E101" s="206"/>
      <c r="F101" s="207">
        <f>SUM(F99:F100)</f>
        <v>122.57</v>
      </c>
      <c r="J101" s="235"/>
    </row>
    <row r="102" ht="14.25"/>
    <row r="103" ht="14.25" spans="1:10">
      <c r="A103" s="190" t="s">
        <v>224</v>
      </c>
      <c r="B103" s="191"/>
      <c r="C103" s="191"/>
      <c r="D103" s="191"/>
      <c r="E103" s="191"/>
      <c r="F103" s="192"/>
    </row>
    <row r="104" ht="14.25" spans="1:10">
      <c r="A104" s="193">
        <v>5</v>
      </c>
      <c r="B104" s="190" t="s">
        <v>225</v>
      </c>
      <c r="C104" s="191"/>
      <c r="D104" s="191"/>
      <c r="E104" s="194"/>
      <c r="F104" s="195" t="s">
        <v>152</v>
      </c>
    </row>
    <row r="105" ht="14.25" spans="1:10">
      <c r="A105" s="239" t="s">
        <v>153</v>
      </c>
      <c r="B105" s="196" t="s">
        <v>226</v>
      </c>
      <c r="C105" s="197"/>
      <c r="D105" s="197"/>
      <c r="E105" s="198"/>
      <c r="F105" s="200">
        <f>'SEMAD 1_Uniformes_SEMAD'!K17</f>
        <v>47.46</v>
      </c>
      <c r="H105" s="240"/>
    </row>
    <row r="106" ht="14.25" spans="1:10">
      <c r="A106" s="193" t="s">
        <v>155</v>
      </c>
      <c r="B106" s="196" t="s">
        <v>227</v>
      </c>
      <c r="C106" s="197"/>
      <c r="D106" s="197"/>
      <c r="E106" s="198"/>
      <c r="F106" s="200">
        <v>0</v>
      </c>
      <c r="G106" s="262" t="s">
        <v>265</v>
      </c>
    </row>
    <row r="107" ht="14.25" spans="1:10">
      <c r="A107" s="193" t="s">
        <v>157</v>
      </c>
      <c r="B107" s="196" t="s">
        <v>228</v>
      </c>
      <c r="C107" s="197"/>
      <c r="D107" s="197"/>
      <c r="E107" s="198"/>
      <c r="F107" s="200">
        <v>0</v>
      </c>
      <c r="G107" s="262" t="s">
        <v>266</v>
      </c>
    </row>
    <row r="108" ht="14.25" spans="1:10">
      <c r="A108" s="193" t="s">
        <v>159</v>
      </c>
      <c r="B108" s="196" t="s">
        <v>229</v>
      </c>
      <c r="C108" s="197"/>
      <c r="D108" s="197"/>
      <c r="E108" s="198"/>
      <c r="F108" s="200">
        <v>0</v>
      </c>
      <c r="G108" s="263" t="s">
        <v>267</v>
      </c>
      <c r="H108" s="240"/>
    </row>
    <row r="109" ht="14.25" spans="1:10">
      <c r="A109" s="203" t="s">
        <v>186</v>
      </c>
      <c r="B109" s="204"/>
      <c r="C109" s="204"/>
      <c r="D109" s="204"/>
      <c r="E109" s="205"/>
      <c r="F109" s="207">
        <f>SUM(F105:F108)</f>
        <v>47.46</v>
      </c>
      <c r="J109" s="235"/>
    </row>
    <row r="110" ht="14.25"/>
    <row r="111" ht="14.25" spans="1:10">
      <c r="A111" s="193" t="s">
        <v>230</v>
      </c>
      <c r="B111" s="193"/>
      <c r="C111" s="193"/>
      <c r="D111" s="193"/>
      <c r="E111" s="193"/>
      <c r="F111" s="211"/>
    </row>
    <row r="112" ht="14.25" spans="1:10">
      <c r="A112" s="193">
        <v>6</v>
      </c>
      <c r="B112" s="190" t="s">
        <v>231</v>
      </c>
      <c r="C112" s="191"/>
      <c r="D112" s="194"/>
      <c r="E112" s="193" t="s">
        <v>169</v>
      </c>
      <c r="F112" s="195" t="s">
        <v>152</v>
      </c>
    </row>
    <row r="113" ht="14.25" spans="1:10">
      <c r="A113" s="193" t="s">
        <v>153</v>
      </c>
      <c r="B113" s="196" t="s">
        <v>232</v>
      </c>
      <c r="C113" s="197"/>
      <c r="D113" s="198"/>
      <c r="E113" s="232">
        <v>0.05</v>
      </c>
      <c r="F113" s="200">
        <f>E113*F130</f>
        <v>157.62</v>
      </c>
    </row>
    <row r="114" ht="14.25" spans="1:10">
      <c r="A114" s="193" t="s">
        <v>155</v>
      </c>
      <c r="B114" s="196" t="s">
        <v>233</v>
      </c>
      <c r="C114" s="197"/>
      <c r="D114" s="198"/>
      <c r="E114" s="232">
        <v>0.0679</v>
      </c>
      <c r="F114" s="200">
        <f>E114*(F130+F113)</f>
        <v>224.74</v>
      </c>
    </row>
    <row r="115" ht="14.25" spans="1:10">
      <c r="A115" s="193" t="s">
        <v>157</v>
      </c>
      <c r="B115" s="196" t="s">
        <v>234</v>
      </c>
      <c r="C115" s="197"/>
      <c r="D115" s="198"/>
      <c r="E115" s="232">
        <f>SUM(E116:E120)</f>
        <v>0.1425</v>
      </c>
      <c r="F115" s="200"/>
    </row>
    <row r="116" ht="14.25" spans="1:10">
      <c r="A116" s="193"/>
      <c r="B116" s="196" t="s">
        <v>235</v>
      </c>
      <c r="C116" s="197"/>
      <c r="D116" s="198"/>
      <c r="E116" s="232"/>
      <c r="F116" s="200"/>
      <c r="H116" s="241"/>
    </row>
    <row r="117" ht="14.25" spans="1:10">
      <c r="A117" s="193"/>
      <c r="B117" s="196" t="s">
        <v>236</v>
      </c>
      <c r="C117" s="197"/>
      <c r="D117" s="198"/>
      <c r="E117" s="232">
        <v>0.0165</v>
      </c>
      <c r="F117" s="200">
        <f>E117*((F130+F113+F114)/(1-$E$115))</f>
        <v>68.01</v>
      </c>
      <c r="H117" s="242"/>
      <c r="J117" s="243"/>
    </row>
    <row r="118" ht="14.25" spans="1:10">
      <c r="A118" s="193"/>
      <c r="B118" s="196" t="s">
        <v>237</v>
      </c>
      <c r="C118" s="197"/>
      <c r="D118" s="198"/>
      <c r="E118" s="232">
        <v>0.076</v>
      </c>
      <c r="F118" s="200">
        <f>E118*(($F$130+$F$113+$F$114)/(1-$E$115))</f>
        <v>313.28</v>
      </c>
      <c r="H118" s="242"/>
      <c r="J118" s="243"/>
    </row>
    <row r="119" s="154" customFormat="1" ht="14.25" spans="1:10">
      <c r="A119" s="193"/>
      <c r="B119" s="196" t="s">
        <v>238</v>
      </c>
      <c r="C119" s="197"/>
      <c r="D119" s="198"/>
      <c r="E119" s="232"/>
      <c r="F119" s="200"/>
      <c r="H119" s="242"/>
      <c r="J119" s="244"/>
    </row>
    <row r="120" ht="14.25" spans="1:10">
      <c r="A120" s="193"/>
      <c r="B120" s="196" t="s">
        <v>239</v>
      </c>
      <c r="C120" s="197"/>
      <c r="D120" s="198"/>
      <c r="E120" s="232">
        <v>0.05</v>
      </c>
      <c r="F120" s="200">
        <f>E120*(($F$130+$F$113+$F$114)/(1-$E$115))</f>
        <v>206.1</v>
      </c>
      <c r="H120" s="242"/>
      <c r="J120" s="243"/>
    </row>
    <row r="121" ht="14.25" spans="1:10">
      <c r="A121" s="203" t="s">
        <v>186</v>
      </c>
      <c r="B121" s="204"/>
      <c r="C121" s="204"/>
      <c r="D121" s="205"/>
      <c r="E121" s="245"/>
      <c r="F121" s="207">
        <f>SUM(F113:F120)</f>
        <v>969.75</v>
      </c>
      <c r="J121" s="235"/>
    </row>
    <row r="122" ht="14.25"/>
    <row r="123" ht="14.25" spans="1:10">
      <c r="A123" s="159" t="s">
        <v>240</v>
      </c>
      <c r="B123" s="159"/>
      <c r="C123" s="159"/>
      <c r="D123" s="159"/>
      <c r="E123" s="159"/>
      <c r="F123" s="246"/>
    </row>
    <row r="124" ht="14.25" spans="1:10">
      <c r="A124" s="159"/>
      <c r="B124" s="247" t="s">
        <v>241</v>
      </c>
      <c r="C124" s="248"/>
      <c r="D124" s="248"/>
      <c r="E124" s="249"/>
      <c r="F124" s="250" t="s">
        <v>152</v>
      </c>
    </row>
    <row r="125" ht="14.25" spans="1:10">
      <c r="A125" s="193" t="s">
        <v>153</v>
      </c>
      <c r="B125" s="196" t="s">
        <v>150</v>
      </c>
      <c r="C125" s="197"/>
      <c r="D125" s="197"/>
      <c r="E125" s="198"/>
      <c r="F125" s="200">
        <f>F33</f>
        <v>1357.44</v>
      </c>
      <c r="H125" s="236"/>
    </row>
    <row r="126" ht="14.25" spans="1:10">
      <c r="A126" s="193" t="s">
        <v>155</v>
      </c>
      <c r="B126" s="196" t="s">
        <v>165</v>
      </c>
      <c r="C126" s="197"/>
      <c r="D126" s="197"/>
      <c r="E126" s="198"/>
      <c r="F126" s="200">
        <f>F71</f>
        <v>1524.73</v>
      </c>
    </row>
    <row r="127" ht="14.25" spans="1:10">
      <c r="A127" s="193" t="s">
        <v>157</v>
      </c>
      <c r="B127" s="196" t="s">
        <v>201</v>
      </c>
      <c r="C127" s="197"/>
      <c r="D127" s="197"/>
      <c r="E127" s="198"/>
      <c r="F127" s="200">
        <f>F81</f>
        <v>100.12</v>
      </c>
    </row>
    <row r="128" ht="14.25" spans="1:10">
      <c r="A128" s="193" t="s">
        <v>159</v>
      </c>
      <c r="B128" s="196" t="s">
        <v>209</v>
      </c>
      <c r="C128" s="197"/>
      <c r="D128" s="197"/>
      <c r="E128" s="198"/>
      <c r="F128" s="200">
        <f>F101</f>
        <v>122.57</v>
      </c>
      <c r="H128" s="236"/>
    </row>
    <row r="129" ht="14.25" spans="1:10">
      <c r="A129" s="193" t="s">
        <v>161</v>
      </c>
      <c r="B129" s="196" t="s">
        <v>224</v>
      </c>
      <c r="C129" s="197"/>
      <c r="D129" s="197"/>
      <c r="E129" s="198"/>
      <c r="F129" s="200">
        <f>F109</f>
        <v>47.46</v>
      </c>
      <c r="H129" s="236"/>
    </row>
    <row r="130" ht="14.25" spans="1:10">
      <c r="A130" s="203" t="s">
        <v>242</v>
      </c>
      <c r="B130" s="204"/>
      <c r="C130" s="204"/>
      <c r="D130" s="204"/>
      <c r="E130" s="205"/>
      <c r="F130" s="207">
        <f>SUM(F125:F129)</f>
        <v>3152.32</v>
      </c>
      <c r="I130" s="240"/>
      <c r="J130" s="240"/>
    </row>
    <row r="131" ht="14.25" spans="1:10">
      <c r="A131" s="193" t="s">
        <v>163</v>
      </c>
      <c r="B131" s="196" t="s">
        <v>243</v>
      </c>
      <c r="C131" s="197"/>
      <c r="D131" s="197"/>
      <c r="E131" s="198"/>
      <c r="F131" s="200">
        <f>F121</f>
        <v>969.75</v>
      </c>
    </row>
    <row r="132" ht="14.25" spans="1:10">
      <c r="A132" s="251" t="s">
        <v>244</v>
      </c>
      <c r="B132" s="252"/>
      <c r="C132" s="252"/>
      <c r="D132" s="252"/>
      <c r="E132" s="253"/>
      <c r="F132" s="254">
        <f>SUM(F130:F131)</f>
        <v>4122.07</v>
      </c>
      <c r="H132" s="236"/>
    </row>
    <row r="133" ht="14.25"/>
    <row r="134" s="155" customFormat="1" ht="14.25" spans="1:10">
      <c r="A134" s="159" t="s">
        <v>245</v>
      </c>
      <c r="B134" s="159"/>
      <c r="C134" s="159"/>
      <c r="D134" s="159"/>
      <c r="E134" s="159"/>
      <c r="F134" s="159"/>
      <c r="G134" s="255"/>
      <c r="H134" s="255"/>
      <c r="I134" s="255"/>
    </row>
    <row r="135" s="155" customFormat="1" ht="39.75" spans="1:10">
      <c r="A135" s="159" t="s">
        <v>246</v>
      </c>
      <c r="B135" s="159" t="s">
        <v>247</v>
      </c>
      <c r="C135" s="159" t="s">
        <v>248</v>
      </c>
      <c r="D135" s="159" t="s">
        <v>249</v>
      </c>
      <c r="E135" s="159" t="s">
        <v>250</v>
      </c>
      <c r="F135" s="256" t="s">
        <v>251</v>
      </c>
    </row>
    <row r="136" s="155" customFormat="1" ht="45" customHeight="1" spans="1:10">
      <c r="A136" s="257" t="str">
        <f>A15</f>
        <v>Encarregado de limpeza: 30 h</v>
      </c>
      <c r="B136" s="258">
        <f>F132</f>
        <v>4122.07</v>
      </c>
      <c r="C136" s="259">
        <v>1</v>
      </c>
      <c r="D136" s="258">
        <f>B136*C136</f>
        <v>4122.07</v>
      </c>
      <c r="E136" s="199">
        <f>F15</f>
        <v>1</v>
      </c>
      <c r="F136" s="258">
        <f>D136*E136</f>
        <v>4122.07</v>
      </c>
    </row>
    <row r="137" s="155" customFormat="1" ht="21" customHeight="1" spans="1:10">
      <c r="A137" s="203" t="s">
        <v>252</v>
      </c>
      <c r="B137" s="204"/>
      <c r="C137" s="204"/>
      <c r="D137" s="204"/>
      <c r="E137" s="205"/>
      <c r="F137" s="260">
        <f>SUM(F136)</f>
        <v>4122.07</v>
      </c>
    </row>
    <row r="138" s="155" customFormat="1" ht="21" customHeight="1" spans="1:10">
      <c r="A138" s="251" t="s">
        <v>253</v>
      </c>
      <c r="B138" s="252"/>
      <c r="C138" s="252"/>
      <c r="D138" s="252"/>
      <c r="E138" s="253"/>
      <c r="F138" s="261">
        <f>F137*F11</f>
        <v>49464.84</v>
      </c>
    </row>
    <row r="139" ht="13.5"/>
  </sheetData>
  <mergeCells count="134">
    <mergeCell ref="A1:E1"/>
    <mergeCell ref="A2:E2"/>
    <mergeCell ref="A3:E3"/>
    <mergeCell ref="A4:E4"/>
    <mergeCell ref="A5:E5"/>
    <mergeCell ref="A6:F6"/>
    <mergeCell ref="A7:F7"/>
    <mergeCell ref="B8:E8"/>
    <mergeCell ref="B9:E9"/>
    <mergeCell ref="B10:E10"/>
    <mergeCell ref="B11:E11"/>
    <mergeCell ref="A12:F12"/>
    <mergeCell ref="A13:F13"/>
    <mergeCell ref="A14:C14"/>
    <mergeCell ref="D14:E14"/>
    <mergeCell ref="A15:C15"/>
    <mergeCell ref="D15:E15"/>
    <mergeCell ref="A16:F16"/>
    <mergeCell ref="A17:F17"/>
    <mergeCell ref="A18:F18"/>
    <mergeCell ref="B19:E19"/>
    <mergeCell ref="B20:E20"/>
    <mergeCell ref="B21:E21"/>
    <mergeCell ref="B22:E22"/>
    <mergeCell ref="B23:E23"/>
    <mergeCell ref="A24:F24"/>
    <mergeCell ref="A25:F25"/>
    <mergeCell ref="B26:D26"/>
    <mergeCell ref="B27:D27"/>
    <mergeCell ref="B28:D28"/>
    <mergeCell ref="B29:D29"/>
    <mergeCell ref="B30:D30"/>
    <mergeCell ref="B31:D31"/>
    <mergeCell ref="B32:D32"/>
    <mergeCell ref="A33:D33"/>
    <mergeCell ref="A34:F34"/>
    <mergeCell ref="A35:F35"/>
    <mergeCell ref="A36:F36"/>
    <mergeCell ref="B37:D37"/>
    <mergeCell ref="B38:D38"/>
    <mergeCell ref="B39:D39"/>
    <mergeCell ref="A40:D40"/>
    <mergeCell ref="B41:D41"/>
    <mergeCell ref="A42:D42"/>
    <mergeCell ref="A43:F43"/>
    <mergeCell ref="B44:D44"/>
    <mergeCell ref="B45:D45"/>
    <mergeCell ref="B46:D46"/>
    <mergeCell ref="B47:D47"/>
    <mergeCell ref="B48:D48"/>
    <mergeCell ref="B49:D49"/>
    <mergeCell ref="B50:D50"/>
    <mergeCell ref="B51:D51"/>
    <mergeCell ref="B52:D52"/>
    <mergeCell ref="A53:D53"/>
    <mergeCell ref="A54:F54"/>
    <mergeCell ref="B55:D55"/>
    <mergeCell ref="B56:D56"/>
    <mergeCell ref="B57:D57"/>
    <mergeCell ref="B58:D58"/>
    <mergeCell ref="B59:D59"/>
    <mergeCell ref="B60:D60"/>
    <mergeCell ref="B61:D61"/>
    <mergeCell ref="B62:D62"/>
    <mergeCell ref="B63:D63"/>
    <mergeCell ref="B64:D64"/>
    <mergeCell ref="A65:D65"/>
    <mergeCell ref="A66:F66"/>
    <mergeCell ref="B67:D67"/>
    <mergeCell ref="B68:D68"/>
    <mergeCell ref="B69:D69"/>
    <mergeCell ref="B70:D70"/>
    <mergeCell ref="A71:D71"/>
    <mergeCell ref="A73:F73"/>
    <mergeCell ref="B74:D74"/>
    <mergeCell ref="B75:D75"/>
    <mergeCell ref="B76:D76"/>
    <mergeCell ref="B77:D77"/>
    <mergeCell ref="B78:D78"/>
    <mergeCell ref="B79:D79"/>
    <mergeCell ref="B80:D80"/>
    <mergeCell ref="A81:D81"/>
    <mergeCell ref="A83:F83"/>
    <mergeCell ref="A84:F84"/>
    <mergeCell ref="B85:D85"/>
    <mergeCell ref="B86:D86"/>
    <mergeCell ref="B87:D87"/>
    <mergeCell ref="B88:D88"/>
    <mergeCell ref="B89:D89"/>
    <mergeCell ref="B90:D90"/>
    <mergeCell ref="B91:D91"/>
    <mergeCell ref="A92:D92"/>
    <mergeCell ref="A93:F93"/>
    <mergeCell ref="B94:D94"/>
    <mergeCell ref="B95:D95"/>
    <mergeCell ref="A96:D96"/>
    <mergeCell ref="A97:F97"/>
    <mergeCell ref="B98:D98"/>
    <mergeCell ref="B99:D99"/>
    <mergeCell ref="B100:D100"/>
    <mergeCell ref="A101:D101"/>
    <mergeCell ref="A103:F103"/>
    <mergeCell ref="B104:E104"/>
    <mergeCell ref="B105:E105"/>
    <mergeCell ref="B106:E106"/>
    <mergeCell ref="B107:E107"/>
    <mergeCell ref="B108:E108"/>
    <mergeCell ref="A109:E109"/>
    <mergeCell ref="A111:F111"/>
    <mergeCell ref="B112:D112"/>
    <mergeCell ref="B113:D113"/>
    <mergeCell ref="B114:D114"/>
    <mergeCell ref="B115:D115"/>
    <mergeCell ref="B116:D116"/>
    <mergeCell ref="B117:D117"/>
    <mergeCell ref="B118:D118"/>
    <mergeCell ref="B119:D119"/>
    <mergeCell ref="B120:D120"/>
    <mergeCell ref="A121:D121"/>
    <mergeCell ref="A123:F123"/>
    <mergeCell ref="B124:E124"/>
    <mergeCell ref="B125:E125"/>
    <mergeCell ref="B126:E126"/>
    <mergeCell ref="B127:E127"/>
    <mergeCell ref="B128:E128"/>
    <mergeCell ref="B129:E129"/>
    <mergeCell ref="A130:E130"/>
    <mergeCell ref="B131:E131"/>
    <mergeCell ref="A132:E132"/>
    <mergeCell ref="A134:F134"/>
    <mergeCell ref="A137:E137"/>
    <mergeCell ref="A138:E138"/>
    <mergeCell ref="F1:F5"/>
    <mergeCell ref="H117:H120"/>
  </mergeCells>
  <pageMargins left="0.554166666666667" right="0.357638888888889" top="0.605555555555556" bottom="0.409027777777778" header="0.5" footer="0.5"/>
  <pageSetup paperSize="9" scale="75"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9" tint="0.599993896298105"/>
  </sheetPr>
  <dimension ref="A1:K139"/>
  <sheetViews>
    <sheetView view="pageBreakPreview" zoomScale="110" zoomScaleNormal="115" topLeftCell="A67" workbookViewId="0">
      <selection activeCell="E87" sqref="E87"/>
    </sheetView>
  </sheetViews>
  <sheetFormatPr defaultColWidth="2.57142857142857" defaultRowHeight="12.75"/>
  <cols>
    <col min="1" max="1" width="12.8571428571429" style="156" customWidth="1"/>
    <col min="2" max="2" width="24.5714285714286" style="126" customWidth="1"/>
    <col min="3" max="3" width="24.2857142857143" style="126" customWidth="1"/>
    <col min="4" max="4" width="15.7142857142857" style="126" customWidth="1"/>
    <col min="5" max="5" width="15.1428571428571" style="126" customWidth="1"/>
    <col min="6" max="6" width="30.1428571428571" style="157" customWidth="1"/>
    <col min="7" max="7" width="10.1428571428571" style="158" customWidth="1"/>
    <col min="8" max="8" width="9.28571428571429" style="158" customWidth="1"/>
    <col min="9" max="9" width="18.2857142857143" style="158" customWidth="1"/>
    <col min="10" max="10" width="25.7142857142857" style="158" customWidth="1"/>
    <col min="11" max="16384" width="2.57142857142857" style="158"/>
  </cols>
  <sheetData>
    <row r="1" s="150" customFormat="1" ht="23.1" customHeight="1" spans="1:11">
      <c r="A1" s="159" t="s">
        <v>121</v>
      </c>
      <c r="B1" s="159"/>
      <c r="C1" s="159"/>
      <c r="D1" s="159"/>
      <c r="E1" s="159"/>
      <c r="F1" s="160"/>
      <c r="G1" s="156"/>
      <c r="H1" s="156"/>
    </row>
    <row r="2" ht="21" customHeight="1" spans="1:11">
      <c r="A2" s="159" t="s">
        <v>268</v>
      </c>
      <c r="B2" s="159"/>
      <c r="C2" s="159"/>
      <c r="D2" s="159"/>
      <c r="E2" s="159"/>
      <c r="F2" s="160"/>
      <c r="G2" s="161"/>
      <c r="H2" s="161"/>
    </row>
    <row r="3" s="151" customFormat="1" ht="16.5" spans="1:11">
      <c r="A3" s="162" t="s">
        <v>123</v>
      </c>
      <c r="B3" s="162"/>
      <c r="C3" s="162"/>
      <c r="D3" s="162"/>
      <c r="E3" s="162"/>
      <c r="F3" s="160"/>
      <c r="G3" s="163"/>
      <c r="H3" s="163"/>
      <c r="I3" s="163"/>
      <c r="J3" s="163"/>
      <c r="K3" s="163"/>
    </row>
    <row r="4" s="151" customFormat="1" ht="16.5" spans="1:11">
      <c r="A4" s="162" t="s">
        <v>124</v>
      </c>
      <c r="B4" s="162"/>
      <c r="C4" s="162"/>
      <c r="D4" s="162"/>
      <c r="E4" s="162"/>
      <c r="F4" s="160"/>
      <c r="G4" s="163"/>
      <c r="H4" s="164"/>
      <c r="I4" s="163"/>
      <c r="J4" s="163"/>
      <c r="K4" s="163"/>
    </row>
    <row r="5" s="151" customFormat="1" ht="16.5" spans="1:11">
      <c r="A5" s="162" t="s">
        <v>125</v>
      </c>
      <c r="B5" s="162"/>
      <c r="C5" s="162"/>
      <c r="D5" s="162"/>
      <c r="E5" s="162"/>
      <c r="F5" s="160"/>
      <c r="G5" s="163"/>
      <c r="H5" s="163"/>
      <c r="I5" s="163"/>
      <c r="J5" s="163"/>
      <c r="K5" s="163"/>
    </row>
    <row r="6" s="151" customFormat="1" ht="16.5" spans="1:11">
      <c r="A6" s="165"/>
      <c r="B6" s="165"/>
      <c r="C6" s="165"/>
      <c r="D6" s="165"/>
      <c r="E6" s="165"/>
      <c r="F6" s="166"/>
      <c r="G6" s="163"/>
      <c r="H6" s="163"/>
      <c r="I6" s="163"/>
      <c r="J6" s="163"/>
      <c r="K6" s="163"/>
    </row>
    <row r="7" ht="14.25" spans="1:11">
      <c r="A7" s="167" t="s">
        <v>126</v>
      </c>
      <c r="B7" s="167"/>
      <c r="C7" s="167"/>
      <c r="D7" s="167"/>
      <c r="E7" s="167"/>
      <c r="F7" s="168"/>
      <c r="G7" s="150"/>
      <c r="H7" s="150"/>
    </row>
    <row r="8" ht="18" customHeight="1" spans="1:11">
      <c r="A8" s="167" t="s">
        <v>127</v>
      </c>
      <c r="B8" s="169" t="s">
        <v>128</v>
      </c>
      <c r="C8" s="169"/>
      <c r="D8" s="169"/>
      <c r="E8" s="169"/>
      <c r="F8" s="170" t="s">
        <v>129</v>
      </c>
    </row>
    <row r="9" ht="18" customHeight="1" spans="1:11">
      <c r="A9" s="167" t="s">
        <v>127</v>
      </c>
      <c r="B9" s="169" t="s">
        <v>130</v>
      </c>
      <c r="C9" s="169"/>
      <c r="D9" s="169"/>
      <c r="E9" s="169"/>
      <c r="F9" s="171" t="s">
        <v>131</v>
      </c>
    </row>
    <row r="10" ht="18" customHeight="1" spans="1:11">
      <c r="A10" s="167" t="s">
        <v>127</v>
      </c>
      <c r="B10" s="169" t="s">
        <v>132</v>
      </c>
      <c r="C10" s="169"/>
      <c r="D10" s="169"/>
      <c r="E10" s="169"/>
      <c r="F10" s="170" t="s">
        <v>133</v>
      </c>
    </row>
    <row r="11" ht="18" customHeight="1" spans="1:11">
      <c r="A11" s="167" t="s">
        <v>127</v>
      </c>
      <c r="B11" s="169" t="s">
        <v>134</v>
      </c>
      <c r="C11" s="169"/>
      <c r="D11" s="169"/>
      <c r="E11" s="169"/>
      <c r="F11" s="172">
        <v>12</v>
      </c>
    </row>
    <row r="12" customFormat="1" ht="16.5" spans="1:11">
      <c r="A12" s="173"/>
      <c r="B12" s="154"/>
      <c r="C12" s="154"/>
      <c r="D12" s="154"/>
      <c r="E12" s="154"/>
      <c r="F12" s="174"/>
      <c r="G12" s="158"/>
      <c r="H12" s="158"/>
    </row>
    <row r="13" s="150" customFormat="1" ht="14.25" spans="1:11">
      <c r="A13" s="167" t="s">
        <v>135</v>
      </c>
      <c r="B13" s="167"/>
      <c r="C13" s="167"/>
      <c r="D13" s="167"/>
      <c r="E13" s="167"/>
      <c r="F13" s="168"/>
    </row>
    <row r="14" ht="14.25" spans="1:11">
      <c r="A14" s="175" t="s">
        <v>136</v>
      </c>
      <c r="B14" s="175"/>
      <c r="C14" s="175"/>
      <c r="D14" s="175" t="s">
        <v>137</v>
      </c>
      <c r="E14" s="175"/>
      <c r="F14" s="175" t="s">
        <v>138</v>
      </c>
      <c r="H14" s="150"/>
    </row>
    <row r="15" ht="14.25" spans="1:11">
      <c r="A15" s="175" t="s">
        <v>269</v>
      </c>
      <c r="B15" s="175"/>
      <c r="C15" s="175"/>
      <c r="D15" s="176" t="s">
        <v>90</v>
      </c>
      <c r="E15" s="176"/>
      <c r="F15" s="177">
        <f>'SEMAD e AGEHAB TOTALIZADOR'!I6</f>
        <v>1</v>
      </c>
      <c r="H15" s="150"/>
    </row>
    <row r="16" customFormat="1" ht="16.5" spans="1:11">
      <c r="A16" s="173"/>
      <c r="B16" s="154"/>
      <c r="C16" s="154"/>
      <c r="D16" s="154"/>
      <c r="E16" s="154"/>
      <c r="F16" s="174"/>
      <c r="G16" s="158"/>
      <c r="H16" s="150"/>
    </row>
    <row r="17" s="150" customFormat="1" ht="14.25" spans="1:9">
      <c r="A17" s="167" t="s">
        <v>140</v>
      </c>
      <c r="B17" s="167"/>
      <c r="C17" s="167"/>
      <c r="D17" s="167"/>
      <c r="E17" s="167"/>
      <c r="F17" s="168"/>
    </row>
    <row r="18" ht="14.25" spans="1:9">
      <c r="A18" s="167" t="s">
        <v>141</v>
      </c>
      <c r="B18" s="167"/>
      <c r="C18" s="167"/>
      <c r="D18" s="167"/>
      <c r="E18" s="167"/>
      <c r="F18" s="168"/>
      <c r="G18" s="150"/>
      <c r="H18" s="150"/>
    </row>
    <row r="19" ht="14.25" spans="1:9">
      <c r="A19" s="167">
        <v>1</v>
      </c>
      <c r="B19" s="178" t="s">
        <v>142</v>
      </c>
      <c r="C19" s="179"/>
      <c r="D19" s="179"/>
      <c r="E19" s="180"/>
      <c r="F19" s="181" t="s">
        <v>65</v>
      </c>
    </row>
    <row r="20" ht="16.5" spans="1:9">
      <c r="A20" s="182">
        <v>2</v>
      </c>
      <c r="B20" s="183" t="s">
        <v>144</v>
      </c>
      <c r="C20" s="184"/>
      <c r="D20" s="184"/>
      <c r="E20" s="185"/>
      <c r="F20" s="186" t="s">
        <v>270</v>
      </c>
      <c r="G20" s="187"/>
      <c r="H20" s="188"/>
      <c r="I20" s="188"/>
    </row>
    <row r="21" ht="14.25" spans="1:9">
      <c r="A21" s="167">
        <v>3</v>
      </c>
      <c r="B21" s="178" t="s">
        <v>146</v>
      </c>
      <c r="C21" s="179"/>
      <c r="D21" s="179"/>
      <c r="E21" s="180"/>
      <c r="F21" s="189">
        <f>RAIZ_DADOS!D5</f>
        <v>1651</v>
      </c>
    </row>
    <row r="22" ht="14.25" spans="1:9">
      <c r="A22" s="167">
        <v>4</v>
      </c>
      <c r="B22" s="178" t="s">
        <v>147</v>
      </c>
      <c r="C22" s="179"/>
      <c r="D22" s="179"/>
      <c r="E22" s="180"/>
      <c r="F22" s="181" t="str">
        <f>F19</f>
        <v>Jardineiro</v>
      </c>
    </row>
    <row r="23" ht="14.25" spans="1:9">
      <c r="A23" s="167">
        <v>5</v>
      </c>
      <c r="B23" s="178" t="s">
        <v>148</v>
      </c>
      <c r="C23" s="179"/>
      <c r="D23" s="179"/>
      <c r="E23" s="180"/>
      <c r="F23" s="181" t="s">
        <v>149</v>
      </c>
    </row>
    <row r="24" ht="14.25" spans="1:9">
      <c r="A24" s="173"/>
      <c r="B24" s="154"/>
      <c r="C24" s="154"/>
      <c r="D24" s="154"/>
      <c r="E24" s="154"/>
      <c r="F24" s="174"/>
    </row>
    <row r="25" ht="14.25" spans="1:9">
      <c r="A25" s="190" t="s">
        <v>150</v>
      </c>
      <c r="B25" s="191"/>
      <c r="C25" s="191"/>
      <c r="D25" s="191"/>
      <c r="E25" s="191"/>
      <c r="F25" s="192"/>
    </row>
    <row r="26" ht="14.25" spans="1:9">
      <c r="A26" s="193">
        <v>1</v>
      </c>
      <c r="B26" s="190" t="s">
        <v>151</v>
      </c>
      <c r="C26" s="191"/>
      <c r="D26" s="194"/>
      <c r="E26" s="193"/>
      <c r="F26" s="195" t="s">
        <v>152</v>
      </c>
    </row>
    <row r="27" ht="14.25" spans="1:9">
      <c r="A27" s="193" t="s">
        <v>153</v>
      </c>
      <c r="B27" s="196" t="s">
        <v>154</v>
      </c>
      <c r="C27" s="197"/>
      <c r="D27" s="198"/>
      <c r="E27" s="199" t="s">
        <v>73</v>
      </c>
      <c r="F27" s="200">
        <f>(F21/44)*30</f>
        <v>1125.68</v>
      </c>
      <c r="H27" s="201"/>
    </row>
    <row r="28" ht="14.25" spans="1:9">
      <c r="A28" s="193" t="s">
        <v>155</v>
      </c>
      <c r="B28" s="196" t="s">
        <v>156</v>
      </c>
      <c r="C28" s="197"/>
      <c r="D28" s="198"/>
      <c r="E28" s="199"/>
      <c r="F28" s="200"/>
    </row>
    <row r="29" ht="14.25" spans="1:9">
      <c r="A29" s="193" t="s">
        <v>157</v>
      </c>
      <c r="B29" s="196" t="s">
        <v>158</v>
      </c>
      <c r="C29" s="197"/>
      <c r="D29" s="198"/>
      <c r="E29" s="202"/>
      <c r="F29" s="200"/>
    </row>
    <row r="30" ht="14.25" spans="1:9">
      <c r="A30" s="193" t="s">
        <v>159</v>
      </c>
      <c r="B30" s="196" t="s">
        <v>160</v>
      </c>
      <c r="C30" s="197"/>
      <c r="D30" s="198"/>
      <c r="E30" s="199"/>
      <c r="F30" s="200"/>
    </row>
    <row r="31" ht="14.25" spans="1:9">
      <c r="A31" s="193" t="s">
        <v>161</v>
      </c>
      <c r="B31" s="196" t="s">
        <v>162</v>
      </c>
      <c r="C31" s="197"/>
      <c r="D31" s="198"/>
      <c r="E31" s="199"/>
      <c r="F31" s="200"/>
    </row>
    <row r="32" ht="14.25" spans="1:9">
      <c r="A32" s="193" t="s">
        <v>163</v>
      </c>
      <c r="B32" s="196" t="str">
        <f>RAIZ_DADOS!A18</f>
        <v>Gratificação Jardineiro</v>
      </c>
      <c r="C32" s="197"/>
      <c r="D32" s="198"/>
      <c r="E32" s="199"/>
      <c r="F32" s="200">
        <f>RAIZ_DADOS!D18</f>
        <v>260.18</v>
      </c>
    </row>
    <row r="33" ht="14.25" spans="1:8">
      <c r="A33" s="203" t="s">
        <v>71</v>
      </c>
      <c r="B33" s="204"/>
      <c r="C33" s="204"/>
      <c r="D33" s="205"/>
      <c r="E33" s="206"/>
      <c r="F33" s="207">
        <f>SUM(F27:F32)</f>
        <v>1385.86</v>
      </c>
    </row>
    <row r="34" ht="14.25" spans="1:8">
      <c r="A34" s="208"/>
      <c r="B34" s="209"/>
      <c r="C34" s="209"/>
      <c r="D34" s="209"/>
      <c r="E34" s="209"/>
      <c r="F34" s="210"/>
    </row>
    <row r="35" ht="14.25" spans="1:8">
      <c r="A35" s="193" t="s">
        <v>165</v>
      </c>
      <c r="B35" s="193"/>
      <c r="C35" s="193"/>
      <c r="D35" s="193"/>
      <c r="E35" s="193"/>
      <c r="F35" s="211"/>
    </row>
    <row r="36" ht="14.25" spans="1:8">
      <c r="A36" s="193" t="s">
        <v>166</v>
      </c>
      <c r="B36" s="193"/>
      <c r="C36" s="193"/>
      <c r="D36" s="193"/>
      <c r="E36" s="193"/>
      <c r="F36" s="211"/>
      <c r="H36" s="212"/>
    </row>
    <row r="37" ht="14.25" spans="1:8">
      <c r="A37" s="193" t="s">
        <v>167</v>
      </c>
      <c r="B37" s="190" t="s">
        <v>168</v>
      </c>
      <c r="C37" s="191"/>
      <c r="D37" s="194"/>
      <c r="E37" s="193" t="s">
        <v>169</v>
      </c>
      <c r="F37" s="195" t="s">
        <v>152</v>
      </c>
    </row>
    <row r="38" ht="14.25" spans="1:8">
      <c r="A38" s="193" t="s">
        <v>153</v>
      </c>
      <c r="B38" s="196" t="s">
        <v>170</v>
      </c>
      <c r="C38" s="197"/>
      <c r="D38" s="198"/>
      <c r="E38" s="213">
        <f>1/12</f>
        <v>0.0833</v>
      </c>
      <c r="F38" s="200">
        <f>F33*E38</f>
        <v>115.44</v>
      </c>
    </row>
    <row r="39" ht="14.25" spans="1:8">
      <c r="A39" s="193" t="s">
        <v>155</v>
      </c>
      <c r="B39" s="196" t="s">
        <v>171</v>
      </c>
      <c r="C39" s="197"/>
      <c r="D39" s="198"/>
      <c r="E39" s="213">
        <f>(1/12)+(1/3)/12</f>
        <v>0.1111</v>
      </c>
      <c r="F39" s="200">
        <f>F33*E39</f>
        <v>153.97</v>
      </c>
    </row>
    <row r="40" ht="14.25" spans="1:8">
      <c r="A40" s="214" t="s">
        <v>71</v>
      </c>
      <c r="B40" s="215"/>
      <c r="C40" s="215"/>
      <c r="D40" s="216"/>
      <c r="E40" s="217">
        <f>SUM(E38:E39)</f>
        <v>0.1944</v>
      </c>
      <c r="F40" s="218">
        <f>SUM(F38:F39)</f>
        <v>269.41</v>
      </c>
    </row>
    <row r="41" ht="14.25" spans="1:8">
      <c r="A41" s="193" t="s">
        <v>157</v>
      </c>
      <c r="B41" s="196" t="s">
        <v>172</v>
      </c>
      <c r="C41" s="197"/>
      <c r="D41" s="198"/>
      <c r="E41" s="213">
        <f>E40*E53</f>
        <v>0.0774</v>
      </c>
      <c r="F41" s="218">
        <f>E41*F33</f>
        <v>107.27</v>
      </c>
    </row>
    <row r="42" ht="14.25" spans="1:8">
      <c r="A42" s="203" t="s">
        <v>71</v>
      </c>
      <c r="B42" s="204"/>
      <c r="C42" s="204"/>
      <c r="D42" s="205"/>
      <c r="E42" s="219">
        <f>SUM(E40:E41)</f>
        <v>0.2718</v>
      </c>
      <c r="F42" s="207">
        <f>SUM(F40:F41)</f>
        <v>376.68</v>
      </c>
      <c r="H42" s="212"/>
    </row>
    <row r="43" ht="14.25" spans="1:8">
      <c r="A43" s="193" t="s">
        <v>173</v>
      </c>
      <c r="B43" s="193"/>
      <c r="C43" s="193"/>
      <c r="D43" s="193"/>
      <c r="E43" s="193"/>
      <c r="F43" s="211"/>
    </row>
    <row r="44" ht="14.25" spans="1:8">
      <c r="A44" s="193" t="s">
        <v>174</v>
      </c>
      <c r="B44" s="190" t="s">
        <v>175</v>
      </c>
      <c r="C44" s="191"/>
      <c r="D44" s="194"/>
      <c r="E44" s="193" t="s">
        <v>169</v>
      </c>
      <c r="F44" s="195" t="s">
        <v>152</v>
      </c>
    </row>
    <row r="45" ht="14.25" spans="1:8">
      <c r="A45" s="193" t="s">
        <v>153</v>
      </c>
      <c r="B45" s="196" t="s">
        <v>176</v>
      </c>
      <c r="C45" s="197"/>
      <c r="D45" s="198"/>
      <c r="E45" s="213">
        <v>0.2</v>
      </c>
      <c r="F45" s="200">
        <f t="shared" ref="F45:F52" si="0">E45*F$33</f>
        <v>277.17</v>
      </c>
    </row>
    <row r="46" ht="14.25" spans="1:8">
      <c r="A46" s="193" t="s">
        <v>155</v>
      </c>
      <c r="B46" s="196" t="s">
        <v>177</v>
      </c>
      <c r="C46" s="197"/>
      <c r="D46" s="198"/>
      <c r="E46" s="213">
        <v>0.025</v>
      </c>
      <c r="F46" s="200">
        <f t="shared" si="0"/>
        <v>34.65</v>
      </c>
      <c r="G46" s="152"/>
      <c r="H46" s="220"/>
    </row>
    <row r="47" ht="14.25" spans="1:8">
      <c r="A47" s="193" t="s">
        <v>157</v>
      </c>
      <c r="B47" s="196" t="s">
        <v>178</v>
      </c>
      <c r="C47" s="197"/>
      <c r="D47" s="198"/>
      <c r="E47" s="221">
        <f>(2*3)/100</f>
        <v>0.06</v>
      </c>
      <c r="F47" s="200">
        <f t="shared" si="0"/>
        <v>83.15</v>
      </c>
      <c r="G47" s="222"/>
      <c r="H47" s="222"/>
    </row>
    <row r="48" ht="14.25" spans="1:8">
      <c r="A48" s="193" t="s">
        <v>159</v>
      </c>
      <c r="B48" s="196" t="s">
        <v>179</v>
      </c>
      <c r="C48" s="197"/>
      <c r="D48" s="198"/>
      <c r="E48" s="213">
        <v>0.015</v>
      </c>
      <c r="F48" s="200">
        <f t="shared" si="0"/>
        <v>20.79</v>
      </c>
    </row>
    <row r="49" ht="14.25" spans="1:8">
      <c r="A49" s="193" t="s">
        <v>161</v>
      </c>
      <c r="B49" s="196" t="s">
        <v>180</v>
      </c>
      <c r="C49" s="197"/>
      <c r="D49" s="198"/>
      <c r="E49" s="213">
        <v>0.01</v>
      </c>
      <c r="F49" s="200">
        <f t="shared" si="0"/>
        <v>13.86</v>
      </c>
    </row>
    <row r="50" ht="14.25" spans="1:8">
      <c r="A50" s="193" t="s">
        <v>163</v>
      </c>
      <c r="B50" s="196" t="s">
        <v>181</v>
      </c>
      <c r="C50" s="197"/>
      <c r="D50" s="198"/>
      <c r="E50" s="213">
        <v>0.006</v>
      </c>
      <c r="F50" s="200">
        <f t="shared" si="0"/>
        <v>8.32</v>
      </c>
    </row>
    <row r="51" ht="14.25" spans="1:8">
      <c r="A51" s="193" t="s">
        <v>182</v>
      </c>
      <c r="B51" s="196" t="s">
        <v>183</v>
      </c>
      <c r="C51" s="197"/>
      <c r="D51" s="198"/>
      <c r="E51" s="213">
        <v>0.002</v>
      </c>
      <c r="F51" s="200">
        <f t="shared" si="0"/>
        <v>2.77</v>
      </c>
    </row>
    <row r="52" ht="14.25" spans="1:8">
      <c r="A52" s="193" t="s">
        <v>184</v>
      </c>
      <c r="B52" s="196" t="s">
        <v>185</v>
      </c>
      <c r="C52" s="197"/>
      <c r="D52" s="198"/>
      <c r="E52" s="213">
        <v>0.08</v>
      </c>
      <c r="F52" s="200">
        <f t="shared" si="0"/>
        <v>110.87</v>
      </c>
    </row>
    <row r="53" ht="14.25" spans="1:8">
      <c r="A53" s="203" t="s">
        <v>186</v>
      </c>
      <c r="B53" s="204"/>
      <c r="C53" s="204"/>
      <c r="D53" s="205"/>
      <c r="E53" s="219">
        <f>SUM(E45:E52)</f>
        <v>0.398</v>
      </c>
      <c r="F53" s="207">
        <f>SUM(F45:F52)</f>
        <v>551.58</v>
      </c>
    </row>
    <row r="54" ht="14.25" spans="1:8">
      <c r="A54" s="190" t="s">
        <v>187</v>
      </c>
      <c r="B54" s="191"/>
      <c r="C54" s="191"/>
      <c r="D54" s="191"/>
      <c r="E54" s="191"/>
      <c r="F54" s="192"/>
    </row>
    <row r="55" ht="14.25" spans="1:8">
      <c r="A55" s="193" t="s">
        <v>188</v>
      </c>
      <c r="B55" s="190" t="s">
        <v>189</v>
      </c>
      <c r="C55" s="191"/>
      <c r="D55" s="194"/>
      <c r="E55" s="193"/>
      <c r="F55" s="195" t="s">
        <v>152</v>
      </c>
    </row>
    <row r="56" ht="14.25" spans="1:8">
      <c r="A56" s="193" t="s">
        <v>153</v>
      </c>
      <c r="B56" s="196" t="s">
        <v>190</v>
      </c>
      <c r="C56" s="197"/>
      <c r="D56" s="198"/>
      <c r="E56" s="199"/>
      <c r="F56" s="200">
        <f>((E57*E58)*E59)-(6%*F27)</f>
        <v>64.46</v>
      </c>
      <c r="H56" s="161"/>
    </row>
    <row r="57" ht="14.25" spans="1:8">
      <c r="A57" s="193"/>
      <c r="B57" s="196" t="s">
        <v>191</v>
      </c>
      <c r="C57" s="197"/>
      <c r="D57" s="198"/>
      <c r="E57" s="223">
        <f>RAIZ_DADOS!D30</f>
        <v>3</v>
      </c>
      <c r="F57" s="181" t="s">
        <v>52</v>
      </c>
      <c r="H57" s="161"/>
    </row>
    <row r="58" ht="14.25" spans="1:8">
      <c r="A58" s="193"/>
      <c r="B58" s="196" t="s">
        <v>192</v>
      </c>
      <c r="C58" s="197"/>
      <c r="D58" s="198"/>
      <c r="E58" s="224">
        <f>RAIZ_DADOS!D33</f>
        <v>2</v>
      </c>
      <c r="F58" s="181" t="s">
        <v>52</v>
      </c>
      <c r="H58" s="161"/>
    </row>
    <row r="59" ht="14.25" spans="1:8">
      <c r="A59" s="193"/>
      <c r="B59" s="196" t="s">
        <v>193</v>
      </c>
      <c r="C59" s="197"/>
      <c r="D59" s="198"/>
      <c r="E59" s="224">
        <f>RAIZ_DADOS!D32</f>
        <v>22</v>
      </c>
      <c r="F59" s="181" t="s">
        <v>52</v>
      </c>
      <c r="H59" s="161"/>
    </row>
    <row r="60" ht="14.25" spans="1:8">
      <c r="A60" s="193" t="s">
        <v>155</v>
      </c>
      <c r="B60" s="196" t="s">
        <v>194</v>
      </c>
      <c r="C60" s="197"/>
      <c r="D60" s="198"/>
      <c r="E60" s="199"/>
      <c r="F60" s="200">
        <f>RAIZ_DADOS!D6</f>
        <v>400</v>
      </c>
      <c r="H60" s="161"/>
    </row>
    <row r="61" ht="14.25" spans="1:8">
      <c r="A61" s="193" t="s">
        <v>157</v>
      </c>
      <c r="B61" s="196" t="s">
        <v>34</v>
      </c>
      <c r="C61" s="197"/>
      <c r="D61" s="198"/>
      <c r="E61" s="199"/>
      <c r="F61" s="200">
        <f>RAIZ_DADOS!D23</f>
        <v>14.66</v>
      </c>
      <c r="H61" s="161"/>
    </row>
    <row r="62" ht="14.25" spans="1:8">
      <c r="A62" s="193" t="s">
        <v>159</v>
      </c>
      <c r="B62" s="196" t="s">
        <v>195</v>
      </c>
      <c r="C62" s="197"/>
      <c r="D62" s="198"/>
      <c r="E62" s="199"/>
      <c r="F62" s="200">
        <f>RAIZ_DADOS!D24</f>
        <v>6.4</v>
      </c>
      <c r="H62" s="161"/>
    </row>
    <row r="63" ht="14.25" spans="1:8">
      <c r="A63" s="193" t="s">
        <v>161</v>
      </c>
      <c r="B63" s="225" t="s">
        <v>196</v>
      </c>
      <c r="C63" s="226"/>
      <c r="D63" s="227"/>
      <c r="E63" s="228"/>
      <c r="F63" s="229">
        <v>0</v>
      </c>
      <c r="H63" s="230"/>
    </row>
    <row r="64" ht="14.25" spans="1:8">
      <c r="A64" s="193" t="s">
        <v>163</v>
      </c>
      <c r="B64" s="225" t="s">
        <v>197</v>
      </c>
      <c r="C64" s="226"/>
      <c r="D64" s="227"/>
      <c r="E64" s="228"/>
      <c r="F64" s="229">
        <f>RAIZ_DADOS!D7</f>
        <v>130</v>
      </c>
      <c r="H64" s="230"/>
    </row>
    <row r="65" s="152" customFormat="1" ht="14.25" spans="1:10">
      <c r="A65" s="203" t="s">
        <v>71</v>
      </c>
      <c r="B65" s="204"/>
      <c r="C65" s="204"/>
      <c r="D65" s="205"/>
      <c r="E65" s="231"/>
      <c r="F65" s="207">
        <f>SUM(F56:F64)</f>
        <v>615.52</v>
      </c>
      <c r="G65" s="158"/>
      <c r="H65" s="158"/>
    </row>
    <row r="66" ht="14.25" spans="1:10">
      <c r="A66" s="190" t="s">
        <v>198</v>
      </c>
      <c r="B66" s="191"/>
      <c r="C66" s="191"/>
      <c r="D66" s="191"/>
      <c r="E66" s="191"/>
      <c r="F66" s="192"/>
    </row>
    <row r="67" ht="14.25" spans="1:10">
      <c r="A67" s="193">
        <v>2</v>
      </c>
      <c r="B67" s="190" t="s">
        <v>199</v>
      </c>
      <c r="C67" s="191"/>
      <c r="D67" s="194"/>
      <c r="E67" s="193"/>
      <c r="F67" s="195" t="s">
        <v>152</v>
      </c>
    </row>
    <row r="68" ht="14.25" spans="1:10">
      <c r="A68" s="193" t="s">
        <v>167</v>
      </c>
      <c r="B68" s="196" t="s">
        <v>168</v>
      </c>
      <c r="C68" s="197"/>
      <c r="D68" s="198"/>
      <c r="E68" s="232"/>
      <c r="F68" s="200">
        <f>F40</f>
        <v>269.41</v>
      </c>
      <c r="G68" s="153"/>
      <c r="H68" s="153"/>
    </row>
    <row r="69" ht="14.25" spans="1:10">
      <c r="A69" s="193" t="s">
        <v>174</v>
      </c>
      <c r="B69" s="196" t="s">
        <v>200</v>
      </c>
      <c r="C69" s="197"/>
      <c r="D69" s="198"/>
      <c r="E69" s="233"/>
      <c r="F69" s="200">
        <f>F53+F41</f>
        <v>658.85</v>
      </c>
      <c r="G69" s="153"/>
      <c r="H69" s="153"/>
    </row>
    <row r="70" ht="14.25" spans="1:10">
      <c r="A70" s="193" t="s">
        <v>188</v>
      </c>
      <c r="B70" s="196" t="s">
        <v>189</v>
      </c>
      <c r="C70" s="197"/>
      <c r="D70" s="198"/>
      <c r="E70" s="234"/>
      <c r="F70" s="200">
        <f>F65</f>
        <v>615.52</v>
      </c>
      <c r="G70" s="153"/>
      <c r="H70" s="153"/>
    </row>
    <row r="71" ht="14.25" spans="1:10">
      <c r="A71" s="203" t="s">
        <v>71</v>
      </c>
      <c r="B71" s="204"/>
      <c r="C71" s="204"/>
      <c r="D71" s="205"/>
      <c r="E71" s="206"/>
      <c r="F71" s="207">
        <f>SUM(F68:F70)</f>
        <v>1543.78</v>
      </c>
      <c r="J71" s="235"/>
    </row>
    <row r="72" ht="14.25"/>
    <row r="73" ht="14.25" spans="1:10">
      <c r="A73" s="193" t="s">
        <v>201</v>
      </c>
      <c r="B73" s="193"/>
      <c r="C73" s="193"/>
      <c r="D73" s="193"/>
      <c r="E73" s="193"/>
      <c r="F73" s="211"/>
    </row>
    <row r="74" ht="14.25" spans="1:10">
      <c r="A74" s="193">
        <v>3</v>
      </c>
      <c r="B74" s="190" t="s">
        <v>202</v>
      </c>
      <c r="C74" s="191"/>
      <c r="D74" s="194"/>
      <c r="E74" s="193" t="s">
        <v>169</v>
      </c>
      <c r="F74" s="195" t="s">
        <v>152</v>
      </c>
    </row>
    <row r="75" ht="14.25" spans="1:10">
      <c r="A75" s="193" t="s">
        <v>153</v>
      </c>
      <c r="B75" s="196" t="s">
        <v>203</v>
      </c>
      <c r="C75" s="197"/>
      <c r="D75" s="198"/>
      <c r="E75" s="232">
        <f>(1/12)*5%</f>
        <v>0.0042</v>
      </c>
      <c r="F75" s="200">
        <f>E75*F33</f>
        <v>5.82</v>
      </c>
    </row>
    <row r="76" ht="14.25" spans="1:10">
      <c r="A76" s="193" t="s">
        <v>155</v>
      </c>
      <c r="B76" s="196" t="s">
        <v>204</v>
      </c>
      <c r="C76" s="197"/>
      <c r="D76" s="198"/>
      <c r="E76" s="232">
        <f>E75*E52</f>
        <v>0.0003</v>
      </c>
      <c r="F76" s="200">
        <f>E76*F33</f>
        <v>0.42</v>
      </c>
      <c r="G76" s="236"/>
    </row>
    <row r="77" ht="14.25" spans="1:10">
      <c r="A77" s="193" t="s">
        <v>157</v>
      </c>
      <c r="B77" s="196" t="s">
        <v>205</v>
      </c>
      <c r="C77" s="197"/>
      <c r="D77" s="198"/>
      <c r="E77" s="232">
        <f>((8%*(40%)*90%)*(1+5/56+5/56+(1/3*5/56)))</f>
        <v>0.0348</v>
      </c>
      <c r="F77" s="200">
        <f>E77*(F33+F40)</f>
        <v>57.6</v>
      </c>
      <c r="G77" s="236"/>
      <c r="H77" s="237"/>
    </row>
    <row r="78" ht="14.25" spans="1:10">
      <c r="A78" s="193" t="s">
        <v>159</v>
      </c>
      <c r="B78" s="196" t="s">
        <v>206</v>
      </c>
      <c r="C78" s="197"/>
      <c r="D78" s="198"/>
      <c r="E78" s="232">
        <f>((7/30)/12)</f>
        <v>0.0194</v>
      </c>
      <c r="F78" s="200">
        <f>E78*F33</f>
        <v>26.89</v>
      </c>
      <c r="G78" s="153"/>
      <c r="H78" s="153"/>
    </row>
    <row r="79" ht="14.25" spans="1:10">
      <c r="A79" s="193" t="s">
        <v>161</v>
      </c>
      <c r="B79" s="196" t="s">
        <v>207</v>
      </c>
      <c r="C79" s="197"/>
      <c r="D79" s="198"/>
      <c r="E79" s="232">
        <f>E78*E53</f>
        <v>0.0077</v>
      </c>
      <c r="F79" s="200">
        <f>E79*F33</f>
        <v>10.67</v>
      </c>
    </row>
    <row r="80" ht="14.25" spans="1:10">
      <c r="A80" s="193" t="s">
        <v>163</v>
      </c>
      <c r="B80" s="196" t="s">
        <v>208</v>
      </c>
      <c r="C80" s="197"/>
      <c r="D80" s="198"/>
      <c r="E80" s="232">
        <f>(40%*8%*E78)</f>
        <v>0.0006</v>
      </c>
      <c r="F80" s="200">
        <f>E80*F33</f>
        <v>0.83</v>
      </c>
    </row>
    <row r="81" ht="14.25" spans="1:10">
      <c r="A81" s="203" t="s">
        <v>71</v>
      </c>
      <c r="B81" s="204"/>
      <c r="C81" s="204"/>
      <c r="D81" s="205"/>
      <c r="E81" s="238"/>
      <c r="F81" s="207">
        <f>SUM(F75:F80)</f>
        <v>102.23</v>
      </c>
      <c r="J81" s="235"/>
    </row>
    <row r="82" s="153" customFormat="1" ht="14.25" spans="1:10">
      <c r="A82" s="156"/>
      <c r="B82" s="126"/>
      <c r="C82" s="126"/>
      <c r="D82" s="126"/>
      <c r="E82" s="126"/>
      <c r="F82" s="157"/>
      <c r="G82" s="158"/>
      <c r="H82" s="158"/>
    </row>
    <row r="83" s="153" customFormat="1" ht="14.25" spans="1:10">
      <c r="A83" s="190" t="s">
        <v>209</v>
      </c>
      <c r="B83" s="191"/>
      <c r="C83" s="191"/>
      <c r="D83" s="191"/>
      <c r="E83" s="191"/>
      <c r="F83" s="192"/>
      <c r="G83" s="158"/>
      <c r="H83" s="158"/>
    </row>
    <row r="84" ht="14.25" spans="1:10">
      <c r="A84" s="190" t="s">
        <v>210</v>
      </c>
      <c r="B84" s="191"/>
      <c r="C84" s="191"/>
      <c r="D84" s="191"/>
      <c r="E84" s="191"/>
      <c r="F84" s="192"/>
    </row>
    <row r="85" ht="14.25" spans="1:10">
      <c r="A85" s="193" t="s">
        <v>211</v>
      </c>
      <c r="B85" s="190" t="s">
        <v>212</v>
      </c>
      <c r="C85" s="191"/>
      <c r="D85" s="194"/>
      <c r="E85" s="193" t="s">
        <v>169</v>
      </c>
      <c r="F85" s="195" t="s">
        <v>152</v>
      </c>
    </row>
    <row r="86" ht="14.25" spans="1:10">
      <c r="A86" s="193" t="s">
        <v>153</v>
      </c>
      <c r="B86" s="196" t="s">
        <v>213</v>
      </c>
      <c r="C86" s="197"/>
      <c r="D86" s="198"/>
      <c r="E86" s="232">
        <f>(1/12)</f>
        <v>0.0833</v>
      </c>
      <c r="F86" s="200">
        <f t="shared" ref="F86:F91" si="1">E86*F$33</f>
        <v>115.44</v>
      </c>
    </row>
    <row r="87" ht="14.25" spans="1:10">
      <c r="A87" s="193" t="s">
        <v>155</v>
      </c>
      <c r="B87" s="196" t="s">
        <v>212</v>
      </c>
      <c r="C87" s="197"/>
      <c r="D87" s="198"/>
      <c r="E87" s="232">
        <f>(1/30)/12</f>
        <v>0.0028</v>
      </c>
      <c r="F87" s="200">
        <f t="shared" si="1"/>
        <v>3.88</v>
      </c>
    </row>
    <row r="88" ht="14.25" spans="1:10">
      <c r="A88" s="193" t="s">
        <v>157</v>
      </c>
      <c r="B88" s="196" t="s">
        <v>214</v>
      </c>
      <c r="C88" s="197"/>
      <c r="D88" s="198"/>
      <c r="E88" s="232">
        <f>((5/30)/12)*1.5%</f>
        <v>0.0002</v>
      </c>
      <c r="F88" s="200">
        <f t="shared" si="1"/>
        <v>0.28</v>
      </c>
    </row>
    <row r="89" ht="14.25" spans="1:10">
      <c r="A89" s="193" t="s">
        <v>159</v>
      </c>
      <c r="B89" s="196" t="s">
        <v>215</v>
      </c>
      <c r="C89" s="197"/>
      <c r="D89" s="198"/>
      <c r="E89" s="232">
        <f>((15/365)*8%)</f>
        <v>0.0033</v>
      </c>
      <c r="F89" s="200">
        <f t="shared" si="1"/>
        <v>4.57</v>
      </c>
    </row>
    <row r="90" ht="14.25" spans="1:10">
      <c r="A90" s="193" t="s">
        <v>161</v>
      </c>
      <c r="B90" s="196" t="s">
        <v>216</v>
      </c>
      <c r="C90" s="197"/>
      <c r="D90" s="198"/>
      <c r="E90" s="232">
        <f>(11.11%*2%*(4/12))</f>
        <v>0.0007</v>
      </c>
      <c r="F90" s="200">
        <f t="shared" si="1"/>
        <v>0.97</v>
      </c>
    </row>
    <row r="91" ht="14.25" spans="1:10">
      <c r="A91" s="193" t="s">
        <v>163</v>
      </c>
      <c r="B91" s="196" t="s">
        <v>217</v>
      </c>
      <c r="C91" s="197"/>
      <c r="D91" s="198"/>
      <c r="E91" s="232"/>
      <c r="F91" s="200">
        <f t="shared" si="1"/>
        <v>0</v>
      </c>
    </row>
    <row r="92" s="153" customFormat="1" ht="14.25" spans="1:10">
      <c r="A92" s="203" t="s">
        <v>186</v>
      </c>
      <c r="B92" s="204"/>
      <c r="C92" s="204"/>
      <c r="D92" s="205"/>
      <c r="E92" s="238"/>
      <c r="F92" s="207">
        <f>SUM(F86:F91)</f>
        <v>125.14</v>
      </c>
      <c r="G92" s="158"/>
      <c r="H92" s="158"/>
      <c r="J92" s="235"/>
    </row>
    <row r="93" ht="14.25" spans="1:10">
      <c r="A93" s="190" t="s">
        <v>218</v>
      </c>
      <c r="B93" s="191"/>
      <c r="C93" s="191"/>
      <c r="D93" s="191"/>
      <c r="E93" s="191"/>
      <c r="F93" s="192"/>
    </row>
    <row r="94" ht="14.25" spans="1:10">
      <c r="A94" s="193" t="s">
        <v>219</v>
      </c>
      <c r="B94" s="190" t="s">
        <v>220</v>
      </c>
      <c r="C94" s="191"/>
      <c r="D94" s="194"/>
      <c r="E94" s="193"/>
      <c r="F94" s="195" t="s">
        <v>152</v>
      </c>
    </row>
    <row r="95" ht="14.25" spans="1:10">
      <c r="A95" s="193" t="s">
        <v>153</v>
      </c>
      <c r="B95" s="196" t="s">
        <v>221</v>
      </c>
      <c r="C95" s="197"/>
      <c r="D95" s="198"/>
      <c r="E95" s="199"/>
      <c r="F95" s="200">
        <v>0</v>
      </c>
    </row>
    <row r="96" ht="14.25" spans="1:10">
      <c r="A96" s="203" t="s">
        <v>71</v>
      </c>
      <c r="B96" s="204"/>
      <c r="C96" s="204"/>
      <c r="D96" s="205"/>
      <c r="E96" s="206"/>
      <c r="F96" s="207">
        <f>SUM(F95:F95)</f>
        <v>0</v>
      </c>
    </row>
    <row r="97" ht="14.25" spans="1:10">
      <c r="A97" s="190" t="s">
        <v>222</v>
      </c>
      <c r="B97" s="191"/>
      <c r="C97" s="191"/>
      <c r="D97" s="191"/>
      <c r="E97" s="191"/>
      <c r="F97" s="192"/>
    </row>
    <row r="98" ht="14.25" spans="1:10">
      <c r="A98" s="193">
        <v>4</v>
      </c>
      <c r="B98" s="190" t="s">
        <v>223</v>
      </c>
      <c r="C98" s="191"/>
      <c r="D98" s="194"/>
      <c r="E98" s="193"/>
      <c r="F98" s="195" t="s">
        <v>152</v>
      </c>
    </row>
    <row r="99" ht="14.25" spans="1:10">
      <c r="A99" s="193" t="s">
        <v>211</v>
      </c>
      <c r="B99" s="196" t="s">
        <v>212</v>
      </c>
      <c r="C99" s="197"/>
      <c r="D99" s="198"/>
      <c r="E99" s="199"/>
      <c r="F99" s="200">
        <f>F92</f>
        <v>125.14</v>
      </c>
    </row>
    <row r="100" ht="14.25" spans="1:10">
      <c r="A100" s="193" t="s">
        <v>219</v>
      </c>
      <c r="B100" s="196" t="s">
        <v>220</v>
      </c>
      <c r="C100" s="197"/>
      <c r="D100" s="198"/>
      <c r="E100" s="199"/>
      <c r="F100" s="200">
        <f>F96</f>
        <v>0</v>
      </c>
    </row>
    <row r="101" ht="14.25" spans="1:10">
      <c r="A101" s="203" t="s">
        <v>71</v>
      </c>
      <c r="B101" s="204"/>
      <c r="C101" s="204"/>
      <c r="D101" s="205"/>
      <c r="E101" s="206"/>
      <c r="F101" s="207">
        <f>SUM(F99:F100)</f>
        <v>125.14</v>
      </c>
      <c r="J101" s="235"/>
    </row>
    <row r="102" ht="14.25"/>
    <row r="103" ht="14.25" spans="1:10">
      <c r="A103" s="190" t="s">
        <v>224</v>
      </c>
      <c r="B103" s="191"/>
      <c r="C103" s="191"/>
      <c r="D103" s="191"/>
      <c r="E103" s="191"/>
      <c r="F103" s="192"/>
    </row>
    <row r="104" ht="14.25" spans="1:10">
      <c r="A104" s="193">
        <v>5</v>
      </c>
      <c r="B104" s="190" t="s">
        <v>225</v>
      </c>
      <c r="C104" s="191"/>
      <c r="D104" s="191"/>
      <c r="E104" s="194"/>
      <c r="F104" s="195" t="s">
        <v>152</v>
      </c>
    </row>
    <row r="105" ht="14.25" spans="1:10">
      <c r="A105" s="239" t="s">
        <v>153</v>
      </c>
      <c r="B105" s="196" t="s">
        <v>226</v>
      </c>
      <c r="C105" s="197"/>
      <c r="D105" s="197"/>
      <c r="E105" s="198"/>
      <c r="F105" s="200">
        <f>'SEMAD 1_Uniformes_SEMAD'!K66</f>
        <v>65.89</v>
      </c>
      <c r="H105" s="240"/>
    </row>
    <row r="106" ht="14.25" spans="1:10">
      <c r="A106" s="193" t="s">
        <v>155</v>
      </c>
      <c r="B106" s="196" t="s">
        <v>227</v>
      </c>
      <c r="C106" s="197"/>
      <c r="D106" s="197"/>
      <c r="E106" s="198"/>
      <c r="F106" s="200">
        <f>'SEMAD 1_EPI''s_SEMAD'!K65</f>
        <v>109.56</v>
      </c>
    </row>
    <row r="107" ht="14.25" spans="1:10">
      <c r="A107" s="193" t="s">
        <v>157</v>
      </c>
      <c r="B107" s="196" t="s">
        <v>228</v>
      </c>
      <c r="C107" s="197"/>
      <c r="D107" s="197"/>
      <c r="E107" s="198"/>
      <c r="F107" s="200">
        <f>'SEMAD 1_Materiais_SEMAD'!K26</f>
        <v>14.4</v>
      </c>
    </row>
    <row r="108" ht="14.25" spans="1:10">
      <c r="A108" s="193" t="s">
        <v>159</v>
      </c>
      <c r="B108" s="196" t="s">
        <v>229</v>
      </c>
      <c r="C108" s="197"/>
      <c r="D108" s="197"/>
      <c r="E108" s="198"/>
      <c r="F108" s="200">
        <f>'SEMAD 1_Equipamentos_SEMAD'!M30</f>
        <v>33.98</v>
      </c>
      <c r="H108" s="240"/>
    </row>
    <row r="109" ht="14.25" spans="1:10">
      <c r="A109" s="203" t="s">
        <v>186</v>
      </c>
      <c r="B109" s="204"/>
      <c r="C109" s="204"/>
      <c r="D109" s="204"/>
      <c r="E109" s="205"/>
      <c r="F109" s="207">
        <f>SUM(F105:F108)</f>
        <v>223.83</v>
      </c>
      <c r="J109" s="235"/>
    </row>
    <row r="110" ht="14.25"/>
    <row r="111" ht="14.25" spans="1:10">
      <c r="A111" s="193" t="s">
        <v>230</v>
      </c>
      <c r="B111" s="193"/>
      <c r="C111" s="193"/>
      <c r="D111" s="193"/>
      <c r="E111" s="193"/>
      <c r="F111" s="211"/>
    </row>
    <row r="112" ht="14.25" spans="1:10">
      <c r="A112" s="193">
        <v>6</v>
      </c>
      <c r="B112" s="190" t="s">
        <v>231</v>
      </c>
      <c r="C112" s="191"/>
      <c r="D112" s="194"/>
      <c r="E112" s="193" t="s">
        <v>169</v>
      </c>
      <c r="F112" s="195" t="s">
        <v>152</v>
      </c>
    </row>
    <row r="113" ht="14.25" spans="1:10">
      <c r="A113" s="193" t="s">
        <v>153</v>
      </c>
      <c r="B113" s="196" t="s">
        <v>232</v>
      </c>
      <c r="C113" s="197"/>
      <c r="D113" s="198"/>
      <c r="E113" s="232">
        <v>0.05</v>
      </c>
      <c r="F113" s="200">
        <f>E113*F130</f>
        <v>169.04</v>
      </c>
    </row>
    <row r="114" ht="14.25" spans="1:10">
      <c r="A114" s="193" t="s">
        <v>155</v>
      </c>
      <c r="B114" s="196" t="s">
        <v>233</v>
      </c>
      <c r="C114" s="197"/>
      <c r="D114" s="198"/>
      <c r="E114" s="232">
        <v>0.0679</v>
      </c>
      <c r="F114" s="200">
        <f>E114*(F130+F113)</f>
        <v>241.04</v>
      </c>
    </row>
    <row r="115" ht="14.25" spans="1:10">
      <c r="A115" s="193" t="s">
        <v>157</v>
      </c>
      <c r="B115" s="196" t="s">
        <v>234</v>
      </c>
      <c r="C115" s="197"/>
      <c r="D115" s="198"/>
      <c r="E115" s="232">
        <f>SUM(E116:E120)</f>
        <v>0.1425</v>
      </c>
      <c r="F115" s="200"/>
    </row>
    <row r="116" ht="14.25" spans="1:10">
      <c r="A116" s="193"/>
      <c r="B116" s="196" t="s">
        <v>235</v>
      </c>
      <c r="C116" s="197"/>
      <c r="D116" s="198"/>
      <c r="E116" s="232"/>
      <c r="F116" s="200"/>
      <c r="H116" s="241"/>
    </row>
    <row r="117" ht="14.25" spans="1:10">
      <c r="A117" s="193"/>
      <c r="B117" s="196" t="s">
        <v>236</v>
      </c>
      <c r="C117" s="197"/>
      <c r="D117" s="198"/>
      <c r="E117" s="232">
        <v>0.0165</v>
      </c>
      <c r="F117" s="200">
        <f>E117*((F130+F113+F114)/(1-$E$115))</f>
        <v>72.94</v>
      </c>
      <c r="H117" s="242"/>
      <c r="J117" s="243"/>
    </row>
    <row r="118" ht="14.25" spans="1:10">
      <c r="A118" s="193"/>
      <c r="B118" s="196" t="s">
        <v>237</v>
      </c>
      <c r="C118" s="197"/>
      <c r="D118" s="198"/>
      <c r="E118" s="232">
        <v>0.076</v>
      </c>
      <c r="F118" s="200">
        <f>E118*(($F$130+$F$113+$F$114)/(1-$E$115))</f>
        <v>335.99</v>
      </c>
      <c r="H118" s="242"/>
      <c r="J118" s="243"/>
    </row>
    <row r="119" s="154" customFormat="1" ht="14.25" spans="1:10">
      <c r="A119" s="193"/>
      <c r="B119" s="196" t="s">
        <v>238</v>
      </c>
      <c r="C119" s="197"/>
      <c r="D119" s="198"/>
      <c r="E119" s="232"/>
      <c r="F119" s="200"/>
      <c r="H119" s="242"/>
      <c r="J119" s="244"/>
    </row>
    <row r="120" ht="14.25" spans="1:10">
      <c r="A120" s="193"/>
      <c r="B120" s="196" t="s">
        <v>239</v>
      </c>
      <c r="C120" s="197"/>
      <c r="D120" s="198"/>
      <c r="E120" s="232">
        <v>0.05</v>
      </c>
      <c r="F120" s="200">
        <f>E120*(($F$130+$F$113+$F$114)/(1-$E$115))</f>
        <v>221.04</v>
      </c>
      <c r="H120" s="242"/>
      <c r="J120" s="243"/>
    </row>
    <row r="121" ht="14.25" spans="1:10">
      <c r="A121" s="203" t="s">
        <v>186</v>
      </c>
      <c r="B121" s="204"/>
      <c r="C121" s="204"/>
      <c r="D121" s="205"/>
      <c r="E121" s="245"/>
      <c r="F121" s="207">
        <f>SUM(F113:F120)</f>
        <v>1040.05</v>
      </c>
      <c r="J121" s="235"/>
    </row>
    <row r="122" ht="14.25"/>
    <row r="123" ht="14.25" spans="1:10">
      <c r="A123" s="159" t="s">
        <v>240</v>
      </c>
      <c r="B123" s="159"/>
      <c r="C123" s="159"/>
      <c r="D123" s="159"/>
      <c r="E123" s="159"/>
      <c r="F123" s="246"/>
    </row>
    <row r="124" ht="14.25" spans="1:10">
      <c r="A124" s="159"/>
      <c r="B124" s="247" t="s">
        <v>241</v>
      </c>
      <c r="C124" s="248"/>
      <c r="D124" s="248"/>
      <c r="E124" s="249"/>
      <c r="F124" s="250" t="s">
        <v>152</v>
      </c>
    </row>
    <row r="125" ht="14.25" spans="1:10">
      <c r="A125" s="193" t="s">
        <v>153</v>
      </c>
      <c r="B125" s="196" t="s">
        <v>150</v>
      </c>
      <c r="C125" s="197"/>
      <c r="D125" s="197"/>
      <c r="E125" s="198"/>
      <c r="F125" s="200">
        <f>F33</f>
        <v>1385.86</v>
      </c>
      <c r="H125" s="236"/>
    </row>
    <row r="126" ht="14.25" spans="1:10">
      <c r="A126" s="193" t="s">
        <v>155</v>
      </c>
      <c r="B126" s="196" t="s">
        <v>165</v>
      </c>
      <c r="C126" s="197"/>
      <c r="D126" s="197"/>
      <c r="E126" s="198"/>
      <c r="F126" s="200">
        <f>F71</f>
        <v>1543.78</v>
      </c>
    </row>
    <row r="127" ht="14.25" spans="1:10">
      <c r="A127" s="193" t="s">
        <v>157</v>
      </c>
      <c r="B127" s="196" t="s">
        <v>201</v>
      </c>
      <c r="C127" s="197"/>
      <c r="D127" s="197"/>
      <c r="E127" s="198"/>
      <c r="F127" s="200">
        <f>F81</f>
        <v>102.23</v>
      </c>
    </row>
    <row r="128" ht="14.25" spans="1:10">
      <c r="A128" s="193" t="s">
        <v>159</v>
      </c>
      <c r="B128" s="196" t="s">
        <v>209</v>
      </c>
      <c r="C128" s="197"/>
      <c r="D128" s="197"/>
      <c r="E128" s="198"/>
      <c r="F128" s="200">
        <f>F101</f>
        <v>125.14</v>
      </c>
      <c r="H128" s="236"/>
    </row>
    <row r="129" ht="14.25" spans="1:10">
      <c r="A129" s="193" t="s">
        <v>161</v>
      </c>
      <c r="B129" s="196" t="s">
        <v>224</v>
      </c>
      <c r="C129" s="197"/>
      <c r="D129" s="197"/>
      <c r="E129" s="198"/>
      <c r="F129" s="200">
        <f>F109</f>
        <v>223.83</v>
      </c>
      <c r="H129" s="236"/>
    </row>
    <row r="130" ht="14.25" spans="1:10">
      <c r="A130" s="203" t="s">
        <v>242</v>
      </c>
      <c r="B130" s="204"/>
      <c r="C130" s="204"/>
      <c r="D130" s="204"/>
      <c r="E130" s="205"/>
      <c r="F130" s="207">
        <f>SUM(F125:F129)</f>
        <v>3380.84</v>
      </c>
      <c r="I130" s="240"/>
      <c r="J130" s="240"/>
    </row>
    <row r="131" ht="14.25" spans="1:10">
      <c r="A131" s="193" t="s">
        <v>163</v>
      </c>
      <c r="B131" s="196" t="s">
        <v>243</v>
      </c>
      <c r="C131" s="197"/>
      <c r="D131" s="197"/>
      <c r="E131" s="198"/>
      <c r="F131" s="200">
        <f>F121</f>
        <v>1040.05</v>
      </c>
    </row>
    <row r="132" ht="14.25" spans="1:10">
      <c r="A132" s="251" t="s">
        <v>244</v>
      </c>
      <c r="B132" s="252"/>
      <c r="C132" s="252"/>
      <c r="D132" s="252"/>
      <c r="E132" s="253"/>
      <c r="F132" s="254">
        <f>SUM(F130:F131)</f>
        <v>4420.89</v>
      </c>
      <c r="H132" s="236"/>
    </row>
    <row r="133" ht="14.25"/>
    <row r="134" s="155" customFormat="1" ht="14.25" spans="1:10">
      <c r="A134" s="159" t="s">
        <v>245</v>
      </c>
      <c r="B134" s="159"/>
      <c r="C134" s="159"/>
      <c r="D134" s="159"/>
      <c r="E134" s="159"/>
      <c r="F134" s="159"/>
      <c r="G134" s="255"/>
      <c r="H134" s="255"/>
      <c r="I134" s="255"/>
    </row>
    <row r="135" s="155" customFormat="1" ht="39.75" spans="1:10">
      <c r="A135" s="159" t="s">
        <v>246</v>
      </c>
      <c r="B135" s="159" t="s">
        <v>247</v>
      </c>
      <c r="C135" s="159" t="s">
        <v>248</v>
      </c>
      <c r="D135" s="159" t="s">
        <v>249</v>
      </c>
      <c r="E135" s="159" t="s">
        <v>250</v>
      </c>
      <c r="F135" s="256" t="s">
        <v>251</v>
      </c>
    </row>
    <row r="136" s="155" customFormat="1" ht="45" customHeight="1" spans="1:10">
      <c r="A136" s="257" t="str">
        <f>A15</f>
        <v>Jardineiro: 30 h</v>
      </c>
      <c r="B136" s="258">
        <f>F132</f>
        <v>4420.89</v>
      </c>
      <c r="C136" s="259">
        <v>1</v>
      </c>
      <c r="D136" s="258">
        <f>B136*C136</f>
        <v>4420.89</v>
      </c>
      <c r="E136" s="199">
        <f>F15</f>
        <v>1</v>
      </c>
      <c r="F136" s="258">
        <f>D136*E136</f>
        <v>4420.89</v>
      </c>
    </row>
    <row r="137" s="155" customFormat="1" ht="21" customHeight="1" spans="1:10">
      <c r="A137" s="203" t="s">
        <v>252</v>
      </c>
      <c r="B137" s="204"/>
      <c r="C137" s="204"/>
      <c r="D137" s="204"/>
      <c r="E137" s="205"/>
      <c r="F137" s="260">
        <f>SUM(F136)</f>
        <v>4420.89</v>
      </c>
    </row>
    <row r="138" s="155" customFormat="1" ht="21" customHeight="1" spans="1:10">
      <c r="A138" s="251" t="s">
        <v>253</v>
      </c>
      <c r="B138" s="252"/>
      <c r="C138" s="252"/>
      <c r="D138" s="252"/>
      <c r="E138" s="253"/>
      <c r="F138" s="261">
        <f>F137*F11</f>
        <v>53050.68</v>
      </c>
    </row>
    <row r="139" ht="13.5"/>
  </sheetData>
  <mergeCells count="134">
    <mergeCell ref="A1:E1"/>
    <mergeCell ref="A2:E2"/>
    <mergeCell ref="A3:E3"/>
    <mergeCell ref="A4:E4"/>
    <mergeCell ref="A5:E5"/>
    <mergeCell ref="A6:F6"/>
    <mergeCell ref="A7:F7"/>
    <mergeCell ref="B8:E8"/>
    <mergeCell ref="B9:E9"/>
    <mergeCell ref="B10:E10"/>
    <mergeCell ref="B11:E11"/>
    <mergeCell ref="A12:F12"/>
    <mergeCell ref="A13:F13"/>
    <mergeCell ref="A14:C14"/>
    <mergeCell ref="D14:E14"/>
    <mergeCell ref="A15:C15"/>
    <mergeCell ref="D15:E15"/>
    <mergeCell ref="A16:F16"/>
    <mergeCell ref="A17:F17"/>
    <mergeCell ref="A18:F18"/>
    <mergeCell ref="B19:E19"/>
    <mergeCell ref="B20:E20"/>
    <mergeCell ref="B21:E21"/>
    <mergeCell ref="B22:E22"/>
    <mergeCell ref="B23:E23"/>
    <mergeCell ref="A24:F24"/>
    <mergeCell ref="A25:F25"/>
    <mergeCell ref="B26:D26"/>
    <mergeCell ref="B27:D27"/>
    <mergeCell ref="B28:D28"/>
    <mergeCell ref="B29:D29"/>
    <mergeCell ref="B30:D30"/>
    <mergeCell ref="B31:D31"/>
    <mergeCell ref="B32:D32"/>
    <mergeCell ref="A33:D33"/>
    <mergeCell ref="A34:F34"/>
    <mergeCell ref="A35:F35"/>
    <mergeCell ref="A36:F36"/>
    <mergeCell ref="B37:D37"/>
    <mergeCell ref="B38:D38"/>
    <mergeCell ref="B39:D39"/>
    <mergeCell ref="A40:D40"/>
    <mergeCell ref="B41:D41"/>
    <mergeCell ref="A42:D42"/>
    <mergeCell ref="A43:F43"/>
    <mergeCell ref="B44:D44"/>
    <mergeCell ref="B45:D45"/>
    <mergeCell ref="B46:D46"/>
    <mergeCell ref="B47:D47"/>
    <mergeCell ref="B48:D48"/>
    <mergeCell ref="B49:D49"/>
    <mergeCell ref="B50:D50"/>
    <mergeCell ref="B51:D51"/>
    <mergeCell ref="B52:D52"/>
    <mergeCell ref="A53:D53"/>
    <mergeCell ref="A54:F54"/>
    <mergeCell ref="B55:D55"/>
    <mergeCell ref="B56:D56"/>
    <mergeCell ref="B57:D57"/>
    <mergeCell ref="B58:D58"/>
    <mergeCell ref="B59:D59"/>
    <mergeCell ref="B60:D60"/>
    <mergeCell ref="B61:D61"/>
    <mergeCell ref="B62:D62"/>
    <mergeCell ref="B63:D63"/>
    <mergeCell ref="B64:D64"/>
    <mergeCell ref="A65:D65"/>
    <mergeCell ref="A66:F66"/>
    <mergeCell ref="B67:D67"/>
    <mergeCell ref="B68:D68"/>
    <mergeCell ref="B69:D69"/>
    <mergeCell ref="B70:D70"/>
    <mergeCell ref="A71:D71"/>
    <mergeCell ref="A73:F73"/>
    <mergeCell ref="B74:D74"/>
    <mergeCell ref="B75:D75"/>
    <mergeCell ref="B76:D76"/>
    <mergeCell ref="B77:D77"/>
    <mergeCell ref="B78:D78"/>
    <mergeCell ref="B79:D79"/>
    <mergeCell ref="B80:D80"/>
    <mergeCell ref="A81:D81"/>
    <mergeCell ref="A83:F83"/>
    <mergeCell ref="A84:F84"/>
    <mergeCell ref="B85:D85"/>
    <mergeCell ref="B86:D86"/>
    <mergeCell ref="B87:D87"/>
    <mergeCell ref="B88:D88"/>
    <mergeCell ref="B89:D89"/>
    <mergeCell ref="B90:D90"/>
    <mergeCell ref="B91:D91"/>
    <mergeCell ref="A92:D92"/>
    <mergeCell ref="A93:F93"/>
    <mergeCell ref="B94:D94"/>
    <mergeCell ref="B95:D95"/>
    <mergeCell ref="A96:D96"/>
    <mergeCell ref="A97:F97"/>
    <mergeCell ref="B98:D98"/>
    <mergeCell ref="B99:D99"/>
    <mergeCell ref="B100:D100"/>
    <mergeCell ref="A101:D101"/>
    <mergeCell ref="A103:F103"/>
    <mergeCell ref="B104:E104"/>
    <mergeCell ref="B105:E105"/>
    <mergeCell ref="B106:E106"/>
    <mergeCell ref="B107:E107"/>
    <mergeCell ref="B108:E108"/>
    <mergeCell ref="A109:E109"/>
    <mergeCell ref="A111:F111"/>
    <mergeCell ref="B112:D112"/>
    <mergeCell ref="B113:D113"/>
    <mergeCell ref="B114:D114"/>
    <mergeCell ref="B115:D115"/>
    <mergeCell ref="B116:D116"/>
    <mergeCell ref="B117:D117"/>
    <mergeCell ref="B118:D118"/>
    <mergeCell ref="B119:D119"/>
    <mergeCell ref="B120:D120"/>
    <mergeCell ref="A121:D121"/>
    <mergeCell ref="A123:F123"/>
    <mergeCell ref="B124:E124"/>
    <mergeCell ref="B125:E125"/>
    <mergeCell ref="B126:E126"/>
    <mergeCell ref="B127:E127"/>
    <mergeCell ref="B128:E128"/>
    <mergeCell ref="B129:E129"/>
    <mergeCell ref="A130:E130"/>
    <mergeCell ref="B131:E131"/>
    <mergeCell ref="A132:E132"/>
    <mergeCell ref="A134:F134"/>
    <mergeCell ref="A137:E137"/>
    <mergeCell ref="A138:E138"/>
    <mergeCell ref="F1:F5"/>
    <mergeCell ref="H117:H120"/>
  </mergeCells>
  <pageMargins left="0.554166666666667" right="0.357638888888889" top="0.605555555555556" bottom="0.409027777777778" header="0.5" footer="0.5"/>
  <pageSetup paperSize="9" scale="75"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9" tint="0.599993896298105"/>
  </sheetPr>
  <dimension ref="A1:K139"/>
  <sheetViews>
    <sheetView view="pageBreakPreview" zoomScale="110" zoomScaleNormal="115" topLeftCell="A67" workbookViewId="0">
      <selection activeCell="B87" sqref="B87:D87"/>
    </sheetView>
  </sheetViews>
  <sheetFormatPr defaultColWidth="2.57142857142857" defaultRowHeight="12.75"/>
  <cols>
    <col min="1" max="1" width="12.8571428571429" style="156" customWidth="1"/>
    <col min="2" max="2" width="24.5714285714286" style="126" customWidth="1"/>
    <col min="3" max="3" width="24.2857142857143" style="126" customWidth="1"/>
    <col min="4" max="4" width="15.7142857142857" style="126" customWidth="1"/>
    <col min="5" max="5" width="15.1428571428571" style="126" customWidth="1"/>
    <col min="6" max="6" width="30.1428571428571" style="157" customWidth="1"/>
    <col min="7" max="7" width="21.5714285714286" style="158" customWidth="1"/>
    <col min="8" max="8" width="85.2857142857143" style="158" customWidth="1"/>
    <col min="9" max="9" width="18.2857142857143" style="158" customWidth="1"/>
    <col min="10" max="10" width="25.7142857142857" style="158" customWidth="1"/>
    <col min="11" max="16384" width="2.57142857142857" style="158"/>
  </cols>
  <sheetData>
    <row r="1" s="150" customFormat="1" ht="23.1" customHeight="1" spans="1:11">
      <c r="A1" s="159" t="s">
        <v>121</v>
      </c>
      <c r="B1" s="159"/>
      <c r="C1" s="159"/>
      <c r="D1" s="159"/>
      <c r="E1" s="159"/>
      <c r="F1" s="160"/>
      <c r="G1" s="156"/>
      <c r="H1" s="156"/>
    </row>
    <row r="2" ht="21" customHeight="1" spans="1:11">
      <c r="A2" s="159" t="s">
        <v>271</v>
      </c>
      <c r="B2" s="159"/>
      <c r="C2" s="159"/>
      <c r="D2" s="159"/>
      <c r="E2" s="159"/>
      <c r="F2" s="160"/>
      <c r="G2" s="161"/>
      <c r="H2" s="161"/>
    </row>
    <row r="3" s="151" customFormat="1" ht="16.5" spans="1:11">
      <c r="A3" s="162" t="s">
        <v>123</v>
      </c>
      <c r="B3" s="162"/>
      <c r="C3" s="162"/>
      <c r="D3" s="162"/>
      <c r="E3" s="162"/>
      <c r="F3" s="160"/>
      <c r="G3" s="163"/>
      <c r="H3" s="163"/>
      <c r="I3" s="163"/>
      <c r="J3" s="163"/>
      <c r="K3" s="163"/>
    </row>
    <row r="4" s="151" customFormat="1" ht="16.5" spans="1:11">
      <c r="A4" s="162" t="s">
        <v>124</v>
      </c>
      <c r="B4" s="162"/>
      <c r="C4" s="162"/>
      <c r="D4" s="162"/>
      <c r="E4" s="162"/>
      <c r="F4" s="160"/>
      <c r="G4" s="163"/>
      <c r="H4" s="164"/>
      <c r="I4" s="163"/>
      <c r="J4" s="163"/>
      <c r="K4" s="163"/>
    </row>
    <row r="5" s="151" customFormat="1" ht="16.5" spans="1:11">
      <c r="A5" s="162" t="s">
        <v>125</v>
      </c>
      <c r="B5" s="162"/>
      <c r="C5" s="162"/>
      <c r="D5" s="162"/>
      <c r="E5" s="162"/>
      <c r="F5" s="160"/>
      <c r="G5" s="163"/>
      <c r="H5" s="163"/>
      <c r="I5" s="163"/>
      <c r="J5" s="163"/>
      <c r="K5" s="163"/>
    </row>
    <row r="6" s="151" customFormat="1" ht="16.5" spans="1:11">
      <c r="A6" s="165"/>
      <c r="B6" s="165"/>
      <c r="C6" s="165"/>
      <c r="D6" s="165"/>
      <c r="E6" s="165"/>
      <c r="F6" s="166"/>
      <c r="G6" s="163"/>
      <c r="H6" s="163"/>
      <c r="I6" s="163"/>
      <c r="J6" s="163"/>
      <c r="K6" s="163"/>
    </row>
    <row r="7" ht="14.25" spans="1:11">
      <c r="A7" s="167" t="s">
        <v>126</v>
      </c>
      <c r="B7" s="167"/>
      <c r="C7" s="167"/>
      <c r="D7" s="167"/>
      <c r="E7" s="167"/>
      <c r="F7" s="168"/>
      <c r="G7" s="150"/>
      <c r="H7" s="150"/>
    </row>
    <row r="8" ht="18" customHeight="1" spans="1:11">
      <c r="A8" s="167" t="s">
        <v>127</v>
      </c>
      <c r="B8" s="169" t="s">
        <v>128</v>
      </c>
      <c r="C8" s="169"/>
      <c r="D8" s="169"/>
      <c r="E8" s="169"/>
      <c r="F8" s="170" t="s">
        <v>129</v>
      </c>
    </row>
    <row r="9" ht="18" customHeight="1" spans="1:11">
      <c r="A9" s="167" t="s">
        <v>127</v>
      </c>
      <c r="B9" s="169" t="s">
        <v>130</v>
      </c>
      <c r="C9" s="169"/>
      <c r="D9" s="169"/>
      <c r="E9" s="169"/>
      <c r="F9" s="171" t="s">
        <v>131</v>
      </c>
    </row>
    <row r="10" ht="18" customHeight="1" spans="1:11">
      <c r="A10" s="167" t="s">
        <v>127</v>
      </c>
      <c r="B10" s="169" t="s">
        <v>132</v>
      </c>
      <c r="C10" s="169"/>
      <c r="D10" s="169"/>
      <c r="E10" s="169"/>
      <c r="F10" s="170" t="s">
        <v>133</v>
      </c>
    </row>
    <row r="11" ht="18" customHeight="1" spans="1:11">
      <c r="A11" s="167" t="s">
        <v>127</v>
      </c>
      <c r="B11" s="169" t="s">
        <v>134</v>
      </c>
      <c r="C11" s="169"/>
      <c r="D11" s="169"/>
      <c r="E11" s="169"/>
      <c r="F11" s="172">
        <v>12</v>
      </c>
    </row>
    <row r="12" customFormat="1" ht="16.5" spans="1:11">
      <c r="A12" s="173"/>
      <c r="B12" s="154"/>
      <c r="C12" s="154"/>
      <c r="D12" s="154"/>
      <c r="E12" s="154"/>
      <c r="F12" s="174"/>
      <c r="G12" s="158"/>
      <c r="H12" s="158"/>
    </row>
    <row r="13" s="150" customFormat="1" ht="14.25" spans="1:11">
      <c r="A13" s="167" t="s">
        <v>135</v>
      </c>
      <c r="B13" s="167"/>
      <c r="C13" s="167"/>
      <c r="D13" s="167"/>
      <c r="E13" s="167"/>
      <c r="F13" s="168"/>
    </row>
    <row r="14" ht="14.25" spans="1:11">
      <c r="A14" s="175" t="s">
        <v>136</v>
      </c>
      <c r="B14" s="175"/>
      <c r="C14" s="175"/>
      <c r="D14" s="175" t="s">
        <v>137</v>
      </c>
      <c r="E14" s="175"/>
      <c r="F14" s="175" t="s">
        <v>138</v>
      </c>
      <c r="H14" s="150"/>
    </row>
    <row r="15" ht="14.25" spans="1:11">
      <c r="A15" s="175" t="s">
        <v>139</v>
      </c>
      <c r="B15" s="175"/>
      <c r="C15" s="175"/>
      <c r="D15" s="176" t="s">
        <v>90</v>
      </c>
      <c r="E15" s="176"/>
      <c r="F15" s="177">
        <f>'SEMAD e AGEHAB TOTALIZADOR'!B15</f>
        <v>1</v>
      </c>
      <c r="H15" s="150"/>
    </row>
    <row r="16" customFormat="1" ht="16.5" spans="1:11">
      <c r="A16" s="173"/>
      <c r="B16" s="154"/>
      <c r="C16" s="154"/>
      <c r="D16" s="154"/>
      <c r="E16" s="154"/>
      <c r="F16" s="174"/>
      <c r="G16" s="158"/>
      <c r="H16" s="150"/>
    </row>
    <row r="17" s="150" customFormat="1" ht="14.25" spans="1:9">
      <c r="A17" s="167" t="s">
        <v>140</v>
      </c>
      <c r="B17" s="167"/>
      <c r="C17" s="167"/>
      <c r="D17" s="167"/>
      <c r="E17" s="167"/>
      <c r="F17" s="168"/>
    </row>
    <row r="18" ht="14.25" spans="1:9">
      <c r="A18" s="167" t="s">
        <v>141</v>
      </c>
      <c r="B18" s="167"/>
      <c r="C18" s="167"/>
      <c r="D18" s="167"/>
      <c r="E18" s="167"/>
      <c r="F18" s="168"/>
      <c r="G18" s="150"/>
      <c r="H18" s="150"/>
    </row>
    <row r="19" ht="14.25" spans="1:9">
      <c r="A19" s="167">
        <v>1</v>
      </c>
      <c r="B19" s="178" t="s">
        <v>142</v>
      </c>
      <c r="C19" s="179"/>
      <c r="D19" s="179"/>
      <c r="E19" s="180"/>
      <c r="F19" s="181" t="s">
        <v>143</v>
      </c>
    </row>
    <row r="20" ht="16.5" spans="1:9">
      <c r="A20" s="182">
        <v>2</v>
      </c>
      <c r="B20" s="183" t="s">
        <v>144</v>
      </c>
      <c r="C20" s="184"/>
      <c r="D20" s="184"/>
      <c r="E20" s="185"/>
      <c r="F20" s="186" t="s">
        <v>145</v>
      </c>
      <c r="G20" s="187"/>
      <c r="H20" s="188"/>
      <c r="I20" s="188"/>
    </row>
    <row r="21" ht="14.25" spans="1:9">
      <c r="A21" s="167">
        <v>3</v>
      </c>
      <c r="B21" s="178" t="s">
        <v>146</v>
      </c>
      <c r="C21" s="179"/>
      <c r="D21" s="179"/>
      <c r="E21" s="180"/>
      <c r="F21" s="189">
        <f>RAIZ_DADOS!D5</f>
        <v>1651</v>
      </c>
    </row>
    <row r="22" ht="14.25" spans="1:9">
      <c r="A22" s="167">
        <v>4</v>
      </c>
      <c r="B22" s="178" t="s">
        <v>147</v>
      </c>
      <c r="C22" s="179"/>
      <c r="D22" s="179"/>
      <c r="E22" s="180"/>
      <c r="F22" s="181" t="s">
        <v>62</v>
      </c>
    </row>
    <row r="23" ht="14.25" spans="1:9">
      <c r="A23" s="167">
        <v>5</v>
      </c>
      <c r="B23" s="178" t="s">
        <v>148</v>
      </c>
      <c r="C23" s="179"/>
      <c r="D23" s="179"/>
      <c r="E23" s="180"/>
      <c r="F23" s="181" t="s">
        <v>149</v>
      </c>
    </row>
    <row r="24" ht="14.25" spans="1:9">
      <c r="A24" s="173"/>
      <c r="B24" s="154"/>
      <c r="C24" s="154"/>
      <c r="D24" s="154"/>
      <c r="E24" s="154"/>
      <c r="F24" s="174"/>
    </row>
    <row r="25" ht="14.25" spans="1:9">
      <c r="A25" s="190" t="s">
        <v>150</v>
      </c>
      <c r="B25" s="191"/>
      <c r="C25" s="191"/>
      <c r="D25" s="191"/>
      <c r="E25" s="191"/>
      <c r="F25" s="192"/>
    </row>
    <row r="26" ht="14.25" spans="1:9">
      <c r="A26" s="193">
        <v>1</v>
      </c>
      <c r="B26" s="190" t="s">
        <v>151</v>
      </c>
      <c r="C26" s="191"/>
      <c r="D26" s="194"/>
      <c r="E26" s="193"/>
      <c r="F26" s="195" t="s">
        <v>152</v>
      </c>
    </row>
    <row r="27" ht="14.25" spans="1:9">
      <c r="A27" s="193" t="s">
        <v>153</v>
      </c>
      <c r="B27" s="196" t="s">
        <v>154</v>
      </c>
      <c r="C27" s="197"/>
      <c r="D27" s="198"/>
      <c r="E27" s="199" t="s">
        <v>73</v>
      </c>
      <c r="F27" s="200">
        <f>(F21/44)*30</f>
        <v>1125.68</v>
      </c>
      <c r="H27" s="201"/>
    </row>
    <row r="28" ht="14.25" spans="1:9">
      <c r="A28" s="193" t="s">
        <v>155</v>
      </c>
      <c r="B28" s="196" t="s">
        <v>156</v>
      </c>
      <c r="C28" s="197"/>
      <c r="D28" s="198"/>
      <c r="E28" s="199"/>
      <c r="F28" s="200"/>
    </row>
    <row r="29" ht="14.25" spans="1:9">
      <c r="A29" s="193" t="s">
        <v>157</v>
      </c>
      <c r="B29" s="196" t="s">
        <v>158</v>
      </c>
      <c r="C29" s="197"/>
      <c r="D29" s="198"/>
      <c r="E29" s="202">
        <f>RAIZ_DADOS!D29</f>
        <v>0.2</v>
      </c>
      <c r="F29" s="200">
        <f>E29*RAIZ_DADOS!D28</f>
        <v>330.2</v>
      </c>
    </row>
    <row r="30" ht="14.25" spans="1:9">
      <c r="A30" s="193" t="s">
        <v>159</v>
      </c>
      <c r="B30" s="196" t="s">
        <v>160</v>
      </c>
      <c r="C30" s="197"/>
      <c r="D30" s="198"/>
      <c r="E30" s="199"/>
      <c r="F30" s="200"/>
    </row>
    <row r="31" ht="14.25" spans="1:9">
      <c r="A31" s="193" t="s">
        <v>161</v>
      </c>
      <c r="B31" s="196" t="s">
        <v>162</v>
      </c>
      <c r="C31" s="197"/>
      <c r="D31" s="198"/>
      <c r="E31" s="199"/>
      <c r="F31" s="200"/>
    </row>
    <row r="32" ht="14.25" spans="1:9">
      <c r="A32" s="193" t="s">
        <v>163</v>
      </c>
      <c r="B32" s="196" t="s">
        <v>164</v>
      </c>
      <c r="C32" s="197"/>
      <c r="D32" s="198"/>
      <c r="E32" s="199"/>
      <c r="F32" s="200"/>
    </row>
    <row r="33" ht="14.25" spans="1:8">
      <c r="A33" s="203" t="s">
        <v>71</v>
      </c>
      <c r="B33" s="204"/>
      <c r="C33" s="204"/>
      <c r="D33" s="205"/>
      <c r="E33" s="206"/>
      <c r="F33" s="207">
        <f>SUM(F27:F32)</f>
        <v>1455.88</v>
      </c>
    </row>
    <row r="34" ht="14.25" spans="1:8">
      <c r="A34" s="208"/>
      <c r="B34" s="209"/>
      <c r="C34" s="209"/>
      <c r="D34" s="209"/>
      <c r="E34" s="209"/>
      <c r="F34" s="210"/>
    </row>
    <row r="35" ht="14.25" spans="1:8">
      <c r="A35" s="193" t="s">
        <v>165</v>
      </c>
      <c r="B35" s="193"/>
      <c r="C35" s="193"/>
      <c r="D35" s="193"/>
      <c r="E35" s="193"/>
      <c r="F35" s="211"/>
    </row>
    <row r="36" ht="14.25" spans="1:8">
      <c r="A36" s="193" t="s">
        <v>166</v>
      </c>
      <c r="B36" s="193"/>
      <c r="C36" s="193"/>
      <c r="D36" s="193"/>
      <c r="E36" s="193"/>
      <c r="F36" s="211"/>
      <c r="H36" s="212"/>
    </row>
    <row r="37" ht="14.25" spans="1:8">
      <c r="A37" s="193" t="s">
        <v>167</v>
      </c>
      <c r="B37" s="190" t="s">
        <v>168</v>
      </c>
      <c r="C37" s="191"/>
      <c r="D37" s="194"/>
      <c r="E37" s="193" t="s">
        <v>169</v>
      </c>
      <c r="F37" s="195" t="s">
        <v>152</v>
      </c>
    </row>
    <row r="38" ht="14.25" spans="1:8">
      <c r="A38" s="193" t="s">
        <v>153</v>
      </c>
      <c r="B38" s="196" t="s">
        <v>170</v>
      </c>
      <c r="C38" s="197"/>
      <c r="D38" s="198"/>
      <c r="E38" s="213">
        <f>1/12</f>
        <v>0.0833</v>
      </c>
      <c r="F38" s="200">
        <f>F33*E38</f>
        <v>121.27</v>
      </c>
    </row>
    <row r="39" ht="14.25" spans="1:8">
      <c r="A39" s="193" t="s">
        <v>155</v>
      </c>
      <c r="B39" s="196" t="s">
        <v>171</v>
      </c>
      <c r="C39" s="197"/>
      <c r="D39" s="198"/>
      <c r="E39" s="213">
        <f>(1/12)+(1/3)/12</f>
        <v>0.1111</v>
      </c>
      <c r="F39" s="200">
        <f>F33*E39</f>
        <v>161.75</v>
      </c>
    </row>
    <row r="40" ht="14.25" spans="1:8">
      <c r="A40" s="214" t="s">
        <v>71</v>
      </c>
      <c r="B40" s="215"/>
      <c r="C40" s="215"/>
      <c r="D40" s="216"/>
      <c r="E40" s="217">
        <f>SUM(E38:E39)</f>
        <v>0.1944</v>
      </c>
      <c r="F40" s="218">
        <f>SUM(F38:F39)</f>
        <v>283.02</v>
      </c>
    </row>
    <row r="41" ht="14.25" spans="1:8">
      <c r="A41" s="193" t="s">
        <v>157</v>
      </c>
      <c r="B41" s="196" t="s">
        <v>172</v>
      </c>
      <c r="C41" s="197"/>
      <c r="D41" s="198"/>
      <c r="E41" s="213">
        <f>E40*E53</f>
        <v>0.0774</v>
      </c>
      <c r="F41" s="218">
        <f>E41*F33</f>
        <v>112.69</v>
      </c>
    </row>
    <row r="42" ht="14.25" spans="1:8">
      <c r="A42" s="203" t="s">
        <v>71</v>
      </c>
      <c r="B42" s="204"/>
      <c r="C42" s="204"/>
      <c r="D42" s="205"/>
      <c r="E42" s="219">
        <f>SUM(E40:E41)</f>
        <v>0.2718</v>
      </c>
      <c r="F42" s="207">
        <f>SUM(F40:F41)</f>
        <v>395.71</v>
      </c>
      <c r="H42" s="212"/>
    </row>
    <row r="43" ht="14.25" spans="1:8">
      <c r="A43" s="193" t="s">
        <v>173</v>
      </c>
      <c r="B43" s="193"/>
      <c r="C43" s="193"/>
      <c r="D43" s="193"/>
      <c r="E43" s="193"/>
      <c r="F43" s="211"/>
    </row>
    <row r="44" ht="14.25" spans="1:8">
      <c r="A44" s="193" t="s">
        <v>174</v>
      </c>
      <c r="B44" s="190" t="s">
        <v>175</v>
      </c>
      <c r="C44" s="191"/>
      <c r="D44" s="194"/>
      <c r="E44" s="193" t="s">
        <v>169</v>
      </c>
      <c r="F44" s="195" t="s">
        <v>152</v>
      </c>
    </row>
    <row r="45" ht="14.25" spans="1:8">
      <c r="A45" s="193" t="s">
        <v>153</v>
      </c>
      <c r="B45" s="196" t="s">
        <v>176</v>
      </c>
      <c r="C45" s="197"/>
      <c r="D45" s="198"/>
      <c r="E45" s="213">
        <v>0.2</v>
      </c>
      <c r="F45" s="200">
        <f t="shared" ref="F45:F52" si="0">E45*F$33</f>
        <v>291.18</v>
      </c>
    </row>
    <row r="46" ht="14.25" spans="1:8">
      <c r="A46" s="193" t="s">
        <v>155</v>
      </c>
      <c r="B46" s="196" t="s">
        <v>177</v>
      </c>
      <c r="C46" s="197"/>
      <c r="D46" s="198"/>
      <c r="E46" s="213">
        <v>0.025</v>
      </c>
      <c r="F46" s="200">
        <f t="shared" si="0"/>
        <v>36.4</v>
      </c>
      <c r="G46" s="152"/>
      <c r="H46" s="220"/>
    </row>
    <row r="47" ht="14.25" spans="1:8">
      <c r="A47" s="193" t="s">
        <v>157</v>
      </c>
      <c r="B47" s="196" t="s">
        <v>178</v>
      </c>
      <c r="C47" s="197"/>
      <c r="D47" s="198"/>
      <c r="E47" s="221">
        <f>(2*3)/100</f>
        <v>0.06</v>
      </c>
      <c r="F47" s="200">
        <f t="shared" si="0"/>
        <v>87.35</v>
      </c>
      <c r="G47" s="222"/>
      <c r="H47" s="222"/>
    </row>
    <row r="48" ht="14.25" spans="1:8">
      <c r="A48" s="193" t="s">
        <v>159</v>
      </c>
      <c r="B48" s="196" t="s">
        <v>179</v>
      </c>
      <c r="C48" s="197"/>
      <c r="D48" s="198"/>
      <c r="E48" s="213">
        <v>0.015</v>
      </c>
      <c r="F48" s="200">
        <f t="shared" si="0"/>
        <v>21.84</v>
      </c>
    </row>
    <row r="49" ht="14.25" spans="1:8">
      <c r="A49" s="193" t="s">
        <v>161</v>
      </c>
      <c r="B49" s="196" t="s">
        <v>180</v>
      </c>
      <c r="C49" s="197"/>
      <c r="D49" s="198"/>
      <c r="E49" s="213">
        <v>0.01</v>
      </c>
      <c r="F49" s="200">
        <f t="shared" si="0"/>
        <v>14.56</v>
      </c>
    </row>
    <row r="50" ht="14.25" spans="1:8">
      <c r="A50" s="193" t="s">
        <v>163</v>
      </c>
      <c r="B50" s="196" t="s">
        <v>181</v>
      </c>
      <c r="C50" s="197"/>
      <c r="D50" s="198"/>
      <c r="E50" s="213">
        <v>0.006</v>
      </c>
      <c r="F50" s="200">
        <f t="shared" si="0"/>
        <v>8.74</v>
      </c>
    </row>
    <row r="51" ht="14.25" spans="1:8">
      <c r="A51" s="193" t="s">
        <v>182</v>
      </c>
      <c r="B51" s="196" t="s">
        <v>183</v>
      </c>
      <c r="C51" s="197"/>
      <c r="D51" s="198"/>
      <c r="E51" s="213">
        <v>0.002</v>
      </c>
      <c r="F51" s="200">
        <f t="shared" si="0"/>
        <v>2.91</v>
      </c>
    </row>
    <row r="52" ht="14.25" spans="1:8">
      <c r="A52" s="193" t="s">
        <v>184</v>
      </c>
      <c r="B52" s="196" t="s">
        <v>185</v>
      </c>
      <c r="C52" s="197"/>
      <c r="D52" s="198"/>
      <c r="E52" s="213">
        <v>0.08</v>
      </c>
      <c r="F52" s="200">
        <f t="shared" si="0"/>
        <v>116.47</v>
      </c>
    </row>
    <row r="53" ht="14.25" spans="1:8">
      <c r="A53" s="203" t="s">
        <v>186</v>
      </c>
      <c r="B53" s="204"/>
      <c r="C53" s="204"/>
      <c r="D53" s="205"/>
      <c r="E53" s="219">
        <f>SUM(E45:E52)</f>
        <v>0.398</v>
      </c>
      <c r="F53" s="207">
        <f>SUM(F45:F52)</f>
        <v>579.45</v>
      </c>
    </row>
    <row r="54" ht="14.25" spans="1:8">
      <c r="A54" s="190" t="s">
        <v>187</v>
      </c>
      <c r="B54" s="191"/>
      <c r="C54" s="191"/>
      <c r="D54" s="191"/>
      <c r="E54" s="191"/>
      <c r="F54" s="192"/>
    </row>
    <row r="55" ht="14.25" spans="1:8">
      <c r="A55" s="193" t="s">
        <v>188</v>
      </c>
      <c r="B55" s="190" t="s">
        <v>189</v>
      </c>
      <c r="C55" s="191"/>
      <c r="D55" s="194"/>
      <c r="E55" s="193"/>
      <c r="F55" s="195" t="s">
        <v>152</v>
      </c>
    </row>
    <row r="56" ht="14.25" spans="1:8">
      <c r="A56" s="193" t="s">
        <v>153</v>
      </c>
      <c r="B56" s="196" t="s">
        <v>190</v>
      </c>
      <c r="C56" s="197"/>
      <c r="D56" s="198"/>
      <c r="E56" s="199"/>
      <c r="F56" s="200">
        <f>((E57*E58)*E59)-(6%*F27)</f>
        <v>64.46</v>
      </c>
      <c r="H56" s="161"/>
    </row>
    <row r="57" ht="14.25" spans="1:8">
      <c r="A57" s="193"/>
      <c r="B57" s="196" t="s">
        <v>191</v>
      </c>
      <c r="C57" s="197"/>
      <c r="D57" s="198"/>
      <c r="E57" s="223">
        <f>RAIZ_DADOS!D30</f>
        <v>3</v>
      </c>
      <c r="F57" s="181" t="s">
        <v>52</v>
      </c>
      <c r="H57" s="161"/>
    </row>
    <row r="58" ht="14.25" spans="1:8">
      <c r="A58" s="193"/>
      <c r="B58" s="196" t="s">
        <v>192</v>
      </c>
      <c r="C58" s="197"/>
      <c r="D58" s="198"/>
      <c r="E58" s="224">
        <f>RAIZ_DADOS!D33</f>
        <v>2</v>
      </c>
      <c r="F58" s="181" t="s">
        <v>52</v>
      </c>
      <c r="H58" s="161"/>
    </row>
    <row r="59" ht="14.25" spans="1:8">
      <c r="A59" s="193"/>
      <c r="B59" s="196" t="s">
        <v>193</v>
      </c>
      <c r="C59" s="197"/>
      <c r="D59" s="198"/>
      <c r="E59" s="224">
        <f>RAIZ_DADOS!D32</f>
        <v>22</v>
      </c>
      <c r="F59" s="181" t="s">
        <v>52</v>
      </c>
      <c r="H59" s="161"/>
    </row>
    <row r="60" ht="14.25" spans="1:8">
      <c r="A60" s="193" t="s">
        <v>155</v>
      </c>
      <c r="B60" s="196" t="s">
        <v>194</v>
      </c>
      <c r="C60" s="197"/>
      <c r="D60" s="198"/>
      <c r="E60" s="199"/>
      <c r="F60" s="200">
        <f>RAIZ_DADOS!D6</f>
        <v>400</v>
      </c>
      <c r="H60" s="161"/>
    </row>
    <row r="61" ht="14.25" spans="1:8">
      <c r="A61" s="193" t="s">
        <v>157</v>
      </c>
      <c r="B61" s="196" t="s">
        <v>34</v>
      </c>
      <c r="C61" s="197"/>
      <c r="D61" s="198"/>
      <c r="E61" s="199"/>
      <c r="F61" s="200">
        <f>RAIZ_DADOS!D23</f>
        <v>14.66</v>
      </c>
      <c r="H61" s="161"/>
    </row>
    <row r="62" ht="14.25" spans="1:8">
      <c r="A62" s="193" t="s">
        <v>159</v>
      </c>
      <c r="B62" s="196" t="s">
        <v>195</v>
      </c>
      <c r="C62" s="197"/>
      <c r="D62" s="198"/>
      <c r="E62" s="199"/>
      <c r="F62" s="200">
        <f>RAIZ_DADOS!D24</f>
        <v>6.4</v>
      </c>
      <c r="H62" s="161"/>
    </row>
    <row r="63" ht="14.25" spans="1:8">
      <c r="A63" s="193" t="s">
        <v>161</v>
      </c>
      <c r="B63" s="225" t="s">
        <v>196</v>
      </c>
      <c r="C63" s="226"/>
      <c r="D63" s="227"/>
      <c r="E63" s="228"/>
      <c r="F63" s="229">
        <v>0</v>
      </c>
      <c r="H63" s="230"/>
    </row>
    <row r="64" ht="14.25" spans="1:8">
      <c r="A64" s="193" t="s">
        <v>163</v>
      </c>
      <c r="B64" s="225" t="s">
        <v>197</v>
      </c>
      <c r="C64" s="226"/>
      <c r="D64" s="227"/>
      <c r="E64" s="228"/>
      <c r="F64" s="229">
        <f>RAIZ_DADOS!D7</f>
        <v>130</v>
      </c>
      <c r="H64" s="230"/>
    </row>
    <row r="65" s="152" customFormat="1" ht="14.25" spans="1:10">
      <c r="A65" s="203" t="s">
        <v>71</v>
      </c>
      <c r="B65" s="204"/>
      <c r="C65" s="204"/>
      <c r="D65" s="205"/>
      <c r="E65" s="231"/>
      <c r="F65" s="207">
        <f>SUM(F56:F64)</f>
        <v>615.52</v>
      </c>
      <c r="G65" s="158"/>
      <c r="H65" s="158"/>
    </row>
    <row r="66" ht="14.25" spans="1:10">
      <c r="A66" s="190" t="s">
        <v>198</v>
      </c>
      <c r="B66" s="191"/>
      <c r="C66" s="191"/>
      <c r="D66" s="191"/>
      <c r="E66" s="191"/>
      <c r="F66" s="192"/>
    </row>
    <row r="67" ht="14.25" spans="1:10">
      <c r="A67" s="193">
        <v>2</v>
      </c>
      <c r="B67" s="190" t="s">
        <v>199</v>
      </c>
      <c r="C67" s="191"/>
      <c r="D67" s="194"/>
      <c r="E67" s="193"/>
      <c r="F67" s="195" t="s">
        <v>152</v>
      </c>
    </row>
    <row r="68" ht="14.25" spans="1:10">
      <c r="A68" s="193" t="s">
        <v>167</v>
      </c>
      <c r="B68" s="196" t="s">
        <v>168</v>
      </c>
      <c r="C68" s="197"/>
      <c r="D68" s="198"/>
      <c r="E68" s="232"/>
      <c r="F68" s="200">
        <f>F40</f>
        <v>283.02</v>
      </c>
      <c r="G68" s="153"/>
      <c r="H68" s="153"/>
    </row>
    <row r="69" ht="14.25" spans="1:10">
      <c r="A69" s="193" t="s">
        <v>174</v>
      </c>
      <c r="B69" s="196" t="s">
        <v>200</v>
      </c>
      <c r="C69" s="197"/>
      <c r="D69" s="198"/>
      <c r="E69" s="233"/>
      <c r="F69" s="200">
        <f>F53+F41</f>
        <v>692.14</v>
      </c>
      <c r="G69" s="153"/>
      <c r="H69" s="153"/>
    </row>
    <row r="70" ht="14.25" spans="1:10">
      <c r="A70" s="193" t="s">
        <v>188</v>
      </c>
      <c r="B70" s="196" t="s">
        <v>189</v>
      </c>
      <c r="C70" s="197"/>
      <c r="D70" s="198"/>
      <c r="E70" s="234"/>
      <c r="F70" s="200">
        <f>F65</f>
        <v>615.52</v>
      </c>
      <c r="G70" s="153"/>
      <c r="H70" s="153"/>
    </row>
    <row r="71" ht="14.25" spans="1:10">
      <c r="A71" s="203" t="s">
        <v>71</v>
      </c>
      <c r="B71" s="204"/>
      <c r="C71" s="204"/>
      <c r="D71" s="205"/>
      <c r="E71" s="206"/>
      <c r="F71" s="207">
        <f>SUM(F68:F70)</f>
        <v>1590.68</v>
      </c>
      <c r="J71" s="235"/>
    </row>
    <row r="72" ht="14.25"/>
    <row r="73" ht="14.25" spans="1:10">
      <c r="A73" s="193" t="s">
        <v>201</v>
      </c>
      <c r="B73" s="193"/>
      <c r="C73" s="193"/>
      <c r="D73" s="193"/>
      <c r="E73" s="193"/>
      <c r="F73" s="211"/>
    </row>
    <row r="74" ht="14.25" spans="1:10">
      <c r="A74" s="193">
        <v>3</v>
      </c>
      <c r="B74" s="190" t="s">
        <v>202</v>
      </c>
      <c r="C74" s="191"/>
      <c r="D74" s="194"/>
      <c r="E74" s="193" t="s">
        <v>169</v>
      </c>
      <c r="F74" s="195" t="s">
        <v>152</v>
      </c>
    </row>
    <row r="75" ht="14.25" spans="1:10">
      <c r="A75" s="193" t="s">
        <v>153</v>
      </c>
      <c r="B75" s="196" t="s">
        <v>203</v>
      </c>
      <c r="C75" s="197"/>
      <c r="D75" s="198"/>
      <c r="E75" s="232">
        <f>(1/12)*5%</f>
        <v>0.0042</v>
      </c>
      <c r="F75" s="200">
        <f>E75*F33</f>
        <v>6.11</v>
      </c>
    </row>
    <row r="76" ht="14.25" spans="1:10">
      <c r="A76" s="193" t="s">
        <v>155</v>
      </c>
      <c r="B76" s="196" t="s">
        <v>204</v>
      </c>
      <c r="C76" s="197"/>
      <c r="D76" s="198"/>
      <c r="E76" s="232">
        <f>E75*E52</f>
        <v>0.0003</v>
      </c>
      <c r="F76" s="200">
        <f>E76*F33</f>
        <v>0.44</v>
      </c>
      <c r="G76" s="236"/>
    </row>
    <row r="77" ht="14.25" spans="1:10">
      <c r="A77" s="193" t="s">
        <v>157</v>
      </c>
      <c r="B77" s="196" t="s">
        <v>205</v>
      </c>
      <c r="C77" s="197"/>
      <c r="D77" s="198"/>
      <c r="E77" s="232">
        <f>((8%*(40%)*90%)*(1+5/56+5/56+(1/3*5/56)))</f>
        <v>0.0348</v>
      </c>
      <c r="F77" s="200">
        <f>E77*(F33+F40)</f>
        <v>60.51</v>
      </c>
      <c r="G77" s="236"/>
      <c r="H77" s="237"/>
    </row>
    <row r="78" ht="14.25" spans="1:10">
      <c r="A78" s="193" t="s">
        <v>159</v>
      </c>
      <c r="B78" s="196" t="s">
        <v>206</v>
      </c>
      <c r="C78" s="197"/>
      <c r="D78" s="198"/>
      <c r="E78" s="232">
        <f>((7/30)/12)</f>
        <v>0.0194</v>
      </c>
      <c r="F78" s="200">
        <f>E78*F33</f>
        <v>28.24</v>
      </c>
      <c r="G78" s="153"/>
      <c r="H78" s="153"/>
    </row>
    <row r="79" ht="14.25" spans="1:10">
      <c r="A79" s="193" t="s">
        <v>161</v>
      </c>
      <c r="B79" s="196" t="s">
        <v>207</v>
      </c>
      <c r="C79" s="197"/>
      <c r="D79" s="198"/>
      <c r="E79" s="232">
        <f>E78*E53</f>
        <v>0.0077</v>
      </c>
      <c r="F79" s="200">
        <f>E79*F33</f>
        <v>11.21</v>
      </c>
    </row>
    <row r="80" ht="14.25" spans="1:10">
      <c r="A80" s="193" t="s">
        <v>163</v>
      </c>
      <c r="B80" s="196" t="s">
        <v>208</v>
      </c>
      <c r="C80" s="197"/>
      <c r="D80" s="198"/>
      <c r="E80" s="232">
        <f>(40%*8%*E78)</f>
        <v>0.0006</v>
      </c>
      <c r="F80" s="200">
        <f>E80*F33</f>
        <v>0.87</v>
      </c>
    </row>
    <row r="81" ht="14.25" spans="1:10">
      <c r="A81" s="203" t="s">
        <v>71</v>
      </c>
      <c r="B81" s="204"/>
      <c r="C81" s="204"/>
      <c r="D81" s="205"/>
      <c r="E81" s="238"/>
      <c r="F81" s="207">
        <f>SUM(F75:F80)</f>
        <v>107.38</v>
      </c>
      <c r="J81" s="235"/>
    </row>
    <row r="82" s="153" customFormat="1" ht="14.25" spans="1:10">
      <c r="A82" s="156"/>
      <c r="B82" s="126"/>
      <c r="C82" s="126"/>
      <c r="D82" s="126"/>
      <c r="E82" s="126"/>
      <c r="F82" s="157"/>
      <c r="G82" s="158"/>
      <c r="H82" s="158"/>
    </row>
    <row r="83" s="153" customFormat="1" ht="14.25" spans="1:10">
      <c r="A83" s="190" t="s">
        <v>209</v>
      </c>
      <c r="B83" s="191"/>
      <c r="C83" s="191"/>
      <c r="D83" s="191"/>
      <c r="E83" s="191"/>
      <c r="F83" s="192"/>
      <c r="G83" s="158"/>
      <c r="H83" s="158"/>
    </row>
    <row r="84" ht="14.25" spans="1:10">
      <c r="A84" s="190" t="s">
        <v>210</v>
      </c>
      <c r="B84" s="191"/>
      <c r="C84" s="191"/>
      <c r="D84" s="191"/>
      <c r="E84" s="191"/>
      <c r="F84" s="192"/>
    </row>
    <row r="85" ht="14.25" spans="1:10">
      <c r="A85" s="193" t="s">
        <v>211</v>
      </c>
      <c r="B85" s="190" t="s">
        <v>212</v>
      </c>
      <c r="C85" s="191"/>
      <c r="D85" s="194"/>
      <c r="E85" s="193" t="s">
        <v>169</v>
      </c>
      <c r="F85" s="195" t="s">
        <v>152</v>
      </c>
    </row>
    <row r="86" ht="14.25" spans="1:10">
      <c r="A86" s="193" t="s">
        <v>153</v>
      </c>
      <c r="B86" s="196" t="s">
        <v>213</v>
      </c>
      <c r="C86" s="197"/>
      <c r="D86" s="198"/>
      <c r="E86" s="232">
        <f>(1/12)</f>
        <v>0.0833</v>
      </c>
      <c r="F86" s="200">
        <f t="shared" ref="F86:F91" si="1">E86*F$33</f>
        <v>121.27</v>
      </c>
    </row>
    <row r="87" ht="14.25" spans="1:10">
      <c r="A87" s="193" t="s">
        <v>155</v>
      </c>
      <c r="B87" s="196" t="s">
        <v>212</v>
      </c>
      <c r="C87" s="197"/>
      <c r="D87" s="198"/>
      <c r="E87" s="232">
        <f>(1/30)/12</f>
        <v>0.0028</v>
      </c>
      <c r="F87" s="200">
        <f t="shared" si="1"/>
        <v>4.08</v>
      </c>
    </row>
    <row r="88" ht="14.25" spans="1:10">
      <c r="A88" s="193" t="s">
        <v>157</v>
      </c>
      <c r="B88" s="196" t="s">
        <v>214</v>
      </c>
      <c r="C88" s="197"/>
      <c r="D88" s="198"/>
      <c r="E88" s="232">
        <f>((5/30)/12)*1.5%</f>
        <v>0.0002</v>
      </c>
      <c r="F88" s="200">
        <f t="shared" si="1"/>
        <v>0.29</v>
      </c>
    </row>
    <row r="89" ht="14.25" spans="1:10">
      <c r="A89" s="193" t="s">
        <v>159</v>
      </c>
      <c r="B89" s="196" t="s">
        <v>215</v>
      </c>
      <c r="C89" s="197"/>
      <c r="D89" s="198"/>
      <c r="E89" s="232">
        <f>((15/365)*8%)</f>
        <v>0.0033</v>
      </c>
      <c r="F89" s="200">
        <f t="shared" si="1"/>
        <v>4.8</v>
      </c>
    </row>
    <row r="90" ht="14.25" spans="1:10">
      <c r="A90" s="193" t="s">
        <v>161</v>
      </c>
      <c r="B90" s="196" t="s">
        <v>216</v>
      </c>
      <c r="C90" s="197"/>
      <c r="D90" s="198"/>
      <c r="E90" s="232">
        <f>(11.11%*2%*(4/12))</f>
        <v>0.0007</v>
      </c>
      <c r="F90" s="200">
        <f t="shared" si="1"/>
        <v>1.02</v>
      </c>
    </row>
    <row r="91" ht="14.25" spans="1:10">
      <c r="A91" s="193" t="s">
        <v>163</v>
      </c>
      <c r="B91" s="196" t="s">
        <v>217</v>
      </c>
      <c r="C91" s="197"/>
      <c r="D91" s="198"/>
      <c r="E91" s="232"/>
      <c r="F91" s="200">
        <f t="shared" si="1"/>
        <v>0</v>
      </c>
    </row>
    <row r="92" s="153" customFormat="1" ht="14.25" spans="1:10">
      <c r="A92" s="203" t="s">
        <v>186</v>
      </c>
      <c r="B92" s="204"/>
      <c r="C92" s="204"/>
      <c r="D92" s="205"/>
      <c r="E92" s="238"/>
      <c r="F92" s="207">
        <f>SUM(F86:F91)</f>
        <v>131.46</v>
      </c>
      <c r="G92" s="158"/>
      <c r="H92" s="158"/>
      <c r="J92" s="235"/>
    </row>
    <row r="93" ht="14.25" spans="1:10">
      <c r="A93" s="190" t="s">
        <v>218</v>
      </c>
      <c r="B93" s="191"/>
      <c r="C93" s="191"/>
      <c r="D93" s="191"/>
      <c r="E93" s="191"/>
      <c r="F93" s="192"/>
    </row>
    <row r="94" ht="14.25" spans="1:10">
      <c r="A94" s="193" t="s">
        <v>219</v>
      </c>
      <c r="B94" s="190" t="s">
        <v>220</v>
      </c>
      <c r="C94" s="191"/>
      <c r="D94" s="194"/>
      <c r="E94" s="193"/>
      <c r="F94" s="195" t="s">
        <v>152</v>
      </c>
    </row>
    <row r="95" ht="14.25" spans="1:10">
      <c r="A95" s="193" t="s">
        <v>153</v>
      </c>
      <c r="B95" s="196" t="s">
        <v>221</v>
      </c>
      <c r="C95" s="197"/>
      <c r="D95" s="198"/>
      <c r="E95" s="199"/>
      <c r="F95" s="200">
        <v>0</v>
      </c>
    </row>
    <row r="96" ht="14.25" spans="1:10">
      <c r="A96" s="203" t="s">
        <v>71</v>
      </c>
      <c r="B96" s="204"/>
      <c r="C96" s="204"/>
      <c r="D96" s="205"/>
      <c r="E96" s="206"/>
      <c r="F96" s="207">
        <f>SUM(F95:F95)</f>
        <v>0</v>
      </c>
    </row>
    <row r="97" ht="14.25" spans="1:10">
      <c r="A97" s="190" t="s">
        <v>222</v>
      </c>
      <c r="B97" s="191"/>
      <c r="C97" s="191"/>
      <c r="D97" s="191"/>
      <c r="E97" s="191"/>
      <c r="F97" s="192"/>
    </row>
    <row r="98" ht="14.25" spans="1:10">
      <c r="A98" s="193">
        <v>4</v>
      </c>
      <c r="B98" s="190" t="s">
        <v>223</v>
      </c>
      <c r="C98" s="191"/>
      <c r="D98" s="194"/>
      <c r="E98" s="193"/>
      <c r="F98" s="195" t="s">
        <v>152</v>
      </c>
    </row>
    <row r="99" ht="14.25" spans="1:10">
      <c r="A99" s="193" t="s">
        <v>211</v>
      </c>
      <c r="B99" s="196" t="s">
        <v>212</v>
      </c>
      <c r="C99" s="197"/>
      <c r="D99" s="198"/>
      <c r="E99" s="199"/>
      <c r="F99" s="200">
        <f>F92</f>
        <v>131.46</v>
      </c>
    </row>
    <row r="100" ht="14.25" spans="1:10">
      <c r="A100" s="193" t="s">
        <v>219</v>
      </c>
      <c r="B100" s="196" t="s">
        <v>220</v>
      </c>
      <c r="C100" s="197"/>
      <c r="D100" s="198"/>
      <c r="E100" s="199"/>
      <c r="F100" s="200">
        <f>F96</f>
        <v>0</v>
      </c>
    </row>
    <row r="101" ht="14.25" spans="1:10">
      <c r="A101" s="203" t="s">
        <v>71</v>
      </c>
      <c r="B101" s="204"/>
      <c r="C101" s="204"/>
      <c r="D101" s="205"/>
      <c r="E101" s="206"/>
      <c r="F101" s="207">
        <f>SUM(F99:F100)</f>
        <v>131.46</v>
      </c>
      <c r="J101" s="235"/>
    </row>
    <row r="102" ht="14.25"/>
    <row r="103" ht="14.25" spans="1:10">
      <c r="A103" s="190" t="s">
        <v>224</v>
      </c>
      <c r="B103" s="191"/>
      <c r="C103" s="191"/>
      <c r="D103" s="191"/>
      <c r="E103" s="191"/>
      <c r="F103" s="192"/>
    </row>
    <row r="104" ht="14.25" spans="1:10">
      <c r="A104" s="193">
        <v>5</v>
      </c>
      <c r="B104" s="190" t="s">
        <v>225</v>
      </c>
      <c r="C104" s="191"/>
      <c r="D104" s="191"/>
      <c r="E104" s="194"/>
      <c r="F104" s="195" t="s">
        <v>152</v>
      </c>
    </row>
    <row r="105" ht="14.25" spans="1:10">
      <c r="A105" s="239" t="s">
        <v>153</v>
      </c>
      <c r="B105" s="196" t="s">
        <v>226</v>
      </c>
      <c r="C105" s="197"/>
      <c r="D105" s="197"/>
      <c r="E105" s="198"/>
      <c r="F105" s="200">
        <f>'AGEHAB 1_Uniformes_AGEHAB'!K17</f>
        <v>48.8</v>
      </c>
      <c r="H105" s="240"/>
    </row>
    <row r="106" ht="14.25" spans="1:10">
      <c r="A106" s="193" t="s">
        <v>155</v>
      </c>
      <c r="B106" s="196" t="s">
        <v>227</v>
      </c>
      <c r="C106" s="197"/>
      <c r="D106" s="197"/>
      <c r="E106" s="198"/>
      <c r="F106" s="200">
        <f>'AGEHAB 1_EPI''s_AGEHAB'!K17</f>
        <v>31.73</v>
      </c>
    </row>
    <row r="107" ht="14.25" spans="1:10">
      <c r="A107" s="193" t="s">
        <v>157</v>
      </c>
      <c r="B107" s="196" t="s">
        <v>228</v>
      </c>
      <c r="C107" s="197"/>
      <c r="D107" s="197"/>
      <c r="E107" s="198"/>
      <c r="F107" s="200">
        <f>'AGEHAB 1_Materiais_AGEHAB'!K26</f>
        <v>25.71</v>
      </c>
    </row>
    <row r="108" ht="14.25" spans="1:10">
      <c r="A108" s="193" t="s">
        <v>159</v>
      </c>
      <c r="B108" s="196" t="s">
        <v>229</v>
      </c>
      <c r="C108" s="197"/>
      <c r="D108" s="197"/>
      <c r="E108" s="198"/>
      <c r="F108" s="200">
        <f>'AGEHAB 1_Equipamentos_AGEHAB'!M30</f>
        <v>121.15</v>
      </c>
      <c r="H108" s="240"/>
    </row>
    <row r="109" ht="14.25" spans="1:10">
      <c r="A109" s="203" t="s">
        <v>186</v>
      </c>
      <c r="B109" s="204"/>
      <c r="C109" s="204"/>
      <c r="D109" s="204"/>
      <c r="E109" s="205"/>
      <c r="F109" s="207">
        <f>SUM(F105:F108)</f>
        <v>227.39</v>
      </c>
      <c r="J109" s="235"/>
    </row>
    <row r="110" ht="14.25"/>
    <row r="111" ht="14.25" spans="1:10">
      <c r="A111" s="193" t="s">
        <v>230</v>
      </c>
      <c r="B111" s="193"/>
      <c r="C111" s="193"/>
      <c r="D111" s="193"/>
      <c r="E111" s="193"/>
      <c r="F111" s="211"/>
    </row>
    <row r="112" ht="14.25" spans="1:10">
      <c r="A112" s="193">
        <v>6</v>
      </c>
      <c r="B112" s="190" t="s">
        <v>231</v>
      </c>
      <c r="C112" s="191"/>
      <c r="D112" s="194"/>
      <c r="E112" s="193" t="s">
        <v>169</v>
      </c>
      <c r="F112" s="195" t="s">
        <v>152</v>
      </c>
    </row>
    <row r="113" ht="14.25" spans="1:10">
      <c r="A113" s="193" t="s">
        <v>153</v>
      </c>
      <c r="B113" s="196" t="s">
        <v>232</v>
      </c>
      <c r="C113" s="197"/>
      <c r="D113" s="198"/>
      <c r="E113" s="232">
        <v>0.05</v>
      </c>
      <c r="F113" s="200">
        <f>E113*F130</f>
        <v>175.64</v>
      </c>
    </row>
    <row r="114" ht="14.25" spans="1:10">
      <c r="A114" s="193" t="s">
        <v>155</v>
      </c>
      <c r="B114" s="196" t="s">
        <v>233</v>
      </c>
      <c r="C114" s="197"/>
      <c r="D114" s="198"/>
      <c r="E114" s="232">
        <v>0.0679</v>
      </c>
      <c r="F114" s="200">
        <f>E114*(F130+F113)</f>
        <v>250.44</v>
      </c>
    </row>
    <row r="115" ht="14.25" spans="1:10">
      <c r="A115" s="193" t="s">
        <v>157</v>
      </c>
      <c r="B115" s="196" t="s">
        <v>234</v>
      </c>
      <c r="C115" s="197"/>
      <c r="D115" s="198"/>
      <c r="E115" s="232">
        <f>SUM(E116:E120)</f>
        <v>0.1425</v>
      </c>
      <c r="F115" s="200"/>
    </row>
    <row r="116" ht="14.25" spans="1:10">
      <c r="A116" s="193"/>
      <c r="B116" s="196" t="s">
        <v>235</v>
      </c>
      <c r="C116" s="197"/>
      <c r="D116" s="198"/>
      <c r="E116" s="232"/>
      <c r="F116" s="200"/>
      <c r="H116" s="241"/>
    </row>
    <row r="117" ht="14.25" spans="1:10">
      <c r="A117" s="193"/>
      <c r="B117" s="196" t="s">
        <v>236</v>
      </c>
      <c r="C117" s="197"/>
      <c r="D117" s="198"/>
      <c r="E117" s="232">
        <v>0.0165</v>
      </c>
      <c r="F117" s="200">
        <f>E117*((F130+F113+F114)/(1-$E$115))</f>
        <v>75.79</v>
      </c>
      <c r="H117" s="242"/>
      <c r="J117" s="243"/>
    </row>
    <row r="118" ht="14.25" spans="1:10">
      <c r="A118" s="193"/>
      <c r="B118" s="196" t="s">
        <v>237</v>
      </c>
      <c r="C118" s="197"/>
      <c r="D118" s="198"/>
      <c r="E118" s="232">
        <v>0.076</v>
      </c>
      <c r="F118" s="200">
        <f>E118*(($F$130+$F$113+$F$114)/(1-$E$115))</f>
        <v>349.1</v>
      </c>
      <c r="H118" s="242"/>
      <c r="J118" s="243"/>
    </row>
    <row r="119" s="154" customFormat="1" ht="14.25" spans="1:10">
      <c r="A119" s="193"/>
      <c r="B119" s="196" t="s">
        <v>238</v>
      </c>
      <c r="C119" s="197"/>
      <c r="D119" s="198"/>
      <c r="E119" s="232"/>
      <c r="F119" s="200"/>
      <c r="H119" s="242"/>
      <c r="J119" s="244"/>
    </row>
    <row r="120" ht="14.25" spans="1:10">
      <c r="A120" s="193"/>
      <c r="B120" s="196" t="s">
        <v>239</v>
      </c>
      <c r="C120" s="197"/>
      <c r="D120" s="198"/>
      <c r="E120" s="232">
        <v>0.05</v>
      </c>
      <c r="F120" s="200">
        <f>E120*(($F$130+$F$113+$F$114)/(1-$E$115))</f>
        <v>229.67</v>
      </c>
      <c r="H120" s="242"/>
      <c r="J120" s="243"/>
    </row>
    <row r="121" ht="14.25" spans="1:10">
      <c r="A121" s="203" t="s">
        <v>186</v>
      </c>
      <c r="B121" s="204"/>
      <c r="C121" s="204"/>
      <c r="D121" s="205"/>
      <c r="E121" s="245"/>
      <c r="F121" s="207">
        <f>SUM(F113:F120)</f>
        <v>1080.64</v>
      </c>
      <c r="J121" s="235"/>
    </row>
    <row r="122" ht="14.25"/>
    <row r="123" ht="14.25" spans="1:10">
      <c r="A123" s="159" t="s">
        <v>240</v>
      </c>
      <c r="B123" s="159"/>
      <c r="C123" s="159"/>
      <c r="D123" s="159"/>
      <c r="E123" s="159"/>
      <c r="F123" s="246"/>
    </row>
    <row r="124" ht="14.25" spans="1:10">
      <c r="A124" s="159"/>
      <c r="B124" s="247" t="s">
        <v>241</v>
      </c>
      <c r="C124" s="248"/>
      <c r="D124" s="248"/>
      <c r="E124" s="249"/>
      <c r="F124" s="250" t="s">
        <v>152</v>
      </c>
    </row>
    <row r="125" ht="14.25" spans="1:10">
      <c r="A125" s="193" t="s">
        <v>153</v>
      </c>
      <c r="B125" s="196" t="s">
        <v>150</v>
      </c>
      <c r="C125" s="197"/>
      <c r="D125" s="197"/>
      <c r="E125" s="198"/>
      <c r="F125" s="200">
        <f>F33</f>
        <v>1455.88</v>
      </c>
      <c r="H125" s="236"/>
    </row>
    <row r="126" ht="14.25" spans="1:10">
      <c r="A126" s="193" t="s">
        <v>155</v>
      </c>
      <c r="B126" s="196" t="s">
        <v>165</v>
      </c>
      <c r="C126" s="197"/>
      <c r="D126" s="197"/>
      <c r="E126" s="198"/>
      <c r="F126" s="200">
        <f>F71</f>
        <v>1590.68</v>
      </c>
    </row>
    <row r="127" ht="14.25" spans="1:10">
      <c r="A127" s="193" t="s">
        <v>157</v>
      </c>
      <c r="B127" s="196" t="s">
        <v>201</v>
      </c>
      <c r="C127" s="197"/>
      <c r="D127" s="197"/>
      <c r="E127" s="198"/>
      <c r="F127" s="200">
        <f>F81</f>
        <v>107.38</v>
      </c>
    </row>
    <row r="128" ht="14.25" spans="1:10">
      <c r="A128" s="193" t="s">
        <v>159</v>
      </c>
      <c r="B128" s="196" t="s">
        <v>209</v>
      </c>
      <c r="C128" s="197"/>
      <c r="D128" s="197"/>
      <c r="E128" s="198"/>
      <c r="F128" s="200">
        <f>F101</f>
        <v>131.46</v>
      </c>
      <c r="H128" s="236"/>
    </row>
    <row r="129" ht="14.25" spans="1:10">
      <c r="A129" s="193" t="s">
        <v>161</v>
      </c>
      <c r="B129" s="196" t="s">
        <v>224</v>
      </c>
      <c r="C129" s="197"/>
      <c r="D129" s="197"/>
      <c r="E129" s="198"/>
      <c r="F129" s="200">
        <f>F109</f>
        <v>227.39</v>
      </c>
      <c r="H129" s="236"/>
    </row>
    <row r="130" ht="14.25" spans="1:10">
      <c r="A130" s="203" t="s">
        <v>242</v>
      </c>
      <c r="B130" s="204"/>
      <c r="C130" s="204"/>
      <c r="D130" s="204"/>
      <c r="E130" s="205"/>
      <c r="F130" s="207">
        <f>SUM(F125:F129)</f>
        <v>3512.79</v>
      </c>
      <c r="I130" s="240"/>
      <c r="J130" s="240"/>
    </row>
    <row r="131" ht="14.25" spans="1:10">
      <c r="A131" s="193" t="s">
        <v>163</v>
      </c>
      <c r="B131" s="196" t="s">
        <v>243</v>
      </c>
      <c r="C131" s="197"/>
      <c r="D131" s="197"/>
      <c r="E131" s="198"/>
      <c r="F131" s="200">
        <f>F121</f>
        <v>1080.64</v>
      </c>
    </row>
    <row r="132" ht="14.25" spans="1:10">
      <c r="A132" s="251" t="s">
        <v>244</v>
      </c>
      <c r="B132" s="252"/>
      <c r="C132" s="252"/>
      <c r="D132" s="252"/>
      <c r="E132" s="253"/>
      <c r="F132" s="254">
        <f>SUM(F130:F131)</f>
        <v>4593.43</v>
      </c>
      <c r="H132" s="236"/>
    </row>
    <row r="133" ht="14.25"/>
    <row r="134" s="155" customFormat="1" ht="14.25" spans="1:10">
      <c r="A134" s="159" t="s">
        <v>245</v>
      </c>
      <c r="B134" s="159"/>
      <c r="C134" s="159"/>
      <c r="D134" s="159"/>
      <c r="E134" s="159"/>
      <c r="F134" s="159"/>
      <c r="G134" s="255"/>
      <c r="H134" s="255"/>
      <c r="I134" s="255"/>
    </row>
    <row r="135" s="155" customFormat="1" ht="39.75" spans="1:10">
      <c r="A135" s="159" t="s">
        <v>246</v>
      </c>
      <c r="B135" s="159" t="s">
        <v>247</v>
      </c>
      <c r="C135" s="159" t="s">
        <v>248</v>
      </c>
      <c r="D135" s="159" t="s">
        <v>249</v>
      </c>
      <c r="E135" s="159" t="s">
        <v>250</v>
      </c>
      <c r="F135" s="256" t="s">
        <v>251</v>
      </c>
    </row>
    <row r="136" s="155" customFormat="1" ht="45" customHeight="1" spans="1:10">
      <c r="A136" s="257" t="str">
        <f>A15</f>
        <v>Servente Interno: 30 h + Insalubridade</v>
      </c>
      <c r="B136" s="258">
        <f>F132</f>
        <v>4593.43</v>
      </c>
      <c r="C136" s="259">
        <v>1</v>
      </c>
      <c r="D136" s="258">
        <f>B136*C136</f>
        <v>4593.43</v>
      </c>
      <c r="E136" s="199">
        <f>F15</f>
        <v>1</v>
      </c>
      <c r="F136" s="258">
        <f>D136*E136</f>
        <v>4593.43</v>
      </c>
    </row>
    <row r="137" s="155" customFormat="1" ht="21" customHeight="1" spans="1:10">
      <c r="A137" s="203" t="s">
        <v>252</v>
      </c>
      <c r="B137" s="204"/>
      <c r="C137" s="204"/>
      <c r="D137" s="204"/>
      <c r="E137" s="205"/>
      <c r="F137" s="260">
        <f>SUM(F136)</f>
        <v>4593.43</v>
      </c>
    </row>
    <row r="138" s="155" customFormat="1" ht="21" customHeight="1" spans="1:10">
      <c r="A138" s="251" t="s">
        <v>253</v>
      </c>
      <c r="B138" s="252"/>
      <c r="C138" s="252"/>
      <c r="D138" s="252"/>
      <c r="E138" s="253"/>
      <c r="F138" s="261">
        <f>F137*F11</f>
        <v>55121.16</v>
      </c>
    </row>
    <row r="139" ht="13.5"/>
  </sheetData>
  <mergeCells count="134">
    <mergeCell ref="A1:E1"/>
    <mergeCell ref="A2:E2"/>
    <mergeCell ref="A3:E3"/>
    <mergeCell ref="A4:E4"/>
    <mergeCell ref="A5:E5"/>
    <mergeCell ref="A6:F6"/>
    <mergeCell ref="A7:F7"/>
    <mergeCell ref="B8:E8"/>
    <mergeCell ref="B9:E9"/>
    <mergeCell ref="B10:E10"/>
    <mergeCell ref="B11:E11"/>
    <mergeCell ref="A12:F12"/>
    <mergeCell ref="A13:F13"/>
    <mergeCell ref="A14:C14"/>
    <mergeCell ref="D14:E14"/>
    <mergeCell ref="A15:C15"/>
    <mergeCell ref="D15:E15"/>
    <mergeCell ref="A16:F16"/>
    <mergeCell ref="A17:F17"/>
    <mergeCell ref="A18:F18"/>
    <mergeCell ref="B19:E19"/>
    <mergeCell ref="B20:E20"/>
    <mergeCell ref="B21:E21"/>
    <mergeCell ref="B22:E22"/>
    <mergeCell ref="B23:E23"/>
    <mergeCell ref="A24:F24"/>
    <mergeCell ref="A25:F25"/>
    <mergeCell ref="B26:D26"/>
    <mergeCell ref="B27:D27"/>
    <mergeCell ref="B28:D28"/>
    <mergeCell ref="B29:D29"/>
    <mergeCell ref="B30:D30"/>
    <mergeCell ref="B31:D31"/>
    <mergeCell ref="B32:D32"/>
    <mergeCell ref="A33:D33"/>
    <mergeCell ref="A34:F34"/>
    <mergeCell ref="A35:F35"/>
    <mergeCell ref="A36:F36"/>
    <mergeCell ref="B37:D37"/>
    <mergeCell ref="B38:D38"/>
    <mergeCell ref="B39:D39"/>
    <mergeCell ref="A40:D40"/>
    <mergeCell ref="B41:D41"/>
    <mergeCell ref="A42:D42"/>
    <mergeCell ref="A43:F43"/>
    <mergeCell ref="B44:D44"/>
    <mergeCell ref="B45:D45"/>
    <mergeCell ref="B46:D46"/>
    <mergeCell ref="B47:D47"/>
    <mergeCell ref="B48:D48"/>
    <mergeCell ref="B49:D49"/>
    <mergeCell ref="B50:D50"/>
    <mergeCell ref="B51:D51"/>
    <mergeCell ref="B52:D52"/>
    <mergeCell ref="A53:D53"/>
    <mergeCell ref="A54:F54"/>
    <mergeCell ref="B55:D55"/>
    <mergeCell ref="B56:D56"/>
    <mergeCell ref="B57:D57"/>
    <mergeCell ref="B58:D58"/>
    <mergeCell ref="B59:D59"/>
    <mergeCell ref="B60:D60"/>
    <mergeCell ref="B61:D61"/>
    <mergeCell ref="B62:D62"/>
    <mergeCell ref="B63:D63"/>
    <mergeCell ref="B64:D64"/>
    <mergeCell ref="A65:D65"/>
    <mergeCell ref="A66:F66"/>
    <mergeCell ref="B67:D67"/>
    <mergeCell ref="B68:D68"/>
    <mergeCell ref="B69:D69"/>
    <mergeCell ref="B70:D70"/>
    <mergeCell ref="A71:D71"/>
    <mergeCell ref="A73:F73"/>
    <mergeCell ref="B74:D74"/>
    <mergeCell ref="B75:D75"/>
    <mergeCell ref="B76:D76"/>
    <mergeCell ref="B77:D77"/>
    <mergeCell ref="B78:D78"/>
    <mergeCell ref="B79:D79"/>
    <mergeCell ref="B80:D80"/>
    <mergeCell ref="A81:D81"/>
    <mergeCell ref="A83:F83"/>
    <mergeCell ref="A84:F84"/>
    <mergeCell ref="B85:D85"/>
    <mergeCell ref="B86:D86"/>
    <mergeCell ref="B87:D87"/>
    <mergeCell ref="B88:D88"/>
    <mergeCell ref="B89:D89"/>
    <mergeCell ref="B90:D90"/>
    <mergeCell ref="B91:D91"/>
    <mergeCell ref="A92:D92"/>
    <mergeCell ref="A93:F93"/>
    <mergeCell ref="B94:D94"/>
    <mergeCell ref="B95:D95"/>
    <mergeCell ref="A96:D96"/>
    <mergeCell ref="A97:F97"/>
    <mergeCell ref="B98:D98"/>
    <mergeCell ref="B99:D99"/>
    <mergeCell ref="B100:D100"/>
    <mergeCell ref="A101:D101"/>
    <mergeCell ref="A103:F103"/>
    <mergeCell ref="B104:E104"/>
    <mergeCell ref="B105:E105"/>
    <mergeCell ref="B106:E106"/>
    <mergeCell ref="B107:E107"/>
    <mergeCell ref="B108:E108"/>
    <mergeCell ref="A109:E109"/>
    <mergeCell ref="A111:F111"/>
    <mergeCell ref="B112:D112"/>
    <mergeCell ref="B113:D113"/>
    <mergeCell ref="B114:D114"/>
    <mergeCell ref="B115:D115"/>
    <mergeCell ref="B116:D116"/>
    <mergeCell ref="B117:D117"/>
    <mergeCell ref="B118:D118"/>
    <mergeCell ref="B119:D119"/>
    <mergeCell ref="B120:D120"/>
    <mergeCell ref="A121:D121"/>
    <mergeCell ref="A123:F123"/>
    <mergeCell ref="B124:E124"/>
    <mergeCell ref="B125:E125"/>
    <mergeCell ref="B126:E126"/>
    <mergeCell ref="B127:E127"/>
    <mergeCell ref="B128:E128"/>
    <mergeCell ref="B129:E129"/>
    <mergeCell ref="A130:E130"/>
    <mergeCell ref="B131:E131"/>
    <mergeCell ref="A132:E132"/>
    <mergeCell ref="A134:F134"/>
    <mergeCell ref="A137:E137"/>
    <mergeCell ref="A138:E138"/>
    <mergeCell ref="F1:F5"/>
    <mergeCell ref="H117:H120"/>
  </mergeCells>
  <pageMargins left="0.554166666666667" right="0.357638888888889" top="0.605555555555556" bottom="0.409027777777778" header="0.5" footer="0.5"/>
  <pageSetup paperSize="9" scale="75"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799981688894314"/>
  </sheetPr>
  <dimension ref="A1:K67"/>
  <sheetViews>
    <sheetView view="pageBreakPreview" zoomScale="70" zoomScaleNormal="70" topLeftCell="A34" workbookViewId="0">
      <selection activeCell="E35" sqref="E35:J35"/>
    </sheetView>
  </sheetViews>
  <sheetFormatPr defaultColWidth="9.14285714285714" defaultRowHeight="12.75"/>
  <cols>
    <col min="1" max="1" width="5" style="77" customWidth="1"/>
    <col min="2" max="2" width="26.1428571428571" style="84" customWidth="1"/>
    <col min="3" max="3" width="9.71428571428571" style="77" customWidth="1"/>
    <col min="4" max="4" width="13.8571428571429" style="77" customWidth="1"/>
    <col min="5" max="9" width="28.1428571428571" style="1" customWidth="1"/>
    <col min="10" max="11" width="20.2857142857143" style="1" customWidth="1"/>
    <col min="12" max="13" width="12.2857142857143" style="1" customWidth="1"/>
    <col min="14" max="16384" width="9.14285714285714" style="1"/>
  </cols>
  <sheetData>
    <row r="1" ht="18" spans="1:11">
      <c r="A1" s="5" t="str">
        <f>'SEMAD e AGEHAB TOTALIZADOR'!A1</f>
        <v>SEMAD</v>
      </c>
      <c r="B1" s="5"/>
      <c r="C1" s="5"/>
      <c r="D1" s="5"/>
      <c r="E1" s="5"/>
      <c r="F1" s="5"/>
      <c r="G1" s="5"/>
      <c r="H1" s="5"/>
      <c r="I1" s="5"/>
      <c r="J1" s="5"/>
      <c r="K1" s="5"/>
    </row>
    <row r="2" ht="18" spans="1:11">
      <c r="A2" s="127" t="s">
        <v>272</v>
      </c>
      <c r="B2" s="5"/>
      <c r="C2" s="5"/>
      <c r="D2" s="5"/>
      <c r="E2" s="5"/>
      <c r="F2" s="5"/>
      <c r="G2" s="5"/>
      <c r="H2" s="5"/>
      <c r="I2" s="5"/>
      <c r="J2" s="5"/>
      <c r="K2" s="5"/>
    </row>
    <row r="3" spans="1:11">
      <c r="F3" s="126"/>
      <c r="G3" s="126"/>
      <c r="H3" s="126"/>
      <c r="I3" s="126"/>
      <c r="J3" s="126"/>
      <c r="K3" s="126"/>
    </row>
    <row r="4" spans="1:11">
      <c r="A4" s="128" t="s">
        <v>273</v>
      </c>
      <c r="B4" s="129"/>
      <c r="C4" s="129"/>
      <c r="D4" s="129"/>
      <c r="E4" s="129"/>
      <c r="F4" s="129"/>
      <c r="G4" s="129"/>
      <c r="H4" s="129"/>
      <c r="I4" s="129"/>
      <c r="J4" s="129"/>
      <c r="K4" s="130"/>
    </row>
    <row r="5" spans="1:11">
      <c r="A5" s="64" t="s">
        <v>274</v>
      </c>
      <c r="B5" s="64" t="s">
        <v>275</v>
      </c>
      <c r="C5" s="64" t="s">
        <v>276</v>
      </c>
      <c r="D5" s="64" t="s">
        <v>277</v>
      </c>
      <c r="E5" s="63" t="s">
        <v>278</v>
      </c>
      <c r="F5" s="63"/>
      <c r="G5" s="63"/>
      <c r="H5" s="63"/>
      <c r="I5" s="63"/>
      <c r="J5" s="63"/>
      <c r="K5" s="131" t="s">
        <v>279</v>
      </c>
    </row>
    <row r="6" ht="38.25" spans="1:11">
      <c r="A6" s="64"/>
      <c r="B6" s="64"/>
      <c r="C6" s="64"/>
      <c r="D6" s="64"/>
      <c r="E6" s="64" t="s">
        <v>280</v>
      </c>
      <c r="F6" s="64" t="s">
        <v>281</v>
      </c>
      <c r="G6" s="64" t="s">
        <v>282</v>
      </c>
      <c r="H6" s="64" t="s">
        <v>283</v>
      </c>
      <c r="I6" s="64" t="s">
        <v>284</v>
      </c>
      <c r="J6" s="63" t="s">
        <v>285</v>
      </c>
      <c r="K6" s="132"/>
    </row>
    <row r="7" ht="51" spans="1:11">
      <c r="A7" s="70">
        <v>1</v>
      </c>
      <c r="B7" s="133" t="s">
        <v>286</v>
      </c>
      <c r="C7" s="70" t="s">
        <v>276</v>
      </c>
      <c r="D7" s="70">
        <f>12/3</f>
        <v>4</v>
      </c>
      <c r="E7" s="15" t="s">
        <v>287</v>
      </c>
      <c r="F7" s="15" t="s">
        <v>288</v>
      </c>
      <c r="G7" s="15" t="s">
        <v>289</v>
      </c>
      <c r="H7" s="15" t="s">
        <v>290</v>
      </c>
      <c r="I7" s="15" t="s">
        <v>291</v>
      </c>
      <c r="J7" s="68">
        <f>AVERAGE(E8:I8)</f>
        <v>28.37</v>
      </c>
      <c r="K7" s="68">
        <f t="shared" ref="K7:K11" si="0">D7*J7</f>
        <v>113.48</v>
      </c>
    </row>
    <row r="8" spans="1:11">
      <c r="A8" s="70"/>
      <c r="B8" s="133"/>
      <c r="C8" s="70"/>
      <c r="D8" s="70"/>
      <c r="E8" s="16">
        <v>29.61</v>
      </c>
      <c r="F8" s="16">
        <v>29.85</v>
      </c>
      <c r="G8" s="16">
        <v>25.5</v>
      </c>
      <c r="H8" s="16">
        <v>28.88</v>
      </c>
      <c r="I8" s="16">
        <v>28</v>
      </c>
      <c r="J8" s="68"/>
      <c r="K8" s="68"/>
    </row>
    <row r="9" ht="38.25" spans="1:11">
      <c r="A9" s="70">
        <v>2</v>
      </c>
      <c r="B9" s="133" t="s">
        <v>292</v>
      </c>
      <c r="C9" s="70" t="s">
        <v>276</v>
      </c>
      <c r="D9" s="70">
        <f>12/3</f>
        <v>4</v>
      </c>
      <c r="E9" s="16" t="s">
        <v>293</v>
      </c>
      <c r="F9" s="15" t="s">
        <v>294</v>
      </c>
      <c r="G9" s="16" t="s">
        <v>295</v>
      </c>
      <c r="H9" s="16" t="s">
        <v>296</v>
      </c>
      <c r="I9" s="16" t="s">
        <v>297</v>
      </c>
      <c r="J9" s="68">
        <f t="shared" ref="J9:J11" si="1">AVERAGE(E10:I10)</f>
        <v>73</v>
      </c>
      <c r="K9" s="68">
        <f t="shared" si="0"/>
        <v>292</v>
      </c>
    </row>
    <row r="10" spans="1:11">
      <c r="A10" s="70"/>
      <c r="B10" s="133"/>
      <c r="C10" s="70"/>
      <c r="D10" s="70"/>
      <c r="E10" s="16">
        <v>75</v>
      </c>
      <c r="F10" s="16">
        <v>70</v>
      </c>
      <c r="G10" s="16">
        <v>69</v>
      </c>
      <c r="H10" s="16">
        <v>72</v>
      </c>
      <c r="I10" s="16">
        <v>79</v>
      </c>
      <c r="J10" s="68"/>
      <c r="K10" s="68"/>
    </row>
    <row r="11" ht="38.25" spans="1:11">
      <c r="A11" s="70">
        <v>3</v>
      </c>
      <c r="B11" s="133" t="s">
        <v>298</v>
      </c>
      <c r="C11" s="70" t="s">
        <v>299</v>
      </c>
      <c r="D11" s="70">
        <v>2</v>
      </c>
      <c r="E11" s="15" t="s">
        <v>287</v>
      </c>
      <c r="F11" s="16" t="s">
        <v>300</v>
      </c>
      <c r="G11" s="16" t="s">
        <v>301</v>
      </c>
      <c r="H11" s="16"/>
      <c r="I11" s="16"/>
      <c r="J11" s="68">
        <f t="shared" si="1"/>
        <v>8.05</v>
      </c>
      <c r="K11" s="68">
        <f t="shared" si="0"/>
        <v>16.1</v>
      </c>
    </row>
    <row r="12" spans="1:11">
      <c r="A12" s="70"/>
      <c r="B12" s="133"/>
      <c r="C12" s="70"/>
      <c r="D12" s="70"/>
      <c r="E12" s="16">
        <v>10.65</v>
      </c>
      <c r="F12" s="16">
        <v>8.5</v>
      </c>
      <c r="G12" s="16">
        <v>5</v>
      </c>
      <c r="H12" s="16"/>
      <c r="I12" s="16"/>
      <c r="J12" s="68"/>
      <c r="K12" s="68"/>
    </row>
    <row r="13" ht="38.25" spans="1:11">
      <c r="A13" s="70">
        <v>4</v>
      </c>
      <c r="B13" s="133" t="s">
        <v>302</v>
      </c>
      <c r="C13" s="70" t="s">
        <v>276</v>
      </c>
      <c r="D13" s="70">
        <f>12/6</f>
        <v>2</v>
      </c>
      <c r="E13" s="15" t="s">
        <v>303</v>
      </c>
      <c r="F13" s="16" t="s">
        <v>295</v>
      </c>
      <c r="G13" s="16" t="s">
        <v>304</v>
      </c>
      <c r="H13" s="16"/>
      <c r="I13" s="16"/>
      <c r="J13" s="68">
        <f>AVERAGE(E14:I14)</f>
        <v>73.94</v>
      </c>
      <c r="K13" s="68">
        <f>D13*J13</f>
        <v>147.88</v>
      </c>
    </row>
    <row r="14" spans="1:11">
      <c r="A14" s="70"/>
      <c r="B14" s="133"/>
      <c r="C14" s="70"/>
      <c r="D14" s="70"/>
      <c r="E14" s="16">
        <v>76</v>
      </c>
      <c r="F14" s="16">
        <v>66.99</v>
      </c>
      <c r="G14" s="16">
        <v>78.84</v>
      </c>
      <c r="H14" s="17"/>
      <c r="I14" s="17"/>
      <c r="J14" s="68"/>
      <c r="K14" s="68"/>
    </row>
    <row r="15" spans="1:11">
      <c r="A15" s="1"/>
      <c r="B15" s="1"/>
      <c r="C15" s="1"/>
      <c r="D15" s="1"/>
      <c r="F15" s="75" t="s">
        <v>305</v>
      </c>
      <c r="G15" s="75"/>
      <c r="H15" s="75"/>
      <c r="I15" s="75"/>
      <c r="J15" s="75"/>
      <c r="K15" s="76">
        <f>SUM(K7:K14)</f>
        <v>569.46</v>
      </c>
    </row>
    <row r="16" spans="1:11">
      <c r="B16" s="78"/>
      <c r="C16" s="78"/>
      <c r="D16" s="78"/>
      <c r="E16" s="78"/>
      <c r="F16" s="79" t="s">
        <v>306</v>
      </c>
      <c r="G16" s="79"/>
      <c r="H16" s="79"/>
      <c r="I16" s="79"/>
      <c r="J16" s="79"/>
      <c r="K16" s="80">
        <v>12</v>
      </c>
    </row>
    <row r="17" spans="1:11">
      <c r="A17" s="73"/>
      <c r="B17" s="74"/>
      <c r="C17" s="73"/>
      <c r="D17" s="73"/>
      <c r="E17" s="81"/>
      <c r="F17" s="82" t="s">
        <v>307</v>
      </c>
      <c r="G17" s="82"/>
      <c r="H17" s="82"/>
      <c r="I17" s="82"/>
      <c r="J17" s="82"/>
      <c r="K17" s="83">
        <f>K15/K16</f>
        <v>47.46</v>
      </c>
    </row>
    <row r="18" spans="1:11">
      <c r="E18" s="134"/>
      <c r="F18" s="134"/>
      <c r="G18" s="134"/>
      <c r="H18" s="134"/>
      <c r="I18" s="134"/>
      <c r="J18" s="90"/>
      <c r="K18" s="90"/>
    </row>
    <row r="19" customFormat="1" ht="15" spans="1:11">
      <c r="A19" s="128" t="s">
        <v>308</v>
      </c>
      <c r="B19" s="129"/>
      <c r="C19" s="129"/>
      <c r="D19" s="129"/>
      <c r="E19" s="129"/>
      <c r="F19" s="129"/>
      <c r="G19" s="129"/>
      <c r="H19" s="129"/>
      <c r="I19" s="129"/>
      <c r="J19" s="129"/>
      <c r="K19" s="130"/>
    </row>
    <row r="20" customFormat="1" ht="15" spans="1:11">
      <c r="A20" s="64" t="s">
        <v>274</v>
      </c>
      <c r="B20" s="64" t="s">
        <v>275</v>
      </c>
      <c r="C20" s="64" t="s">
        <v>276</v>
      </c>
      <c r="D20" s="64" t="s">
        <v>277</v>
      </c>
      <c r="E20" s="63" t="s">
        <v>278</v>
      </c>
      <c r="F20" s="63"/>
      <c r="G20" s="63"/>
      <c r="H20" s="63"/>
      <c r="I20" s="63"/>
      <c r="J20" s="63"/>
      <c r="K20" s="131" t="s">
        <v>279</v>
      </c>
    </row>
    <row r="21" customFormat="1" ht="38.25" spans="1:11">
      <c r="A21" s="64"/>
      <c r="B21" s="64"/>
      <c r="C21" s="64"/>
      <c r="D21" s="64"/>
      <c r="E21" s="64" t="s">
        <v>280</v>
      </c>
      <c r="F21" s="64" t="s">
        <v>281</v>
      </c>
      <c r="G21" s="64" t="s">
        <v>282</v>
      </c>
      <c r="H21" s="64" t="s">
        <v>283</v>
      </c>
      <c r="I21" s="64" t="s">
        <v>284</v>
      </c>
      <c r="J21" s="63" t="s">
        <v>285</v>
      </c>
      <c r="K21" s="132"/>
    </row>
    <row r="22" customFormat="1" ht="51" spans="1:11">
      <c r="A22" s="70">
        <v>1</v>
      </c>
      <c r="B22" s="105" t="s">
        <v>309</v>
      </c>
      <c r="C22" s="70" t="s">
        <v>276</v>
      </c>
      <c r="D22" s="70">
        <f t="shared" ref="D22:D26" si="2">12/3</f>
        <v>4</v>
      </c>
      <c r="E22" s="15" t="s">
        <v>293</v>
      </c>
      <c r="F22" s="16" t="s">
        <v>310</v>
      </c>
      <c r="G22" s="16" t="s">
        <v>311</v>
      </c>
      <c r="H22" s="16" t="s">
        <v>312</v>
      </c>
      <c r="I22" s="16"/>
      <c r="J22" s="68">
        <f t="shared" ref="J22:J26" si="3">AVERAGE(E23:I23)</f>
        <v>33.06</v>
      </c>
      <c r="K22" s="68">
        <f t="shared" ref="K22:K26" si="4">D22*J22</f>
        <v>132.24</v>
      </c>
    </row>
    <row r="23" customFormat="1" ht="15" spans="1:11">
      <c r="A23" s="70"/>
      <c r="B23" s="102"/>
      <c r="C23" s="70"/>
      <c r="D23" s="70"/>
      <c r="E23" s="135">
        <v>28</v>
      </c>
      <c r="F23" s="135">
        <v>34.4</v>
      </c>
      <c r="G23" s="135">
        <v>34.62</v>
      </c>
      <c r="H23" s="135">
        <v>35.2</v>
      </c>
      <c r="I23" s="135"/>
      <c r="J23" s="68"/>
      <c r="K23" s="68"/>
    </row>
    <row r="24" customFormat="1" ht="38.25" spans="1:11">
      <c r="A24" s="70">
        <v>2</v>
      </c>
      <c r="B24" s="133" t="s">
        <v>292</v>
      </c>
      <c r="C24" s="70" t="s">
        <v>276</v>
      </c>
      <c r="D24" s="70">
        <f t="shared" si="2"/>
        <v>4</v>
      </c>
      <c r="E24" s="16" t="s">
        <v>293</v>
      </c>
      <c r="F24" s="15" t="s">
        <v>294</v>
      </c>
      <c r="G24" s="16" t="s">
        <v>295</v>
      </c>
      <c r="H24" s="16" t="s">
        <v>296</v>
      </c>
      <c r="I24" s="16" t="s">
        <v>297</v>
      </c>
      <c r="J24" s="68">
        <f t="shared" si="3"/>
        <v>73</v>
      </c>
      <c r="K24" s="68">
        <f t="shared" si="4"/>
        <v>292</v>
      </c>
    </row>
    <row r="25" customFormat="1" ht="15" spans="1:11">
      <c r="A25" s="70"/>
      <c r="B25" s="133"/>
      <c r="C25" s="70"/>
      <c r="D25" s="70"/>
      <c r="E25" s="16">
        <v>75</v>
      </c>
      <c r="F25" s="16">
        <v>70</v>
      </c>
      <c r="G25" s="16">
        <v>69</v>
      </c>
      <c r="H25" s="16">
        <v>72</v>
      </c>
      <c r="I25" s="16">
        <v>79</v>
      </c>
      <c r="J25" s="68"/>
      <c r="K25" s="68"/>
    </row>
    <row r="26" customFormat="1" ht="38.25" spans="1:11">
      <c r="A26" s="70">
        <v>3</v>
      </c>
      <c r="B26" s="133" t="s">
        <v>298</v>
      </c>
      <c r="C26" s="70" t="s">
        <v>299</v>
      </c>
      <c r="D26" s="70">
        <f t="shared" si="2"/>
        <v>4</v>
      </c>
      <c r="E26" s="15" t="s">
        <v>287</v>
      </c>
      <c r="F26" s="16" t="s">
        <v>300</v>
      </c>
      <c r="G26" s="16" t="s">
        <v>301</v>
      </c>
      <c r="H26" s="16"/>
      <c r="I26" s="16"/>
      <c r="J26" s="68">
        <f t="shared" si="3"/>
        <v>8.05</v>
      </c>
      <c r="K26" s="68">
        <f t="shared" si="4"/>
        <v>32.2</v>
      </c>
    </row>
    <row r="27" customFormat="1" ht="15" spans="1:11">
      <c r="A27" s="70"/>
      <c r="B27" s="133"/>
      <c r="C27" s="70"/>
      <c r="D27" s="70"/>
      <c r="E27" s="16">
        <v>10.65</v>
      </c>
      <c r="F27" s="16">
        <v>8.5</v>
      </c>
      <c r="G27" s="16">
        <v>5</v>
      </c>
      <c r="H27" s="16"/>
      <c r="I27" s="16"/>
      <c r="J27" s="68"/>
      <c r="K27" s="68"/>
    </row>
    <row r="28" customFormat="1" ht="38.25" spans="1:11">
      <c r="A28" s="70">
        <v>4</v>
      </c>
      <c r="B28" s="133" t="s">
        <v>302</v>
      </c>
      <c r="C28" s="70" t="s">
        <v>276</v>
      </c>
      <c r="D28" s="70">
        <f>12/6</f>
        <v>2</v>
      </c>
      <c r="E28" s="15" t="s">
        <v>303</v>
      </c>
      <c r="F28" s="16" t="s">
        <v>295</v>
      </c>
      <c r="G28" s="16" t="s">
        <v>304</v>
      </c>
      <c r="H28" s="16"/>
      <c r="I28" s="16"/>
      <c r="J28" s="68">
        <f>AVERAGE(E29:I29)</f>
        <v>73.94</v>
      </c>
      <c r="K28" s="68">
        <f>D28*J28</f>
        <v>147.88</v>
      </c>
    </row>
    <row r="29" customFormat="1" ht="15" spans="1:11">
      <c r="A29" s="70"/>
      <c r="B29" s="133"/>
      <c r="C29" s="70"/>
      <c r="D29" s="70"/>
      <c r="E29" s="16">
        <v>76</v>
      </c>
      <c r="F29" s="16">
        <v>66.99</v>
      </c>
      <c r="G29" s="16">
        <v>78.84</v>
      </c>
      <c r="H29" s="17"/>
      <c r="I29" s="17"/>
      <c r="J29" s="68"/>
      <c r="K29" s="68"/>
    </row>
    <row r="30" customFormat="1" ht="15" spans="1:11">
      <c r="A30" s="1"/>
      <c r="B30" s="1"/>
      <c r="C30" s="1"/>
      <c r="D30" s="1"/>
      <c r="E30" s="1"/>
      <c r="F30" s="75" t="s">
        <v>305</v>
      </c>
      <c r="G30" s="75"/>
      <c r="H30" s="75"/>
      <c r="I30" s="75"/>
      <c r="J30" s="75"/>
      <c r="K30" s="76">
        <f>SUM(K22:K29)</f>
        <v>604.32</v>
      </c>
    </row>
    <row r="31" customFormat="1" ht="15" spans="1:11">
      <c r="A31" s="77"/>
      <c r="B31" s="78"/>
      <c r="C31" s="78"/>
      <c r="D31" s="78"/>
      <c r="E31" s="78"/>
      <c r="F31" s="79" t="s">
        <v>306</v>
      </c>
      <c r="G31" s="79"/>
      <c r="H31" s="79"/>
      <c r="I31" s="79"/>
      <c r="J31" s="79"/>
      <c r="K31" s="80">
        <v>12</v>
      </c>
    </row>
    <row r="32" customFormat="1" ht="15" spans="1:11">
      <c r="A32" s="73"/>
      <c r="B32" s="74"/>
      <c r="C32" s="73"/>
      <c r="D32" s="73"/>
      <c r="E32" s="81"/>
      <c r="F32" s="82" t="s">
        <v>307</v>
      </c>
      <c r="G32" s="82"/>
      <c r="H32" s="82"/>
      <c r="I32" s="82"/>
      <c r="J32" s="82"/>
      <c r="K32" s="83">
        <f>K30/K31</f>
        <v>50.36</v>
      </c>
    </row>
    <row r="33" customFormat="1" ht="15" spans="1:11">
      <c r="A33" s="1"/>
      <c r="B33" s="1"/>
      <c r="C33" s="1"/>
      <c r="D33" s="1"/>
      <c r="E33" s="1"/>
      <c r="F33" s="1"/>
      <c r="G33" s="1"/>
      <c r="H33" s="1"/>
      <c r="I33" s="1"/>
      <c r="J33" s="1"/>
      <c r="K33" s="1"/>
    </row>
    <row r="34" spans="1:11">
      <c r="A34" s="64" t="s">
        <v>313</v>
      </c>
      <c r="B34" s="64"/>
      <c r="C34" s="64"/>
      <c r="D34" s="64"/>
      <c r="E34" s="64"/>
      <c r="F34" s="64"/>
      <c r="G34" s="64"/>
      <c r="H34" s="64"/>
      <c r="I34" s="64"/>
      <c r="J34" s="64"/>
      <c r="K34" s="64"/>
    </row>
    <row r="35" spans="1:11">
      <c r="A35" s="64" t="s">
        <v>274</v>
      </c>
      <c r="B35" s="64" t="s">
        <v>275</v>
      </c>
      <c r="C35" s="64" t="s">
        <v>276</v>
      </c>
      <c r="D35" s="64" t="s">
        <v>277</v>
      </c>
      <c r="E35" s="63" t="s">
        <v>278</v>
      </c>
      <c r="F35" s="63"/>
      <c r="G35" s="63"/>
      <c r="H35" s="63"/>
      <c r="I35" s="63"/>
      <c r="J35" s="63"/>
      <c r="K35" s="131" t="s">
        <v>279</v>
      </c>
    </row>
    <row r="36" ht="38.25" spans="1:11">
      <c r="A36" s="64"/>
      <c r="B36" s="64"/>
      <c r="C36" s="64"/>
      <c r="D36" s="64"/>
      <c r="E36" s="64" t="s">
        <v>280</v>
      </c>
      <c r="F36" s="64" t="s">
        <v>281</v>
      </c>
      <c r="G36" s="64" t="s">
        <v>282</v>
      </c>
      <c r="H36" s="64" t="s">
        <v>283</v>
      </c>
      <c r="I36" s="64" t="s">
        <v>284</v>
      </c>
      <c r="J36" s="63" t="s">
        <v>285</v>
      </c>
      <c r="K36" s="132"/>
    </row>
    <row r="37" ht="51" spans="1:11">
      <c r="A37" s="136">
        <v>1</v>
      </c>
      <c r="B37" s="105" t="s">
        <v>314</v>
      </c>
      <c r="C37" s="137" t="s">
        <v>276</v>
      </c>
      <c r="D37" s="137">
        <f>12/3</f>
        <v>4</v>
      </c>
      <c r="E37" s="16" t="s">
        <v>315</v>
      </c>
      <c r="F37" s="15" t="s">
        <v>316</v>
      </c>
      <c r="G37" s="23" t="s">
        <v>287</v>
      </c>
      <c r="H37" s="23" t="s">
        <v>317</v>
      </c>
      <c r="I37" s="23" t="s">
        <v>291</v>
      </c>
      <c r="J37" s="68">
        <f t="shared" ref="J37:J41" si="5">AVERAGE(E38:I38)</f>
        <v>59.23</v>
      </c>
      <c r="K37" s="68">
        <f t="shared" ref="K37:K41" si="6">D37*J37</f>
        <v>236.92</v>
      </c>
    </row>
    <row r="38" spans="1:11">
      <c r="A38" s="138"/>
      <c r="B38" s="102"/>
      <c r="C38" s="139"/>
      <c r="D38" s="139"/>
      <c r="E38" s="16">
        <v>65</v>
      </c>
      <c r="F38" s="16">
        <v>60</v>
      </c>
      <c r="G38" s="16">
        <v>57.28</v>
      </c>
      <c r="H38" s="16">
        <v>59.9</v>
      </c>
      <c r="I38" s="16">
        <v>53.99</v>
      </c>
      <c r="J38" s="68"/>
      <c r="K38" s="68"/>
    </row>
    <row r="39" ht="51" spans="1:11">
      <c r="A39" s="140">
        <v>2</v>
      </c>
      <c r="B39" s="99" t="s">
        <v>318</v>
      </c>
      <c r="C39" s="141" t="s">
        <v>276</v>
      </c>
      <c r="D39" s="141">
        <v>2</v>
      </c>
      <c r="E39" s="16" t="s">
        <v>287</v>
      </c>
      <c r="F39" s="15" t="s">
        <v>319</v>
      </c>
      <c r="G39" s="23" t="s">
        <v>320</v>
      </c>
      <c r="H39" s="23" t="s">
        <v>321</v>
      </c>
      <c r="I39" s="23" t="s">
        <v>322</v>
      </c>
      <c r="J39" s="68">
        <f t="shared" si="5"/>
        <v>72.5</v>
      </c>
      <c r="K39" s="68">
        <f t="shared" si="6"/>
        <v>145</v>
      </c>
    </row>
    <row r="40" spans="1:11">
      <c r="A40" s="138"/>
      <c r="B40" s="102"/>
      <c r="C40" s="139"/>
      <c r="D40" s="139"/>
      <c r="E40" s="16">
        <v>64</v>
      </c>
      <c r="F40" s="16">
        <v>73.7</v>
      </c>
      <c r="G40" s="16">
        <v>79.8</v>
      </c>
      <c r="H40" s="16">
        <v>75</v>
      </c>
      <c r="I40" s="16">
        <v>70</v>
      </c>
      <c r="J40" s="68"/>
      <c r="K40" s="68"/>
    </row>
    <row r="41" ht="51" spans="1:11">
      <c r="A41" s="140">
        <v>3</v>
      </c>
      <c r="B41" s="99" t="s">
        <v>323</v>
      </c>
      <c r="C41" s="141" t="s">
        <v>276</v>
      </c>
      <c r="D41" s="141">
        <v>1</v>
      </c>
      <c r="E41" s="15" t="s">
        <v>324</v>
      </c>
      <c r="F41" s="16" t="s">
        <v>325</v>
      </c>
      <c r="G41" s="15" t="s">
        <v>326</v>
      </c>
      <c r="H41" s="15" t="s">
        <v>327</v>
      </c>
      <c r="I41" s="15"/>
      <c r="J41" s="68">
        <f t="shared" si="5"/>
        <v>32.22</v>
      </c>
      <c r="K41" s="68">
        <f t="shared" si="6"/>
        <v>32.22</v>
      </c>
    </row>
    <row r="42" spans="1:11">
      <c r="A42" s="138"/>
      <c r="B42" s="102"/>
      <c r="C42" s="139"/>
      <c r="D42" s="139"/>
      <c r="E42" s="16">
        <v>31.9</v>
      </c>
      <c r="F42" s="16">
        <v>33</v>
      </c>
      <c r="G42" s="16">
        <v>29</v>
      </c>
      <c r="H42" s="16">
        <v>34.98</v>
      </c>
      <c r="I42" s="16"/>
      <c r="J42" s="68"/>
      <c r="K42" s="68"/>
    </row>
    <row r="43" ht="38.25" spans="1:11">
      <c r="A43" s="140">
        <v>4</v>
      </c>
      <c r="B43" s="99" t="s">
        <v>328</v>
      </c>
      <c r="C43" s="141" t="s">
        <v>299</v>
      </c>
      <c r="D43" s="141">
        <v>4</v>
      </c>
      <c r="E43" s="15" t="s">
        <v>287</v>
      </c>
      <c r="F43" s="16" t="s">
        <v>300</v>
      </c>
      <c r="G43" s="16" t="s">
        <v>301</v>
      </c>
      <c r="H43" s="16"/>
      <c r="I43" s="16"/>
      <c r="J43" s="68">
        <f>AVERAGE(E44:I44)</f>
        <v>8.05</v>
      </c>
      <c r="K43" s="68">
        <f>D43*J43</f>
        <v>32.2</v>
      </c>
    </row>
    <row r="44" spans="1:11">
      <c r="A44" s="138"/>
      <c r="B44" s="102"/>
      <c r="C44" s="139"/>
      <c r="D44" s="139"/>
      <c r="E44" s="16">
        <v>10.65</v>
      </c>
      <c r="F44" s="16">
        <v>8.5</v>
      </c>
      <c r="G44" s="16">
        <v>5</v>
      </c>
      <c r="H44" s="16"/>
      <c r="I44" s="16"/>
      <c r="J44" s="68"/>
      <c r="K44" s="68"/>
    </row>
    <row r="45" ht="51" spans="1:11">
      <c r="A45" s="136">
        <v>5</v>
      </c>
      <c r="B45" s="105" t="s">
        <v>329</v>
      </c>
      <c r="C45" s="137" t="s">
        <v>299</v>
      </c>
      <c r="D45" s="137">
        <v>2</v>
      </c>
      <c r="E45" s="16" t="s">
        <v>330</v>
      </c>
      <c r="F45" s="15" t="s">
        <v>295</v>
      </c>
      <c r="G45" s="23" t="s">
        <v>331</v>
      </c>
      <c r="H45" s="23" t="s">
        <v>332</v>
      </c>
      <c r="I45" s="23"/>
      <c r="J45" s="68">
        <f>AVERAGE(E46:I46)</f>
        <v>108.36</v>
      </c>
      <c r="K45" s="68">
        <f>D45*J45</f>
        <v>216.72</v>
      </c>
    </row>
    <row r="46" spans="1:11">
      <c r="A46" s="138"/>
      <c r="B46" s="102"/>
      <c r="C46" s="139"/>
      <c r="D46" s="139"/>
      <c r="E46" s="16">
        <v>107.67</v>
      </c>
      <c r="F46" s="16">
        <v>113.98</v>
      </c>
      <c r="G46" s="16">
        <v>100</v>
      </c>
      <c r="H46" s="16">
        <v>111.8</v>
      </c>
      <c r="I46" s="16"/>
      <c r="J46" s="68"/>
      <c r="K46" s="68"/>
    </row>
    <row r="47" spans="1:11">
      <c r="A47" s="1"/>
      <c r="B47" s="1"/>
      <c r="C47" s="1"/>
      <c r="D47" s="1"/>
      <c r="F47" s="75" t="s">
        <v>305</v>
      </c>
      <c r="G47" s="75"/>
      <c r="H47" s="75"/>
      <c r="I47" s="75"/>
      <c r="J47" s="75"/>
      <c r="K47" s="76">
        <f>SUM(K37:K46)</f>
        <v>663.06</v>
      </c>
    </row>
    <row r="48" spans="1:11">
      <c r="B48" s="78"/>
      <c r="C48" s="78"/>
      <c r="D48" s="78"/>
      <c r="E48" s="78"/>
      <c r="F48" s="79" t="s">
        <v>306</v>
      </c>
      <c r="G48" s="79"/>
      <c r="H48" s="79"/>
      <c r="I48" s="79"/>
      <c r="J48" s="79"/>
      <c r="K48" s="80">
        <v>12</v>
      </c>
    </row>
    <row r="49" spans="1:11">
      <c r="A49" s="73"/>
      <c r="B49" s="74"/>
      <c r="C49" s="73"/>
      <c r="D49" s="73"/>
      <c r="E49" s="81"/>
      <c r="F49" s="82" t="s">
        <v>307</v>
      </c>
      <c r="G49" s="82"/>
      <c r="H49" s="82"/>
      <c r="I49" s="82"/>
      <c r="J49" s="82"/>
      <c r="K49" s="83">
        <f>K47/K48</f>
        <v>55.26</v>
      </c>
    </row>
    <row r="50" spans="1:11">
      <c r="E50" s="134"/>
      <c r="F50" s="134"/>
      <c r="G50" s="134"/>
      <c r="H50" s="134"/>
      <c r="I50" s="134"/>
      <c r="J50" s="90"/>
      <c r="K50" s="90"/>
    </row>
    <row r="51" spans="1:11">
      <c r="A51" s="64" t="s">
        <v>333</v>
      </c>
      <c r="B51" s="64"/>
      <c r="C51" s="64"/>
      <c r="D51" s="64"/>
      <c r="E51" s="64"/>
      <c r="F51" s="64"/>
      <c r="G51" s="64"/>
      <c r="H51" s="64"/>
      <c r="I51" s="64"/>
      <c r="J51" s="64"/>
      <c r="K51" s="64"/>
    </row>
    <row r="52" spans="1:11">
      <c r="A52" s="64" t="s">
        <v>274</v>
      </c>
      <c r="B52" s="64" t="s">
        <v>275</v>
      </c>
      <c r="C52" s="64" t="s">
        <v>276</v>
      </c>
      <c r="D52" s="64" t="s">
        <v>277</v>
      </c>
      <c r="E52" s="63" t="s">
        <v>278</v>
      </c>
      <c r="F52" s="63"/>
      <c r="G52" s="63"/>
      <c r="H52" s="63"/>
      <c r="I52" s="63"/>
      <c r="J52" s="63"/>
      <c r="K52" s="131" t="s">
        <v>279</v>
      </c>
    </row>
    <row r="53" ht="38.25" spans="1:11">
      <c r="A53" s="64"/>
      <c r="B53" s="64"/>
      <c r="C53" s="64"/>
      <c r="D53" s="64"/>
      <c r="E53" s="64" t="s">
        <v>280</v>
      </c>
      <c r="F53" s="64" t="s">
        <v>281</v>
      </c>
      <c r="G53" s="64" t="s">
        <v>282</v>
      </c>
      <c r="H53" s="64" t="s">
        <v>283</v>
      </c>
      <c r="I53" s="64" t="s">
        <v>284</v>
      </c>
      <c r="J53" s="63" t="s">
        <v>285</v>
      </c>
      <c r="K53" s="132"/>
    </row>
    <row r="54" ht="51" spans="1:11">
      <c r="A54" s="137">
        <v>1</v>
      </c>
      <c r="B54" s="105" t="s">
        <v>309</v>
      </c>
      <c r="C54" s="137" t="s">
        <v>276</v>
      </c>
      <c r="D54" s="141">
        <f>12/3</f>
        <v>4</v>
      </c>
      <c r="E54" s="15" t="s">
        <v>293</v>
      </c>
      <c r="F54" s="16" t="s">
        <v>310</v>
      </c>
      <c r="G54" s="16" t="s">
        <v>311</v>
      </c>
      <c r="H54" s="16" t="s">
        <v>312</v>
      </c>
      <c r="I54" s="16"/>
      <c r="J54" s="68">
        <f t="shared" ref="J54:J58" si="7">AVERAGE(E55:I55)</f>
        <v>33.06</v>
      </c>
      <c r="K54" s="68">
        <f>D54*J54</f>
        <v>132.24</v>
      </c>
    </row>
    <row r="55" s="126" customFormat="1" spans="1:11">
      <c r="A55" s="139"/>
      <c r="B55" s="102"/>
      <c r="C55" s="139"/>
      <c r="D55" s="139"/>
      <c r="E55" s="135">
        <v>28</v>
      </c>
      <c r="F55" s="135">
        <v>34.4</v>
      </c>
      <c r="G55" s="135">
        <v>34.62</v>
      </c>
      <c r="H55" s="135">
        <v>35.2</v>
      </c>
      <c r="I55" s="135"/>
      <c r="J55" s="68"/>
      <c r="K55" s="68"/>
    </row>
    <row r="56" s="126" customFormat="1" ht="38.25" spans="1:11">
      <c r="A56" s="141">
        <v>2</v>
      </c>
      <c r="B56" s="105" t="s">
        <v>334</v>
      </c>
      <c r="C56" s="137" t="s">
        <v>276</v>
      </c>
      <c r="D56" s="137">
        <f>12/3</f>
        <v>4</v>
      </c>
      <c r="E56" s="16" t="s">
        <v>293</v>
      </c>
      <c r="F56" s="15" t="s">
        <v>294</v>
      </c>
      <c r="G56" s="16" t="s">
        <v>295</v>
      </c>
      <c r="H56" s="16" t="s">
        <v>296</v>
      </c>
      <c r="I56" s="16" t="s">
        <v>297</v>
      </c>
      <c r="J56" s="68">
        <f t="shared" si="7"/>
        <v>73</v>
      </c>
      <c r="K56" s="68">
        <f t="shared" ref="K56:K58" si="8">D56*J56</f>
        <v>292</v>
      </c>
    </row>
    <row r="57" s="126" customFormat="1" spans="1:11">
      <c r="A57" s="139"/>
      <c r="B57" s="102"/>
      <c r="C57" s="139"/>
      <c r="D57" s="139"/>
      <c r="E57" s="16">
        <v>75</v>
      </c>
      <c r="F57" s="16">
        <v>70</v>
      </c>
      <c r="G57" s="16">
        <v>69</v>
      </c>
      <c r="H57" s="16">
        <v>72</v>
      </c>
      <c r="I57" s="16">
        <v>79</v>
      </c>
      <c r="J57" s="68"/>
      <c r="K57" s="68"/>
    </row>
    <row r="58" s="126" customFormat="1" ht="38.25" spans="1:11">
      <c r="A58" s="137">
        <v>3</v>
      </c>
      <c r="B58" s="142" t="s">
        <v>335</v>
      </c>
      <c r="C58" s="137" t="s">
        <v>299</v>
      </c>
      <c r="D58" s="104">
        <f>12/2</f>
        <v>6</v>
      </c>
      <c r="E58" s="15" t="s">
        <v>287</v>
      </c>
      <c r="F58" s="16" t="s">
        <v>300</v>
      </c>
      <c r="G58" s="16" t="s">
        <v>301</v>
      </c>
      <c r="H58" s="16"/>
      <c r="I58" s="16"/>
      <c r="J58" s="68">
        <f t="shared" si="7"/>
        <v>8.05</v>
      </c>
      <c r="K58" s="68">
        <f t="shared" si="8"/>
        <v>48.3</v>
      </c>
    </row>
    <row r="59" s="126" customFormat="1" spans="1:11">
      <c r="A59" s="139"/>
      <c r="B59" s="121"/>
      <c r="C59" s="137"/>
      <c r="D59" s="101"/>
      <c r="E59" s="16">
        <v>10.65</v>
      </c>
      <c r="F59" s="16">
        <v>8.5</v>
      </c>
      <c r="G59" s="16">
        <v>5</v>
      </c>
      <c r="H59" s="16"/>
      <c r="I59" s="16"/>
      <c r="J59" s="68"/>
      <c r="K59" s="68"/>
    </row>
    <row r="60" s="126" customFormat="1" ht="51" spans="1:11">
      <c r="A60" s="141">
        <v>4</v>
      </c>
      <c r="B60" s="119" t="s">
        <v>336</v>
      </c>
      <c r="C60" s="141" t="s">
        <v>299</v>
      </c>
      <c r="D60" s="98">
        <f>12/6</f>
        <v>2</v>
      </c>
      <c r="E60" s="23" t="s">
        <v>337</v>
      </c>
      <c r="F60" s="16" t="s">
        <v>295</v>
      </c>
      <c r="G60" s="15" t="s">
        <v>338</v>
      </c>
      <c r="H60" s="15" t="s">
        <v>324</v>
      </c>
      <c r="I60" s="15"/>
      <c r="J60" s="68">
        <f>AVERAGE(E61:I61)</f>
        <v>112.73</v>
      </c>
      <c r="K60" s="68">
        <f>D60*J60</f>
        <v>225.46</v>
      </c>
    </row>
    <row r="61" s="126" customFormat="1" spans="1:11">
      <c r="A61" s="139"/>
      <c r="B61" s="121"/>
      <c r="C61" s="137"/>
      <c r="D61" s="101"/>
      <c r="E61" s="16">
        <v>105</v>
      </c>
      <c r="F61" s="16">
        <v>116.9</v>
      </c>
      <c r="G61" s="16">
        <v>113</v>
      </c>
      <c r="H61" s="16">
        <v>116</v>
      </c>
      <c r="I61" s="16"/>
      <c r="J61" s="68"/>
      <c r="K61" s="68"/>
    </row>
    <row r="62" s="126" customFormat="1" ht="51" spans="1:11">
      <c r="A62" s="141">
        <v>5</v>
      </c>
      <c r="B62" s="119" t="s">
        <v>339</v>
      </c>
      <c r="C62" s="141" t="s">
        <v>276</v>
      </c>
      <c r="D62" s="98">
        <f>12/6</f>
        <v>2</v>
      </c>
      <c r="E62" s="15" t="s">
        <v>295</v>
      </c>
      <c r="F62" s="16" t="s">
        <v>340</v>
      </c>
      <c r="G62" s="15" t="s">
        <v>341</v>
      </c>
      <c r="H62" s="23"/>
      <c r="I62" s="23"/>
      <c r="J62" s="68">
        <f>AVERAGE(E63:I63)</f>
        <v>46.33</v>
      </c>
      <c r="K62" s="68">
        <f>D62*J62</f>
        <v>92.66</v>
      </c>
    </row>
    <row r="63" s="126" customFormat="1" spans="1:11">
      <c r="A63" s="139"/>
      <c r="B63" s="121"/>
      <c r="C63" s="139"/>
      <c r="D63" s="101"/>
      <c r="E63" s="16">
        <v>50</v>
      </c>
      <c r="F63" s="16">
        <v>45</v>
      </c>
      <c r="G63" s="16">
        <v>44</v>
      </c>
      <c r="H63" s="16"/>
      <c r="I63" s="16"/>
      <c r="J63" s="68"/>
      <c r="K63" s="68"/>
    </row>
    <row r="64" spans="1:11">
      <c r="A64" s="1"/>
      <c r="B64" s="1"/>
      <c r="C64" s="1"/>
      <c r="D64" s="1"/>
      <c r="F64" s="75" t="s">
        <v>305</v>
      </c>
      <c r="G64" s="75"/>
      <c r="H64" s="75"/>
      <c r="I64" s="75"/>
      <c r="J64" s="75"/>
      <c r="K64" s="76">
        <f>SUM(K54:K63)</f>
        <v>790.66</v>
      </c>
    </row>
    <row r="65" spans="1:11">
      <c r="B65" s="78"/>
      <c r="C65" s="78"/>
      <c r="D65" s="78"/>
      <c r="E65" s="78"/>
      <c r="F65" s="79" t="s">
        <v>306</v>
      </c>
      <c r="G65" s="79"/>
      <c r="H65" s="79"/>
      <c r="I65" s="79"/>
      <c r="J65" s="79"/>
      <c r="K65" s="80">
        <v>12</v>
      </c>
    </row>
    <row r="66" spans="1:11">
      <c r="A66" s="73"/>
      <c r="B66" s="74"/>
      <c r="C66" s="73"/>
      <c r="D66" s="73"/>
      <c r="E66" s="81"/>
      <c r="F66" s="82" t="s">
        <v>307</v>
      </c>
      <c r="G66" s="82"/>
      <c r="H66" s="82"/>
      <c r="I66" s="82"/>
      <c r="J66" s="82"/>
      <c r="K66" s="83">
        <f>K64/K65</f>
        <v>65.89</v>
      </c>
    </row>
    <row r="67" spans="1:11">
      <c r="A67" s="143"/>
      <c r="B67" s="143"/>
      <c r="C67" s="143"/>
      <c r="D67" s="143"/>
      <c r="E67" s="144"/>
      <c r="F67" s="134"/>
      <c r="G67" s="134"/>
      <c r="H67" s="134"/>
      <c r="I67" s="134"/>
      <c r="J67" s="90"/>
      <c r="K67" s="90"/>
    </row>
  </sheetData>
  <mergeCells count="150">
    <mergeCell ref="A1:K1"/>
    <mergeCell ref="A2:K2"/>
    <mergeCell ref="A4:K4"/>
    <mergeCell ref="E5:J5"/>
    <mergeCell ref="F15:J15"/>
    <mergeCell ref="F16:J16"/>
    <mergeCell ref="F17:J17"/>
    <mergeCell ref="A19:K19"/>
    <mergeCell ref="E20:J20"/>
    <mergeCell ref="F30:J30"/>
    <mergeCell ref="F31:J31"/>
    <mergeCell ref="F32:J32"/>
    <mergeCell ref="A34:J34"/>
    <mergeCell ref="E35:J35"/>
    <mergeCell ref="F47:J47"/>
    <mergeCell ref="F48:J48"/>
    <mergeCell ref="F49:J49"/>
    <mergeCell ref="A51:J51"/>
    <mergeCell ref="E52:J52"/>
    <mergeCell ref="F64:J64"/>
    <mergeCell ref="F65:J65"/>
    <mergeCell ref="F66:J66"/>
    <mergeCell ref="A5:A6"/>
    <mergeCell ref="A7:A8"/>
    <mergeCell ref="A9:A10"/>
    <mergeCell ref="A11:A12"/>
    <mergeCell ref="A13:A14"/>
    <mergeCell ref="A20:A21"/>
    <mergeCell ref="A22:A23"/>
    <mergeCell ref="A24:A25"/>
    <mergeCell ref="A26:A27"/>
    <mergeCell ref="A28:A29"/>
    <mergeCell ref="A35:A36"/>
    <mergeCell ref="A37:A38"/>
    <mergeCell ref="A39:A40"/>
    <mergeCell ref="A41:A42"/>
    <mergeCell ref="A43:A44"/>
    <mergeCell ref="A45:A46"/>
    <mergeCell ref="A52:A53"/>
    <mergeCell ref="A54:A55"/>
    <mergeCell ref="A56:A57"/>
    <mergeCell ref="A58:A59"/>
    <mergeCell ref="A60:A61"/>
    <mergeCell ref="A62:A63"/>
    <mergeCell ref="B5:B6"/>
    <mergeCell ref="B7:B8"/>
    <mergeCell ref="B9:B10"/>
    <mergeCell ref="B11:B12"/>
    <mergeCell ref="B13:B14"/>
    <mergeCell ref="B20:B21"/>
    <mergeCell ref="B22:B23"/>
    <mergeCell ref="B24:B25"/>
    <mergeCell ref="B26:B27"/>
    <mergeCell ref="B28:B29"/>
    <mergeCell ref="B35:B36"/>
    <mergeCell ref="B37:B38"/>
    <mergeCell ref="B39:B40"/>
    <mergeCell ref="B41:B42"/>
    <mergeCell ref="B43:B44"/>
    <mergeCell ref="B45:B46"/>
    <mergeCell ref="B52:B53"/>
    <mergeCell ref="B54:B55"/>
    <mergeCell ref="B56:B57"/>
    <mergeCell ref="B58:B59"/>
    <mergeCell ref="B60:B61"/>
    <mergeCell ref="B62:B63"/>
    <mergeCell ref="C5:C6"/>
    <mergeCell ref="C7:C8"/>
    <mergeCell ref="C9:C10"/>
    <mergeCell ref="C11:C12"/>
    <mergeCell ref="C13:C14"/>
    <mergeCell ref="C20:C21"/>
    <mergeCell ref="C22:C23"/>
    <mergeCell ref="C24:C25"/>
    <mergeCell ref="C26:C27"/>
    <mergeCell ref="C28:C29"/>
    <mergeCell ref="C35:C36"/>
    <mergeCell ref="C37:C38"/>
    <mergeCell ref="C39:C40"/>
    <mergeCell ref="C41:C42"/>
    <mergeCell ref="C43:C44"/>
    <mergeCell ref="C45:C46"/>
    <mergeCell ref="C52:C53"/>
    <mergeCell ref="C54:C55"/>
    <mergeCell ref="C56:C57"/>
    <mergeCell ref="C58:C59"/>
    <mergeCell ref="C60:C61"/>
    <mergeCell ref="C62:C63"/>
    <mergeCell ref="D5:D6"/>
    <mergeCell ref="D7:D8"/>
    <mergeCell ref="D9:D10"/>
    <mergeCell ref="D11:D12"/>
    <mergeCell ref="D13:D14"/>
    <mergeCell ref="D20:D21"/>
    <mergeCell ref="D22:D23"/>
    <mergeCell ref="D24:D25"/>
    <mergeCell ref="D26:D27"/>
    <mergeCell ref="D28:D29"/>
    <mergeCell ref="D35:D36"/>
    <mergeCell ref="D37:D38"/>
    <mergeCell ref="D39:D40"/>
    <mergeCell ref="D41:D42"/>
    <mergeCell ref="D43:D44"/>
    <mergeCell ref="D45:D46"/>
    <mergeCell ref="D52:D53"/>
    <mergeCell ref="D54:D55"/>
    <mergeCell ref="D56:D57"/>
    <mergeCell ref="D58:D59"/>
    <mergeCell ref="D60:D61"/>
    <mergeCell ref="D62:D63"/>
    <mergeCell ref="J7:J8"/>
    <mergeCell ref="J9:J10"/>
    <mergeCell ref="J11:J12"/>
    <mergeCell ref="J13:J14"/>
    <mergeCell ref="J22:J23"/>
    <mergeCell ref="J24:J25"/>
    <mergeCell ref="J26:J27"/>
    <mergeCell ref="J28:J29"/>
    <mergeCell ref="J37:J38"/>
    <mergeCell ref="J39:J40"/>
    <mergeCell ref="J41:J42"/>
    <mergeCell ref="J43:J44"/>
    <mergeCell ref="J45:J46"/>
    <mergeCell ref="J54:J55"/>
    <mergeCell ref="J56:J57"/>
    <mergeCell ref="J58:J59"/>
    <mergeCell ref="J60:J61"/>
    <mergeCell ref="J62:J63"/>
    <mergeCell ref="K5:K6"/>
    <mergeCell ref="K7:K8"/>
    <mergeCell ref="K9:K10"/>
    <mergeCell ref="K11:K12"/>
    <mergeCell ref="K13:K14"/>
    <mergeCell ref="K20:K21"/>
    <mergeCell ref="K22:K23"/>
    <mergeCell ref="K24:K25"/>
    <mergeCell ref="K26:K27"/>
    <mergeCell ref="K28:K29"/>
    <mergeCell ref="K35:K36"/>
    <mergeCell ref="K37:K38"/>
    <mergeCell ref="K39:K40"/>
    <mergeCell ref="K41:K42"/>
    <mergeCell ref="K43:K44"/>
    <mergeCell ref="K45:K46"/>
    <mergeCell ref="K52:K53"/>
    <mergeCell ref="K54:K55"/>
    <mergeCell ref="K56:K57"/>
    <mergeCell ref="K58:K59"/>
    <mergeCell ref="K60:K61"/>
    <mergeCell ref="K62:K63"/>
  </mergeCells>
  <pageMargins left="0.393055555555556" right="0.393055555555556" top="0.590277777777778" bottom="0.393055555555556" header="0.196527777777778" footer="0.196527777777778"/>
  <pageSetup paperSize="9" scale="55"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799981688894314"/>
  </sheetPr>
  <dimension ref="A1:M65"/>
  <sheetViews>
    <sheetView view="pageBreakPreview" zoomScale="70" zoomScaleNormal="70" topLeftCell="A45" workbookViewId="0">
      <selection activeCell="M40" sqref="M40"/>
    </sheetView>
  </sheetViews>
  <sheetFormatPr defaultColWidth="9.14285714285714" defaultRowHeight="12.75"/>
  <cols>
    <col min="1" max="1" width="5" style="77" customWidth="1"/>
    <col min="2" max="2" width="22.7142857142857" style="84" customWidth="1"/>
    <col min="3" max="3" width="9.71428571428571" style="77" customWidth="1"/>
    <col min="4" max="4" width="13.5714285714286" style="77" customWidth="1"/>
    <col min="5" max="9" width="29.1428571428571" style="1" customWidth="1"/>
    <col min="10" max="12" width="14.2857142857143" style="1" customWidth="1"/>
    <col min="13" max="13" width="12.2857142857143" style="1" customWidth="1"/>
    <col min="14" max="16384" width="9.14285714285714" style="1"/>
  </cols>
  <sheetData>
    <row r="1" ht="18" spans="1:11">
      <c r="A1" s="5" t="str">
        <f>'SEMAD e AGEHAB TOTALIZADOR'!A1</f>
        <v>SEMAD</v>
      </c>
      <c r="B1" s="5"/>
      <c r="C1" s="5"/>
      <c r="D1" s="5"/>
      <c r="E1" s="5"/>
      <c r="F1" s="5"/>
      <c r="G1" s="5"/>
      <c r="H1" s="5"/>
      <c r="I1" s="5"/>
      <c r="J1" s="5"/>
      <c r="K1" s="5"/>
    </row>
    <row r="2" ht="18" spans="1:11">
      <c r="A2" s="5" t="s">
        <v>342</v>
      </c>
      <c r="B2" s="5"/>
      <c r="C2" s="5"/>
      <c r="D2" s="5"/>
      <c r="E2" s="5"/>
      <c r="F2" s="5"/>
      <c r="G2" s="5"/>
      <c r="H2" s="5"/>
      <c r="I2" s="5"/>
      <c r="J2" s="5"/>
      <c r="K2" s="5"/>
    </row>
    <row r="3" ht="15.75" spans="1:11">
      <c r="A3" s="87"/>
      <c r="B3" s="87"/>
      <c r="C3" s="87"/>
      <c r="D3" s="87"/>
      <c r="E3" s="146"/>
      <c r="F3" s="134"/>
      <c r="G3" s="134"/>
      <c r="H3" s="134"/>
      <c r="I3" s="134"/>
      <c r="J3" s="90"/>
    </row>
    <row r="4" spans="1:11">
      <c r="A4" s="94" t="s">
        <v>273</v>
      </c>
      <c r="B4" s="94"/>
      <c r="C4" s="94"/>
      <c r="D4" s="94"/>
      <c r="E4" s="94"/>
      <c r="F4" s="94"/>
      <c r="G4" s="94"/>
      <c r="H4" s="94"/>
      <c r="I4" s="94"/>
      <c r="J4" s="94"/>
      <c r="K4" s="94"/>
    </row>
    <row r="5" spans="1:11">
      <c r="A5" s="94" t="s">
        <v>274</v>
      </c>
      <c r="B5" s="94" t="s">
        <v>275</v>
      </c>
      <c r="C5" s="94" t="s">
        <v>276</v>
      </c>
      <c r="D5" s="94" t="s">
        <v>277</v>
      </c>
      <c r="E5" s="95" t="s">
        <v>278</v>
      </c>
      <c r="F5" s="95"/>
      <c r="G5" s="95"/>
      <c r="H5" s="95"/>
      <c r="I5" s="95"/>
      <c r="J5" s="95"/>
      <c r="K5" s="96" t="s">
        <v>279</v>
      </c>
    </row>
    <row r="6" ht="38.25" spans="1:11">
      <c r="A6" s="94"/>
      <c r="B6" s="94"/>
      <c r="C6" s="94"/>
      <c r="D6" s="94"/>
      <c r="E6" s="94" t="s">
        <v>280</v>
      </c>
      <c r="F6" s="94" t="s">
        <v>281</v>
      </c>
      <c r="G6" s="94" t="s">
        <v>282</v>
      </c>
      <c r="H6" s="94" t="s">
        <v>283</v>
      </c>
      <c r="I6" s="94" t="s">
        <v>284</v>
      </c>
      <c r="J6" s="95" t="s">
        <v>285</v>
      </c>
      <c r="K6" s="97"/>
    </row>
    <row r="7" ht="38.25" spans="1:11">
      <c r="A7" s="98">
        <v>1</v>
      </c>
      <c r="B7" s="99" t="s">
        <v>343</v>
      </c>
      <c r="C7" s="100" t="s">
        <v>276</v>
      </c>
      <c r="D7" s="98">
        <f>12/2</f>
        <v>6</v>
      </c>
      <c r="E7" s="16" t="s">
        <v>344</v>
      </c>
      <c r="F7" s="16" t="s">
        <v>295</v>
      </c>
      <c r="G7" s="16" t="s">
        <v>345</v>
      </c>
      <c r="H7" s="16" t="s">
        <v>346</v>
      </c>
      <c r="I7" s="16" t="s">
        <v>347</v>
      </c>
      <c r="J7" s="68">
        <f t="shared" ref="J7:J11" si="0">AVERAGE(E8:I8)</f>
        <v>6.46</v>
      </c>
      <c r="K7" s="68">
        <f>D7*J7</f>
        <v>38.76</v>
      </c>
    </row>
    <row r="8" spans="1:11">
      <c r="A8" s="101"/>
      <c r="B8" s="102"/>
      <c r="C8" s="103"/>
      <c r="D8" s="101"/>
      <c r="E8" s="16">
        <v>4.39</v>
      </c>
      <c r="F8" s="16">
        <v>9.9</v>
      </c>
      <c r="G8" s="16">
        <v>6</v>
      </c>
      <c r="H8" s="16">
        <v>6</v>
      </c>
      <c r="I8" s="16">
        <v>5.99</v>
      </c>
      <c r="J8" s="68"/>
      <c r="K8" s="68"/>
    </row>
    <row r="9" ht="38.25" spans="1:11">
      <c r="A9" s="104">
        <v>2</v>
      </c>
      <c r="B9" s="105" t="s">
        <v>348</v>
      </c>
      <c r="C9" s="106" t="s">
        <v>299</v>
      </c>
      <c r="D9" s="104">
        <v>24</v>
      </c>
      <c r="E9" s="16" t="s">
        <v>349</v>
      </c>
      <c r="F9" s="16" t="s">
        <v>350</v>
      </c>
      <c r="G9" s="15" t="s">
        <v>351</v>
      </c>
      <c r="H9" s="15" t="s">
        <v>352</v>
      </c>
      <c r="I9" s="15"/>
      <c r="J9" s="68">
        <f t="shared" si="0"/>
        <v>6.61</v>
      </c>
      <c r="K9" s="68">
        <f t="shared" ref="K9:K11" si="1">D9*J9</f>
        <v>158.64</v>
      </c>
    </row>
    <row r="10" spans="1:11">
      <c r="A10" s="101"/>
      <c r="B10" s="102"/>
      <c r="C10" s="107"/>
      <c r="D10" s="101"/>
      <c r="E10" s="16">
        <v>6</v>
      </c>
      <c r="F10" s="16">
        <v>6.95</v>
      </c>
      <c r="G10" s="16">
        <v>7</v>
      </c>
      <c r="H10" s="16">
        <v>6.48</v>
      </c>
      <c r="I10" s="16"/>
      <c r="J10" s="68"/>
      <c r="K10" s="68"/>
    </row>
    <row r="11" ht="38.25" spans="1:11">
      <c r="A11" s="104">
        <v>3</v>
      </c>
      <c r="B11" s="105" t="s">
        <v>353</v>
      </c>
      <c r="C11" s="106" t="s">
        <v>354</v>
      </c>
      <c r="D11" s="104">
        <v>6</v>
      </c>
      <c r="E11" s="16" t="s">
        <v>355</v>
      </c>
      <c r="F11" s="16" t="s">
        <v>356</v>
      </c>
      <c r="G11" s="15" t="s">
        <v>357</v>
      </c>
      <c r="H11" s="15" t="s">
        <v>358</v>
      </c>
      <c r="I11" s="15"/>
      <c r="J11" s="68">
        <f t="shared" si="0"/>
        <v>5.84</v>
      </c>
      <c r="K11" s="68">
        <f t="shared" si="1"/>
        <v>35.04</v>
      </c>
    </row>
    <row r="12" spans="1:11">
      <c r="A12" s="101"/>
      <c r="B12" s="102"/>
      <c r="C12" s="107"/>
      <c r="D12" s="101"/>
      <c r="E12" s="16">
        <v>8.51</v>
      </c>
      <c r="F12" s="16">
        <v>4.39</v>
      </c>
      <c r="G12" s="16">
        <v>5.99</v>
      </c>
      <c r="H12" s="16">
        <v>4.45</v>
      </c>
      <c r="I12" s="16"/>
      <c r="J12" s="68"/>
      <c r="K12" s="68"/>
    </row>
    <row r="13" ht="51" spans="1:11">
      <c r="A13" s="104">
        <v>4</v>
      </c>
      <c r="B13" s="108" t="s">
        <v>359</v>
      </c>
      <c r="C13" s="106" t="s">
        <v>299</v>
      </c>
      <c r="D13" s="109">
        <f>12/4</f>
        <v>3</v>
      </c>
      <c r="E13" s="16" t="s">
        <v>360</v>
      </c>
      <c r="F13" s="15" t="s">
        <v>324</v>
      </c>
      <c r="G13" s="15" t="s">
        <v>295</v>
      </c>
      <c r="H13" s="15" t="s">
        <v>361</v>
      </c>
      <c r="I13" s="15" t="s">
        <v>362</v>
      </c>
      <c r="J13" s="68">
        <f>AVERAGE(E14:I14)</f>
        <v>49.44</v>
      </c>
      <c r="K13" s="68">
        <f>D13*J13</f>
        <v>148.32</v>
      </c>
    </row>
    <row r="14" spans="1:11">
      <c r="A14" s="101"/>
      <c r="B14" s="110"/>
      <c r="C14" s="107"/>
      <c r="D14" s="111"/>
      <c r="E14" s="16">
        <v>48.9</v>
      </c>
      <c r="F14" s="16">
        <v>55</v>
      </c>
      <c r="G14" s="16">
        <v>44.32</v>
      </c>
      <c r="H14" s="16">
        <v>49</v>
      </c>
      <c r="I14" s="16">
        <v>49.96</v>
      </c>
      <c r="J14" s="68"/>
      <c r="K14" s="68"/>
    </row>
    <row r="15" spans="1:11">
      <c r="A15" s="1"/>
      <c r="B15" s="1"/>
      <c r="C15" s="1"/>
      <c r="D15" s="1"/>
      <c r="F15" s="75" t="s">
        <v>305</v>
      </c>
      <c r="G15" s="75"/>
      <c r="H15" s="75"/>
      <c r="I15" s="75"/>
      <c r="J15" s="75"/>
      <c r="K15" s="76">
        <f>SUM(K7:K14)</f>
        <v>380.76</v>
      </c>
    </row>
    <row r="16" spans="1:11">
      <c r="B16" s="78"/>
      <c r="C16" s="78"/>
      <c r="D16" s="78"/>
      <c r="E16" s="78"/>
      <c r="F16" s="79" t="s">
        <v>306</v>
      </c>
      <c r="G16" s="79"/>
      <c r="H16" s="79"/>
      <c r="I16" s="79"/>
      <c r="J16" s="79"/>
      <c r="K16" s="80">
        <v>12</v>
      </c>
    </row>
    <row r="17" spans="1:11">
      <c r="A17" s="73"/>
      <c r="B17" s="74"/>
      <c r="C17" s="73"/>
      <c r="D17" s="73"/>
      <c r="E17" s="81"/>
      <c r="F17" s="82" t="s">
        <v>307</v>
      </c>
      <c r="G17" s="82"/>
      <c r="H17" s="82"/>
      <c r="I17" s="82"/>
      <c r="J17" s="82"/>
      <c r="K17" s="83">
        <f>K15/K16</f>
        <v>31.73</v>
      </c>
    </row>
    <row r="18" spans="1:11">
      <c r="E18" s="134"/>
      <c r="F18" s="134"/>
      <c r="G18" s="134"/>
      <c r="H18" s="134"/>
      <c r="I18" s="134"/>
      <c r="J18" s="90"/>
    </row>
    <row r="19" spans="1:11">
      <c r="A19" s="94" t="s">
        <v>308</v>
      </c>
      <c r="B19" s="94"/>
      <c r="C19" s="94"/>
      <c r="D19" s="94"/>
      <c r="E19" s="94"/>
      <c r="F19" s="94"/>
      <c r="G19" s="94"/>
      <c r="H19" s="94"/>
      <c r="I19" s="94"/>
      <c r="J19" s="94"/>
      <c r="K19" s="94"/>
    </row>
    <row r="20" spans="1:11">
      <c r="A20" s="94" t="s">
        <v>274</v>
      </c>
      <c r="B20" s="94" t="s">
        <v>275</v>
      </c>
      <c r="C20" s="94" t="s">
        <v>276</v>
      </c>
      <c r="D20" s="94" t="s">
        <v>277</v>
      </c>
      <c r="E20" s="95" t="s">
        <v>278</v>
      </c>
      <c r="F20" s="95"/>
      <c r="G20" s="95"/>
      <c r="H20" s="95"/>
      <c r="I20" s="95"/>
      <c r="J20" s="95"/>
      <c r="K20" s="96" t="s">
        <v>279</v>
      </c>
    </row>
    <row r="21" ht="38.25" spans="1:11">
      <c r="A21" s="94"/>
      <c r="B21" s="94"/>
      <c r="C21" s="94"/>
      <c r="D21" s="94"/>
      <c r="E21" s="94" t="s">
        <v>280</v>
      </c>
      <c r="F21" s="94" t="s">
        <v>281</v>
      </c>
      <c r="G21" s="94" t="s">
        <v>282</v>
      </c>
      <c r="H21" s="94" t="s">
        <v>283</v>
      </c>
      <c r="I21" s="94" t="s">
        <v>284</v>
      </c>
      <c r="J21" s="95" t="s">
        <v>285</v>
      </c>
      <c r="K21" s="97"/>
    </row>
    <row r="22" ht="38.25" spans="1:11">
      <c r="A22" s="98">
        <v>1</v>
      </c>
      <c r="B22" s="99" t="s">
        <v>363</v>
      </c>
      <c r="C22" s="100" t="s">
        <v>276</v>
      </c>
      <c r="D22" s="117">
        <v>1</v>
      </c>
      <c r="E22" s="16" t="s">
        <v>364</v>
      </c>
      <c r="F22" s="15" t="s">
        <v>295</v>
      </c>
      <c r="G22" s="16" t="s">
        <v>365</v>
      </c>
      <c r="H22" s="16" t="s">
        <v>366</v>
      </c>
      <c r="I22" s="16" t="s">
        <v>367</v>
      </c>
      <c r="J22" s="68">
        <f t="shared" ref="J22:J26" si="2">AVERAGE(E23:I23)</f>
        <v>134.28</v>
      </c>
      <c r="K22" s="68">
        <f t="shared" ref="K22:K26" si="3">D22*J22</f>
        <v>134.28</v>
      </c>
    </row>
    <row r="23" spans="1:11">
      <c r="A23" s="101"/>
      <c r="B23" s="102"/>
      <c r="C23" s="103"/>
      <c r="D23" s="118"/>
      <c r="E23" s="16">
        <v>121</v>
      </c>
      <c r="F23" s="16">
        <v>145.9</v>
      </c>
      <c r="G23" s="16">
        <v>140</v>
      </c>
      <c r="H23" s="16">
        <v>134.5</v>
      </c>
      <c r="I23" s="16">
        <v>130</v>
      </c>
      <c r="J23" s="68"/>
      <c r="K23" s="68"/>
    </row>
    <row r="24" ht="51" spans="1:11">
      <c r="A24" s="98">
        <v>4</v>
      </c>
      <c r="B24" s="119" t="s">
        <v>368</v>
      </c>
      <c r="C24" s="67" t="s">
        <v>369</v>
      </c>
      <c r="D24" s="120">
        <v>6</v>
      </c>
      <c r="E24" s="16" t="s">
        <v>370</v>
      </c>
      <c r="F24" s="16" t="s">
        <v>371</v>
      </c>
      <c r="G24" s="16" t="s">
        <v>372</v>
      </c>
      <c r="H24" s="16" t="s">
        <v>373</v>
      </c>
      <c r="I24" s="16" t="s">
        <v>374</v>
      </c>
      <c r="J24" s="68">
        <f t="shared" si="2"/>
        <v>5.95</v>
      </c>
      <c r="K24" s="68">
        <f t="shared" si="3"/>
        <v>35.7</v>
      </c>
    </row>
    <row r="25" spans="1:11">
      <c r="A25" s="101"/>
      <c r="B25" s="121"/>
      <c r="C25" s="67"/>
      <c r="D25" s="107"/>
      <c r="E25" s="16">
        <v>4.29</v>
      </c>
      <c r="F25" s="16">
        <v>5.4</v>
      </c>
      <c r="G25" s="16">
        <v>5.5</v>
      </c>
      <c r="H25" s="16">
        <v>6.74</v>
      </c>
      <c r="I25" s="16">
        <v>7.8</v>
      </c>
      <c r="J25" s="68"/>
      <c r="K25" s="68"/>
    </row>
    <row r="26" ht="63.75" spans="1:11">
      <c r="A26" s="104">
        <v>2</v>
      </c>
      <c r="B26" s="105" t="s">
        <v>375</v>
      </c>
      <c r="C26" s="122" t="s">
        <v>276</v>
      </c>
      <c r="D26" s="123">
        <v>1</v>
      </c>
      <c r="E26" s="16" t="s">
        <v>295</v>
      </c>
      <c r="F26" s="15" t="s">
        <v>376</v>
      </c>
      <c r="G26" s="16" t="s">
        <v>377</v>
      </c>
      <c r="H26" s="16" t="s">
        <v>378</v>
      </c>
      <c r="I26" s="16" t="s">
        <v>379</v>
      </c>
      <c r="J26" s="68">
        <f t="shared" si="2"/>
        <v>464.94</v>
      </c>
      <c r="K26" s="68">
        <f t="shared" si="3"/>
        <v>464.94</v>
      </c>
    </row>
    <row r="27" spans="1:11">
      <c r="A27" s="101"/>
      <c r="B27" s="102"/>
      <c r="C27" s="103"/>
      <c r="D27" s="118"/>
      <c r="E27" s="16">
        <v>517.53</v>
      </c>
      <c r="F27" s="16">
        <v>409.78</v>
      </c>
      <c r="G27" s="16">
        <v>450.25</v>
      </c>
      <c r="H27" s="16">
        <v>477.12</v>
      </c>
      <c r="I27" s="16">
        <v>470</v>
      </c>
      <c r="J27" s="68"/>
      <c r="K27" s="68"/>
    </row>
    <row r="28" ht="51" spans="1:11">
      <c r="A28" s="104">
        <v>3</v>
      </c>
      <c r="B28" s="105" t="s">
        <v>380</v>
      </c>
      <c r="C28" s="122" t="s">
        <v>276</v>
      </c>
      <c r="D28" s="123">
        <v>1</v>
      </c>
      <c r="E28" s="15" t="s">
        <v>381</v>
      </c>
      <c r="F28" s="15" t="s">
        <v>295</v>
      </c>
      <c r="G28" s="16" t="s">
        <v>382</v>
      </c>
      <c r="H28" s="16" t="s">
        <v>383</v>
      </c>
      <c r="I28" s="16" t="s">
        <v>384</v>
      </c>
      <c r="J28" s="68">
        <f t="shared" ref="J28:J32" si="4">AVERAGE(E29:I29)</f>
        <v>186.62</v>
      </c>
      <c r="K28" s="68">
        <f t="shared" ref="K28:K32" si="5">D28*J28</f>
        <v>186.62</v>
      </c>
    </row>
    <row r="29" spans="1:11">
      <c r="A29" s="101"/>
      <c r="B29" s="102"/>
      <c r="C29" s="103"/>
      <c r="D29" s="118"/>
      <c r="E29" s="16">
        <v>183.15</v>
      </c>
      <c r="F29" s="16">
        <v>167.8</v>
      </c>
      <c r="G29" s="16">
        <v>189.99</v>
      </c>
      <c r="H29" s="16">
        <v>194.48</v>
      </c>
      <c r="I29" s="16">
        <v>197.67</v>
      </c>
      <c r="J29" s="68"/>
      <c r="K29" s="68"/>
    </row>
    <row r="30" ht="51" spans="1:11">
      <c r="A30" s="98">
        <v>4</v>
      </c>
      <c r="B30" s="99" t="s">
        <v>385</v>
      </c>
      <c r="C30" s="100" t="s">
        <v>276</v>
      </c>
      <c r="D30" s="98">
        <v>1</v>
      </c>
      <c r="E30" s="16" t="s">
        <v>287</v>
      </c>
      <c r="F30" s="15" t="s">
        <v>386</v>
      </c>
      <c r="G30" s="15" t="s">
        <v>324</v>
      </c>
      <c r="H30" s="15"/>
      <c r="I30" s="15"/>
      <c r="J30" s="68">
        <f t="shared" si="4"/>
        <v>191.95</v>
      </c>
      <c r="K30" s="68">
        <f t="shared" si="5"/>
        <v>191.95</v>
      </c>
    </row>
    <row r="31" spans="1:11">
      <c r="A31" s="101"/>
      <c r="B31" s="102"/>
      <c r="C31" s="103"/>
      <c r="D31" s="101"/>
      <c r="E31" s="18">
        <v>195.83</v>
      </c>
      <c r="F31" s="18">
        <v>184</v>
      </c>
      <c r="G31" s="18">
        <v>196.02</v>
      </c>
      <c r="H31" s="18"/>
      <c r="I31" s="18"/>
      <c r="J31" s="68"/>
      <c r="K31" s="68"/>
    </row>
    <row r="32" ht="51" spans="1:11">
      <c r="A32" s="98">
        <v>5</v>
      </c>
      <c r="B32" s="99" t="s">
        <v>387</v>
      </c>
      <c r="C32" s="100" t="s">
        <v>276</v>
      </c>
      <c r="D32" s="98">
        <v>1</v>
      </c>
      <c r="E32" s="16" t="s">
        <v>388</v>
      </c>
      <c r="F32" s="16" t="s">
        <v>389</v>
      </c>
      <c r="G32" s="15" t="s">
        <v>390</v>
      </c>
      <c r="H32" s="15" t="s">
        <v>391</v>
      </c>
      <c r="I32" s="15" t="s">
        <v>392</v>
      </c>
      <c r="J32" s="68">
        <f t="shared" si="4"/>
        <v>309.9</v>
      </c>
      <c r="K32" s="68">
        <f t="shared" si="5"/>
        <v>309.9</v>
      </c>
    </row>
    <row r="33" spans="1:13">
      <c r="A33" s="101"/>
      <c r="B33" s="102"/>
      <c r="C33" s="103"/>
      <c r="D33" s="101"/>
      <c r="E33" s="16">
        <v>298</v>
      </c>
      <c r="F33" s="16">
        <v>326.66</v>
      </c>
      <c r="G33" s="16">
        <v>335.4</v>
      </c>
      <c r="H33" s="16">
        <v>275.8</v>
      </c>
      <c r="I33" s="16">
        <v>313.66</v>
      </c>
      <c r="J33" s="68"/>
      <c r="K33" s="68"/>
    </row>
    <row r="34" ht="38.25" spans="1:13">
      <c r="A34" s="98">
        <v>6</v>
      </c>
      <c r="B34" s="99" t="s">
        <v>393</v>
      </c>
      <c r="C34" s="100" t="s">
        <v>276</v>
      </c>
      <c r="D34" s="98">
        <v>1</v>
      </c>
      <c r="E34" s="15" t="s">
        <v>394</v>
      </c>
      <c r="F34" s="15" t="s">
        <v>295</v>
      </c>
      <c r="G34" s="16" t="s">
        <v>395</v>
      </c>
      <c r="H34" s="16" t="s">
        <v>396</v>
      </c>
      <c r="I34" s="16" t="s">
        <v>394</v>
      </c>
      <c r="J34" s="68">
        <f t="shared" ref="J34:J38" si="6">AVERAGE(E35:I35)</f>
        <v>30.08</v>
      </c>
      <c r="K34" s="68">
        <f t="shared" ref="K34:K38" si="7">D34*J34</f>
        <v>30.08</v>
      </c>
    </row>
    <row r="35" spans="1:13">
      <c r="A35" s="101"/>
      <c r="B35" s="102"/>
      <c r="C35" s="103"/>
      <c r="D35" s="101"/>
      <c r="E35" s="16">
        <v>26.99</v>
      </c>
      <c r="F35" s="16">
        <v>28.99</v>
      </c>
      <c r="G35" s="16">
        <v>32.5</v>
      </c>
      <c r="H35" s="16">
        <v>31.64</v>
      </c>
      <c r="I35" s="16">
        <v>30.3</v>
      </c>
      <c r="J35" s="68"/>
      <c r="K35" s="68"/>
    </row>
    <row r="36" ht="51" spans="1:13">
      <c r="A36" s="98">
        <v>7</v>
      </c>
      <c r="B36" s="99" t="s">
        <v>397</v>
      </c>
      <c r="C36" s="100" t="s">
        <v>276</v>
      </c>
      <c r="D36" s="98">
        <v>1</v>
      </c>
      <c r="E36" s="16" t="s">
        <v>398</v>
      </c>
      <c r="F36" s="16" t="s">
        <v>399</v>
      </c>
      <c r="G36" s="16" t="s">
        <v>377</v>
      </c>
      <c r="H36" s="16"/>
      <c r="I36" s="16"/>
      <c r="J36" s="68">
        <f t="shared" si="6"/>
        <v>61.45</v>
      </c>
      <c r="K36" s="68">
        <f t="shared" si="7"/>
        <v>61.45</v>
      </c>
    </row>
    <row r="37" spans="1:13">
      <c r="A37" s="101"/>
      <c r="B37" s="102"/>
      <c r="C37" s="103"/>
      <c r="D37" s="101"/>
      <c r="E37" s="16">
        <v>58.46</v>
      </c>
      <c r="F37" s="16">
        <v>57.9</v>
      </c>
      <c r="G37" s="16">
        <v>68</v>
      </c>
      <c r="H37" s="16"/>
      <c r="I37" s="16"/>
      <c r="J37" s="68"/>
      <c r="K37" s="68"/>
    </row>
    <row r="38" ht="51" spans="1:13">
      <c r="A38" s="98">
        <v>8</v>
      </c>
      <c r="B38" s="99" t="s">
        <v>400</v>
      </c>
      <c r="C38" s="100" t="s">
        <v>276</v>
      </c>
      <c r="D38" s="98">
        <v>1</v>
      </c>
      <c r="E38" s="15" t="s">
        <v>295</v>
      </c>
      <c r="F38" s="16" t="s">
        <v>401</v>
      </c>
      <c r="G38" s="16" t="s">
        <v>377</v>
      </c>
      <c r="H38" s="16" t="s">
        <v>402</v>
      </c>
      <c r="I38" s="16"/>
      <c r="J38" s="68">
        <f t="shared" si="6"/>
        <v>223.68</v>
      </c>
      <c r="K38" s="68">
        <f t="shared" si="7"/>
        <v>223.68</v>
      </c>
    </row>
    <row r="39" spans="1:13">
      <c r="A39" s="101"/>
      <c r="B39" s="102"/>
      <c r="C39" s="103"/>
      <c r="D39" s="101"/>
      <c r="E39" s="16">
        <v>205.2</v>
      </c>
      <c r="F39" s="16">
        <v>209.5</v>
      </c>
      <c r="G39" s="16">
        <v>205</v>
      </c>
      <c r="H39" s="16">
        <v>275</v>
      </c>
      <c r="I39" s="16"/>
      <c r="J39" s="68"/>
      <c r="K39" s="68"/>
    </row>
    <row r="40" ht="38.25" spans="1:13">
      <c r="A40" s="98">
        <v>9</v>
      </c>
      <c r="B40" s="99" t="s">
        <v>403</v>
      </c>
      <c r="C40" s="100"/>
      <c r="D40" s="98">
        <v>1</v>
      </c>
      <c r="E40" s="16" t="s">
        <v>404</v>
      </c>
      <c r="F40" s="16" t="s">
        <v>295</v>
      </c>
      <c r="G40" s="15" t="s">
        <v>405</v>
      </c>
      <c r="H40" s="15" t="s">
        <v>406</v>
      </c>
      <c r="I40" s="15" t="s">
        <v>407</v>
      </c>
      <c r="J40" s="68">
        <f>AVERAGE(E41:I41)</f>
        <v>228.92</v>
      </c>
      <c r="K40" s="68">
        <f>D40*J40</f>
        <v>228.92</v>
      </c>
      <c r="L40" s="147"/>
      <c r="M40" s="147"/>
    </row>
    <row r="41" spans="1:13">
      <c r="A41" s="101"/>
      <c r="B41" s="102"/>
      <c r="C41" s="103"/>
      <c r="D41" s="101"/>
      <c r="E41" s="16">
        <v>212.39</v>
      </c>
      <c r="F41" s="16">
        <v>224.9</v>
      </c>
      <c r="G41" s="16">
        <v>224</v>
      </c>
      <c r="H41" s="16">
        <v>224.32</v>
      </c>
      <c r="I41" s="16">
        <v>259</v>
      </c>
      <c r="J41" s="68"/>
      <c r="K41" s="68"/>
    </row>
    <row r="42" spans="1:13">
      <c r="A42" s="1"/>
      <c r="B42" s="1"/>
      <c r="C42" s="1"/>
      <c r="D42" s="1"/>
      <c r="F42" s="75" t="s">
        <v>305</v>
      </c>
      <c r="G42" s="75"/>
      <c r="H42" s="75"/>
      <c r="I42" s="75"/>
      <c r="J42" s="75"/>
      <c r="K42" s="76">
        <f>SUM(K22:K41)</f>
        <v>1867.52</v>
      </c>
    </row>
    <row r="43" spans="1:13">
      <c r="B43" s="78"/>
      <c r="C43" s="78"/>
      <c r="D43" s="78"/>
      <c r="E43" s="78"/>
      <c r="F43" s="79" t="s">
        <v>306</v>
      </c>
      <c r="G43" s="79"/>
      <c r="H43" s="79"/>
      <c r="I43" s="79"/>
      <c r="J43" s="79"/>
      <c r="K43" s="80">
        <v>12</v>
      </c>
    </row>
    <row r="44" spans="1:13">
      <c r="A44" s="73"/>
      <c r="B44" s="74"/>
      <c r="C44" s="73"/>
      <c r="D44" s="73"/>
      <c r="E44" s="81"/>
      <c r="F44" s="82" t="s">
        <v>307</v>
      </c>
      <c r="G44" s="82"/>
      <c r="H44" s="82"/>
      <c r="I44" s="82"/>
      <c r="J44" s="82"/>
      <c r="K44" s="83">
        <f>K42/K43</f>
        <v>155.63</v>
      </c>
    </row>
    <row r="45" spans="1:13">
      <c r="E45" s="134"/>
      <c r="F45" s="134"/>
      <c r="G45" s="134"/>
      <c r="H45" s="134"/>
      <c r="I45" s="134"/>
      <c r="J45" s="90"/>
    </row>
    <row r="46" spans="1:13">
      <c r="A46" s="94" t="s">
        <v>408</v>
      </c>
      <c r="B46" s="94"/>
      <c r="C46" s="94"/>
      <c r="D46" s="94"/>
      <c r="E46" s="94"/>
      <c r="F46" s="94"/>
      <c r="G46" s="94"/>
      <c r="H46" s="94"/>
      <c r="I46" s="94"/>
      <c r="J46" s="94"/>
      <c r="K46" s="94"/>
    </row>
    <row r="47" spans="1:13">
      <c r="A47" s="94" t="s">
        <v>274</v>
      </c>
      <c r="B47" s="94" t="s">
        <v>275</v>
      </c>
      <c r="C47" s="94" t="s">
        <v>276</v>
      </c>
      <c r="D47" s="94" t="s">
        <v>277</v>
      </c>
      <c r="E47" s="95" t="s">
        <v>278</v>
      </c>
      <c r="F47" s="95"/>
      <c r="G47" s="95"/>
      <c r="H47" s="95"/>
      <c r="I47" s="95"/>
      <c r="J47" s="95"/>
      <c r="K47" s="96" t="s">
        <v>279</v>
      </c>
    </row>
    <row r="48" ht="38.25" spans="1:13">
      <c r="A48" s="94"/>
      <c r="B48" s="94"/>
      <c r="C48" s="94"/>
      <c r="D48" s="94"/>
      <c r="E48" s="94" t="s">
        <v>280</v>
      </c>
      <c r="F48" s="94" t="s">
        <v>281</v>
      </c>
      <c r="G48" s="94" t="s">
        <v>282</v>
      </c>
      <c r="H48" s="94" t="s">
        <v>283</v>
      </c>
      <c r="I48" s="94" t="s">
        <v>284</v>
      </c>
      <c r="J48" s="95" t="s">
        <v>285</v>
      </c>
      <c r="K48" s="97"/>
    </row>
    <row r="49" ht="38.25" spans="1:12">
      <c r="A49" s="67">
        <v>1</v>
      </c>
      <c r="B49" s="124" t="s">
        <v>409</v>
      </c>
      <c r="C49" s="72" t="s">
        <v>276</v>
      </c>
      <c r="D49" s="67">
        <v>2</v>
      </c>
      <c r="E49" s="15" t="s">
        <v>410</v>
      </c>
      <c r="F49" s="16" t="s">
        <v>411</v>
      </c>
      <c r="G49" s="15" t="s">
        <v>412</v>
      </c>
      <c r="H49" s="15" t="s">
        <v>413</v>
      </c>
      <c r="I49" s="15"/>
      <c r="J49" s="68">
        <f t="shared" ref="J49:J53" si="8">AVERAGE(E50:I50)</f>
        <v>26.92</v>
      </c>
      <c r="K49" s="68">
        <f t="shared" ref="K49:K53" si="9">D49*J49</f>
        <v>53.84</v>
      </c>
      <c r="L49" s="148"/>
    </row>
    <row r="50" spans="1:12">
      <c r="A50" s="67"/>
      <c r="B50" s="124"/>
      <c r="C50" s="72"/>
      <c r="D50" s="67"/>
      <c r="E50" s="16">
        <v>26</v>
      </c>
      <c r="F50" s="16">
        <v>28.75</v>
      </c>
      <c r="G50" s="16">
        <v>30</v>
      </c>
      <c r="H50" s="16">
        <v>22.91</v>
      </c>
      <c r="I50" s="16"/>
      <c r="J50" s="68"/>
      <c r="K50" s="68"/>
      <c r="L50" s="148"/>
    </row>
    <row r="51" ht="65.1" customHeight="1" spans="1:12">
      <c r="A51" s="67">
        <v>2</v>
      </c>
      <c r="B51" s="124" t="s">
        <v>414</v>
      </c>
      <c r="C51" s="67" t="s">
        <v>415</v>
      </c>
      <c r="D51" s="67">
        <f>12/3</f>
        <v>4</v>
      </c>
      <c r="E51" s="16" t="s">
        <v>344</v>
      </c>
      <c r="F51" s="16" t="s">
        <v>416</v>
      </c>
      <c r="G51" s="15" t="s">
        <v>295</v>
      </c>
      <c r="H51" s="15" t="s">
        <v>417</v>
      </c>
      <c r="I51" s="15" t="s">
        <v>418</v>
      </c>
      <c r="J51" s="68">
        <f t="shared" si="8"/>
        <v>29.19</v>
      </c>
      <c r="K51" s="68">
        <f t="shared" si="9"/>
        <v>116.76</v>
      </c>
      <c r="L51" s="148"/>
    </row>
    <row r="52" spans="1:12">
      <c r="A52" s="67"/>
      <c r="B52" s="124"/>
      <c r="C52" s="67"/>
      <c r="D52" s="67"/>
      <c r="E52" s="16">
        <v>24.39</v>
      </c>
      <c r="F52" s="16">
        <v>28.05</v>
      </c>
      <c r="G52" s="16">
        <v>29.6</v>
      </c>
      <c r="H52" s="16">
        <v>33.92</v>
      </c>
      <c r="I52" s="16">
        <v>30</v>
      </c>
      <c r="J52" s="68"/>
      <c r="K52" s="68"/>
      <c r="L52" s="148"/>
    </row>
    <row r="53" ht="63.75" spans="1:12">
      <c r="A53" s="67">
        <v>3</v>
      </c>
      <c r="B53" s="124" t="s">
        <v>419</v>
      </c>
      <c r="C53" s="67" t="s">
        <v>369</v>
      </c>
      <c r="D53" s="72">
        <v>30</v>
      </c>
      <c r="E53" s="16" t="s">
        <v>420</v>
      </c>
      <c r="F53" s="16" t="s">
        <v>355</v>
      </c>
      <c r="G53" s="16" t="s">
        <v>421</v>
      </c>
      <c r="H53" s="15" t="s">
        <v>422</v>
      </c>
      <c r="I53" s="16" t="s">
        <v>423</v>
      </c>
      <c r="J53" s="68">
        <f t="shared" si="8"/>
        <v>1.56</v>
      </c>
      <c r="K53" s="68">
        <f t="shared" si="9"/>
        <v>46.8</v>
      </c>
      <c r="L53" s="148"/>
    </row>
    <row r="54" spans="1:12">
      <c r="A54" s="67"/>
      <c r="B54" s="124"/>
      <c r="C54" s="67"/>
      <c r="D54" s="72"/>
      <c r="E54" s="16">
        <v>1.99</v>
      </c>
      <c r="F54" s="16">
        <v>1.28</v>
      </c>
      <c r="G54" s="16">
        <v>1.6</v>
      </c>
      <c r="H54" s="16">
        <v>1.42</v>
      </c>
      <c r="I54" s="16">
        <v>1.5</v>
      </c>
      <c r="J54" s="68"/>
      <c r="K54" s="68"/>
      <c r="L54" s="148"/>
    </row>
    <row r="55" ht="51" spans="1:12">
      <c r="A55" s="67">
        <v>4</v>
      </c>
      <c r="B55" s="124" t="s">
        <v>368</v>
      </c>
      <c r="C55" s="67" t="s">
        <v>369</v>
      </c>
      <c r="D55" s="67">
        <v>6</v>
      </c>
      <c r="E55" s="16" t="s">
        <v>370</v>
      </c>
      <c r="F55" s="16" t="s">
        <v>371</v>
      </c>
      <c r="G55" s="16" t="s">
        <v>372</v>
      </c>
      <c r="H55" s="16" t="s">
        <v>373</v>
      </c>
      <c r="I55" s="16" t="s">
        <v>374</v>
      </c>
      <c r="J55" s="68">
        <f t="shared" ref="J55:J59" si="10">AVERAGE(E56:I56)</f>
        <v>5.95</v>
      </c>
      <c r="K55" s="68">
        <f t="shared" ref="K55:K59" si="11">D55*J55</f>
        <v>35.7</v>
      </c>
      <c r="L55" s="148"/>
    </row>
    <row r="56" spans="1:12">
      <c r="A56" s="67"/>
      <c r="B56" s="124"/>
      <c r="C56" s="67"/>
      <c r="D56" s="67"/>
      <c r="E56" s="16">
        <v>4.29</v>
      </c>
      <c r="F56" s="16">
        <v>5.4</v>
      </c>
      <c r="G56" s="16">
        <v>5.5</v>
      </c>
      <c r="H56" s="16">
        <v>6.74</v>
      </c>
      <c r="I56" s="16">
        <v>7.8</v>
      </c>
      <c r="J56" s="68"/>
      <c r="K56" s="68"/>
      <c r="L56" s="148"/>
    </row>
    <row r="57" ht="38.25" spans="1:12">
      <c r="A57" s="67">
        <v>5</v>
      </c>
      <c r="B57" s="124" t="s">
        <v>424</v>
      </c>
      <c r="C57" s="67" t="s">
        <v>369</v>
      </c>
      <c r="D57" s="149">
        <v>8</v>
      </c>
      <c r="E57" s="125" t="s">
        <v>425</v>
      </c>
      <c r="F57" s="125" t="s">
        <v>426</v>
      </c>
      <c r="G57" s="125" t="s">
        <v>427</v>
      </c>
      <c r="H57" s="125" t="s">
        <v>428</v>
      </c>
      <c r="I57" s="125"/>
      <c r="J57" s="68">
        <f t="shared" si="10"/>
        <v>124.68</v>
      </c>
      <c r="K57" s="68">
        <f t="shared" si="11"/>
        <v>997.44</v>
      </c>
      <c r="L57" s="148"/>
    </row>
    <row r="58" spans="1:12">
      <c r="A58" s="67"/>
      <c r="B58" s="124"/>
      <c r="C58" s="67"/>
      <c r="D58" s="149"/>
      <c r="E58" s="125">
        <v>139.51</v>
      </c>
      <c r="F58" s="125">
        <v>112</v>
      </c>
      <c r="G58" s="125">
        <v>119.2</v>
      </c>
      <c r="H58" s="125">
        <v>128</v>
      </c>
      <c r="I58" s="125"/>
      <c r="J58" s="68"/>
      <c r="K58" s="68"/>
      <c r="L58" s="148"/>
    </row>
    <row r="59" ht="38.25" spans="1:12">
      <c r="A59" s="67">
        <v>6</v>
      </c>
      <c r="B59" s="124" t="s">
        <v>429</v>
      </c>
      <c r="C59" s="67" t="s">
        <v>369</v>
      </c>
      <c r="D59" s="67">
        <v>1</v>
      </c>
      <c r="E59" s="16" t="s">
        <v>430</v>
      </c>
      <c r="F59" s="16" t="s">
        <v>355</v>
      </c>
      <c r="G59" s="15" t="s">
        <v>431</v>
      </c>
      <c r="H59" s="15" t="s">
        <v>432</v>
      </c>
      <c r="I59" s="15" t="s">
        <v>433</v>
      </c>
      <c r="J59" s="68">
        <f t="shared" si="10"/>
        <v>24.49</v>
      </c>
      <c r="K59" s="68">
        <f t="shared" si="11"/>
        <v>24.49</v>
      </c>
      <c r="L59" s="148"/>
    </row>
    <row r="60" spans="1:12">
      <c r="A60" s="67"/>
      <c r="B60" s="124"/>
      <c r="C60" s="67"/>
      <c r="D60" s="67"/>
      <c r="E60" s="16">
        <v>25</v>
      </c>
      <c r="F60" s="16">
        <v>24.85</v>
      </c>
      <c r="G60" s="16">
        <v>22</v>
      </c>
      <c r="H60" s="16">
        <v>28</v>
      </c>
      <c r="I60" s="16">
        <v>22.61</v>
      </c>
      <c r="J60" s="68"/>
      <c r="K60" s="68"/>
      <c r="L60" s="148"/>
    </row>
    <row r="61" ht="51" spans="1:12">
      <c r="A61" s="67">
        <v>7</v>
      </c>
      <c r="B61" s="124" t="s">
        <v>434</v>
      </c>
      <c r="C61" s="67" t="s">
        <v>435</v>
      </c>
      <c r="D61" s="67">
        <v>2</v>
      </c>
      <c r="E61" s="16" t="s">
        <v>436</v>
      </c>
      <c r="F61" s="15" t="s">
        <v>295</v>
      </c>
      <c r="G61" s="16" t="s">
        <v>437</v>
      </c>
      <c r="H61" s="16" t="s">
        <v>438</v>
      </c>
      <c r="I61" s="16" t="s">
        <v>384</v>
      </c>
      <c r="J61" s="68">
        <f>AVERAGE(E62:I62)</f>
        <v>19.85</v>
      </c>
      <c r="K61" s="68">
        <f>D61*J61</f>
        <v>39.7</v>
      </c>
      <c r="L61" s="148"/>
    </row>
    <row r="62" spans="1:12">
      <c r="A62" s="67"/>
      <c r="B62" s="124"/>
      <c r="C62" s="67"/>
      <c r="D62" s="67"/>
      <c r="E62" s="16">
        <v>19.9</v>
      </c>
      <c r="F62" s="16">
        <v>20</v>
      </c>
      <c r="G62" s="16">
        <v>18.58</v>
      </c>
      <c r="H62" s="16">
        <v>22.25</v>
      </c>
      <c r="I62" s="16">
        <v>18.5</v>
      </c>
      <c r="J62" s="68"/>
      <c r="K62" s="68"/>
      <c r="L62" s="148"/>
    </row>
    <row r="63" spans="1:12">
      <c r="A63" s="1"/>
      <c r="B63" s="1"/>
      <c r="C63" s="1"/>
      <c r="D63" s="1"/>
      <c r="F63" s="75" t="s">
        <v>305</v>
      </c>
      <c r="G63" s="75"/>
      <c r="H63" s="75"/>
      <c r="I63" s="75"/>
      <c r="J63" s="75"/>
      <c r="K63" s="76">
        <f>SUM(K45:K62)</f>
        <v>1314.73</v>
      </c>
      <c r="L63" s="147"/>
    </row>
    <row r="64" spans="1:12">
      <c r="B64" s="78"/>
      <c r="C64" s="78"/>
      <c r="D64" s="78"/>
      <c r="E64" s="78"/>
      <c r="F64" s="79" t="s">
        <v>306</v>
      </c>
      <c r="G64" s="79"/>
      <c r="H64" s="79"/>
      <c r="I64" s="79"/>
      <c r="J64" s="79"/>
      <c r="K64" s="80">
        <v>12</v>
      </c>
    </row>
    <row r="65" spans="1:11">
      <c r="A65" s="73"/>
      <c r="B65" s="74"/>
      <c r="C65" s="73"/>
      <c r="D65" s="73"/>
      <c r="E65" s="81"/>
      <c r="F65" s="82" t="s">
        <v>307</v>
      </c>
      <c r="G65" s="82"/>
      <c r="H65" s="82"/>
      <c r="I65" s="82"/>
      <c r="J65" s="82"/>
      <c r="K65" s="83">
        <f>K63/K64</f>
        <v>109.56</v>
      </c>
    </row>
  </sheetData>
  <mergeCells count="165">
    <mergeCell ref="A1:K1"/>
    <mergeCell ref="A2:K2"/>
    <mergeCell ref="A4:K4"/>
    <mergeCell ref="E5:J5"/>
    <mergeCell ref="F15:J15"/>
    <mergeCell ref="F16:J16"/>
    <mergeCell ref="F17:J17"/>
    <mergeCell ref="A19:K19"/>
    <mergeCell ref="E20:J20"/>
    <mergeCell ref="F42:J42"/>
    <mergeCell ref="F43:J43"/>
    <mergeCell ref="F44:J44"/>
    <mergeCell ref="A46:K46"/>
    <mergeCell ref="E47:J47"/>
    <mergeCell ref="F63:J63"/>
    <mergeCell ref="F64:J64"/>
    <mergeCell ref="F65:J65"/>
    <mergeCell ref="A5:A6"/>
    <mergeCell ref="A7:A8"/>
    <mergeCell ref="A9:A10"/>
    <mergeCell ref="A11:A12"/>
    <mergeCell ref="A13:A14"/>
    <mergeCell ref="A20:A21"/>
    <mergeCell ref="A22:A23"/>
    <mergeCell ref="A24:A25"/>
    <mergeCell ref="A26:A27"/>
    <mergeCell ref="A28:A29"/>
    <mergeCell ref="A30:A31"/>
    <mergeCell ref="A32:A33"/>
    <mergeCell ref="A34:A35"/>
    <mergeCell ref="A36:A37"/>
    <mergeCell ref="A38:A39"/>
    <mergeCell ref="A40:A41"/>
    <mergeCell ref="A47:A48"/>
    <mergeCell ref="A49:A50"/>
    <mergeCell ref="A51:A52"/>
    <mergeCell ref="A53:A54"/>
    <mergeCell ref="A55:A56"/>
    <mergeCell ref="A57:A58"/>
    <mergeCell ref="A59:A60"/>
    <mergeCell ref="A61:A62"/>
    <mergeCell ref="B5:B6"/>
    <mergeCell ref="B7:B8"/>
    <mergeCell ref="B9:B10"/>
    <mergeCell ref="B11:B12"/>
    <mergeCell ref="B13:B14"/>
    <mergeCell ref="B20:B21"/>
    <mergeCell ref="B22:B23"/>
    <mergeCell ref="B24:B25"/>
    <mergeCell ref="B26:B27"/>
    <mergeCell ref="B28:B29"/>
    <mergeCell ref="B30:B31"/>
    <mergeCell ref="B32:B33"/>
    <mergeCell ref="B34:B35"/>
    <mergeCell ref="B36:B37"/>
    <mergeCell ref="B38:B39"/>
    <mergeCell ref="B40:B41"/>
    <mergeCell ref="B47:B48"/>
    <mergeCell ref="B49:B50"/>
    <mergeCell ref="B51:B52"/>
    <mergeCell ref="B53:B54"/>
    <mergeCell ref="B55:B56"/>
    <mergeCell ref="B57:B58"/>
    <mergeCell ref="B59:B60"/>
    <mergeCell ref="B61:B62"/>
    <mergeCell ref="C5:C6"/>
    <mergeCell ref="C7:C8"/>
    <mergeCell ref="C9:C10"/>
    <mergeCell ref="C11:C12"/>
    <mergeCell ref="C13:C14"/>
    <mergeCell ref="C20:C21"/>
    <mergeCell ref="C22:C23"/>
    <mergeCell ref="C24:C25"/>
    <mergeCell ref="C26:C27"/>
    <mergeCell ref="C28:C29"/>
    <mergeCell ref="C30:C31"/>
    <mergeCell ref="C32:C33"/>
    <mergeCell ref="C34:C35"/>
    <mergeCell ref="C36:C37"/>
    <mergeCell ref="C38:C39"/>
    <mergeCell ref="C40:C41"/>
    <mergeCell ref="C47:C48"/>
    <mergeCell ref="C49:C50"/>
    <mergeCell ref="C51:C52"/>
    <mergeCell ref="C53:C54"/>
    <mergeCell ref="C55:C56"/>
    <mergeCell ref="C57:C58"/>
    <mergeCell ref="C59:C60"/>
    <mergeCell ref="C61:C62"/>
    <mergeCell ref="D5:D6"/>
    <mergeCell ref="D7:D8"/>
    <mergeCell ref="D9:D10"/>
    <mergeCell ref="D11:D12"/>
    <mergeCell ref="D13:D14"/>
    <mergeCell ref="D20:D21"/>
    <mergeCell ref="D22:D23"/>
    <mergeCell ref="D24:D25"/>
    <mergeCell ref="D26:D27"/>
    <mergeCell ref="D28:D29"/>
    <mergeCell ref="D30:D31"/>
    <mergeCell ref="D32:D33"/>
    <mergeCell ref="D34:D35"/>
    <mergeCell ref="D36:D37"/>
    <mergeCell ref="D38:D39"/>
    <mergeCell ref="D40:D41"/>
    <mergeCell ref="D47:D48"/>
    <mergeCell ref="D49:D50"/>
    <mergeCell ref="D51:D52"/>
    <mergeCell ref="D53:D54"/>
    <mergeCell ref="D55:D56"/>
    <mergeCell ref="D57:D58"/>
    <mergeCell ref="D59:D60"/>
    <mergeCell ref="D61:D62"/>
    <mergeCell ref="J7:J8"/>
    <mergeCell ref="J9:J10"/>
    <mergeCell ref="J11:J12"/>
    <mergeCell ref="J13:J14"/>
    <mergeCell ref="J22:J23"/>
    <mergeCell ref="J24:J25"/>
    <mergeCell ref="J26:J27"/>
    <mergeCell ref="J28:J29"/>
    <mergeCell ref="J30:J31"/>
    <mergeCell ref="J32:J33"/>
    <mergeCell ref="J34:J35"/>
    <mergeCell ref="J36:J37"/>
    <mergeCell ref="J38:J39"/>
    <mergeCell ref="J40:J41"/>
    <mergeCell ref="J49:J50"/>
    <mergeCell ref="J51:J52"/>
    <mergeCell ref="J53:J54"/>
    <mergeCell ref="J55:J56"/>
    <mergeCell ref="J57:J58"/>
    <mergeCell ref="J59:J60"/>
    <mergeCell ref="J61:J62"/>
    <mergeCell ref="K5:K6"/>
    <mergeCell ref="K7:K8"/>
    <mergeCell ref="K9:K10"/>
    <mergeCell ref="K11:K12"/>
    <mergeCell ref="K13:K14"/>
    <mergeCell ref="K20:K21"/>
    <mergeCell ref="K22:K23"/>
    <mergeCell ref="K24:K25"/>
    <mergeCell ref="K26:K27"/>
    <mergeCell ref="K28:K29"/>
    <mergeCell ref="K30:K31"/>
    <mergeCell ref="K32:K33"/>
    <mergeCell ref="K34:K35"/>
    <mergeCell ref="K36:K37"/>
    <mergeCell ref="K38:K39"/>
    <mergeCell ref="K40:K41"/>
    <mergeCell ref="K47:K48"/>
    <mergeCell ref="K49:K50"/>
    <mergeCell ref="K51:K52"/>
    <mergeCell ref="K53:K54"/>
    <mergeCell ref="K55:K56"/>
    <mergeCell ref="K57:K58"/>
    <mergeCell ref="K59:K60"/>
    <mergeCell ref="K61:K62"/>
    <mergeCell ref="L49:L50"/>
    <mergeCell ref="L51:L52"/>
    <mergeCell ref="L53:L54"/>
    <mergeCell ref="L55:L56"/>
    <mergeCell ref="L57:L58"/>
    <mergeCell ref="L59:L60"/>
    <mergeCell ref="L61:L62"/>
  </mergeCells>
  <pageMargins left="0.554166666666667" right="0.357638888888889" top="0.605555555555556" bottom="0.605555555555556" header="0.5" footer="0.5"/>
  <pageSetup paperSize="9" scale="57"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799981688894314"/>
  </sheetPr>
  <dimension ref="A1:N26"/>
  <sheetViews>
    <sheetView view="pageBreakPreview" zoomScale="80" zoomScaleNormal="80" workbookViewId="0">
      <selection activeCell="E5" sqref="E5:I5"/>
    </sheetView>
  </sheetViews>
  <sheetFormatPr defaultColWidth="9.14285714285714" defaultRowHeight="12.75"/>
  <cols>
    <col min="1" max="1" width="7.14285714285714" style="3" customWidth="1"/>
    <col min="2" max="2" width="41.5714285714286" style="60" customWidth="1"/>
    <col min="3" max="3" width="9.42857142857143" style="2" customWidth="1"/>
    <col min="4" max="4" width="15.7142857142857" style="2" customWidth="1"/>
    <col min="5" max="9" width="26.5714285714286" style="2" customWidth="1"/>
    <col min="10" max="10" width="21.7142857142857" style="2" customWidth="1"/>
    <col min="11" max="11" width="27" style="2" customWidth="1"/>
    <col min="12" max="12" width="13.5714285714286" style="4" customWidth="1"/>
    <col min="13" max="13" width="13.1428571428571" style="4" customWidth="1"/>
    <col min="14" max="14" width="13.2857142857143" style="4" customWidth="1"/>
    <col min="15" max="15" width="16.4285714285714" style="4" customWidth="1"/>
    <col min="16" max="16" width="16.8571428571429" style="4" customWidth="1"/>
    <col min="17" max="17" width="21.5714285714286" style="4" customWidth="1"/>
    <col min="18" max="19" width="12" style="4" customWidth="1"/>
    <col min="20" max="16384" width="9.14285714285714" style="2"/>
  </cols>
  <sheetData>
    <row r="1" s="1" customFormat="1" ht="18" spans="1:14">
      <c r="A1" s="5" t="str">
        <f>'SEMAD e AGEHAB TOTALIZADOR'!A1</f>
        <v>SEMAD</v>
      </c>
      <c r="B1" s="5"/>
      <c r="C1" s="5"/>
      <c r="D1" s="5"/>
      <c r="E1" s="5"/>
      <c r="F1" s="5"/>
      <c r="G1" s="5"/>
      <c r="H1" s="5"/>
      <c r="I1" s="5"/>
      <c r="J1" s="5"/>
      <c r="K1" s="5"/>
    </row>
    <row r="2" s="1" customFormat="1" ht="18" spans="1:14">
      <c r="A2" s="5" t="s">
        <v>439</v>
      </c>
      <c r="B2" s="61"/>
      <c r="C2" s="5"/>
      <c r="D2" s="5"/>
      <c r="E2" s="5"/>
      <c r="F2" s="5"/>
      <c r="G2" s="5"/>
      <c r="H2" s="5"/>
      <c r="I2" s="5"/>
      <c r="J2" s="5"/>
      <c r="K2" s="5"/>
      <c r="L2" s="6"/>
      <c r="M2" s="6"/>
      <c r="N2" s="6"/>
    </row>
    <row r="3" s="1" customFormat="1" spans="1:14">
      <c r="A3" s="7" t="s">
        <v>440</v>
      </c>
      <c r="B3" s="62"/>
      <c r="C3" s="7"/>
      <c r="D3" s="7"/>
      <c r="E3" s="7"/>
      <c r="F3" s="7"/>
      <c r="G3" s="7"/>
      <c r="H3" s="7"/>
      <c r="I3" s="7"/>
      <c r="J3" s="7"/>
      <c r="K3" s="7"/>
    </row>
    <row r="4" s="1" customFormat="1" spans="1:14">
      <c r="A4" s="7" t="s">
        <v>274</v>
      </c>
      <c r="B4" s="7" t="s">
        <v>275</v>
      </c>
      <c r="C4" s="7" t="s">
        <v>276</v>
      </c>
      <c r="D4" s="7" t="s">
        <v>441</v>
      </c>
      <c r="E4" s="63" t="s">
        <v>278</v>
      </c>
      <c r="F4" s="63"/>
      <c r="G4" s="63"/>
      <c r="H4" s="63"/>
      <c r="I4" s="63"/>
      <c r="J4" s="63"/>
      <c r="K4" s="63"/>
    </row>
    <row r="5" s="1" customFormat="1" ht="38.25" spans="1:14">
      <c r="A5" s="7"/>
      <c r="B5" s="7"/>
      <c r="C5" s="7"/>
      <c r="D5" s="7"/>
      <c r="E5" s="64" t="s">
        <v>280</v>
      </c>
      <c r="F5" s="64" t="s">
        <v>281</v>
      </c>
      <c r="G5" s="64" t="s">
        <v>282</v>
      </c>
      <c r="H5" s="64" t="s">
        <v>283</v>
      </c>
      <c r="I5" s="64" t="s">
        <v>284</v>
      </c>
      <c r="J5" s="63" t="s">
        <v>285</v>
      </c>
      <c r="K5" s="63" t="s">
        <v>442</v>
      </c>
    </row>
    <row r="6" s="2" customFormat="1" ht="51" spans="1:14">
      <c r="A6" s="15">
        <v>1</v>
      </c>
      <c r="B6" s="65" t="s">
        <v>443</v>
      </c>
      <c r="C6" s="15" t="s">
        <v>276</v>
      </c>
      <c r="D6" s="66">
        <f>('SEMAD e AGEHAB TOTALIZADOR'!B6+'SEMAD e AGEHAB TOTALIZADOR'!D6+'SEMAD e AGEHAB TOTALIZADOR'!H6)*2</f>
        <v>52</v>
      </c>
      <c r="E6" s="67" t="s">
        <v>295</v>
      </c>
      <c r="F6" s="67" t="s">
        <v>444</v>
      </c>
      <c r="G6" s="67" t="s">
        <v>445</v>
      </c>
      <c r="H6" s="67" t="s">
        <v>446</v>
      </c>
      <c r="I6" s="67"/>
      <c r="J6" s="68">
        <f t="shared" ref="J6:J10" si="0">AVERAGE(E7:I7)</f>
        <v>11.55</v>
      </c>
      <c r="K6" s="69">
        <f>D6*J6</f>
        <v>600.6</v>
      </c>
    </row>
    <row r="7" s="2" customFormat="1" spans="1:14">
      <c r="A7" s="15"/>
      <c r="B7" s="65"/>
      <c r="C7" s="15"/>
      <c r="D7" s="70"/>
      <c r="E7" s="71">
        <v>12.43</v>
      </c>
      <c r="F7" s="71">
        <v>10.28</v>
      </c>
      <c r="G7" s="71">
        <v>12</v>
      </c>
      <c r="H7" s="71">
        <v>11.5</v>
      </c>
      <c r="I7" s="71"/>
      <c r="J7" s="68"/>
      <c r="K7" s="72"/>
      <c r="M7" s="73"/>
      <c r="N7" s="74"/>
    </row>
    <row r="8" s="2" customFormat="1" ht="38.25" spans="1:14">
      <c r="A8" s="15">
        <v>2</v>
      </c>
      <c r="B8" s="65" t="s">
        <v>447</v>
      </c>
      <c r="C8" s="15" t="s">
        <v>276</v>
      </c>
      <c r="D8" s="66">
        <f>'SEMAD e AGEHAB TOTALIZADOR'!H6</f>
        <v>2</v>
      </c>
      <c r="E8" s="71" t="s">
        <v>355</v>
      </c>
      <c r="F8" s="71" t="s">
        <v>448</v>
      </c>
      <c r="G8" s="71" t="s">
        <v>449</v>
      </c>
      <c r="H8" s="71"/>
      <c r="I8" s="71"/>
      <c r="J8" s="68">
        <f t="shared" si="0"/>
        <v>191.3</v>
      </c>
      <c r="K8" s="69">
        <f t="shared" ref="K8:K10" si="1">D8*J8</f>
        <v>382.6</v>
      </c>
    </row>
    <row r="9" s="2" customFormat="1" spans="1:14">
      <c r="A9" s="15"/>
      <c r="B9" s="65"/>
      <c r="C9" s="15"/>
      <c r="D9" s="70"/>
      <c r="E9" s="71">
        <v>173.57</v>
      </c>
      <c r="F9" s="71">
        <v>182.6</v>
      </c>
      <c r="G9" s="71">
        <v>217.72</v>
      </c>
      <c r="H9" s="71"/>
      <c r="I9" s="71"/>
      <c r="J9" s="68"/>
      <c r="K9" s="72"/>
      <c r="M9" s="73"/>
      <c r="N9" s="74"/>
    </row>
    <row r="10" s="2" customFormat="1" ht="51" spans="1:14">
      <c r="A10" s="15">
        <v>3</v>
      </c>
      <c r="B10" s="65" t="s">
        <v>450</v>
      </c>
      <c r="C10" s="15" t="s">
        <v>276</v>
      </c>
      <c r="D10" s="70">
        <v>50</v>
      </c>
      <c r="E10" s="67" t="s">
        <v>287</v>
      </c>
      <c r="F10" s="71" t="s">
        <v>451</v>
      </c>
      <c r="G10" s="71" t="s">
        <v>452</v>
      </c>
      <c r="H10" s="71" t="s">
        <v>453</v>
      </c>
      <c r="I10" s="71"/>
      <c r="J10" s="68">
        <f t="shared" si="0"/>
        <v>21.09</v>
      </c>
      <c r="K10" s="69">
        <f t="shared" si="1"/>
        <v>1054.5</v>
      </c>
    </row>
    <row r="11" s="2" customFormat="1" spans="1:14">
      <c r="A11" s="15"/>
      <c r="B11" s="65"/>
      <c r="C11" s="15"/>
      <c r="D11" s="70"/>
      <c r="E11" s="71">
        <v>22.9</v>
      </c>
      <c r="F11" s="71">
        <v>16.9</v>
      </c>
      <c r="G11" s="71">
        <v>24.55</v>
      </c>
      <c r="H11" s="71">
        <v>20</v>
      </c>
      <c r="I11" s="71"/>
      <c r="J11" s="68"/>
      <c r="K11" s="72"/>
      <c r="M11" s="73"/>
      <c r="N11" s="74"/>
    </row>
    <row r="12" s="2" customFormat="1" ht="38.25" spans="1:14">
      <c r="A12" s="15">
        <v>4</v>
      </c>
      <c r="B12" s="65" t="s">
        <v>454</v>
      </c>
      <c r="C12" s="15" t="s">
        <v>276</v>
      </c>
      <c r="D12" s="66">
        <f>(SUM('SEMAD e AGEHAB TOTALIZADOR'!B6+'SEMAD e AGEHAB TOTALIZADOR'!D6+'SEMAD e AGEHAB TOTALIZADOR'!H6))*3</f>
        <v>78</v>
      </c>
      <c r="E12" s="71" t="s">
        <v>455</v>
      </c>
      <c r="F12" s="71" t="s">
        <v>456</v>
      </c>
      <c r="G12" s="71" t="s">
        <v>457</v>
      </c>
      <c r="H12" s="71" t="s">
        <v>458</v>
      </c>
      <c r="I12" s="71"/>
      <c r="J12" s="68">
        <f t="shared" ref="J12:J16" si="2">AVERAGE(E13:I13)</f>
        <v>14.66</v>
      </c>
      <c r="K12" s="69">
        <f t="shared" ref="K12:K16" si="3">D12*J12</f>
        <v>1143.48</v>
      </c>
    </row>
    <row r="13" s="2" customFormat="1" spans="1:14">
      <c r="A13" s="15"/>
      <c r="B13" s="65"/>
      <c r="C13" s="15"/>
      <c r="D13" s="70"/>
      <c r="E13" s="71">
        <v>14.45</v>
      </c>
      <c r="F13" s="71">
        <v>14.3</v>
      </c>
      <c r="G13" s="71">
        <v>14.9</v>
      </c>
      <c r="H13" s="71">
        <v>15</v>
      </c>
      <c r="I13" s="71"/>
      <c r="J13" s="68"/>
      <c r="K13" s="72"/>
      <c r="M13" s="73"/>
      <c r="N13" s="74"/>
    </row>
    <row r="14" s="2" customFormat="1" ht="51" spans="1:14">
      <c r="A14" s="15">
        <v>5</v>
      </c>
      <c r="B14" s="65" t="s">
        <v>459</v>
      </c>
      <c r="C14" s="15" t="s">
        <v>276</v>
      </c>
      <c r="D14" s="66">
        <f>'SEMAD e AGEHAB TOTALIZADOR'!H6*4</f>
        <v>8</v>
      </c>
      <c r="E14" s="71" t="s">
        <v>295</v>
      </c>
      <c r="F14" s="71" t="s">
        <v>460</v>
      </c>
      <c r="G14" s="71" t="s">
        <v>461</v>
      </c>
      <c r="H14" s="71"/>
      <c r="I14" s="71"/>
      <c r="J14" s="68">
        <f t="shared" si="2"/>
        <v>61.21</v>
      </c>
      <c r="K14" s="69">
        <f t="shared" si="3"/>
        <v>489.68</v>
      </c>
    </row>
    <row r="15" s="2" customFormat="1" spans="1:14">
      <c r="A15" s="15"/>
      <c r="B15" s="65"/>
      <c r="C15" s="15"/>
      <c r="D15" s="70"/>
      <c r="E15" s="71">
        <v>57.9</v>
      </c>
      <c r="F15" s="71">
        <v>66</v>
      </c>
      <c r="G15" s="71">
        <v>59.72</v>
      </c>
      <c r="H15" s="71"/>
      <c r="I15" s="71"/>
      <c r="J15" s="68"/>
      <c r="K15" s="72"/>
      <c r="M15" s="73"/>
      <c r="N15" s="74"/>
    </row>
    <row r="16" s="2" customFormat="1" ht="38.25" spans="1:14">
      <c r="A16" s="15">
        <v>6</v>
      </c>
      <c r="B16" s="65" t="s">
        <v>462</v>
      </c>
      <c r="C16" s="15" t="s">
        <v>276</v>
      </c>
      <c r="D16" s="66">
        <f>'SEMAD e AGEHAB TOTALIZADOR'!H6*4</f>
        <v>8</v>
      </c>
      <c r="E16" s="71" t="s">
        <v>295</v>
      </c>
      <c r="F16" s="71" t="s">
        <v>463</v>
      </c>
      <c r="G16" s="71" t="s">
        <v>464</v>
      </c>
      <c r="H16" s="71"/>
      <c r="I16" s="71"/>
      <c r="J16" s="68">
        <f t="shared" si="2"/>
        <v>76.31</v>
      </c>
      <c r="K16" s="69">
        <f t="shared" si="3"/>
        <v>610.48</v>
      </c>
    </row>
    <row r="17" s="2" customFormat="1" spans="1:14">
      <c r="A17" s="15"/>
      <c r="B17" s="65"/>
      <c r="C17" s="15"/>
      <c r="D17" s="70"/>
      <c r="E17" s="71">
        <v>78.56</v>
      </c>
      <c r="F17" s="71">
        <v>78.14</v>
      </c>
      <c r="G17" s="71">
        <v>72.24</v>
      </c>
      <c r="H17" s="71"/>
      <c r="I17" s="71"/>
      <c r="J17" s="68"/>
      <c r="K17" s="72"/>
      <c r="M17" s="73"/>
      <c r="N17" s="74"/>
    </row>
    <row r="18" s="2" customFormat="1" ht="38.25" spans="1:14">
      <c r="A18" s="15">
        <v>7</v>
      </c>
      <c r="B18" s="65" t="s">
        <v>465</v>
      </c>
      <c r="C18" s="15" t="s">
        <v>276</v>
      </c>
      <c r="D18" s="66">
        <f>'SEMAD e AGEHAB TOTALIZADOR'!B6+'SEMAD e AGEHAB TOTALIZADOR'!D6</f>
        <v>24</v>
      </c>
      <c r="E18" s="71" t="s">
        <v>295</v>
      </c>
      <c r="F18" s="71" t="s">
        <v>466</v>
      </c>
      <c r="G18" s="71" t="s">
        <v>467</v>
      </c>
      <c r="H18" s="71"/>
      <c r="I18" s="71"/>
      <c r="J18" s="68">
        <f>AVERAGE(E19:I19)</f>
        <v>56.77</v>
      </c>
      <c r="K18" s="69">
        <f>D18*J18</f>
        <v>1362.48</v>
      </c>
    </row>
    <row r="19" s="2" customFormat="1" spans="1:14">
      <c r="A19" s="15"/>
      <c r="B19" s="65"/>
      <c r="C19" s="15"/>
      <c r="D19" s="70"/>
      <c r="E19" s="71">
        <v>65.05</v>
      </c>
      <c r="F19" s="71">
        <v>56.19</v>
      </c>
      <c r="G19" s="71">
        <v>49.06</v>
      </c>
      <c r="H19" s="71"/>
      <c r="I19" s="71"/>
      <c r="J19" s="68"/>
      <c r="K19" s="72"/>
      <c r="M19" s="73"/>
      <c r="N19" s="74"/>
    </row>
    <row r="20" s="2" customFormat="1" ht="38.25" spans="1:14">
      <c r="A20" s="15">
        <v>8</v>
      </c>
      <c r="B20" s="65" t="s">
        <v>468</v>
      </c>
      <c r="C20" s="15" t="s">
        <v>276</v>
      </c>
      <c r="D20" s="66">
        <f>'SEMAD e AGEHAB TOTALIZADOR'!F6+'SEMAD e AGEHAB TOTALIZADOR'!K6</f>
        <v>8</v>
      </c>
      <c r="E20" s="71" t="s">
        <v>295</v>
      </c>
      <c r="F20" s="71" t="s">
        <v>469</v>
      </c>
      <c r="G20" s="71" t="s">
        <v>470</v>
      </c>
      <c r="H20" s="71" t="s">
        <v>471</v>
      </c>
      <c r="I20" s="71"/>
      <c r="J20" s="68">
        <f>AVERAGE(E21:I21)</f>
        <v>28.78</v>
      </c>
      <c r="K20" s="69">
        <f>D20*J20</f>
        <v>230.24</v>
      </c>
    </row>
    <row r="21" s="2" customFormat="1" spans="1:14">
      <c r="A21" s="15"/>
      <c r="B21" s="65"/>
      <c r="C21" s="15"/>
      <c r="D21" s="70"/>
      <c r="E21" s="71">
        <v>30.3</v>
      </c>
      <c r="F21" s="71">
        <v>27.7</v>
      </c>
      <c r="G21" s="71">
        <v>30</v>
      </c>
      <c r="H21" s="71">
        <v>27.1</v>
      </c>
      <c r="I21" s="71"/>
      <c r="J21" s="68"/>
      <c r="K21" s="72"/>
    </row>
    <row r="22" s="1" customFormat="1" ht="18" customHeight="1" spans="1:14">
      <c r="F22" s="75" t="s">
        <v>472</v>
      </c>
      <c r="G22" s="75"/>
      <c r="H22" s="75"/>
      <c r="I22" s="75"/>
      <c r="J22" s="75"/>
      <c r="K22" s="76">
        <f>SUM(K6:K21)</f>
        <v>5874.06</v>
      </c>
    </row>
    <row r="23" s="1" customFormat="1" ht="18" customHeight="1" spans="1:14">
      <c r="A23" s="77"/>
      <c r="B23" s="78"/>
      <c r="C23" s="78"/>
      <c r="D23" s="78"/>
      <c r="E23" s="78"/>
      <c r="F23" s="79" t="s">
        <v>306</v>
      </c>
      <c r="G23" s="79"/>
      <c r="H23" s="79"/>
      <c r="I23" s="79"/>
      <c r="J23" s="79"/>
      <c r="K23" s="80">
        <v>12</v>
      </c>
    </row>
    <row r="24" s="1" customFormat="1" ht="18" customHeight="1" spans="1:14">
      <c r="A24" s="73"/>
      <c r="B24" s="74"/>
      <c r="C24" s="73"/>
      <c r="D24" s="73"/>
      <c r="E24" s="81"/>
      <c r="F24" s="82" t="s">
        <v>473</v>
      </c>
      <c r="G24" s="82"/>
      <c r="H24" s="82"/>
      <c r="I24" s="82"/>
      <c r="J24" s="82"/>
      <c r="K24" s="83">
        <f>K22/K23</f>
        <v>489.51</v>
      </c>
    </row>
    <row r="25" ht="18" customHeight="1" spans="1:14">
      <c r="F25" s="79" t="s">
        <v>474</v>
      </c>
      <c r="G25" s="79"/>
      <c r="H25" s="79"/>
      <c r="I25" s="79"/>
      <c r="J25" s="79"/>
      <c r="K25" s="80">
        <f>'SEMAD e AGEHAB TOTALIZADOR'!L6-'SEMAD e AGEHAB TOTALIZADOR'!I6</f>
        <v>34</v>
      </c>
    </row>
    <row r="26" ht="18" customHeight="1" spans="1:14">
      <c r="F26" s="82" t="s">
        <v>307</v>
      </c>
      <c r="G26" s="82"/>
      <c r="H26" s="82"/>
      <c r="I26" s="82"/>
      <c r="J26" s="82"/>
      <c r="K26" s="83">
        <f>K24/K25</f>
        <v>14.4</v>
      </c>
    </row>
  </sheetData>
  <mergeCells count="61">
    <mergeCell ref="A1:K1"/>
    <mergeCell ref="A2:K2"/>
    <mergeCell ref="A3:K3"/>
    <mergeCell ref="E4:J4"/>
    <mergeCell ref="F22:J22"/>
    <mergeCell ref="F23:J23"/>
    <mergeCell ref="F24:J24"/>
    <mergeCell ref="F25:J25"/>
    <mergeCell ref="F26:J26"/>
    <mergeCell ref="A4:A5"/>
    <mergeCell ref="A6:A7"/>
    <mergeCell ref="A8:A9"/>
    <mergeCell ref="A10:A11"/>
    <mergeCell ref="A12:A13"/>
    <mergeCell ref="A14:A15"/>
    <mergeCell ref="A16:A17"/>
    <mergeCell ref="A18:A19"/>
    <mergeCell ref="A20:A21"/>
    <mergeCell ref="B4:B5"/>
    <mergeCell ref="B6:B7"/>
    <mergeCell ref="B8:B9"/>
    <mergeCell ref="B10:B11"/>
    <mergeCell ref="B12:B13"/>
    <mergeCell ref="B14:B15"/>
    <mergeCell ref="B16:B17"/>
    <mergeCell ref="B18:B19"/>
    <mergeCell ref="B20:B21"/>
    <mergeCell ref="C4:C5"/>
    <mergeCell ref="C6:C7"/>
    <mergeCell ref="C8:C9"/>
    <mergeCell ref="C10:C11"/>
    <mergeCell ref="C12:C13"/>
    <mergeCell ref="C14:C15"/>
    <mergeCell ref="C16:C17"/>
    <mergeCell ref="C18:C19"/>
    <mergeCell ref="C20:C21"/>
    <mergeCell ref="D4:D5"/>
    <mergeCell ref="D6:D7"/>
    <mergeCell ref="D8:D9"/>
    <mergeCell ref="D10:D11"/>
    <mergeCell ref="D12:D13"/>
    <mergeCell ref="D14:D15"/>
    <mergeCell ref="D16:D17"/>
    <mergeCell ref="D18:D19"/>
    <mergeCell ref="D20:D21"/>
    <mergeCell ref="J6:J7"/>
    <mergeCell ref="J8:J9"/>
    <mergeCell ref="J10:J11"/>
    <mergeCell ref="J12:J13"/>
    <mergeCell ref="J14:J15"/>
    <mergeCell ref="J16:J17"/>
    <mergeCell ref="J18:J19"/>
    <mergeCell ref="J20:J21"/>
    <mergeCell ref="K6:K7"/>
    <mergeCell ref="K8:K9"/>
    <mergeCell ref="K10:K11"/>
    <mergeCell ref="K12:K13"/>
    <mergeCell ref="K14:K15"/>
    <mergeCell ref="K16:K17"/>
    <mergeCell ref="K18:K19"/>
    <mergeCell ref="K20:K21"/>
  </mergeCells>
  <pageMargins left="0.554166666666667" right="0.357638888888889" top="0.605555555555556" bottom="0.605555555555556" header="0.5" footer="0.5"/>
  <pageSetup paperSize="9" scale="65"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799981688894314"/>
  </sheetPr>
  <dimension ref="A1:T33"/>
  <sheetViews>
    <sheetView view="pageBreakPreview" zoomScale="70" zoomScaleNormal="85" topLeftCell="A12" workbookViewId="0">
      <selection activeCell="I16" sqref="I16"/>
    </sheetView>
  </sheetViews>
  <sheetFormatPr defaultColWidth="9.14285714285714" defaultRowHeight="12.75"/>
  <cols>
    <col min="1" max="1" width="7.14285714285714" style="3" customWidth="1"/>
    <col min="2" max="2" width="38.4285714285714" style="2" customWidth="1"/>
    <col min="3" max="3" width="9.42857142857143" style="2" customWidth="1"/>
    <col min="4" max="4" width="15.7142857142857" style="2" customWidth="1"/>
    <col min="5" max="9" width="25.8571428571429" style="4" customWidth="1"/>
    <col min="10" max="10" width="27.5714285714286" style="4" customWidth="1"/>
    <col min="11" max="13" width="17.7142857142857" style="4" customWidth="1"/>
    <col min="14" max="14" width="13.1428571428571" style="4" customWidth="1"/>
    <col min="15" max="15" width="13.2857142857143" style="4" customWidth="1"/>
    <col min="16" max="16" width="16.4285714285714" style="4" customWidth="1"/>
    <col min="17" max="17" width="16.8571428571429" style="4" customWidth="1"/>
    <col min="18" max="18" width="21.5714285714286" style="4" customWidth="1"/>
    <col min="19" max="20" width="12" style="4" customWidth="1"/>
    <col min="21" max="16384" width="9.14285714285714" style="2"/>
  </cols>
  <sheetData>
    <row r="1" s="1" customFormat="1" ht="18" spans="1:15">
      <c r="A1" s="5" t="str">
        <f>'SEMAD e AGEHAB TOTALIZADOR'!A1</f>
        <v>SEMAD</v>
      </c>
      <c r="B1" s="5"/>
      <c r="C1" s="5"/>
      <c r="D1" s="5"/>
      <c r="E1" s="5"/>
      <c r="F1" s="5"/>
      <c r="G1" s="5"/>
      <c r="H1" s="5"/>
      <c r="I1" s="5"/>
      <c r="J1" s="5"/>
      <c r="K1" s="5"/>
      <c r="L1" s="5"/>
      <c r="M1" s="5"/>
    </row>
    <row r="2" s="1" customFormat="1" ht="18" spans="1:15">
      <c r="A2" s="5" t="s">
        <v>475</v>
      </c>
      <c r="B2" s="5"/>
      <c r="C2" s="5"/>
      <c r="D2" s="5"/>
      <c r="E2" s="5"/>
      <c r="F2" s="5"/>
      <c r="G2" s="5"/>
      <c r="H2" s="5"/>
      <c r="I2" s="5"/>
      <c r="J2" s="5"/>
      <c r="K2" s="5"/>
      <c r="L2" s="5"/>
      <c r="M2" s="5"/>
      <c r="N2" s="6"/>
      <c r="O2" s="6"/>
    </row>
    <row r="3" s="1" customFormat="1" spans="1:15">
      <c r="A3" s="7" t="s">
        <v>476</v>
      </c>
      <c r="B3" s="7"/>
      <c r="C3" s="7"/>
      <c r="D3" s="7"/>
      <c r="E3" s="7"/>
      <c r="F3" s="7"/>
      <c r="G3" s="7"/>
      <c r="H3" s="7"/>
      <c r="I3" s="7"/>
      <c r="J3" s="7"/>
      <c r="K3" s="7"/>
      <c r="L3" s="7"/>
      <c r="M3" s="7"/>
    </row>
    <row r="4" s="1" customFormat="1" spans="1:15">
      <c r="A4" s="7" t="s">
        <v>274</v>
      </c>
      <c r="B4" s="7" t="s">
        <v>275</v>
      </c>
      <c r="C4" s="7" t="s">
        <v>276</v>
      </c>
      <c r="D4" s="7" t="s">
        <v>441</v>
      </c>
      <c r="E4" s="8" t="s">
        <v>278</v>
      </c>
      <c r="F4" s="9"/>
      <c r="G4" s="9"/>
      <c r="H4" s="9"/>
      <c r="I4" s="9"/>
      <c r="J4" s="10"/>
      <c r="K4" s="8" t="s">
        <v>477</v>
      </c>
      <c r="L4" s="9"/>
      <c r="M4" s="10"/>
    </row>
    <row r="5" s="1" customFormat="1" ht="25.5" spans="1:15">
      <c r="A5" s="7"/>
      <c r="B5" s="7"/>
      <c r="C5" s="7"/>
      <c r="D5" s="7"/>
      <c r="E5" s="7" t="s">
        <v>280</v>
      </c>
      <c r="F5" s="7" t="s">
        <v>281</v>
      </c>
      <c r="G5" s="7" t="s">
        <v>282</v>
      </c>
      <c r="H5" s="7" t="s">
        <v>283</v>
      </c>
      <c r="I5" s="7" t="s">
        <v>284</v>
      </c>
      <c r="J5" s="11" t="s">
        <v>285</v>
      </c>
      <c r="K5" s="12" t="s">
        <v>478</v>
      </c>
      <c r="L5" s="12" t="s">
        <v>479</v>
      </c>
      <c r="M5" s="12" t="s">
        <v>480</v>
      </c>
    </row>
    <row r="6" s="2" customFormat="1" ht="63.75" spans="1:15">
      <c r="A6" s="13">
        <v>1</v>
      </c>
      <c r="B6" s="14" t="s">
        <v>481</v>
      </c>
      <c r="C6" s="13" t="s">
        <v>276</v>
      </c>
      <c r="D6" s="13">
        <f>2</f>
        <v>2</v>
      </c>
      <c r="E6" s="15" t="s">
        <v>287</v>
      </c>
      <c r="F6" s="15" t="s">
        <v>482</v>
      </c>
      <c r="G6" s="16" t="s">
        <v>483</v>
      </c>
      <c r="H6" s="16" t="s">
        <v>484</v>
      </c>
      <c r="I6" s="16"/>
      <c r="J6" s="17">
        <f t="shared" ref="J6:J10" si="0">AVERAGE(E7:I7)</f>
        <v>485.08</v>
      </c>
      <c r="K6" s="18">
        <f t="shared" ref="K6:K10" si="1">D6*J6</f>
        <v>970.16</v>
      </c>
      <c r="L6" s="19">
        <v>0.2</v>
      </c>
      <c r="M6" s="20">
        <f t="shared" ref="M6:M10" si="2">K6*L6</f>
        <v>194.03</v>
      </c>
    </row>
    <row r="7" s="2" customFormat="1" spans="1:15">
      <c r="A7" s="21"/>
      <c r="B7" s="22"/>
      <c r="C7" s="21"/>
      <c r="D7" s="21"/>
      <c r="E7" s="16">
        <v>449.9</v>
      </c>
      <c r="F7" s="16">
        <v>491</v>
      </c>
      <c r="G7" s="16">
        <v>479.4</v>
      </c>
      <c r="H7" s="16">
        <v>520</v>
      </c>
      <c r="I7" s="16"/>
      <c r="J7" s="23"/>
      <c r="K7" s="24"/>
      <c r="L7" s="25"/>
      <c r="M7" s="26"/>
    </row>
    <row r="8" s="2" customFormat="1" ht="123" customHeight="1" spans="1:15">
      <c r="A8" s="13">
        <v>2</v>
      </c>
      <c r="B8" s="14" t="s">
        <v>485</v>
      </c>
      <c r="C8" s="13" t="s">
        <v>276</v>
      </c>
      <c r="D8" s="27">
        <f>'SEMAD e AGEHAB TOTALIZADOR'!B6+'SEMAD e AGEHAB TOTALIZADOR'!D6</f>
        <v>24</v>
      </c>
      <c r="E8" s="15" t="s">
        <v>295</v>
      </c>
      <c r="F8" s="16" t="s">
        <v>486</v>
      </c>
      <c r="G8" s="15" t="s">
        <v>487</v>
      </c>
      <c r="H8" s="15"/>
      <c r="I8" s="15"/>
      <c r="J8" s="17">
        <f t="shared" si="0"/>
        <v>1477.61</v>
      </c>
      <c r="K8" s="18">
        <f t="shared" si="1"/>
        <v>35462.64</v>
      </c>
      <c r="L8" s="19">
        <v>0.2</v>
      </c>
      <c r="M8" s="20">
        <f t="shared" si="2"/>
        <v>7092.53</v>
      </c>
    </row>
    <row r="9" s="2" customFormat="1" spans="1:15">
      <c r="A9" s="21"/>
      <c r="B9" s="22"/>
      <c r="C9" s="21"/>
      <c r="D9" s="21"/>
      <c r="E9" s="16">
        <v>1300.22</v>
      </c>
      <c r="F9" s="16">
        <v>1654.99</v>
      </c>
      <c r="G9" s="16"/>
      <c r="H9" s="16"/>
      <c r="I9" s="16"/>
      <c r="J9" s="23"/>
      <c r="K9" s="24"/>
      <c r="L9" s="25"/>
      <c r="M9" s="26"/>
    </row>
    <row r="10" s="2" customFormat="1" ht="51" spans="1:15">
      <c r="A10" s="13">
        <v>3</v>
      </c>
      <c r="B10" s="14" t="s">
        <v>488</v>
      </c>
      <c r="C10" s="13" t="s">
        <v>276</v>
      </c>
      <c r="D10" s="13">
        <v>1</v>
      </c>
      <c r="E10" s="15" t="s">
        <v>295</v>
      </c>
      <c r="F10" s="15" t="s">
        <v>489</v>
      </c>
      <c r="G10" s="16" t="s">
        <v>490</v>
      </c>
      <c r="H10" s="16"/>
      <c r="I10" s="16"/>
      <c r="J10" s="17">
        <f t="shared" si="0"/>
        <v>2278.83</v>
      </c>
      <c r="K10" s="18">
        <f t="shared" si="1"/>
        <v>2278.83</v>
      </c>
      <c r="L10" s="19">
        <v>0.2</v>
      </c>
      <c r="M10" s="20">
        <f t="shared" si="2"/>
        <v>455.77</v>
      </c>
    </row>
    <row r="11" s="2" customFormat="1" spans="1:15">
      <c r="A11" s="21"/>
      <c r="B11" s="22"/>
      <c r="C11" s="21"/>
      <c r="D11" s="21"/>
      <c r="E11" s="16">
        <v>2119</v>
      </c>
      <c r="F11" s="16">
        <v>2490</v>
      </c>
      <c r="G11" s="16">
        <v>2227.49</v>
      </c>
      <c r="H11" s="16"/>
      <c r="I11" s="16"/>
      <c r="J11" s="23"/>
      <c r="K11" s="24"/>
      <c r="L11" s="25"/>
      <c r="M11" s="26"/>
    </row>
    <row r="12" s="2" customFormat="1" ht="128.1" customHeight="1" spans="1:15">
      <c r="A12" s="13">
        <v>4</v>
      </c>
      <c r="B12" s="14" t="s">
        <v>491</v>
      </c>
      <c r="C12" s="13" t="s">
        <v>276</v>
      </c>
      <c r="D12" s="13">
        <v>4</v>
      </c>
      <c r="E12" s="16" t="s">
        <v>492</v>
      </c>
      <c r="F12" s="15" t="s">
        <v>493</v>
      </c>
      <c r="G12" s="15" t="s">
        <v>494</v>
      </c>
      <c r="H12" s="15" t="s">
        <v>495</v>
      </c>
      <c r="I12" s="15"/>
      <c r="J12" s="17">
        <f t="shared" ref="J12:J16" si="3">AVERAGE(E13:I13)</f>
        <v>3027.54</v>
      </c>
      <c r="K12" s="18">
        <f t="shared" ref="K12:K16" si="4">D12*J12</f>
        <v>12110.16</v>
      </c>
      <c r="L12" s="19">
        <v>0.2</v>
      </c>
      <c r="M12" s="20">
        <f t="shared" ref="M12:M16" si="5">K12*L12</f>
        <v>2422.03</v>
      </c>
    </row>
    <row r="13" s="2" customFormat="1" spans="1:15">
      <c r="A13" s="21"/>
      <c r="B13" s="22"/>
      <c r="C13" s="21"/>
      <c r="D13" s="21"/>
      <c r="E13" s="16">
        <v>2399.28</v>
      </c>
      <c r="F13" s="16">
        <v>3965.88</v>
      </c>
      <c r="G13" s="16">
        <v>3100</v>
      </c>
      <c r="H13" s="16">
        <v>2645</v>
      </c>
      <c r="I13" s="16"/>
      <c r="J13" s="23"/>
      <c r="K13" s="24"/>
      <c r="L13" s="25"/>
      <c r="M13" s="26"/>
    </row>
    <row r="14" s="2" customFormat="1" ht="51" spans="1:15">
      <c r="A14" s="13">
        <v>5</v>
      </c>
      <c r="B14" s="14" t="s">
        <v>496</v>
      </c>
      <c r="C14" s="13" t="s">
        <v>276</v>
      </c>
      <c r="D14" s="13">
        <v>2</v>
      </c>
      <c r="E14" s="16" t="s">
        <v>497</v>
      </c>
      <c r="F14" s="16" t="s">
        <v>498</v>
      </c>
      <c r="G14" s="15" t="s">
        <v>499</v>
      </c>
      <c r="H14" s="15" t="s">
        <v>500</v>
      </c>
      <c r="I14" s="15"/>
      <c r="J14" s="17">
        <f t="shared" si="3"/>
        <v>484.7</v>
      </c>
      <c r="K14" s="18">
        <f t="shared" si="4"/>
        <v>969.4</v>
      </c>
      <c r="L14" s="19">
        <v>0.2</v>
      </c>
      <c r="M14" s="20">
        <f t="shared" si="5"/>
        <v>193.88</v>
      </c>
    </row>
    <row r="15" s="2" customFormat="1" spans="1:15">
      <c r="A15" s="21"/>
      <c r="B15" s="22"/>
      <c r="C15" s="21"/>
      <c r="D15" s="21"/>
      <c r="E15" s="16">
        <v>489.9</v>
      </c>
      <c r="F15" s="16">
        <v>459</v>
      </c>
      <c r="G15" s="16">
        <v>519.89</v>
      </c>
      <c r="H15" s="16">
        <v>470</v>
      </c>
      <c r="I15" s="16"/>
      <c r="J15" s="23"/>
      <c r="K15" s="24"/>
      <c r="L15" s="25"/>
      <c r="M15" s="26"/>
    </row>
    <row r="16" s="2" customFormat="1" ht="153.95" customHeight="1" spans="1:15">
      <c r="A16" s="13">
        <v>6</v>
      </c>
      <c r="B16" s="14" t="s">
        <v>501</v>
      </c>
      <c r="C16" s="13" t="s">
        <v>276</v>
      </c>
      <c r="D16" s="13">
        <v>1</v>
      </c>
      <c r="E16" s="15" t="s">
        <v>295</v>
      </c>
      <c r="F16" s="16" t="s">
        <v>502</v>
      </c>
      <c r="G16" s="16" t="s">
        <v>503</v>
      </c>
      <c r="H16" s="16"/>
      <c r="I16" s="16"/>
      <c r="J16" s="17">
        <f t="shared" si="3"/>
        <v>9171.22</v>
      </c>
      <c r="K16" s="18">
        <f t="shared" si="4"/>
        <v>9171.22</v>
      </c>
      <c r="L16" s="19">
        <v>0.2</v>
      </c>
      <c r="M16" s="20">
        <f t="shared" si="5"/>
        <v>1834.24</v>
      </c>
    </row>
    <row r="17" spans="1:20">
      <c r="A17" s="21"/>
      <c r="B17" s="22"/>
      <c r="C17" s="21"/>
      <c r="D17" s="21"/>
      <c r="E17" s="16">
        <v>10758</v>
      </c>
      <c r="F17" s="16">
        <v>8498</v>
      </c>
      <c r="G17" s="16">
        <v>8257.67</v>
      </c>
      <c r="H17" s="16"/>
      <c r="I17" s="16"/>
      <c r="J17" s="23"/>
      <c r="K17" s="24"/>
      <c r="L17" s="25"/>
      <c r="M17" s="26"/>
      <c r="N17" s="2"/>
      <c r="O17" s="2"/>
      <c r="P17" s="2"/>
      <c r="Q17" s="2"/>
      <c r="R17" s="2"/>
      <c r="S17" s="2"/>
      <c r="T17" s="2"/>
    </row>
    <row r="18" ht="95.1" customHeight="1" spans="1:20">
      <c r="A18" s="15">
        <v>7</v>
      </c>
      <c r="B18" s="28" t="s">
        <v>504</v>
      </c>
      <c r="C18" s="13" t="s">
        <v>276</v>
      </c>
      <c r="D18" s="15">
        <v>1</v>
      </c>
      <c r="E18" s="16" t="s">
        <v>295</v>
      </c>
      <c r="F18" s="15" t="s">
        <v>505</v>
      </c>
      <c r="G18" s="16" t="s">
        <v>506</v>
      </c>
      <c r="H18" s="16"/>
      <c r="I18" s="16"/>
      <c r="J18" s="17">
        <f t="shared" ref="J18:J22" si="6">AVERAGE(E19:I19)</f>
        <v>1039.98</v>
      </c>
      <c r="K18" s="18">
        <f t="shared" ref="K18:K22" si="7">D18*J18</f>
        <v>1039.98</v>
      </c>
      <c r="L18" s="19">
        <v>0.2</v>
      </c>
      <c r="M18" s="20">
        <f t="shared" ref="M18:M22" si="8">K18*L18</f>
        <v>208</v>
      </c>
      <c r="N18" s="2"/>
      <c r="O18" s="2"/>
      <c r="P18" s="2"/>
      <c r="Q18" s="2"/>
      <c r="R18" s="2"/>
      <c r="S18" s="2"/>
      <c r="T18" s="2"/>
    </row>
    <row r="19" spans="1:20">
      <c r="A19" s="15"/>
      <c r="B19" s="28"/>
      <c r="C19" s="21"/>
      <c r="D19" s="15"/>
      <c r="E19" s="16">
        <v>1225.3</v>
      </c>
      <c r="F19" s="16">
        <v>1045.47</v>
      </c>
      <c r="G19" s="16">
        <v>849.16</v>
      </c>
      <c r="H19" s="16"/>
      <c r="I19" s="16"/>
      <c r="J19" s="23"/>
      <c r="K19" s="24"/>
      <c r="L19" s="25"/>
      <c r="M19" s="26"/>
      <c r="N19" s="2"/>
      <c r="O19" s="2"/>
      <c r="P19" s="2"/>
      <c r="Q19" s="2"/>
      <c r="R19" s="2"/>
      <c r="S19" s="2"/>
      <c r="T19" s="2"/>
    </row>
    <row r="20" ht="180" customHeight="1" spans="1:20">
      <c r="A20" s="15">
        <v>8</v>
      </c>
      <c r="B20" s="28" t="s">
        <v>507</v>
      </c>
      <c r="C20" s="13" t="s">
        <v>276</v>
      </c>
      <c r="D20" s="15">
        <v>1</v>
      </c>
      <c r="E20" s="15" t="s">
        <v>295</v>
      </c>
      <c r="F20" s="16" t="s">
        <v>355</v>
      </c>
      <c r="G20" s="16" t="s">
        <v>395</v>
      </c>
      <c r="H20" s="16"/>
      <c r="I20" s="16"/>
      <c r="J20" s="17">
        <f t="shared" si="6"/>
        <v>946.88</v>
      </c>
      <c r="K20" s="18">
        <f t="shared" si="7"/>
        <v>946.88</v>
      </c>
      <c r="L20" s="19">
        <v>0.2</v>
      </c>
      <c r="M20" s="20">
        <f t="shared" si="8"/>
        <v>189.38</v>
      </c>
      <c r="N20" s="2"/>
      <c r="O20" s="2"/>
      <c r="P20" s="2"/>
      <c r="Q20" s="2"/>
      <c r="R20" s="2"/>
      <c r="S20" s="2"/>
      <c r="T20" s="2"/>
    </row>
    <row r="21" spans="1:20">
      <c r="A21" s="15"/>
      <c r="B21" s="28"/>
      <c r="C21" s="21"/>
      <c r="D21" s="15"/>
      <c r="E21" s="16">
        <v>840</v>
      </c>
      <c r="F21" s="16">
        <v>980.75</v>
      </c>
      <c r="G21" s="16">
        <v>1019.9</v>
      </c>
      <c r="H21" s="16"/>
      <c r="I21" s="16"/>
      <c r="J21" s="23"/>
      <c r="K21" s="24"/>
      <c r="L21" s="25"/>
      <c r="M21" s="26"/>
      <c r="N21" s="2"/>
      <c r="O21" s="2"/>
      <c r="P21" s="2"/>
      <c r="Q21" s="2"/>
      <c r="R21" s="2"/>
      <c r="S21" s="2"/>
      <c r="T21" s="2"/>
    </row>
    <row r="22" ht="51.95" customHeight="1" spans="1:20">
      <c r="A22" s="15">
        <v>9</v>
      </c>
      <c r="B22" s="28" t="s">
        <v>508</v>
      </c>
      <c r="C22" s="13" t="s">
        <v>276</v>
      </c>
      <c r="D22" s="29">
        <f>'SEMAD e AGEHAB TOTALIZADOR'!K6+'SEMAD e AGEHAB TOTALIZADOR'!F6*30%</f>
        <v>3</v>
      </c>
      <c r="E22" s="15" t="s">
        <v>295</v>
      </c>
      <c r="F22" s="16" t="s">
        <v>509</v>
      </c>
      <c r="G22" s="16" t="s">
        <v>510</v>
      </c>
      <c r="H22" s="16"/>
      <c r="I22" s="16"/>
      <c r="J22" s="17">
        <f t="shared" si="6"/>
        <v>1291.66</v>
      </c>
      <c r="K22" s="18">
        <f t="shared" si="7"/>
        <v>3874.98</v>
      </c>
      <c r="L22" s="19">
        <v>0.2</v>
      </c>
      <c r="M22" s="20">
        <f t="shared" si="8"/>
        <v>775</v>
      </c>
      <c r="N22" s="2"/>
      <c r="O22" s="2"/>
      <c r="P22" s="2"/>
      <c r="Q22" s="2"/>
      <c r="R22" s="2"/>
      <c r="S22" s="2"/>
      <c r="T22" s="2"/>
    </row>
    <row r="23" spans="1:20">
      <c r="A23" s="15"/>
      <c r="B23" s="28"/>
      <c r="C23" s="21"/>
      <c r="D23" s="15"/>
      <c r="E23" s="30">
        <v>1485</v>
      </c>
      <c r="F23" s="30">
        <v>1189.99</v>
      </c>
      <c r="G23" s="30">
        <v>1200</v>
      </c>
      <c r="H23" s="30"/>
      <c r="I23" s="30"/>
      <c r="J23" s="23"/>
      <c r="K23" s="24"/>
      <c r="L23" s="25"/>
      <c r="M23" s="26"/>
      <c r="N23" s="2"/>
      <c r="O23" s="2"/>
      <c r="P23" s="2"/>
      <c r="Q23" s="2"/>
      <c r="R23" s="2"/>
      <c r="S23" s="2"/>
      <c r="T23" s="2"/>
    </row>
    <row r="24" ht="51" spans="1:20">
      <c r="A24" s="15">
        <v>10</v>
      </c>
      <c r="B24" s="28" t="s">
        <v>511</v>
      </c>
      <c r="C24" s="15" t="s">
        <v>276</v>
      </c>
      <c r="D24" s="29">
        <f>'SEMAD e AGEHAB TOTALIZADOR'!K6+'SEMAD e AGEHAB TOTALIZADOR'!F6*30%</f>
        <v>3</v>
      </c>
      <c r="E24" s="16" t="s">
        <v>512</v>
      </c>
      <c r="F24" s="15" t="s">
        <v>295</v>
      </c>
      <c r="G24" s="16" t="s">
        <v>513</v>
      </c>
      <c r="H24" s="15" t="s">
        <v>514</v>
      </c>
      <c r="I24" s="16" t="s">
        <v>512</v>
      </c>
      <c r="J24" s="17">
        <f>AVERAGE(E25:I25)</f>
        <v>832.4</v>
      </c>
      <c r="K24" s="18">
        <f>D24*J24</f>
        <v>2497.2</v>
      </c>
      <c r="L24" s="19">
        <v>0.2</v>
      </c>
      <c r="M24" s="20">
        <f>K24*L24</f>
        <v>499.44</v>
      </c>
      <c r="N24" s="2"/>
      <c r="O24" s="2"/>
      <c r="P24" s="2"/>
      <c r="Q24" s="2"/>
      <c r="R24" s="2"/>
      <c r="S24" s="2"/>
      <c r="T24" s="2"/>
    </row>
    <row r="25" ht="57.95" customHeight="1" spans="1:20">
      <c r="A25" s="15"/>
      <c r="B25" s="28"/>
      <c r="C25" s="15"/>
      <c r="D25" s="15"/>
      <c r="E25" s="31">
        <v>820</v>
      </c>
      <c r="F25" s="31">
        <v>799</v>
      </c>
      <c r="G25" s="31">
        <v>898</v>
      </c>
      <c r="H25" s="31">
        <v>800</v>
      </c>
      <c r="I25" s="31">
        <v>845</v>
      </c>
      <c r="J25" s="23"/>
      <c r="K25" s="24"/>
      <c r="L25" s="25"/>
      <c r="M25" s="26"/>
      <c r="N25" s="2"/>
      <c r="O25" s="2"/>
      <c r="P25" s="2"/>
      <c r="Q25" s="2"/>
      <c r="R25" s="2"/>
      <c r="S25" s="2"/>
      <c r="T25" s="2"/>
    </row>
    <row r="26" spans="1:20">
      <c r="A26" s="32"/>
      <c r="B26" s="32"/>
      <c r="C26" s="32"/>
      <c r="D26" s="32"/>
      <c r="E26" s="33"/>
      <c r="F26" s="2"/>
      <c r="G26" s="2"/>
      <c r="H26" s="2"/>
      <c r="I26" s="2"/>
      <c r="J26" s="34" t="s">
        <v>515</v>
      </c>
      <c r="K26" s="35">
        <f>SUM(K6:K25)</f>
        <v>69321.45</v>
      </c>
      <c r="L26" s="35"/>
      <c r="M26" s="36">
        <f>SUM(M6:M25)</f>
        <v>13864.3</v>
      </c>
      <c r="N26" s="37"/>
      <c r="O26" s="2"/>
      <c r="P26" s="2"/>
      <c r="Q26" s="2"/>
      <c r="R26" s="2"/>
      <c r="S26" s="2"/>
      <c r="T26" s="2"/>
    </row>
    <row r="27" spans="1:20">
      <c r="A27" s="32"/>
      <c r="B27" s="32"/>
      <c r="C27" s="32"/>
      <c r="D27" s="32"/>
      <c r="F27" s="2"/>
      <c r="G27" s="2"/>
      <c r="H27" s="2"/>
      <c r="I27" s="2"/>
      <c r="J27" s="38" t="s">
        <v>516</v>
      </c>
      <c r="K27" s="39"/>
      <c r="L27" s="40"/>
      <c r="M27" s="41">
        <v>12</v>
      </c>
      <c r="N27" s="2"/>
      <c r="O27" s="2"/>
      <c r="P27" s="2"/>
      <c r="Q27" s="2"/>
      <c r="R27" s="2"/>
      <c r="S27" s="2"/>
      <c r="T27" s="2"/>
    </row>
    <row r="28" spans="1:20">
      <c r="E28" s="42"/>
      <c r="F28" s="42"/>
      <c r="G28" s="2"/>
      <c r="H28" s="2"/>
      <c r="I28" s="2"/>
      <c r="J28" s="43" t="s">
        <v>517</v>
      </c>
      <c r="K28" s="44"/>
      <c r="L28" s="45"/>
      <c r="M28" s="46">
        <f>M26/M27</f>
        <v>1155.36</v>
      </c>
      <c r="P28" s="47"/>
    </row>
    <row r="29" spans="1:20">
      <c r="A29" s="42"/>
      <c r="B29" s="42"/>
      <c r="C29" s="42"/>
      <c r="D29" s="42"/>
      <c r="E29" s="42"/>
      <c r="F29" s="42"/>
      <c r="G29" s="2"/>
      <c r="H29" s="2"/>
      <c r="I29" s="2"/>
      <c r="J29" s="48" t="s">
        <v>518</v>
      </c>
      <c r="K29" s="49"/>
      <c r="L29" s="50"/>
      <c r="M29" s="51">
        <f>'SEMAD e AGEHAB TOTALIZADOR'!L6-'SEMAD e AGEHAB TOTALIZADOR'!I6</f>
        <v>34</v>
      </c>
    </row>
    <row r="30" spans="1:20">
      <c r="A30" s="42"/>
      <c r="B30" s="42"/>
      <c r="C30" s="42"/>
      <c r="D30" s="42"/>
      <c r="E30" s="52"/>
      <c r="F30" s="52"/>
      <c r="G30" s="52"/>
      <c r="H30" s="52"/>
      <c r="I30" s="52"/>
      <c r="J30" s="53"/>
      <c r="K30" s="54"/>
      <c r="L30" s="55"/>
      <c r="M30" s="56">
        <f>M28/M29</f>
        <v>33.98</v>
      </c>
    </row>
    <row r="31" spans="1:20">
      <c r="A31" s="145"/>
      <c r="B31" s="52"/>
      <c r="C31" s="52"/>
      <c r="D31" s="52"/>
      <c r="E31" s="52"/>
      <c r="F31" s="52"/>
      <c r="G31" s="52"/>
      <c r="H31" s="52"/>
      <c r="I31" s="52"/>
      <c r="J31" s="52"/>
      <c r="M31" s="57"/>
    </row>
    <row r="32" ht="21.95" customHeight="1" spans="1:20">
      <c r="A32" s="58" t="s">
        <v>519</v>
      </c>
      <c r="B32" s="58"/>
      <c r="C32" s="58"/>
      <c r="D32" s="58"/>
      <c r="E32" s="28"/>
      <c r="F32" s="28"/>
      <c r="G32" s="28"/>
      <c r="H32" s="28"/>
      <c r="I32" s="28"/>
      <c r="J32" s="28"/>
      <c r="K32" s="58"/>
      <c r="L32" s="58"/>
      <c r="M32" s="58"/>
    </row>
    <row r="33" ht="36.95" customHeight="1" spans="1:13">
      <c r="A33" s="28" t="s">
        <v>520</v>
      </c>
      <c r="B33" s="28"/>
      <c r="C33" s="28"/>
      <c r="D33" s="28"/>
      <c r="E33" s="59"/>
      <c r="F33" s="59"/>
      <c r="G33" s="59"/>
      <c r="H33" s="59"/>
      <c r="I33" s="59"/>
      <c r="J33" s="59"/>
      <c r="K33" s="28"/>
      <c r="L33" s="28"/>
      <c r="M33" s="28"/>
    </row>
  </sheetData>
  <mergeCells count="95">
    <mergeCell ref="A1:M1"/>
    <mergeCell ref="A2:M2"/>
    <mergeCell ref="A3:M3"/>
    <mergeCell ref="E4:J4"/>
    <mergeCell ref="K4:M4"/>
    <mergeCell ref="J27:L27"/>
    <mergeCell ref="J28:L28"/>
    <mergeCell ref="J29:L29"/>
    <mergeCell ref="J30:L30"/>
    <mergeCell ref="A32:M32"/>
    <mergeCell ref="A33:M33"/>
    <mergeCell ref="A4:A5"/>
    <mergeCell ref="A6:A7"/>
    <mergeCell ref="A8:A9"/>
    <mergeCell ref="A10:A11"/>
    <mergeCell ref="A12:A13"/>
    <mergeCell ref="A14:A15"/>
    <mergeCell ref="A16:A17"/>
    <mergeCell ref="A18:A19"/>
    <mergeCell ref="A20:A21"/>
    <mergeCell ref="A22:A23"/>
    <mergeCell ref="A24:A25"/>
    <mergeCell ref="B4:B5"/>
    <mergeCell ref="B6:B7"/>
    <mergeCell ref="B8:B9"/>
    <mergeCell ref="B10:B11"/>
    <mergeCell ref="B12:B13"/>
    <mergeCell ref="B14:B15"/>
    <mergeCell ref="B16:B17"/>
    <mergeCell ref="B18:B19"/>
    <mergeCell ref="B20:B21"/>
    <mergeCell ref="B22:B23"/>
    <mergeCell ref="B24:B25"/>
    <mergeCell ref="C4:C5"/>
    <mergeCell ref="C6:C7"/>
    <mergeCell ref="C8:C9"/>
    <mergeCell ref="C10:C11"/>
    <mergeCell ref="C12:C13"/>
    <mergeCell ref="C14:C15"/>
    <mergeCell ref="C16:C17"/>
    <mergeCell ref="C18:C19"/>
    <mergeCell ref="C20:C21"/>
    <mergeCell ref="C22:C23"/>
    <mergeCell ref="C24:C25"/>
    <mergeCell ref="D4:D5"/>
    <mergeCell ref="D6:D7"/>
    <mergeCell ref="D8:D9"/>
    <mergeCell ref="D10:D11"/>
    <mergeCell ref="D12:D13"/>
    <mergeCell ref="D14:D15"/>
    <mergeCell ref="D16:D17"/>
    <mergeCell ref="D18:D19"/>
    <mergeCell ref="D20:D21"/>
    <mergeCell ref="D22:D23"/>
    <mergeCell ref="D24:D25"/>
    <mergeCell ref="J6:J7"/>
    <mergeCell ref="J8:J9"/>
    <mergeCell ref="J10:J11"/>
    <mergeCell ref="J12:J13"/>
    <mergeCell ref="J14:J15"/>
    <mergeCell ref="J16:J17"/>
    <mergeCell ref="J18:J19"/>
    <mergeCell ref="J20:J21"/>
    <mergeCell ref="J22:J23"/>
    <mergeCell ref="J24:J25"/>
    <mergeCell ref="K6:K7"/>
    <mergeCell ref="K8:K9"/>
    <mergeCell ref="K10:K11"/>
    <mergeCell ref="K12:K13"/>
    <mergeCell ref="K14:K15"/>
    <mergeCell ref="K16:K17"/>
    <mergeCell ref="K18:K19"/>
    <mergeCell ref="K20:K21"/>
    <mergeCell ref="K22:K23"/>
    <mergeCell ref="K24:K25"/>
    <mergeCell ref="L6:L7"/>
    <mergeCell ref="L8:L9"/>
    <mergeCell ref="L10:L11"/>
    <mergeCell ref="L12:L13"/>
    <mergeCell ref="L14:L15"/>
    <mergeCell ref="L16:L17"/>
    <mergeCell ref="L18:L19"/>
    <mergeCell ref="L20:L21"/>
    <mergeCell ref="L22:L23"/>
    <mergeCell ref="L24:L25"/>
    <mergeCell ref="M6:M7"/>
    <mergeCell ref="M8:M9"/>
    <mergeCell ref="M10:M11"/>
    <mergeCell ref="M12:M13"/>
    <mergeCell ref="M14:M15"/>
    <mergeCell ref="M16:M17"/>
    <mergeCell ref="M18:M19"/>
    <mergeCell ref="M20:M21"/>
    <mergeCell ref="M22:M23"/>
    <mergeCell ref="M24:M25"/>
  </mergeCells>
  <pageMargins left="0.554166666666667" right="0.357638888888889" top="0.605555555555556" bottom="0.605555555555556" header="0.5" footer="0.5"/>
  <pageSetup paperSize="9" scale="48"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799981688894314"/>
  </sheetPr>
  <dimension ref="A1:K67"/>
  <sheetViews>
    <sheetView view="pageBreakPreview" zoomScale="70" zoomScaleNormal="70" workbookViewId="0">
      <selection activeCell="E54" sqref="E54:J63"/>
    </sheetView>
  </sheetViews>
  <sheetFormatPr defaultColWidth="9.14285714285714" defaultRowHeight="12.75"/>
  <cols>
    <col min="1" max="1" width="5" style="77" customWidth="1"/>
    <col min="2" max="2" width="44.7142857142857" style="84" customWidth="1"/>
    <col min="3" max="3" width="9.71428571428571" style="77" customWidth="1"/>
    <col min="4" max="4" width="13.8571428571429" style="77" customWidth="1"/>
    <col min="5" max="9" width="27.1428571428571" style="1" customWidth="1"/>
    <col min="10" max="11" width="20.2857142857143" style="1" customWidth="1"/>
    <col min="12" max="13" width="12.2857142857143" style="1" customWidth="1"/>
    <col min="14" max="16384" width="9.14285714285714" style="1"/>
  </cols>
  <sheetData>
    <row r="1" ht="18" spans="1:11">
      <c r="A1" s="5" t="str">
        <f>'SEMAD e AGEHAB TOTALIZADOR'!A10</f>
        <v>AGEHAB</v>
      </c>
      <c r="B1" s="5"/>
      <c r="C1" s="5"/>
      <c r="D1" s="5"/>
      <c r="E1" s="5"/>
      <c r="F1" s="5"/>
      <c r="G1" s="5"/>
      <c r="H1" s="5"/>
      <c r="I1" s="5"/>
      <c r="J1" s="5"/>
      <c r="K1" s="5"/>
    </row>
    <row r="2" ht="18" spans="1:11">
      <c r="A2" s="127" t="s">
        <v>272</v>
      </c>
      <c r="B2" s="5"/>
      <c r="C2" s="5"/>
      <c r="D2" s="5"/>
      <c r="E2" s="5"/>
      <c r="F2" s="5"/>
      <c r="G2" s="5"/>
      <c r="H2" s="5"/>
      <c r="I2" s="5"/>
      <c r="J2" s="5"/>
      <c r="K2" s="5"/>
    </row>
    <row r="3" spans="1:11">
      <c r="F3" s="126"/>
      <c r="G3" s="126"/>
      <c r="H3" s="126"/>
      <c r="I3" s="126"/>
      <c r="J3" s="126"/>
      <c r="K3" s="126"/>
    </row>
    <row r="4" spans="1:11">
      <c r="A4" s="128" t="s">
        <v>273</v>
      </c>
      <c r="B4" s="129"/>
      <c r="C4" s="129"/>
      <c r="D4" s="129"/>
      <c r="E4" s="129"/>
      <c r="F4" s="129"/>
      <c r="G4" s="129"/>
      <c r="H4" s="129"/>
      <c r="I4" s="129"/>
      <c r="J4" s="129"/>
      <c r="K4" s="130"/>
    </row>
    <row r="5" spans="1:11">
      <c r="A5" s="64" t="s">
        <v>274</v>
      </c>
      <c r="B5" s="64" t="s">
        <v>275</v>
      </c>
      <c r="C5" s="64" t="s">
        <v>276</v>
      </c>
      <c r="D5" s="64" t="s">
        <v>277</v>
      </c>
      <c r="E5" s="63" t="s">
        <v>278</v>
      </c>
      <c r="F5" s="63"/>
      <c r="G5" s="63"/>
      <c r="H5" s="63"/>
      <c r="I5" s="63"/>
      <c r="J5" s="63"/>
      <c r="K5" s="131" t="s">
        <v>279</v>
      </c>
    </row>
    <row r="6" ht="38.25" spans="1:11">
      <c r="A6" s="64"/>
      <c r="B6" s="64"/>
      <c r="C6" s="64"/>
      <c r="D6" s="64"/>
      <c r="E6" s="64" t="s">
        <v>280</v>
      </c>
      <c r="F6" s="64" t="s">
        <v>281</v>
      </c>
      <c r="G6" s="64" t="s">
        <v>282</v>
      </c>
      <c r="H6" s="64" t="s">
        <v>283</v>
      </c>
      <c r="I6" s="64" t="s">
        <v>284</v>
      </c>
      <c r="J6" s="63" t="s">
        <v>285</v>
      </c>
      <c r="K6" s="132"/>
    </row>
    <row r="7" ht="51" spans="1:11">
      <c r="A7" s="70">
        <v>1</v>
      </c>
      <c r="B7" s="133" t="s">
        <v>286</v>
      </c>
      <c r="C7" s="70" t="s">
        <v>276</v>
      </c>
      <c r="D7" s="70">
        <f t="shared" ref="D7:D11" si="0">12/3</f>
        <v>4</v>
      </c>
      <c r="E7" s="15" t="s">
        <v>287</v>
      </c>
      <c r="F7" s="15" t="s">
        <v>288</v>
      </c>
      <c r="G7" s="15" t="s">
        <v>289</v>
      </c>
      <c r="H7" s="15" t="s">
        <v>290</v>
      </c>
      <c r="I7" s="15" t="s">
        <v>291</v>
      </c>
      <c r="J7" s="68">
        <f t="shared" ref="J7:J11" si="1">AVERAGE(E8:I8)</f>
        <v>28.37</v>
      </c>
      <c r="K7" s="68">
        <f t="shared" ref="K7:K11" si="2">D7*J7</f>
        <v>113.48</v>
      </c>
    </row>
    <row r="8" spans="1:11">
      <c r="A8" s="70"/>
      <c r="B8" s="133"/>
      <c r="C8" s="70"/>
      <c r="D8" s="70"/>
      <c r="E8" s="16">
        <v>29.61</v>
      </c>
      <c r="F8" s="16">
        <v>29.85</v>
      </c>
      <c r="G8" s="16">
        <v>25.5</v>
      </c>
      <c r="H8" s="16">
        <v>28.88</v>
      </c>
      <c r="I8" s="16">
        <v>28</v>
      </c>
      <c r="J8" s="68"/>
      <c r="K8" s="68"/>
    </row>
    <row r="9" ht="38.25" spans="1:11">
      <c r="A9" s="70">
        <v>2</v>
      </c>
      <c r="B9" s="133" t="s">
        <v>292</v>
      </c>
      <c r="C9" s="70" t="s">
        <v>276</v>
      </c>
      <c r="D9" s="70">
        <f t="shared" si="0"/>
        <v>4</v>
      </c>
      <c r="E9" s="16" t="s">
        <v>293</v>
      </c>
      <c r="F9" s="15" t="s">
        <v>294</v>
      </c>
      <c r="G9" s="16" t="s">
        <v>295</v>
      </c>
      <c r="H9" s="16" t="s">
        <v>296</v>
      </c>
      <c r="I9" s="16" t="s">
        <v>297</v>
      </c>
      <c r="J9" s="68">
        <f t="shared" si="1"/>
        <v>73</v>
      </c>
      <c r="K9" s="68">
        <f t="shared" si="2"/>
        <v>292</v>
      </c>
    </row>
    <row r="10" spans="1:11">
      <c r="A10" s="70"/>
      <c r="B10" s="133"/>
      <c r="C10" s="70"/>
      <c r="D10" s="70"/>
      <c r="E10" s="16">
        <v>75</v>
      </c>
      <c r="F10" s="16">
        <v>70</v>
      </c>
      <c r="G10" s="16">
        <v>69</v>
      </c>
      <c r="H10" s="16">
        <v>72</v>
      </c>
      <c r="I10" s="16">
        <v>79</v>
      </c>
      <c r="J10" s="68"/>
      <c r="K10" s="68"/>
    </row>
    <row r="11" ht="38.25" spans="1:11">
      <c r="A11" s="70">
        <v>3</v>
      </c>
      <c r="B11" s="133" t="s">
        <v>298</v>
      </c>
      <c r="C11" s="70" t="s">
        <v>299</v>
      </c>
      <c r="D11" s="70">
        <f t="shared" si="0"/>
        <v>4</v>
      </c>
      <c r="E11" s="15" t="s">
        <v>287</v>
      </c>
      <c r="F11" s="16" t="s">
        <v>300</v>
      </c>
      <c r="G11" s="16" t="s">
        <v>301</v>
      </c>
      <c r="H11" s="16"/>
      <c r="I11" s="16"/>
      <c r="J11" s="68">
        <f t="shared" si="1"/>
        <v>8.05</v>
      </c>
      <c r="K11" s="68">
        <f t="shared" si="2"/>
        <v>32.2</v>
      </c>
    </row>
    <row r="12" spans="1:11">
      <c r="A12" s="70"/>
      <c r="B12" s="133"/>
      <c r="C12" s="70"/>
      <c r="D12" s="70"/>
      <c r="E12" s="16">
        <v>10.65</v>
      </c>
      <c r="F12" s="16">
        <v>8.5</v>
      </c>
      <c r="G12" s="16">
        <v>5</v>
      </c>
      <c r="H12" s="16"/>
      <c r="I12" s="16"/>
      <c r="J12" s="68"/>
      <c r="K12" s="68"/>
    </row>
    <row r="13" ht="51" spans="1:11">
      <c r="A13" s="70">
        <v>4</v>
      </c>
      <c r="B13" s="133" t="s">
        <v>302</v>
      </c>
      <c r="C13" s="70" t="s">
        <v>276</v>
      </c>
      <c r="D13" s="70">
        <f>12/6</f>
        <v>2</v>
      </c>
      <c r="E13" s="15" t="s">
        <v>303</v>
      </c>
      <c r="F13" s="16" t="s">
        <v>295</v>
      </c>
      <c r="G13" s="16" t="s">
        <v>304</v>
      </c>
      <c r="H13" s="16"/>
      <c r="I13" s="16"/>
      <c r="J13" s="68">
        <f>AVERAGE(E14:I14)</f>
        <v>73.94</v>
      </c>
      <c r="K13" s="68">
        <f>D13*J13</f>
        <v>147.88</v>
      </c>
    </row>
    <row r="14" spans="1:11">
      <c r="A14" s="70"/>
      <c r="B14" s="133"/>
      <c r="C14" s="70"/>
      <c r="D14" s="70"/>
      <c r="E14" s="16">
        <v>76</v>
      </c>
      <c r="F14" s="16">
        <v>66.99</v>
      </c>
      <c r="G14" s="16">
        <v>78.84</v>
      </c>
      <c r="H14" s="17"/>
      <c r="I14" s="17"/>
      <c r="J14" s="68"/>
      <c r="K14" s="68"/>
    </row>
    <row r="15" spans="1:11">
      <c r="A15" s="1"/>
      <c r="B15" s="1"/>
      <c r="C15" s="1"/>
      <c r="D15" s="1"/>
      <c r="F15" s="75" t="s">
        <v>305</v>
      </c>
      <c r="G15" s="75"/>
      <c r="H15" s="75"/>
      <c r="I15" s="75"/>
      <c r="J15" s="75"/>
      <c r="K15" s="76">
        <f>SUM(K7:K14)</f>
        <v>585.56</v>
      </c>
    </row>
    <row r="16" spans="1:11">
      <c r="B16" s="78"/>
      <c r="C16" s="78"/>
      <c r="D16" s="78"/>
      <c r="E16" s="78"/>
      <c r="F16" s="79" t="s">
        <v>306</v>
      </c>
      <c r="G16" s="79"/>
      <c r="H16" s="79"/>
      <c r="I16" s="79"/>
      <c r="J16" s="79"/>
      <c r="K16" s="80">
        <v>12</v>
      </c>
    </row>
    <row r="17" spans="1:11">
      <c r="A17" s="73"/>
      <c r="B17" s="74"/>
      <c r="C17" s="73"/>
      <c r="D17" s="73"/>
      <c r="E17" s="81"/>
      <c r="F17" s="82" t="s">
        <v>307</v>
      </c>
      <c r="G17" s="82"/>
      <c r="H17" s="82"/>
      <c r="I17" s="82"/>
      <c r="J17" s="82"/>
      <c r="K17" s="83">
        <f>K15/K16</f>
        <v>48.8</v>
      </c>
    </row>
    <row r="18" spans="1:11">
      <c r="E18" s="134"/>
      <c r="F18" s="134"/>
      <c r="G18" s="134"/>
      <c r="H18" s="134"/>
      <c r="I18" s="134"/>
      <c r="J18" s="90"/>
      <c r="K18" s="90"/>
    </row>
    <row r="19" customFormat="1" ht="15" spans="1:11">
      <c r="A19" s="128" t="s">
        <v>308</v>
      </c>
      <c r="B19" s="129"/>
      <c r="C19" s="129"/>
      <c r="D19" s="129"/>
      <c r="E19" s="129"/>
      <c r="F19" s="129"/>
      <c r="G19" s="129"/>
      <c r="H19" s="129"/>
      <c r="I19" s="129"/>
      <c r="J19" s="129"/>
      <c r="K19" s="130"/>
    </row>
    <row r="20" customFormat="1" ht="15" spans="1:11">
      <c r="A20" s="64" t="s">
        <v>274</v>
      </c>
      <c r="B20" s="64" t="s">
        <v>275</v>
      </c>
      <c r="C20" s="64" t="s">
        <v>276</v>
      </c>
      <c r="D20" s="64" t="s">
        <v>277</v>
      </c>
      <c r="E20" s="63" t="s">
        <v>278</v>
      </c>
      <c r="F20" s="63"/>
      <c r="G20" s="63"/>
      <c r="H20" s="63"/>
      <c r="I20" s="63"/>
      <c r="J20" s="63"/>
      <c r="K20" s="131" t="s">
        <v>279</v>
      </c>
    </row>
    <row r="21" customFormat="1" ht="38.25" spans="1:11">
      <c r="A21" s="64"/>
      <c r="B21" s="64"/>
      <c r="C21" s="64"/>
      <c r="D21" s="64"/>
      <c r="E21" s="64" t="s">
        <v>280</v>
      </c>
      <c r="F21" s="64" t="s">
        <v>281</v>
      </c>
      <c r="G21" s="64" t="s">
        <v>282</v>
      </c>
      <c r="H21" s="64" t="s">
        <v>283</v>
      </c>
      <c r="I21" s="64" t="s">
        <v>284</v>
      </c>
      <c r="J21" s="63" t="s">
        <v>285</v>
      </c>
      <c r="K21" s="132"/>
    </row>
    <row r="22" customFormat="1" ht="51" spans="1:11">
      <c r="A22" s="70">
        <v>1</v>
      </c>
      <c r="B22" s="105" t="s">
        <v>309</v>
      </c>
      <c r="C22" s="70" t="s">
        <v>276</v>
      </c>
      <c r="D22" s="70">
        <v>0</v>
      </c>
      <c r="E22" s="15" t="s">
        <v>293</v>
      </c>
      <c r="F22" s="16" t="s">
        <v>310</v>
      </c>
      <c r="G22" s="16" t="s">
        <v>311</v>
      </c>
      <c r="H22" s="16" t="s">
        <v>312</v>
      </c>
      <c r="I22" s="16"/>
      <c r="J22" s="68">
        <f t="shared" ref="J22:J26" si="3">AVERAGE(E23:I23)</f>
        <v>33.06</v>
      </c>
      <c r="K22" s="68">
        <f t="shared" ref="K22:K26" si="4">D22*J22</f>
        <v>0</v>
      </c>
    </row>
    <row r="23" customFormat="1" ht="15" spans="1:11">
      <c r="A23" s="70"/>
      <c r="B23" s="102"/>
      <c r="C23" s="70"/>
      <c r="D23" s="70"/>
      <c r="E23" s="135">
        <v>28</v>
      </c>
      <c r="F23" s="135">
        <v>34.4</v>
      </c>
      <c r="G23" s="135">
        <v>34.62</v>
      </c>
      <c r="H23" s="135">
        <v>35.2</v>
      </c>
      <c r="I23" s="135"/>
      <c r="J23" s="68"/>
      <c r="K23" s="68"/>
    </row>
    <row r="24" customFormat="1" ht="38.25" spans="1:11">
      <c r="A24" s="70">
        <v>2</v>
      </c>
      <c r="B24" s="133" t="s">
        <v>292</v>
      </c>
      <c r="C24" s="70" t="s">
        <v>276</v>
      </c>
      <c r="D24" s="70">
        <v>0</v>
      </c>
      <c r="E24" s="16" t="s">
        <v>293</v>
      </c>
      <c r="F24" s="15" t="s">
        <v>294</v>
      </c>
      <c r="G24" s="16" t="s">
        <v>295</v>
      </c>
      <c r="H24" s="16" t="s">
        <v>296</v>
      </c>
      <c r="I24" s="16" t="s">
        <v>297</v>
      </c>
      <c r="J24" s="68">
        <f t="shared" si="3"/>
        <v>73</v>
      </c>
      <c r="K24" s="68">
        <f t="shared" si="4"/>
        <v>0</v>
      </c>
    </row>
    <row r="25" customFormat="1" ht="15" spans="1:11">
      <c r="A25" s="70"/>
      <c r="B25" s="133"/>
      <c r="C25" s="70"/>
      <c r="D25" s="70"/>
      <c r="E25" s="16">
        <v>75</v>
      </c>
      <c r="F25" s="16">
        <v>70</v>
      </c>
      <c r="G25" s="16">
        <v>69</v>
      </c>
      <c r="H25" s="16">
        <v>72</v>
      </c>
      <c r="I25" s="16">
        <v>79</v>
      </c>
      <c r="J25" s="68"/>
      <c r="K25" s="68"/>
    </row>
    <row r="26" customFormat="1" ht="38.25" spans="1:11">
      <c r="A26" s="70">
        <v>3</v>
      </c>
      <c r="B26" s="133" t="s">
        <v>298</v>
      </c>
      <c r="C26" s="70" t="s">
        <v>299</v>
      </c>
      <c r="D26" s="70">
        <v>0</v>
      </c>
      <c r="E26" s="15" t="s">
        <v>287</v>
      </c>
      <c r="F26" s="16" t="s">
        <v>300</v>
      </c>
      <c r="G26" s="16" t="s">
        <v>301</v>
      </c>
      <c r="H26" s="16"/>
      <c r="I26" s="16"/>
      <c r="J26" s="68">
        <f t="shared" si="3"/>
        <v>8.05</v>
      </c>
      <c r="K26" s="68">
        <f t="shared" si="4"/>
        <v>0</v>
      </c>
    </row>
    <row r="27" customFormat="1" ht="15" spans="1:11">
      <c r="A27" s="70"/>
      <c r="B27" s="133"/>
      <c r="C27" s="70"/>
      <c r="D27" s="70"/>
      <c r="E27" s="16">
        <v>10.65</v>
      </c>
      <c r="F27" s="16">
        <v>8.5</v>
      </c>
      <c r="G27" s="16">
        <v>5</v>
      </c>
      <c r="H27" s="16"/>
      <c r="I27" s="16"/>
      <c r="J27" s="68"/>
      <c r="K27" s="68"/>
    </row>
    <row r="28" customFormat="1" ht="51" spans="1:11">
      <c r="A28" s="70">
        <v>4</v>
      </c>
      <c r="B28" s="133" t="s">
        <v>302</v>
      </c>
      <c r="C28" s="70" t="s">
        <v>276</v>
      </c>
      <c r="D28" s="70">
        <v>0</v>
      </c>
      <c r="E28" s="15" t="s">
        <v>303</v>
      </c>
      <c r="F28" s="16" t="s">
        <v>295</v>
      </c>
      <c r="G28" s="16" t="s">
        <v>304</v>
      </c>
      <c r="H28" s="16"/>
      <c r="I28" s="16"/>
      <c r="J28" s="68">
        <f>AVERAGE(E29:I29)</f>
        <v>73.94</v>
      </c>
      <c r="K28" s="68">
        <f>D28*J28</f>
        <v>0</v>
      </c>
    </row>
    <row r="29" customFormat="1" ht="15" spans="1:11">
      <c r="A29" s="70"/>
      <c r="B29" s="133"/>
      <c r="C29" s="70"/>
      <c r="D29" s="70"/>
      <c r="E29" s="16">
        <v>76</v>
      </c>
      <c r="F29" s="16">
        <v>66.99</v>
      </c>
      <c r="G29" s="16">
        <v>78.84</v>
      </c>
      <c r="H29" s="17"/>
      <c r="I29" s="17"/>
      <c r="J29" s="68"/>
      <c r="K29" s="68"/>
    </row>
    <row r="30" customFormat="1" ht="15" spans="1:11">
      <c r="A30" s="1"/>
      <c r="B30" s="1"/>
      <c r="C30" s="1"/>
      <c r="D30" s="1"/>
      <c r="E30" s="1"/>
      <c r="F30" s="75" t="s">
        <v>305</v>
      </c>
      <c r="G30" s="75"/>
      <c r="H30" s="75"/>
      <c r="I30" s="75"/>
      <c r="J30" s="75"/>
      <c r="K30" s="76">
        <f>SUM(K22:K29)</f>
        <v>0</v>
      </c>
    </row>
    <row r="31" customFormat="1" ht="15" spans="1:11">
      <c r="A31" s="77"/>
      <c r="B31" s="78"/>
      <c r="C31" s="78"/>
      <c r="D31" s="78"/>
      <c r="E31" s="78"/>
      <c r="F31" s="79" t="s">
        <v>306</v>
      </c>
      <c r="G31" s="79"/>
      <c r="H31" s="79"/>
      <c r="I31" s="79"/>
      <c r="J31" s="79"/>
      <c r="K31" s="80">
        <v>12</v>
      </c>
    </row>
    <row r="32" customFormat="1" ht="15" spans="1:11">
      <c r="A32" s="73"/>
      <c r="B32" s="74"/>
      <c r="C32" s="73"/>
      <c r="D32" s="73"/>
      <c r="E32" s="81"/>
      <c r="F32" s="82" t="s">
        <v>307</v>
      </c>
      <c r="G32" s="82"/>
      <c r="H32" s="82"/>
      <c r="I32" s="82"/>
      <c r="J32" s="82"/>
      <c r="K32" s="83">
        <f>K30/K31</f>
        <v>0</v>
      </c>
    </row>
    <row r="33" customFormat="1" ht="15" spans="1:11">
      <c r="A33" s="1"/>
      <c r="B33" s="1"/>
      <c r="C33" s="1"/>
      <c r="D33" s="1"/>
      <c r="E33" s="1"/>
      <c r="F33" s="1"/>
      <c r="G33" s="1"/>
      <c r="H33" s="1"/>
      <c r="I33" s="1"/>
      <c r="J33" s="1"/>
      <c r="K33" s="1"/>
    </row>
    <row r="34" spans="1:11">
      <c r="A34" s="64" t="s">
        <v>313</v>
      </c>
      <c r="B34" s="64"/>
      <c r="C34" s="64"/>
      <c r="D34" s="64"/>
      <c r="E34" s="64"/>
      <c r="F34" s="64"/>
      <c r="G34" s="64"/>
      <c r="H34" s="64"/>
      <c r="I34" s="64"/>
      <c r="J34" s="64"/>
      <c r="K34" s="64"/>
    </row>
    <row r="35" spans="1:11">
      <c r="A35" s="64" t="s">
        <v>274</v>
      </c>
      <c r="B35" s="64" t="s">
        <v>275</v>
      </c>
      <c r="C35" s="64" t="s">
        <v>276</v>
      </c>
      <c r="D35" s="64" t="s">
        <v>277</v>
      </c>
      <c r="E35" s="63" t="s">
        <v>278</v>
      </c>
      <c r="F35" s="63"/>
      <c r="G35" s="63"/>
      <c r="H35" s="63"/>
      <c r="I35" s="63"/>
      <c r="J35" s="63"/>
      <c r="K35" s="131" t="s">
        <v>279</v>
      </c>
    </row>
    <row r="36" ht="38.25" spans="1:11">
      <c r="A36" s="64"/>
      <c r="B36" s="64"/>
      <c r="C36" s="64"/>
      <c r="D36" s="64"/>
      <c r="E36" s="64" t="s">
        <v>280</v>
      </c>
      <c r="F36" s="64" t="s">
        <v>281</v>
      </c>
      <c r="G36" s="64" t="s">
        <v>282</v>
      </c>
      <c r="H36" s="64" t="s">
        <v>283</v>
      </c>
      <c r="I36" s="64" t="s">
        <v>284</v>
      </c>
      <c r="J36" s="63" t="s">
        <v>285</v>
      </c>
      <c r="K36" s="132"/>
    </row>
    <row r="37" ht="51" spans="1:11">
      <c r="A37" s="136">
        <v>1</v>
      </c>
      <c r="B37" s="105" t="s">
        <v>314</v>
      </c>
      <c r="C37" s="137" t="s">
        <v>276</v>
      </c>
      <c r="D37" s="137">
        <v>0</v>
      </c>
      <c r="E37" s="16" t="s">
        <v>315</v>
      </c>
      <c r="F37" s="15" t="s">
        <v>316</v>
      </c>
      <c r="G37" s="23" t="s">
        <v>287</v>
      </c>
      <c r="H37" s="23" t="s">
        <v>317</v>
      </c>
      <c r="I37" s="23" t="s">
        <v>291</v>
      </c>
      <c r="J37" s="68">
        <f t="shared" ref="J37:J41" si="5">AVERAGE(E38:I38)</f>
        <v>59.23</v>
      </c>
      <c r="K37" s="68">
        <f t="shared" ref="K37:K41" si="6">D37*J37</f>
        <v>0</v>
      </c>
    </row>
    <row r="38" spans="1:11">
      <c r="A38" s="138"/>
      <c r="B38" s="102"/>
      <c r="C38" s="139"/>
      <c r="D38" s="139"/>
      <c r="E38" s="16">
        <v>65</v>
      </c>
      <c r="F38" s="16">
        <v>60</v>
      </c>
      <c r="G38" s="16">
        <v>57.28</v>
      </c>
      <c r="H38" s="16">
        <v>59.9</v>
      </c>
      <c r="I38" s="16">
        <v>53.99</v>
      </c>
      <c r="J38" s="68"/>
      <c r="K38" s="68"/>
    </row>
    <row r="39" ht="51" spans="1:11">
      <c r="A39" s="140">
        <v>2</v>
      </c>
      <c r="B39" s="99" t="s">
        <v>318</v>
      </c>
      <c r="C39" s="141" t="s">
        <v>276</v>
      </c>
      <c r="D39" s="141">
        <v>0</v>
      </c>
      <c r="E39" s="16" t="s">
        <v>287</v>
      </c>
      <c r="F39" s="15" t="s">
        <v>319</v>
      </c>
      <c r="G39" s="23" t="s">
        <v>320</v>
      </c>
      <c r="H39" s="23" t="s">
        <v>321</v>
      </c>
      <c r="I39" s="23" t="s">
        <v>322</v>
      </c>
      <c r="J39" s="68">
        <f t="shared" si="5"/>
        <v>72.5</v>
      </c>
      <c r="K39" s="68">
        <f t="shared" si="6"/>
        <v>0</v>
      </c>
    </row>
    <row r="40" spans="1:11">
      <c r="A40" s="138"/>
      <c r="B40" s="102"/>
      <c r="C40" s="139"/>
      <c r="D40" s="139"/>
      <c r="E40" s="16">
        <v>64</v>
      </c>
      <c r="F40" s="16">
        <v>73.7</v>
      </c>
      <c r="G40" s="16">
        <v>79.8</v>
      </c>
      <c r="H40" s="16">
        <v>75</v>
      </c>
      <c r="I40" s="16">
        <v>70</v>
      </c>
      <c r="J40" s="68"/>
      <c r="K40" s="68"/>
    </row>
    <row r="41" ht="63.75" spans="1:11">
      <c r="A41" s="140">
        <v>3</v>
      </c>
      <c r="B41" s="99" t="s">
        <v>323</v>
      </c>
      <c r="C41" s="141" t="s">
        <v>276</v>
      </c>
      <c r="D41" s="141">
        <v>0</v>
      </c>
      <c r="E41" s="15" t="s">
        <v>324</v>
      </c>
      <c r="F41" s="16" t="s">
        <v>325</v>
      </c>
      <c r="G41" s="15" t="s">
        <v>326</v>
      </c>
      <c r="H41" s="15" t="s">
        <v>327</v>
      </c>
      <c r="I41" s="15"/>
      <c r="J41" s="68">
        <f t="shared" si="5"/>
        <v>32.22</v>
      </c>
      <c r="K41" s="68">
        <f t="shared" si="6"/>
        <v>0</v>
      </c>
    </row>
    <row r="42" spans="1:11">
      <c r="A42" s="138"/>
      <c r="B42" s="102"/>
      <c r="C42" s="139"/>
      <c r="D42" s="139"/>
      <c r="E42" s="16">
        <v>31.9</v>
      </c>
      <c r="F42" s="16">
        <v>33</v>
      </c>
      <c r="G42" s="16">
        <v>29</v>
      </c>
      <c r="H42" s="16">
        <v>34.98</v>
      </c>
      <c r="I42" s="16"/>
      <c r="J42" s="68"/>
      <c r="K42" s="68"/>
    </row>
    <row r="43" ht="38.25" spans="1:11">
      <c r="A43" s="140">
        <v>4</v>
      </c>
      <c r="B43" s="99" t="s">
        <v>328</v>
      </c>
      <c r="C43" s="141" t="s">
        <v>299</v>
      </c>
      <c r="D43" s="141">
        <v>0</v>
      </c>
      <c r="E43" s="15" t="s">
        <v>287</v>
      </c>
      <c r="F43" s="16" t="s">
        <v>300</v>
      </c>
      <c r="G43" s="16" t="s">
        <v>301</v>
      </c>
      <c r="H43" s="16"/>
      <c r="I43" s="16"/>
      <c r="J43" s="68">
        <f>AVERAGE(E44:I44)</f>
        <v>8.05</v>
      </c>
      <c r="K43" s="68">
        <f>D43*J43</f>
        <v>0</v>
      </c>
    </row>
    <row r="44" spans="1:11">
      <c r="A44" s="138"/>
      <c r="B44" s="102"/>
      <c r="C44" s="139"/>
      <c r="D44" s="139"/>
      <c r="E44" s="16">
        <v>10.65</v>
      </c>
      <c r="F44" s="16">
        <v>8.5</v>
      </c>
      <c r="G44" s="16">
        <v>5</v>
      </c>
      <c r="H44" s="16"/>
      <c r="I44" s="16"/>
      <c r="J44" s="68"/>
      <c r="K44" s="68"/>
    </row>
    <row r="45" ht="51" spans="1:11">
      <c r="A45" s="136">
        <v>5</v>
      </c>
      <c r="B45" s="105" t="s">
        <v>329</v>
      </c>
      <c r="C45" s="137" t="s">
        <v>299</v>
      </c>
      <c r="D45" s="137">
        <v>0</v>
      </c>
      <c r="E45" s="16" t="s">
        <v>330</v>
      </c>
      <c r="F45" s="15" t="s">
        <v>295</v>
      </c>
      <c r="G45" s="23" t="s">
        <v>331</v>
      </c>
      <c r="H45" s="23" t="s">
        <v>332</v>
      </c>
      <c r="I45" s="23"/>
      <c r="J45" s="68">
        <f>AVERAGE(E46:I46)</f>
        <v>108.36</v>
      </c>
      <c r="K45" s="68">
        <f>D45*J45</f>
        <v>0</v>
      </c>
    </row>
    <row r="46" spans="1:11">
      <c r="A46" s="138"/>
      <c r="B46" s="102"/>
      <c r="C46" s="139"/>
      <c r="D46" s="139"/>
      <c r="E46" s="16">
        <v>107.67</v>
      </c>
      <c r="F46" s="16">
        <v>113.98</v>
      </c>
      <c r="G46" s="16">
        <v>100</v>
      </c>
      <c r="H46" s="16">
        <v>111.8</v>
      </c>
      <c r="I46" s="16"/>
      <c r="J46" s="68"/>
      <c r="K46" s="68"/>
    </row>
    <row r="47" spans="1:11">
      <c r="A47" s="1"/>
      <c r="B47" s="1"/>
      <c r="C47" s="1"/>
      <c r="D47" s="1"/>
      <c r="F47" s="75" t="s">
        <v>305</v>
      </c>
      <c r="G47" s="75"/>
      <c r="H47" s="75"/>
      <c r="I47" s="75"/>
      <c r="J47" s="75"/>
      <c r="K47" s="76">
        <f>SUM(K37:K46)</f>
        <v>0</v>
      </c>
    </row>
    <row r="48" spans="1:11">
      <c r="B48" s="78"/>
      <c r="C48" s="78"/>
      <c r="D48" s="78"/>
      <c r="E48" s="78"/>
      <c r="F48" s="79" t="s">
        <v>306</v>
      </c>
      <c r="G48" s="79"/>
      <c r="H48" s="79"/>
      <c r="I48" s="79"/>
      <c r="J48" s="79"/>
      <c r="K48" s="80">
        <v>12</v>
      </c>
    </row>
    <row r="49" spans="1:11">
      <c r="A49" s="73"/>
      <c r="B49" s="74"/>
      <c r="C49" s="73"/>
      <c r="D49" s="73"/>
      <c r="E49" s="81"/>
      <c r="F49" s="82" t="s">
        <v>307</v>
      </c>
      <c r="G49" s="82"/>
      <c r="H49" s="82"/>
      <c r="I49" s="82"/>
      <c r="J49" s="82"/>
      <c r="K49" s="83">
        <f>K47/K48</f>
        <v>0</v>
      </c>
    </row>
    <row r="50" spans="1:11">
      <c r="E50" s="134"/>
      <c r="F50" s="134"/>
      <c r="G50" s="134"/>
      <c r="H50" s="134"/>
      <c r="I50" s="134"/>
      <c r="J50" s="90"/>
      <c r="K50" s="90"/>
    </row>
    <row r="51" spans="1:11">
      <c r="A51" s="64" t="s">
        <v>333</v>
      </c>
      <c r="B51" s="64"/>
      <c r="C51" s="64"/>
      <c r="D51" s="64"/>
      <c r="E51" s="64"/>
      <c r="F51" s="64"/>
      <c r="G51" s="64"/>
      <c r="H51" s="64"/>
      <c r="I51" s="64"/>
      <c r="J51" s="64"/>
      <c r="K51" s="64"/>
    </row>
    <row r="52" spans="1:11">
      <c r="A52" s="64" t="s">
        <v>274</v>
      </c>
      <c r="B52" s="64" t="s">
        <v>275</v>
      </c>
      <c r="C52" s="64" t="s">
        <v>276</v>
      </c>
      <c r="D52" s="64" t="s">
        <v>277</v>
      </c>
      <c r="E52" s="63" t="s">
        <v>278</v>
      </c>
      <c r="F52" s="63"/>
      <c r="G52" s="63"/>
      <c r="H52" s="63"/>
      <c r="I52" s="63"/>
      <c r="J52" s="63"/>
      <c r="K52" s="131" t="s">
        <v>279</v>
      </c>
    </row>
    <row r="53" ht="38.25" spans="1:11">
      <c r="A53" s="64"/>
      <c r="B53" s="64"/>
      <c r="C53" s="64"/>
      <c r="D53" s="64"/>
      <c r="E53" s="64" t="s">
        <v>280</v>
      </c>
      <c r="F53" s="64" t="s">
        <v>281</v>
      </c>
      <c r="G53" s="64" t="s">
        <v>282</v>
      </c>
      <c r="H53" s="64" t="s">
        <v>283</v>
      </c>
      <c r="I53" s="64" t="s">
        <v>284</v>
      </c>
      <c r="J53" s="63" t="s">
        <v>285</v>
      </c>
      <c r="K53" s="132"/>
    </row>
    <row r="54" ht="51" spans="1:11">
      <c r="A54" s="137">
        <v>1</v>
      </c>
      <c r="B54" s="105" t="s">
        <v>309</v>
      </c>
      <c r="C54" s="137" t="s">
        <v>276</v>
      </c>
      <c r="D54" s="141">
        <v>0</v>
      </c>
      <c r="E54" s="15" t="s">
        <v>293</v>
      </c>
      <c r="F54" s="16" t="s">
        <v>310</v>
      </c>
      <c r="G54" s="16" t="s">
        <v>311</v>
      </c>
      <c r="H54" s="16" t="s">
        <v>312</v>
      </c>
      <c r="I54" s="16"/>
      <c r="J54" s="68">
        <f t="shared" ref="J54:J58" si="7">AVERAGE(E55:I55)</f>
        <v>33.06</v>
      </c>
      <c r="K54" s="68">
        <f t="shared" ref="K54:K58" si="8">D54*J54</f>
        <v>0</v>
      </c>
    </row>
    <row r="55" s="126" customFormat="1" spans="1:11">
      <c r="A55" s="139"/>
      <c r="B55" s="102"/>
      <c r="C55" s="139"/>
      <c r="D55" s="139"/>
      <c r="E55" s="135">
        <v>28</v>
      </c>
      <c r="F55" s="135">
        <v>34.4</v>
      </c>
      <c r="G55" s="135">
        <v>34.62</v>
      </c>
      <c r="H55" s="135">
        <v>35.2</v>
      </c>
      <c r="I55" s="135"/>
      <c r="J55" s="68"/>
      <c r="K55" s="68"/>
    </row>
    <row r="56" s="126" customFormat="1" ht="38.25" spans="1:11">
      <c r="A56" s="141">
        <v>2</v>
      </c>
      <c r="B56" s="105" t="s">
        <v>334</v>
      </c>
      <c r="C56" s="137" t="s">
        <v>276</v>
      </c>
      <c r="D56" s="137">
        <v>0</v>
      </c>
      <c r="E56" s="16" t="s">
        <v>293</v>
      </c>
      <c r="F56" s="15" t="s">
        <v>294</v>
      </c>
      <c r="G56" s="16" t="s">
        <v>295</v>
      </c>
      <c r="H56" s="16" t="s">
        <v>296</v>
      </c>
      <c r="I56" s="16" t="s">
        <v>297</v>
      </c>
      <c r="J56" s="68">
        <f t="shared" si="7"/>
        <v>73</v>
      </c>
      <c r="K56" s="68">
        <f t="shared" si="8"/>
        <v>0</v>
      </c>
    </row>
    <row r="57" s="126" customFormat="1" spans="1:11">
      <c r="A57" s="139"/>
      <c r="B57" s="102"/>
      <c r="C57" s="139"/>
      <c r="D57" s="139"/>
      <c r="E57" s="16">
        <v>75</v>
      </c>
      <c r="F57" s="16">
        <v>70</v>
      </c>
      <c r="G57" s="16">
        <v>69</v>
      </c>
      <c r="H57" s="16">
        <v>72</v>
      </c>
      <c r="I57" s="16">
        <v>79</v>
      </c>
      <c r="J57" s="68"/>
      <c r="K57" s="68"/>
    </row>
    <row r="58" s="126" customFormat="1" ht="38.25" spans="1:11">
      <c r="A58" s="137">
        <v>3</v>
      </c>
      <c r="B58" s="142" t="s">
        <v>335</v>
      </c>
      <c r="C58" s="137" t="s">
        <v>299</v>
      </c>
      <c r="D58" s="104">
        <v>0</v>
      </c>
      <c r="E58" s="15" t="s">
        <v>287</v>
      </c>
      <c r="F58" s="16" t="s">
        <v>300</v>
      </c>
      <c r="G58" s="16" t="s">
        <v>301</v>
      </c>
      <c r="H58" s="16"/>
      <c r="I58" s="16"/>
      <c r="J58" s="68">
        <f t="shared" si="7"/>
        <v>8.05</v>
      </c>
      <c r="K58" s="68">
        <f t="shared" si="8"/>
        <v>0</v>
      </c>
    </row>
    <row r="59" s="126" customFormat="1" spans="1:11">
      <c r="A59" s="139"/>
      <c r="B59" s="121"/>
      <c r="C59" s="137"/>
      <c r="D59" s="101"/>
      <c r="E59" s="16">
        <v>10.65</v>
      </c>
      <c r="F59" s="16">
        <v>8.5</v>
      </c>
      <c r="G59" s="16">
        <v>5</v>
      </c>
      <c r="H59" s="16"/>
      <c r="I59" s="16"/>
      <c r="J59" s="68"/>
      <c r="K59" s="68"/>
    </row>
    <row r="60" s="126" customFormat="1" ht="63.75" spans="1:11">
      <c r="A60" s="141">
        <v>4</v>
      </c>
      <c r="B60" s="119" t="s">
        <v>336</v>
      </c>
      <c r="C60" s="141" t="s">
        <v>299</v>
      </c>
      <c r="D60" s="98">
        <v>0</v>
      </c>
      <c r="E60" s="23" t="s">
        <v>337</v>
      </c>
      <c r="F60" s="16" t="s">
        <v>295</v>
      </c>
      <c r="G60" s="15" t="s">
        <v>338</v>
      </c>
      <c r="H60" s="15" t="s">
        <v>324</v>
      </c>
      <c r="I60" s="15"/>
      <c r="J60" s="68">
        <f>AVERAGE(E61:I61)</f>
        <v>112.73</v>
      </c>
      <c r="K60" s="68">
        <f>D60*J60</f>
        <v>0</v>
      </c>
    </row>
    <row r="61" s="126" customFormat="1" spans="1:11">
      <c r="A61" s="139"/>
      <c r="B61" s="121"/>
      <c r="C61" s="137"/>
      <c r="D61" s="101"/>
      <c r="E61" s="16">
        <v>105</v>
      </c>
      <c r="F61" s="16">
        <v>116.9</v>
      </c>
      <c r="G61" s="16">
        <v>113</v>
      </c>
      <c r="H61" s="16">
        <v>116</v>
      </c>
      <c r="I61" s="16"/>
      <c r="J61" s="68"/>
      <c r="K61" s="68"/>
    </row>
    <row r="62" s="126" customFormat="1" ht="63.75" spans="1:11">
      <c r="A62" s="141">
        <v>5</v>
      </c>
      <c r="B62" s="119" t="s">
        <v>339</v>
      </c>
      <c r="C62" s="141" t="s">
        <v>276</v>
      </c>
      <c r="D62" s="98">
        <v>0</v>
      </c>
      <c r="E62" s="15" t="s">
        <v>295</v>
      </c>
      <c r="F62" s="16" t="s">
        <v>340</v>
      </c>
      <c r="G62" s="15" t="s">
        <v>341</v>
      </c>
      <c r="H62" s="23"/>
      <c r="I62" s="23"/>
      <c r="J62" s="68">
        <f>AVERAGE(E63:I63)</f>
        <v>46.33</v>
      </c>
      <c r="K62" s="68">
        <f>D62*J62</f>
        <v>0</v>
      </c>
    </row>
    <row r="63" s="126" customFormat="1" spans="1:11">
      <c r="A63" s="139"/>
      <c r="B63" s="121"/>
      <c r="C63" s="139"/>
      <c r="D63" s="101"/>
      <c r="E63" s="16">
        <v>50</v>
      </c>
      <c r="F63" s="16">
        <v>45</v>
      </c>
      <c r="G63" s="16">
        <v>44</v>
      </c>
      <c r="H63" s="16"/>
      <c r="I63" s="16"/>
      <c r="J63" s="68"/>
      <c r="K63" s="68"/>
    </row>
    <row r="64" spans="1:11">
      <c r="A64" s="1"/>
      <c r="B64" s="1"/>
      <c r="C64" s="1"/>
      <c r="D64" s="1"/>
      <c r="F64" s="75" t="s">
        <v>305</v>
      </c>
      <c r="G64" s="75"/>
      <c r="H64" s="75"/>
      <c r="I64" s="75"/>
      <c r="J64" s="75"/>
      <c r="K64" s="76">
        <f>SUM(K54:K63)</f>
        <v>0</v>
      </c>
    </row>
    <row r="65" spans="1:11">
      <c r="B65" s="78"/>
      <c r="C65" s="78"/>
      <c r="D65" s="78"/>
      <c r="E65" s="78"/>
      <c r="F65" s="79" t="s">
        <v>306</v>
      </c>
      <c r="G65" s="79"/>
      <c r="H65" s="79"/>
      <c r="I65" s="79"/>
      <c r="J65" s="79"/>
      <c r="K65" s="80">
        <v>12</v>
      </c>
    </row>
    <row r="66" spans="1:11">
      <c r="A66" s="73"/>
      <c r="B66" s="74"/>
      <c r="C66" s="73"/>
      <c r="D66" s="73"/>
      <c r="E66" s="81"/>
      <c r="F66" s="82" t="s">
        <v>307</v>
      </c>
      <c r="G66" s="82"/>
      <c r="H66" s="82"/>
      <c r="I66" s="82"/>
      <c r="J66" s="82"/>
      <c r="K66" s="83">
        <f>K64/K65</f>
        <v>0</v>
      </c>
    </row>
    <row r="67" spans="1:11">
      <c r="A67" s="143"/>
      <c r="B67" s="143"/>
      <c r="C67" s="143"/>
      <c r="D67" s="143"/>
      <c r="E67" s="144"/>
      <c r="F67" s="134"/>
      <c r="G67" s="134"/>
      <c r="H67" s="134"/>
      <c r="I67" s="134"/>
      <c r="J67" s="90"/>
      <c r="K67" s="90"/>
    </row>
  </sheetData>
  <mergeCells count="150">
    <mergeCell ref="A1:K1"/>
    <mergeCell ref="A2:K2"/>
    <mergeCell ref="A4:K4"/>
    <mergeCell ref="E5:J5"/>
    <mergeCell ref="F15:J15"/>
    <mergeCell ref="F16:J16"/>
    <mergeCell ref="F17:J17"/>
    <mergeCell ref="A19:K19"/>
    <mergeCell ref="E20:J20"/>
    <mergeCell ref="F30:J30"/>
    <mergeCell ref="F31:J31"/>
    <mergeCell ref="F32:J32"/>
    <mergeCell ref="A34:J34"/>
    <mergeCell ref="E35:J35"/>
    <mergeCell ref="F47:J47"/>
    <mergeCell ref="F48:J48"/>
    <mergeCell ref="F49:J49"/>
    <mergeCell ref="A51:J51"/>
    <mergeCell ref="E52:J52"/>
    <mergeCell ref="F64:J64"/>
    <mergeCell ref="F65:J65"/>
    <mergeCell ref="F66:J66"/>
    <mergeCell ref="A5:A6"/>
    <mergeCell ref="A7:A8"/>
    <mergeCell ref="A9:A10"/>
    <mergeCell ref="A11:A12"/>
    <mergeCell ref="A13:A14"/>
    <mergeCell ref="A20:A21"/>
    <mergeCell ref="A22:A23"/>
    <mergeCell ref="A24:A25"/>
    <mergeCell ref="A26:A27"/>
    <mergeCell ref="A28:A29"/>
    <mergeCell ref="A35:A36"/>
    <mergeCell ref="A37:A38"/>
    <mergeCell ref="A39:A40"/>
    <mergeCell ref="A41:A42"/>
    <mergeCell ref="A43:A44"/>
    <mergeCell ref="A45:A46"/>
    <mergeCell ref="A52:A53"/>
    <mergeCell ref="A54:A55"/>
    <mergeCell ref="A56:A57"/>
    <mergeCell ref="A58:A59"/>
    <mergeCell ref="A60:A61"/>
    <mergeCell ref="A62:A63"/>
    <mergeCell ref="B5:B6"/>
    <mergeCell ref="B7:B8"/>
    <mergeCell ref="B9:B10"/>
    <mergeCell ref="B11:B12"/>
    <mergeCell ref="B13:B14"/>
    <mergeCell ref="B20:B21"/>
    <mergeCell ref="B22:B23"/>
    <mergeCell ref="B24:B25"/>
    <mergeCell ref="B26:B27"/>
    <mergeCell ref="B28:B29"/>
    <mergeCell ref="B35:B36"/>
    <mergeCell ref="B37:B38"/>
    <mergeCell ref="B39:B40"/>
    <mergeCell ref="B41:B42"/>
    <mergeCell ref="B43:B44"/>
    <mergeCell ref="B45:B46"/>
    <mergeCell ref="B52:B53"/>
    <mergeCell ref="B54:B55"/>
    <mergeCell ref="B56:B57"/>
    <mergeCell ref="B58:B59"/>
    <mergeCell ref="B60:B61"/>
    <mergeCell ref="B62:B63"/>
    <mergeCell ref="C5:C6"/>
    <mergeCell ref="C7:C8"/>
    <mergeCell ref="C9:C10"/>
    <mergeCell ref="C11:C12"/>
    <mergeCell ref="C13:C14"/>
    <mergeCell ref="C20:C21"/>
    <mergeCell ref="C22:C23"/>
    <mergeCell ref="C24:C25"/>
    <mergeCell ref="C26:C27"/>
    <mergeCell ref="C28:C29"/>
    <mergeCell ref="C35:C36"/>
    <mergeCell ref="C37:C38"/>
    <mergeCell ref="C39:C40"/>
    <mergeCell ref="C41:C42"/>
    <mergeCell ref="C43:C44"/>
    <mergeCell ref="C45:C46"/>
    <mergeCell ref="C52:C53"/>
    <mergeCell ref="C54:C55"/>
    <mergeCell ref="C56:C57"/>
    <mergeCell ref="C58:C59"/>
    <mergeCell ref="C60:C61"/>
    <mergeCell ref="C62:C63"/>
    <mergeCell ref="D5:D6"/>
    <mergeCell ref="D7:D8"/>
    <mergeCell ref="D9:D10"/>
    <mergeCell ref="D11:D12"/>
    <mergeCell ref="D13:D14"/>
    <mergeCell ref="D20:D21"/>
    <mergeCell ref="D22:D23"/>
    <mergeCell ref="D24:D25"/>
    <mergeCell ref="D26:D27"/>
    <mergeCell ref="D28:D29"/>
    <mergeCell ref="D35:D36"/>
    <mergeCell ref="D37:D38"/>
    <mergeCell ref="D39:D40"/>
    <mergeCell ref="D41:D42"/>
    <mergeCell ref="D43:D44"/>
    <mergeCell ref="D45:D46"/>
    <mergeCell ref="D52:D53"/>
    <mergeCell ref="D54:D55"/>
    <mergeCell ref="D56:D57"/>
    <mergeCell ref="D58:D59"/>
    <mergeCell ref="D60:D61"/>
    <mergeCell ref="D62:D63"/>
    <mergeCell ref="J7:J8"/>
    <mergeCell ref="J9:J10"/>
    <mergeCell ref="J11:J12"/>
    <mergeCell ref="J13:J14"/>
    <mergeCell ref="J22:J23"/>
    <mergeCell ref="J24:J25"/>
    <mergeCell ref="J26:J27"/>
    <mergeCell ref="J28:J29"/>
    <mergeCell ref="J37:J38"/>
    <mergeCell ref="J39:J40"/>
    <mergeCell ref="J41:J42"/>
    <mergeCell ref="J43:J44"/>
    <mergeCell ref="J45:J46"/>
    <mergeCell ref="J54:J55"/>
    <mergeCell ref="J56:J57"/>
    <mergeCell ref="J58:J59"/>
    <mergeCell ref="J60:J61"/>
    <mergeCell ref="J62:J63"/>
    <mergeCell ref="K5:K6"/>
    <mergeCell ref="K7:K8"/>
    <mergeCell ref="K9:K10"/>
    <mergeCell ref="K11:K12"/>
    <mergeCell ref="K13:K14"/>
    <mergeCell ref="K20:K21"/>
    <mergeCell ref="K22:K23"/>
    <mergeCell ref="K24:K25"/>
    <mergeCell ref="K26:K27"/>
    <mergeCell ref="K28:K29"/>
    <mergeCell ref="K35:K36"/>
    <mergeCell ref="K37:K38"/>
    <mergeCell ref="K39:K40"/>
    <mergeCell ref="K41:K42"/>
    <mergeCell ref="K43:K44"/>
    <mergeCell ref="K45:K46"/>
    <mergeCell ref="K52:K53"/>
    <mergeCell ref="K54:K55"/>
    <mergeCell ref="K56:K57"/>
    <mergeCell ref="K58:K59"/>
    <mergeCell ref="K60:K61"/>
    <mergeCell ref="K62:K63"/>
  </mergeCells>
  <pageMargins left="0.196527777777778" right="0.196527777777778" top="0.196527777777778" bottom="0.196527777777778" header="0.196527777777778" footer="0.196527777777778"/>
  <pageSetup paperSize="9" scale="57"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799981688894314"/>
  </sheetPr>
  <dimension ref="A1:K65"/>
  <sheetViews>
    <sheetView view="pageBreakPreview" zoomScale="70" zoomScaleNormal="70" workbookViewId="0">
      <selection activeCell="K22" sqref="K22:K23"/>
    </sheetView>
  </sheetViews>
  <sheetFormatPr defaultColWidth="9.14285714285714" defaultRowHeight="12.75"/>
  <cols>
    <col min="1" max="1" width="5" style="77" customWidth="1"/>
    <col min="2" max="2" width="22.7142857142857" style="84" customWidth="1"/>
    <col min="3" max="3" width="9.71428571428571" style="77" customWidth="1"/>
    <col min="4" max="4" width="13.5714285714286" style="77" customWidth="1"/>
    <col min="5" max="9" width="31" style="85" customWidth="1"/>
    <col min="10" max="11" width="14.2857142857143" style="1" customWidth="1"/>
    <col min="12" max="16384" width="9.14285714285714" style="1"/>
  </cols>
  <sheetData>
    <row r="1" ht="18" spans="1:11">
      <c r="A1" s="5" t="str">
        <f>'SEMAD e AGEHAB TOTALIZADOR'!A10</f>
        <v>AGEHAB</v>
      </c>
      <c r="B1" s="5"/>
      <c r="C1" s="5"/>
      <c r="D1" s="5"/>
      <c r="E1" s="86"/>
      <c r="F1" s="86"/>
      <c r="G1" s="86"/>
      <c r="H1" s="86"/>
      <c r="I1" s="86"/>
      <c r="J1" s="5"/>
      <c r="K1" s="5"/>
    </row>
    <row r="2" ht="18" spans="1:11">
      <c r="A2" s="5" t="s">
        <v>342</v>
      </c>
      <c r="B2" s="5"/>
      <c r="C2" s="5"/>
      <c r="D2" s="5"/>
      <c r="E2" s="86"/>
      <c r="F2" s="86"/>
      <c r="G2" s="86"/>
      <c r="H2" s="86"/>
      <c r="I2" s="86"/>
      <c r="J2" s="5"/>
      <c r="K2" s="5"/>
    </row>
    <row r="3" ht="15.75" spans="1:11">
      <c r="A3" s="87"/>
      <c r="B3" s="87"/>
      <c r="C3" s="87"/>
      <c r="D3" s="87"/>
      <c r="E3" s="88"/>
      <c r="F3" s="89"/>
      <c r="G3" s="89"/>
      <c r="H3" s="89"/>
      <c r="I3" s="89"/>
      <c r="J3" s="90"/>
    </row>
    <row r="4" spans="1:11">
      <c r="A4" s="91" t="s">
        <v>273</v>
      </c>
      <c r="B4" s="92"/>
      <c r="C4" s="92"/>
      <c r="D4" s="92"/>
      <c r="E4" s="92"/>
      <c r="F4" s="92"/>
      <c r="G4" s="92"/>
      <c r="H4" s="92"/>
      <c r="I4" s="92"/>
      <c r="J4" s="92"/>
      <c r="K4" s="93"/>
    </row>
    <row r="5" spans="1:11">
      <c r="A5" s="94" t="s">
        <v>274</v>
      </c>
      <c r="B5" s="94" t="s">
        <v>275</v>
      </c>
      <c r="C5" s="94" t="s">
        <v>276</v>
      </c>
      <c r="D5" s="94" t="s">
        <v>277</v>
      </c>
      <c r="E5" s="95" t="s">
        <v>278</v>
      </c>
      <c r="F5" s="95"/>
      <c r="G5" s="95"/>
      <c r="H5" s="95"/>
      <c r="I5" s="95"/>
      <c r="J5" s="95"/>
      <c r="K5" s="96" t="s">
        <v>279</v>
      </c>
    </row>
    <row r="6" ht="38.25" spans="1:11">
      <c r="A6" s="94"/>
      <c r="B6" s="94"/>
      <c r="C6" s="94"/>
      <c r="D6" s="94"/>
      <c r="E6" s="94" t="s">
        <v>280</v>
      </c>
      <c r="F6" s="94" t="s">
        <v>281</v>
      </c>
      <c r="G6" s="94" t="s">
        <v>282</v>
      </c>
      <c r="H6" s="94" t="s">
        <v>283</v>
      </c>
      <c r="I6" s="94" t="s">
        <v>284</v>
      </c>
      <c r="J6" s="95" t="s">
        <v>285</v>
      </c>
      <c r="K6" s="97"/>
    </row>
    <row r="7" ht="38.25" spans="1:11">
      <c r="A7" s="98">
        <v>1</v>
      </c>
      <c r="B7" s="99" t="s">
        <v>343</v>
      </c>
      <c r="C7" s="100" t="s">
        <v>276</v>
      </c>
      <c r="D7" s="98">
        <f>12/2</f>
        <v>6</v>
      </c>
      <c r="E7" s="16" t="s">
        <v>344</v>
      </c>
      <c r="F7" s="16" t="s">
        <v>295</v>
      </c>
      <c r="G7" s="16" t="s">
        <v>345</v>
      </c>
      <c r="H7" s="16" t="s">
        <v>346</v>
      </c>
      <c r="I7" s="16" t="s">
        <v>347</v>
      </c>
      <c r="J7" s="68">
        <f t="shared" ref="J7:J11" si="0">AVERAGE(E8:I8)</f>
        <v>6.46</v>
      </c>
      <c r="K7" s="68">
        <f t="shared" ref="K7:K11" si="1">D7*J7</f>
        <v>38.76</v>
      </c>
    </row>
    <row r="8" spans="1:11">
      <c r="A8" s="101"/>
      <c r="B8" s="102"/>
      <c r="C8" s="103"/>
      <c r="D8" s="101"/>
      <c r="E8" s="16">
        <v>4.39</v>
      </c>
      <c r="F8" s="16">
        <v>9.9</v>
      </c>
      <c r="G8" s="16">
        <v>6</v>
      </c>
      <c r="H8" s="16">
        <v>6</v>
      </c>
      <c r="I8" s="16">
        <v>5.99</v>
      </c>
      <c r="J8" s="68"/>
      <c r="K8" s="68"/>
    </row>
    <row r="9" ht="38.25" spans="1:11">
      <c r="A9" s="104">
        <v>2</v>
      </c>
      <c r="B9" s="105" t="s">
        <v>348</v>
      </c>
      <c r="C9" s="106" t="s">
        <v>299</v>
      </c>
      <c r="D9" s="104">
        <v>24</v>
      </c>
      <c r="E9" s="16" t="s">
        <v>349</v>
      </c>
      <c r="F9" s="16" t="s">
        <v>350</v>
      </c>
      <c r="G9" s="15" t="s">
        <v>351</v>
      </c>
      <c r="H9" s="15" t="s">
        <v>352</v>
      </c>
      <c r="I9" s="15"/>
      <c r="J9" s="68">
        <f t="shared" si="0"/>
        <v>6.61</v>
      </c>
      <c r="K9" s="68">
        <f t="shared" si="1"/>
        <v>158.64</v>
      </c>
    </row>
    <row r="10" spans="1:11">
      <c r="A10" s="101"/>
      <c r="B10" s="102"/>
      <c r="C10" s="107"/>
      <c r="D10" s="101"/>
      <c r="E10" s="16">
        <v>6</v>
      </c>
      <c r="F10" s="16">
        <v>6.95</v>
      </c>
      <c r="G10" s="16">
        <v>7</v>
      </c>
      <c r="H10" s="16">
        <v>6.48</v>
      </c>
      <c r="I10" s="16"/>
      <c r="J10" s="68"/>
      <c r="K10" s="68"/>
    </row>
    <row r="11" ht="38.25" spans="1:11">
      <c r="A11" s="104">
        <v>3</v>
      </c>
      <c r="B11" s="105" t="s">
        <v>353</v>
      </c>
      <c r="C11" s="106" t="s">
        <v>354</v>
      </c>
      <c r="D11" s="104">
        <v>6</v>
      </c>
      <c r="E11" s="16" t="s">
        <v>355</v>
      </c>
      <c r="F11" s="16" t="s">
        <v>356</v>
      </c>
      <c r="G11" s="15" t="s">
        <v>357</v>
      </c>
      <c r="H11" s="15" t="s">
        <v>358</v>
      </c>
      <c r="I11" s="15"/>
      <c r="J11" s="68">
        <f t="shared" si="0"/>
        <v>5.84</v>
      </c>
      <c r="K11" s="68">
        <f t="shared" si="1"/>
        <v>35.04</v>
      </c>
    </row>
    <row r="12" spans="1:11">
      <c r="A12" s="101"/>
      <c r="B12" s="102"/>
      <c r="C12" s="107"/>
      <c r="D12" s="101"/>
      <c r="E12" s="16">
        <v>8.51</v>
      </c>
      <c r="F12" s="16">
        <v>4.39</v>
      </c>
      <c r="G12" s="16">
        <v>5.99</v>
      </c>
      <c r="H12" s="16">
        <v>4.45</v>
      </c>
      <c r="I12" s="16"/>
      <c r="J12" s="68"/>
      <c r="K12" s="68"/>
    </row>
    <row r="13" ht="51" spans="1:11">
      <c r="A13" s="104">
        <v>4</v>
      </c>
      <c r="B13" s="108" t="s">
        <v>359</v>
      </c>
      <c r="C13" s="106" t="s">
        <v>299</v>
      </c>
      <c r="D13" s="109">
        <f>12/4</f>
        <v>3</v>
      </c>
      <c r="E13" s="16" t="s">
        <v>360</v>
      </c>
      <c r="F13" s="15" t="s">
        <v>324</v>
      </c>
      <c r="G13" s="15" t="s">
        <v>295</v>
      </c>
      <c r="H13" s="15" t="s">
        <v>361</v>
      </c>
      <c r="I13" s="15" t="s">
        <v>362</v>
      </c>
      <c r="J13" s="68">
        <f>AVERAGE(E14:I14)</f>
        <v>49.44</v>
      </c>
      <c r="K13" s="68">
        <f>D13*J13</f>
        <v>148.32</v>
      </c>
    </row>
    <row r="14" spans="1:11">
      <c r="A14" s="101"/>
      <c r="B14" s="110"/>
      <c r="C14" s="107"/>
      <c r="D14" s="111"/>
      <c r="E14" s="16">
        <v>48.9</v>
      </c>
      <c r="F14" s="16">
        <v>55</v>
      </c>
      <c r="G14" s="16">
        <v>44.32</v>
      </c>
      <c r="H14" s="16">
        <v>49</v>
      </c>
      <c r="I14" s="16">
        <v>49.96</v>
      </c>
      <c r="J14" s="68"/>
      <c r="K14" s="68"/>
    </row>
    <row r="15" spans="1:11">
      <c r="A15" s="1"/>
      <c r="B15" s="1"/>
      <c r="C15" s="1"/>
      <c r="D15" s="1"/>
      <c r="F15" s="112" t="s">
        <v>305</v>
      </c>
      <c r="G15" s="112"/>
      <c r="H15" s="112"/>
      <c r="I15" s="112"/>
      <c r="J15" s="75"/>
      <c r="K15" s="76">
        <f>SUM(K7:K14)</f>
        <v>380.76</v>
      </c>
    </row>
    <row r="16" spans="1:11">
      <c r="B16" s="78"/>
      <c r="C16" s="78"/>
      <c r="D16" s="78"/>
      <c r="E16" s="113"/>
      <c r="F16" s="114" t="s">
        <v>306</v>
      </c>
      <c r="G16" s="114"/>
      <c r="H16" s="114"/>
      <c r="I16" s="114"/>
      <c r="J16" s="79"/>
      <c r="K16" s="80">
        <v>12</v>
      </c>
    </row>
    <row r="17" spans="1:11">
      <c r="A17" s="73"/>
      <c r="B17" s="74"/>
      <c r="C17" s="73"/>
      <c r="D17" s="73"/>
      <c r="E17" s="115"/>
      <c r="F17" s="116" t="s">
        <v>307</v>
      </c>
      <c r="G17" s="116"/>
      <c r="H17" s="116"/>
      <c r="I17" s="116"/>
      <c r="J17" s="82"/>
      <c r="K17" s="83">
        <f>K15/K16</f>
        <v>31.73</v>
      </c>
    </row>
    <row r="18" spans="1:11">
      <c r="E18" s="89"/>
      <c r="F18" s="89"/>
      <c r="G18" s="89"/>
      <c r="H18" s="89"/>
      <c r="I18" s="89"/>
      <c r="J18" s="90"/>
    </row>
    <row r="19" spans="1:11">
      <c r="A19" s="94" t="s">
        <v>308</v>
      </c>
      <c r="B19" s="94"/>
      <c r="C19" s="94"/>
      <c r="D19" s="94"/>
      <c r="E19" s="94"/>
      <c r="F19" s="94"/>
      <c r="G19" s="94"/>
      <c r="H19" s="94"/>
      <c r="I19" s="94"/>
      <c r="J19" s="94"/>
      <c r="K19" s="94"/>
    </row>
    <row r="20" spans="1:11">
      <c r="A20" s="94" t="s">
        <v>274</v>
      </c>
      <c r="B20" s="94" t="s">
        <v>275</v>
      </c>
      <c r="C20" s="94" t="s">
        <v>276</v>
      </c>
      <c r="D20" s="94" t="s">
        <v>277</v>
      </c>
      <c r="E20" s="95" t="s">
        <v>278</v>
      </c>
      <c r="F20" s="95"/>
      <c r="G20" s="95"/>
      <c r="H20" s="95"/>
      <c r="I20" s="95"/>
      <c r="J20" s="95"/>
      <c r="K20" s="95" t="s">
        <v>279</v>
      </c>
    </row>
    <row r="21" ht="38.25" spans="1:11">
      <c r="A21" s="94"/>
      <c r="B21" s="94"/>
      <c r="C21" s="94"/>
      <c r="D21" s="94"/>
      <c r="E21" s="94" t="s">
        <v>280</v>
      </c>
      <c r="F21" s="94" t="s">
        <v>281</v>
      </c>
      <c r="G21" s="94" t="s">
        <v>282</v>
      </c>
      <c r="H21" s="94" t="s">
        <v>283</v>
      </c>
      <c r="I21" s="94" t="s">
        <v>284</v>
      </c>
      <c r="J21" s="95" t="s">
        <v>285</v>
      </c>
      <c r="K21" s="95"/>
    </row>
    <row r="22" ht="38.25" spans="1:11">
      <c r="A22" s="98">
        <v>1</v>
      </c>
      <c r="B22" s="99" t="s">
        <v>363</v>
      </c>
      <c r="C22" s="100" t="s">
        <v>276</v>
      </c>
      <c r="D22" s="117">
        <v>0</v>
      </c>
      <c r="E22" s="16" t="s">
        <v>364</v>
      </c>
      <c r="F22" s="15" t="s">
        <v>295</v>
      </c>
      <c r="G22" s="16" t="s">
        <v>365</v>
      </c>
      <c r="H22" s="16" t="s">
        <v>366</v>
      </c>
      <c r="I22" s="16" t="s">
        <v>367</v>
      </c>
      <c r="J22" s="68">
        <f t="shared" ref="J22:J26" si="2">AVERAGE(E23:I23)</f>
        <v>134.28</v>
      </c>
      <c r="K22" s="68">
        <f t="shared" ref="K22:K26" si="3">D22*J22</f>
        <v>0</v>
      </c>
    </row>
    <row r="23" spans="1:11">
      <c r="A23" s="101"/>
      <c r="B23" s="102"/>
      <c r="C23" s="103"/>
      <c r="D23" s="118"/>
      <c r="E23" s="16">
        <v>121</v>
      </c>
      <c r="F23" s="16">
        <v>145.9</v>
      </c>
      <c r="G23" s="16">
        <v>140</v>
      </c>
      <c r="H23" s="16">
        <v>134.5</v>
      </c>
      <c r="I23" s="16">
        <v>130</v>
      </c>
      <c r="J23" s="68"/>
      <c r="K23" s="68"/>
    </row>
    <row r="24" ht="51" spans="1:11">
      <c r="A24" s="98">
        <v>4</v>
      </c>
      <c r="B24" s="119" t="s">
        <v>368</v>
      </c>
      <c r="C24" s="67" t="s">
        <v>369</v>
      </c>
      <c r="D24" s="120">
        <v>0</v>
      </c>
      <c r="E24" s="16" t="s">
        <v>370</v>
      </c>
      <c r="F24" s="16" t="s">
        <v>371</v>
      </c>
      <c r="G24" s="16" t="s">
        <v>372</v>
      </c>
      <c r="H24" s="16" t="s">
        <v>373</v>
      </c>
      <c r="I24" s="16" t="s">
        <v>374</v>
      </c>
      <c r="J24" s="68">
        <f t="shared" si="2"/>
        <v>5.95</v>
      </c>
      <c r="K24" s="68">
        <f t="shared" si="3"/>
        <v>0</v>
      </c>
    </row>
    <row r="25" spans="1:11">
      <c r="A25" s="101"/>
      <c r="B25" s="121"/>
      <c r="C25" s="67"/>
      <c r="D25" s="107"/>
      <c r="E25" s="16">
        <v>4.29</v>
      </c>
      <c r="F25" s="16">
        <v>5.4</v>
      </c>
      <c r="G25" s="16">
        <v>5.5</v>
      </c>
      <c r="H25" s="16">
        <v>6.74</v>
      </c>
      <c r="I25" s="16">
        <v>7.8</v>
      </c>
      <c r="J25" s="68"/>
      <c r="K25" s="68"/>
    </row>
    <row r="26" ht="63.75" spans="1:11">
      <c r="A26" s="104">
        <v>2</v>
      </c>
      <c r="B26" s="105" t="s">
        <v>375</v>
      </c>
      <c r="C26" s="122" t="s">
        <v>276</v>
      </c>
      <c r="D26" s="123">
        <v>0</v>
      </c>
      <c r="E26" s="16" t="s">
        <v>295</v>
      </c>
      <c r="F26" s="15" t="s">
        <v>376</v>
      </c>
      <c r="G26" s="16" t="s">
        <v>377</v>
      </c>
      <c r="H26" s="16" t="s">
        <v>378</v>
      </c>
      <c r="I26" s="16" t="s">
        <v>379</v>
      </c>
      <c r="J26" s="68">
        <f t="shared" si="2"/>
        <v>464.94</v>
      </c>
      <c r="K26" s="68">
        <f t="shared" si="3"/>
        <v>0</v>
      </c>
    </row>
    <row r="27" spans="1:11">
      <c r="A27" s="101"/>
      <c r="B27" s="102"/>
      <c r="C27" s="103"/>
      <c r="D27" s="118"/>
      <c r="E27" s="16">
        <v>517.53</v>
      </c>
      <c r="F27" s="16">
        <v>409.78</v>
      </c>
      <c r="G27" s="16">
        <v>450.25</v>
      </c>
      <c r="H27" s="16">
        <v>477.12</v>
      </c>
      <c r="I27" s="16">
        <v>470</v>
      </c>
      <c r="J27" s="68"/>
      <c r="K27" s="68"/>
    </row>
    <row r="28" ht="51" spans="1:11">
      <c r="A28" s="104">
        <v>3</v>
      </c>
      <c r="B28" s="105" t="s">
        <v>380</v>
      </c>
      <c r="C28" s="122" t="s">
        <v>276</v>
      </c>
      <c r="D28" s="123">
        <v>0</v>
      </c>
      <c r="E28" s="15" t="s">
        <v>381</v>
      </c>
      <c r="F28" s="15" t="s">
        <v>295</v>
      </c>
      <c r="G28" s="16" t="s">
        <v>382</v>
      </c>
      <c r="H28" s="16" t="s">
        <v>383</v>
      </c>
      <c r="I28" s="16" t="s">
        <v>384</v>
      </c>
      <c r="J28" s="68">
        <f t="shared" ref="J28:J32" si="4">AVERAGE(E29:I29)</f>
        <v>186.62</v>
      </c>
      <c r="K28" s="68">
        <f t="shared" ref="K28:K32" si="5">D28*J28</f>
        <v>0</v>
      </c>
    </row>
    <row r="29" spans="1:11">
      <c r="A29" s="101"/>
      <c r="B29" s="102"/>
      <c r="C29" s="103"/>
      <c r="D29" s="118"/>
      <c r="E29" s="16">
        <v>183.15</v>
      </c>
      <c r="F29" s="16">
        <v>167.8</v>
      </c>
      <c r="G29" s="16">
        <v>189.99</v>
      </c>
      <c r="H29" s="16">
        <v>194.48</v>
      </c>
      <c r="I29" s="16">
        <v>197.67</v>
      </c>
      <c r="J29" s="68"/>
      <c r="K29" s="68"/>
    </row>
    <row r="30" ht="51" spans="1:11">
      <c r="A30" s="98">
        <v>4</v>
      </c>
      <c r="B30" s="99" t="s">
        <v>385</v>
      </c>
      <c r="C30" s="100" t="s">
        <v>276</v>
      </c>
      <c r="D30" s="98">
        <v>0</v>
      </c>
      <c r="E30" s="16" t="s">
        <v>287</v>
      </c>
      <c r="F30" s="15" t="s">
        <v>386</v>
      </c>
      <c r="G30" s="15" t="s">
        <v>324</v>
      </c>
      <c r="H30" s="15"/>
      <c r="I30" s="15"/>
      <c r="J30" s="68">
        <f t="shared" si="4"/>
        <v>191.95</v>
      </c>
      <c r="K30" s="68">
        <f t="shared" si="5"/>
        <v>0</v>
      </c>
    </row>
    <row r="31" spans="1:11">
      <c r="A31" s="101"/>
      <c r="B31" s="102"/>
      <c r="C31" s="103"/>
      <c r="D31" s="101"/>
      <c r="E31" s="18">
        <v>195.83</v>
      </c>
      <c r="F31" s="18">
        <v>184</v>
      </c>
      <c r="G31" s="18">
        <v>196.02</v>
      </c>
      <c r="H31" s="18"/>
      <c r="I31" s="18"/>
      <c r="J31" s="68"/>
      <c r="K31" s="68"/>
    </row>
    <row r="32" ht="51" spans="1:11">
      <c r="A32" s="98">
        <v>5</v>
      </c>
      <c r="B32" s="99" t="s">
        <v>387</v>
      </c>
      <c r="C32" s="100" t="s">
        <v>276</v>
      </c>
      <c r="D32" s="98">
        <v>0</v>
      </c>
      <c r="E32" s="16" t="s">
        <v>388</v>
      </c>
      <c r="F32" s="16" t="s">
        <v>389</v>
      </c>
      <c r="G32" s="15" t="s">
        <v>390</v>
      </c>
      <c r="H32" s="15" t="s">
        <v>391</v>
      </c>
      <c r="I32" s="15" t="s">
        <v>392</v>
      </c>
      <c r="J32" s="68">
        <f t="shared" si="4"/>
        <v>309.9</v>
      </c>
      <c r="K32" s="68">
        <f t="shared" si="5"/>
        <v>0</v>
      </c>
    </row>
    <row r="33" spans="1:11">
      <c r="A33" s="101"/>
      <c r="B33" s="102"/>
      <c r="C33" s="103"/>
      <c r="D33" s="101"/>
      <c r="E33" s="16">
        <v>298</v>
      </c>
      <c r="F33" s="16">
        <v>326.66</v>
      </c>
      <c r="G33" s="16">
        <v>335.4</v>
      </c>
      <c r="H33" s="16">
        <v>275.8</v>
      </c>
      <c r="I33" s="16">
        <v>313.66</v>
      </c>
      <c r="J33" s="68"/>
      <c r="K33" s="68"/>
    </row>
    <row r="34" ht="38.25" spans="1:11">
      <c r="A34" s="98">
        <v>6</v>
      </c>
      <c r="B34" s="99" t="s">
        <v>393</v>
      </c>
      <c r="C34" s="100" t="s">
        <v>276</v>
      </c>
      <c r="D34" s="98">
        <v>0</v>
      </c>
      <c r="E34" s="15" t="s">
        <v>394</v>
      </c>
      <c r="F34" s="15" t="s">
        <v>295</v>
      </c>
      <c r="G34" s="16" t="s">
        <v>395</v>
      </c>
      <c r="H34" s="16" t="s">
        <v>396</v>
      </c>
      <c r="I34" s="16" t="s">
        <v>394</v>
      </c>
      <c r="J34" s="68">
        <f t="shared" ref="J34:J38" si="6">AVERAGE(E35:I35)</f>
        <v>30.08</v>
      </c>
      <c r="K34" s="68">
        <f t="shared" ref="K34:K38" si="7">D34*J34</f>
        <v>0</v>
      </c>
    </row>
    <row r="35" spans="1:11">
      <c r="A35" s="101"/>
      <c r="B35" s="102"/>
      <c r="C35" s="103"/>
      <c r="D35" s="101"/>
      <c r="E35" s="16">
        <v>26.99</v>
      </c>
      <c r="F35" s="16">
        <v>28.99</v>
      </c>
      <c r="G35" s="16">
        <v>32.5</v>
      </c>
      <c r="H35" s="16">
        <v>31.64</v>
      </c>
      <c r="I35" s="16">
        <v>30.3</v>
      </c>
      <c r="J35" s="68"/>
      <c r="K35" s="68"/>
    </row>
    <row r="36" ht="51" spans="1:11">
      <c r="A36" s="98">
        <v>7</v>
      </c>
      <c r="B36" s="99" t="s">
        <v>397</v>
      </c>
      <c r="C36" s="100" t="s">
        <v>276</v>
      </c>
      <c r="D36" s="98">
        <v>0</v>
      </c>
      <c r="E36" s="16" t="s">
        <v>398</v>
      </c>
      <c r="F36" s="16" t="s">
        <v>399</v>
      </c>
      <c r="G36" s="16" t="s">
        <v>377</v>
      </c>
      <c r="H36" s="16"/>
      <c r="I36" s="16"/>
      <c r="J36" s="68">
        <f t="shared" si="6"/>
        <v>61.45</v>
      </c>
      <c r="K36" s="68">
        <f t="shared" si="7"/>
        <v>0</v>
      </c>
    </row>
    <row r="37" spans="1:11">
      <c r="A37" s="101"/>
      <c r="B37" s="102"/>
      <c r="C37" s="103"/>
      <c r="D37" s="101"/>
      <c r="E37" s="16">
        <v>58.46</v>
      </c>
      <c r="F37" s="16">
        <v>57.9</v>
      </c>
      <c r="G37" s="16">
        <v>68</v>
      </c>
      <c r="H37" s="16"/>
      <c r="I37" s="16"/>
      <c r="J37" s="68"/>
      <c r="K37" s="68"/>
    </row>
    <row r="38" ht="51" spans="1:11">
      <c r="A38" s="98">
        <v>8</v>
      </c>
      <c r="B38" s="99" t="s">
        <v>400</v>
      </c>
      <c r="C38" s="100" t="s">
        <v>276</v>
      </c>
      <c r="D38" s="98">
        <v>0</v>
      </c>
      <c r="E38" s="15" t="s">
        <v>295</v>
      </c>
      <c r="F38" s="16" t="s">
        <v>401</v>
      </c>
      <c r="G38" s="16" t="s">
        <v>377</v>
      </c>
      <c r="H38" s="16" t="s">
        <v>402</v>
      </c>
      <c r="I38" s="16"/>
      <c r="J38" s="68">
        <f t="shared" si="6"/>
        <v>223.68</v>
      </c>
      <c r="K38" s="68">
        <f t="shared" si="7"/>
        <v>0</v>
      </c>
    </row>
    <row r="39" spans="1:11">
      <c r="A39" s="101"/>
      <c r="B39" s="102"/>
      <c r="C39" s="103"/>
      <c r="D39" s="101"/>
      <c r="E39" s="16">
        <v>205.2</v>
      </c>
      <c r="F39" s="16">
        <v>209.5</v>
      </c>
      <c r="G39" s="16">
        <v>205</v>
      </c>
      <c r="H39" s="16">
        <v>275</v>
      </c>
      <c r="I39" s="16"/>
      <c r="J39" s="68"/>
      <c r="K39" s="68"/>
    </row>
    <row r="40" ht="38.25" spans="1:11">
      <c r="A40" s="98">
        <v>9</v>
      </c>
      <c r="B40" s="99" t="s">
        <v>403</v>
      </c>
      <c r="C40" s="100"/>
      <c r="D40" s="98">
        <v>0</v>
      </c>
      <c r="E40" s="16" t="s">
        <v>404</v>
      </c>
      <c r="F40" s="16" t="s">
        <v>295</v>
      </c>
      <c r="G40" s="15" t="s">
        <v>405</v>
      </c>
      <c r="H40" s="15" t="s">
        <v>406</v>
      </c>
      <c r="I40" s="15" t="s">
        <v>407</v>
      </c>
      <c r="J40" s="68">
        <f>AVERAGE(E41:I41)</f>
        <v>228.92</v>
      </c>
      <c r="K40" s="68">
        <f>D40*J40</f>
        <v>0</v>
      </c>
    </row>
    <row r="41" spans="1:11">
      <c r="A41" s="101"/>
      <c r="B41" s="102"/>
      <c r="C41" s="103"/>
      <c r="D41" s="101"/>
      <c r="E41" s="16">
        <v>212.39</v>
      </c>
      <c r="F41" s="16">
        <v>224.9</v>
      </c>
      <c r="G41" s="16">
        <v>224</v>
      </c>
      <c r="H41" s="16">
        <v>224.32</v>
      </c>
      <c r="I41" s="16">
        <v>259</v>
      </c>
      <c r="J41" s="68"/>
      <c r="K41" s="68"/>
    </row>
    <row r="42" spans="1:11">
      <c r="A42" s="1"/>
      <c r="B42" s="1"/>
      <c r="C42" s="1"/>
      <c r="D42" s="1"/>
      <c r="F42" s="112" t="s">
        <v>305</v>
      </c>
      <c r="G42" s="112"/>
      <c r="H42" s="112"/>
      <c r="I42" s="112"/>
      <c r="J42" s="75"/>
      <c r="K42" s="76">
        <f>SUM(K22:K41)</f>
        <v>0</v>
      </c>
    </row>
    <row r="43" spans="1:11">
      <c r="B43" s="78"/>
      <c r="C43" s="78"/>
      <c r="D43" s="78"/>
      <c r="E43" s="113"/>
      <c r="F43" s="114" t="s">
        <v>306</v>
      </c>
      <c r="G43" s="114"/>
      <c r="H43" s="114"/>
      <c r="I43" s="114"/>
      <c r="J43" s="79"/>
      <c r="K43" s="80">
        <v>12</v>
      </c>
    </row>
    <row r="44" spans="1:11">
      <c r="A44" s="73"/>
      <c r="B44" s="74"/>
      <c r="C44" s="73"/>
      <c r="D44" s="73"/>
      <c r="E44" s="115"/>
      <c r="F44" s="116" t="s">
        <v>307</v>
      </c>
      <c r="G44" s="116"/>
      <c r="H44" s="116"/>
      <c r="I44" s="116"/>
      <c r="J44" s="82"/>
      <c r="K44" s="83">
        <f>K42/K43</f>
        <v>0</v>
      </c>
    </row>
    <row r="45" spans="1:11">
      <c r="E45" s="89"/>
      <c r="F45" s="89"/>
      <c r="G45" s="89"/>
      <c r="H45" s="89"/>
      <c r="I45" s="89"/>
      <c r="J45" s="90"/>
    </row>
    <row r="46" spans="1:11">
      <c r="A46" s="91" t="s">
        <v>408</v>
      </c>
      <c r="B46" s="92"/>
      <c r="C46" s="92"/>
      <c r="D46" s="92"/>
      <c r="E46" s="92"/>
      <c r="F46" s="92"/>
      <c r="G46" s="92"/>
      <c r="H46" s="92"/>
      <c r="I46" s="92"/>
      <c r="J46" s="92"/>
      <c r="K46" s="93"/>
    </row>
    <row r="47" spans="1:11">
      <c r="A47" s="94" t="s">
        <v>274</v>
      </c>
      <c r="B47" s="94" t="s">
        <v>275</v>
      </c>
      <c r="C47" s="94" t="s">
        <v>276</v>
      </c>
      <c r="D47" s="94" t="s">
        <v>277</v>
      </c>
      <c r="E47" s="95" t="s">
        <v>278</v>
      </c>
      <c r="F47" s="95"/>
      <c r="G47" s="95"/>
      <c r="H47" s="95"/>
      <c r="I47" s="95"/>
      <c r="J47" s="95"/>
      <c r="K47" s="96" t="s">
        <v>279</v>
      </c>
    </row>
    <row r="48" ht="38.25" spans="1:11">
      <c r="A48" s="94"/>
      <c r="B48" s="94"/>
      <c r="C48" s="94"/>
      <c r="D48" s="94"/>
      <c r="E48" s="94" t="s">
        <v>280</v>
      </c>
      <c r="F48" s="94" t="s">
        <v>281</v>
      </c>
      <c r="G48" s="94" t="s">
        <v>282</v>
      </c>
      <c r="H48" s="94" t="s">
        <v>283</v>
      </c>
      <c r="I48" s="94" t="s">
        <v>284</v>
      </c>
      <c r="J48" s="95" t="s">
        <v>285</v>
      </c>
      <c r="K48" s="97"/>
    </row>
    <row r="49" ht="38.25" spans="1:11">
      <c r="A49" s="67">
        <v>1</v>
      </c>
      <c r="B49" s="124" t="s">
        <v>409</v>
      </c>
      <c r="C49" s="72" t="s">
        <v>276</v>
      </c>
      <c r="D49" s="67">
        <v>0</v>
      </c>
      <c r="E49" s="15" t="s">
        <v>410</v>
      </c>
      <c r="F49" s="16" t="s">
        <v>411</v>
      </c>
      <c r="G49" s="15" t="s">
        <v>412</v>
      </c>
      <c r="H49" s="15" t="s">
        <v>413</v>
      </c>
      <c r="I49" s="15"/>
      <c r="J49" s="68">
        <f t="shared" ref="J49:J53" si="8">AVERAGE(E50:I50)</f>
        <v>26.92</v>
      </c>
      <c r="K49" s="68">
        <f t="shared" ref="K49:K53" si="9">D49*J49</f>
        <v>0</v>
      </c>
    </row>
    <row r="50" spans="1:11">
      <c r="A50" s="67"/>
      <c r="B50" s="124"/>
      <c r="C50" s="72"/>
      <c r="D50" s="67"/>
      <c r="E50" s="16">
        <v>26</v>
      </c>
      <c r="F50" s="16">
        <v>28.75</v>
      </c>
      <c r="G50" s="16">
        <v>30</v>
      </c>
      <c r="H50" s="16">
        <v>22.91</v>
      </c>
      <c r="I50" s="16"/>
      <c r="J50" s="68"/>
      <c r="K50" s="68"/>
    </row>
    <row r="51" ht="38.25" spans="1:11">
      <c r="A51" s="67">
        <v>2</v>
      </c>
      <c r="B51" s="124" t="s">
        <v>414</v>
      </c>
      <c r="C51" s="67" t="s">
        <v>415</v>
      </c>
      <c r="D51" s="67">
        <v>0</v>
      </c>
      <c r="E51" s="16" t="s">
        <v>344</v>
      </c>
      <c r="F51" s="16" t="s">
        <v>416</v>
      </c>
      <c r="G51" s="15" t="s">
        <v>295</v>
      </c>
      <c r="H51" s="15" t="s">
        <v>417</v>
      </c>
      <c r="I51" s="15" t="s">
        <v>418</v>
      </c>
      <c r="J51" s="68">
        <f t="shared" si="8"/>
        <v>29.19</v>
      </c>
      <c r="K51" s="68">
        <f t="shared" si="9"/>
        <v>0</v>
      </c>
    </row>
    <row r="52" spans="1:11">
      <c r="A52" s="67"/>
      <c r="B52" s="124"/>
      <c r="C52" s="67"/>
      <c r="D52" s="67"/>
      <c r="E52" s="16">
        <v>24.39</v>
      </c>
      <c r="F52" s="16">
        <v>28.05</v>
      </c>
      <c r="G52" s="16">
        <v>29.6</v>
      </c>
      <c r="H52" s="16">
        <v>33.92</v>
      </c>
      <c r="I52" s="16">
        <v>30</v>
      </c>
      <c r="J52" s="68"/>
      <c r="K52" s="68"/>
    </row>
    <row r="53" ht="63.75" spans="1:11">
      <c r="A53" s="67">
        <v>3</v>
      </c>
      <c r="B53" s="124" t="s">
        <v>419</v>
      </c>
      <c r="C53" s="67" t="s">
        <v>369</v>
      </c>
      <c r="D53" s="72">
        <v>0</v>
      </c>
      <c r="E53" s="16" t="s">
        <v>420</v>
      </c>
      <c r="F53" s="16" t="s">
        <v>355</v>
      </c>
      <c r="G53" s="16" t="s">
        <v>421</v>
      </c>
      <c r="H53" s="15" t="s">
        <v>422</v>
      </c>
      <c r="I53" s="16" t="s">
        <v>423</v>
      </c>
      <c r="J53" s="68">
        <f t="shared" si="8"/>
        <v>1.56</v>
      </c>
      <c r="K53" s="68">
        <f t="shared" si="9"/>
        <v>0</v>
      </c>
    </row>
    <row r="54" spans="1:11">
      <c r="A54" s="67"/>
      <c r="B54" s="124"/>
      <c r="C54" s="67"/>
      <c r="D54" s="72"/>
      <c r="E54" s="16">
        <v>1.99</v>
      </c>
      <c r="F54" s="16">
        <v>1.28</v>
      </c>
      <c r="G54" s="16">
        <v>1.6</v>
      </c>
      <c r="H54" s="16">
        <v>1.42</v>
      </c>
      <c r="I54" s="16">
        <v>1.5</v>
      </c>
      <c r="J54" s="68"/>
      <c r="K54" s="68"/>
    </row>
    <row r="55" ht="51" spans="1:11">
      <c r="A55" s="67">
        <v>4</v>
      </c>
      <c r="B55" s="124" t="s">
        <v>368</v>
      </c>
      <c r="C55" s="67" t="s">
        <v>369</v>
      </c>
      <c r="D55" s="67">
        <v>0</v>
      </c>
      <c r="E55" s="16" t="s">
        <v>370</v>
      </c>
      <c r="F55" s="16" t="s">
        <v>371</v>
      </c>
      <c r="G55" s="16" t="s">
        <v>372</v>
      </c>
      <c r="H55" s="16" t="s">
        <v>373</v>
      </c>
      <c r="I55" s="16" t="s">
        <v>374</v>
      </c>
      <c r="J55" s="68">
        <f t="shared" ref="J55:J59" si="10">AVERAGE(E56:I56)</f>
        <v>5.95</v>
      </c>
      <c r="K55" s="68">
        <f t="shared" ref="K55:K59" si="11">D55*J55</f>
        <v>0</v>
      </c>
    </row>
    <row r="56" spans="1:11">
      <c r="A56" s="67"/>
      <c r="B56" s="124"/>
      <c r="C56" s="67"/>
      <c r="D56" s="67"/>
      <c r="E56" s="16">
        <v>4.29</v>
      </c>
      <c r="F56" s="16">
        <v>5.4</v>
      </c>
      <c r="G56" s="16">
        <v>5.5</v>
      </c>
      <c r="H56" s="16">
        <v>6.74</v>
      </c>
      <c r="I56" s="16">
        <v>7.8</v>
      </c>
      <c r="J56" s="68"/>
      <c r="K56" s="68"/>
    </row>
    <row r="57" ht="38.25" spans="1:11">
      <c r="A57" s="67">
        <v>5</v>
      </c>
      <c r="B57" s="124" t="s">
        <v>424</v>
      </c>
      <c r="C57" s="67" t="s">
        <v>369</v>
      </c>
      <c r="D57" s="67">
        <v>0</v>
      </c>
      <c r="E57" s="125" t="s">
        <v>425</v>
      </c>
      <c r="F57" s="125" t="s">
        <v>426</v>
      </c>
      <c r="G57" s="125" t="s">
        <v>427</v>
      </c>
      <c r="H57" s="125" t="s">
        <v>428</v>
      </c>
      <c r="I57" s="125"/>
      <c r="J57" s="68">
        <f t="shared" si="10"/>
        <v>124.68</v>
      </c>
      <c r="K57" s="68">
        <f t="shared" si="11"/>
        <v>0</v>
      </c>
    </row>
    <row r="58" spans="1:11">
      <c r="A58" s="67"/>
      <c r="B58" s="124"/>
      <c r="C58" s="67"/>
      <c r="D58" s="67"/>
      <c r="E58" s="125">
        <v>139.51</v>
      </c>
      <c r="F58" s="125">
        <v>112</v>
      </c>
      <c r="G58" s="125">
        <v>119.2</v>
      </c>
      <c r="H58" s="125">
        <v>128</v>
      </c>
      <c r="I58" s="125"/>
      <c r="J58" s="68"/>
      <c r="K58" s="68"/>
    </row>
    <row r="59" ht="38.25" spans="1:11">
      <c r="A59" s="67">
        <v>6</v>
      </c>
      <c r="B59" s="124" t="s">
        <v>429</v>
      </c>
      <c r="C59" s="67" t="s">
        <v>369</v>
      </c>
      <c r="D59" s="67">
        <v>0</v>
      </c>
      <c r="E59" s="16" t="s">
        <v>430</v>
      </c>
      <c r="F59" s="16" t="s">
        <v>355</v>
      </c>
      <c r="G59" s="15" t="s">
        <v>431</v>
      </c>
      <c r="H59" s="15" t="s">
        <v>432</v>
      </c>
      <c r="I59" s="15" t="s">
        <v>433</v>
      </c>
      <c r="J59" s="68">
        <f t="shared" si="10"/>
        <v>24.49</v>
      </c>
      <c r="K59" s="68">
        <f t="shared" si="11"/>
        <v>0</v>
      </c>
    </row>
    <row r="60" spans="1:11">
      <c r="A60" s="67"/>
      <c r="B60" s="124"/>
      <c r="C60" s="67"/>
      <c r="D60" s="67"/>
      <c r="E60" s="16">
        <v>25</v>
      </c>
      <c r="F60" s="16">
        <v>24.85</v>
      </c>
      <c r="G60" s="16">
        <v>22</v>
      </c>
      <c r="H60" s="16">
        <v>28</v>
      </c>
      <c r="I60" s="16">
        <v>22.61</v>
      </c>
      <c r="J60" s="68"/>
      <c r="K60" s="68"/>
    </row>
    <row r="61" ht="51" spans="1:11">
      <c r="A61" s="67">
        <v>7</v>
      </c>
      <c r="B61" s="124" t="s">
        <v>434</v>
      </c>
      <c r="C61" s="67" t="s">
        <v>435</v>
      </c>
      <c r="D61" s="67">
        <v>0</v>
      </c>
      <c r="E61" s="16" t="s">
        <v>436</v>
      </c>
      <c r="F61" s="15" t="s">
        <v>295</v>
      </c>
      <c r="G61" s="16" t="s">
        <v>437</v>
      </c>
      <c r="H61" s="16" t="s">
        <v>438</v>
      </c>
      <c r="I61" s="16" t="s">
        <v>384</v>
      </c>
      <c r="J61" s="68">
        <f>AVERAGE(E62:I62)</f>
        <v>19.85</v>
      </c>
      <c r="K61" s="68">
        <f>D61*J61</f>
        <v>0</v>
      </c>
    </row>
    <row r="62" spans="1:11">
      <c r="A62" s="67"/>
      <c r="B62" s="124"/>
      <c r="C62" s="67"/>
      <c r="D62" s="67"/>
      <c r="E62" s="16">
        <v>19.9</v>
      </c>
      <c r="F62" s="16">
        <v>20</v>
      </c>
      <c r="G62" s="16">
        <v>18.58</v>
      </c>
      <c r="H62" s="16">
        <v>22.25</v>
      </c>
      <c r="I62" s="16">
        <v>18.5</v>
      </c>
      <c r="J62" s="68"/>
      <c r="K62" s="68"/>
    </row>
    <row r="63" spans="1:11">
      <c r="A63" s="1"/>
      <c r="B63" s="1"/>
      <c r="C63" s="1"/>
      <c r="D63" s="1"/>
      <c r="F63" s="112" t="s">
        <v>305</v>
      </c>
      <c r="G63" s="112"/>
      <c r="H63" s="112"/>
      <c r="I63" s="112"/>
      <c r="J63" s="75"/>
      <c r="K63" s="76">
        <f>SUM(K45:K62)</f>
        <v>0</v>
      </c>
    </row>
    <row r="64" spans="1:11">
      <c r="B64" s="78"/>
      <c r="C64" s="78"/>
      <c r="D64" s="78"/>
      <c r="E64" s="113"/>
      <c r="F64" s="114" t="s">
        <v>306</v>
      </c>
      <c r="G64" s="114"/>
      <c r="H64" s="114"/>
      <c r="I64" s="114"/>
      <c r="J64" s="79"/>
      <c r="K64" s="80">
        <v>12</v>
      </c>
    </row>
    <row r="65" spans="1:11">
      <c r="A65" s="73"/>
      <c r="B65" s="74"/>
      <c r="C65" s="73"/>
      <c r="D65" s="73"/>
      <c r="E65" s="115"/>
      <c r="F65" s="116" t="s">
        <v>307</v>
      </c>
      <c r="G65" s="116"/>
      <c r="H65" s="116"/>
      <c r="I65" s="116"/>
      <c r="J65" s="82"/>
      <c r="K65" s="83">
        <f>K63/K64</f>
        <v>0</v>
      </c>
    </row>
  </sheetData>
  <mergeCells count="158">
    <mergeCell ref="A1:I1"/>
    <mergeCell ref="A2:I2"/>
    <mergeCell ref="A4:K4"/>
    <mergeCell ref="E5:J5"/>
    <mergeCell ref="F15:J15"/>
    <mergeCell ref="F16:J16"/>
    <mergeCell ref="F17:J17"/>
    <mergeCell ref="A19:K19"/>
    <mergeCell ref="E20:J20"/>
    <mergeCell ref="F42:J42"/>
    <mergeCell ref="F43:J43"/>
    <mergeCell ref="F44:J44"/>
    <mergeCell ref="A46:K46"/>
    <mergeCell ref="E47:J47"/>
    <mergeCell ref="F63:J63"/>
    <mergeCell ref="F64:J64"/>
    <mergeCell ref="F65:J65"/>
    <mergeCell ref="A5:A6"/>
    <mergeCell ref="A7:A8"/>
    <mergeCell ref="A9:A10"/>
    <mergeCell ref="A11:A12"/>
    <mergeCell ref="A13:A14"/>
    <mergeCell ref="A20:A21"/>
    <mergeCell ref="A22:A23"/>
    <mergeCell ref="A24:A25"/>
    <mergeCell ref="A26:A27"/>
    <mergeCell ref="A28:A29"/>
    <mergeCell ref="A30:A31"/>
    <mergeCell ref="A32:A33"/>
    <mergeCell ref="A34:A35"/>
    <mergeCell ref="A36:A37"/>
    <mergeCell ref="A38:A39"/>
    <mergeCell ref="A40:A41"/>
    <mergeCell ref="A47:A48"/>
    <mergeCell ref="A49:A50"/>
    <mergeCell ref="A51:A52"/>
    <mergeCell ref="A53:A54"/>
    <mergeCell ref="A55:A56"/>
    <mergeCell ref="A57:A58"/>
    <mergeCell ref="A59:A60"/>
    <mergeCell ref="A61:A62"/>
    <mergeCell ref="B5:B6"/>
    <mergeCell ref="B7:B8"/>
    <mergeCell ref="B9:B10"/>
    <mergeCell ref="B11:B12"/>
    <mergeCell ref="B13:B14"/>
    <mergeCell ref="B20:B21"/>
    <mergeCell ref="B22:B23"/>
    <mergeCell ref="B24:B25"/>
    <mergeCell ref="B26:B27"/>
    <mergeCell ref="B28:B29"/>
    <mergeCell ref="B30:B31"/>
    <mergeCell ref="B32:B33"/>
    <mergeCell ref="B34:B35"/>
    <mergeCell ref="B36:B37"/>
    <mergeCell ref="B38:B39"/>
    <mergeCell ref="B40:B41"/>
    <mergeCell ref="B47:B48"/>
    <mergeCell ref="B49:B50"/>
    <mergeCell ref="B51:B52"/>
    <mergeCell ref="B53:B54"/>
    <mergeCell ref="B55:B56"/>
    <mergeCell ref="B57:B58"/>
    <mergeCell ref="B59:B60"/>
    <mergeCell ref="B61:B62"/>
    <mergeCell ref="C5:C6"/>
    <mergeCell ref="C7:C8"/>
    <mergeCell ref="C9:C10"/>
    <mergeCell ref="C11:C12"/>
    <mergeCell ref="C13:C14"/>
    <mergeCell ref="C20:C21"/>
    <mergeCell ref="C22:C23"/>
    <mergeCell ref="C24:C25"/>
    <mergeCell ref="C26:C27"/>
    <mergeCell ref="C28:C29"/>
    <mergeCell ref="C30:C31"/>
    <mergeCell ref="C32:C33"/>
    <mergeCell ref="C34:C35"/>
    <mergeCell ref="C36:C37"/>
    <mergeCell ref="C38:C39"/>
    <mergeCell ref="C40:C41"/>
    <mergeCell ref="C47:C48"/>
    <mergeCell ref="C49:C50"/>
    <mergeCell ref="C51:C52"/>
    <mergeCell ref="C53:C54"/>
    <mergeCell ref="C55:C56"/>
    <mergeCell ref="C57:C58"/>
    <mergeCell ref="C59:C60"/>
    <mergeCell ref="C61:C62"/>
    <mergeCell ref="D5:D6"/>
    <mergeCell ref="D7:D8"/>
    <mergeCell ref="D9:D10"/>
    <mergeCell ref="D11:D12"/>
    <mergeCell ref="D13:D14"/>
    <mergeCell ref="D20:D21"/>
    <mergeCell ref="D22:D23"/>
    <mergeCell ref="D24:D25"/>
    <mergeCell ref="D26:D27"/>
    <mergeCell ref="D28:D29"/>
    <mergeCell ref="D30:D31"/>
    <mergeCell ref="D32:D33"/>
    <mergeCell ref="D34:D35"/>
    <mergeCell ref="D36:D37"/>
    <mergeCell ref="D38:D39"/>
    <mergeCell ref="D40:D41"/>
    <mergeCell ref="D47:D48"/>
    <mergeCell ref="D49:D50"/>
    <mergeCell ref="D51:D52"/>
    <mergeCell ref="D53:D54"/>
    <mergeCell ref="D55:D56"/>
    <mergeCell ref="D57:D58"/>
    <mergeCell ref="D59:D60"/>
    <mergeCell ref="D61:D62"/>
    <mergeCell ref="J7:J8"/>
    <mergeCell ref="J9:J10"/>
    <mergeCell ref="J11:J12"/>
    <mergeCell ref="J13:J14"/>
    <mergeCell ref="J22:J23"/>
    <mergeCell ref="J24:J25"/>
    <mergeCell ref="J26:J27"/>
    <mergeCell ref="J28:J29"/>
    <mergeCell ref="J30:J31"/>
    <mergeCell ref="J32:J33"/>
    <mergeCell ref="J34:J35"/>
    <mergeCell ref="J36:J37"/>
    <mergeCell ref="J38:J39"/>
    <mergeCell ref="J40:J41"/>
    <mergeCell ref="J49:J50"/>
    <mergeCell ref="J51:J52"/>
    <mergeCell ref="J53:J54"/>
    <mergeCell ref="J55:J56"/>
    <mergeCell ref="J57:J58"/>
    <mergeCell ref="J59:J60"/>
    <mergeCell ref="J61:J62"/>
    <mergeCell ref="K5:K6"/>
    <mergeCell ref="K7:K8"/>
    <mergeCell ref="K9:K10"/>
    <mergeCell ref="K11:K12"/>
    <mergeCell ref="K13:K14"/>
    <mergeCell ref="K20:K21"/>
    <mergeCell ref="K22:K23"/>
    <mergeCell ref="K24:K25"/>
    <mergeCell ref="K26:K27"/>
    <mergeCell ref="K28:K29"/>
    <mergeCell ref="K30:K31"/>
    <mergeCell ref="K32:K33"/>
    <mergeCell ref="K34:K35"/>
    <mergeCell ref="K36:K37"/>
    <mergeCell ref="K38:K39"/>
    <mergeCell ref="K40:K41"/>
    <mergeCell ref="K47:K48"/>
    <mergeCell ref="K49:K50"/>
    <mergeCell ref="K51:K52"/>
    <mergeCell ref="K53:K54"/>
    <mergeCell ref="K55:K56"/>
    <mergeCell ref="K57:K58"/>
    <mergeCell ref="K59:K60"/>
    <mergeCell ref="K61:K62"/>
  </mergeCells>
  <pageMargins left="0.554166666666667" right="0.357638888888889" top="0.605555555555556" bottom="0.605555555555556" header="0.5" footer="0.5"/>
  <pageSetup paperSize="9" scale="58"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799981688894314"/>
  </sheetPr>
  <dimension ref="A1:N26"/>
  <sheetViews>
    <sheetView view="pageBreakPreview" zoomScaleNormal="80" topLeftCell="A23" workbookViewId="0">
      <selection activeCell="L25" sqref="L25"/>
    </sheetView>
  </sheetViews>
  <sheetFormatPr defaultColWidth="9.14285714285714" defaultRowHeight="12.75"/>
  <cols>
    <col min="1" max="1" width="7.14285714285714" style="3" customWidth="1"/>
    <col min="2" max="2" width="31.5714285714286" style="60" customWidth="1"/>
    <col min="3" max="3" width="9.42857142857143" style="2" customWidth="1"/>
    <col min="4" max="4" width="15.7142857142857" style="2" customWidth="1"/>
    <col min="5" max="9" width="25" style="2" customWidth="1"/>
    <col min="10" max="11" width="15.7142857142857" style="2" customWidth="1"/>
    <col min="12" max="12" width="13.5714285714286" style="4" customWidth="1"/>
    <col min="13" max="13" width="13.1428571428571" style="4" customWidth="1"/>
    <col min="14" max="14" width="13.2857142857143" style="4" customWidth="1"/>
    <col min="15" max="15" width="16.4285714285714" style="4" customWidth="1"/>
    <col min="16" max="16" width="16.8571428571429" style="4" customWidth="1"/>
    <col min="17" max="17" width="21.5714285714286" style="4" customWidth="1"/>
    <col min="18" max="19" width="12" style="4" customWidth="1"/>
    <col min="20" max="16384" width="9.14285714285714" style="2"/>
  </cols>
  <sheetData>
    <row r="1" s="1" customFormat="1" ht="18" spans="1:14">
      <c r="A1" s="5" t="str">
        <f>'SEMAD e AGEHAB TOTALIZADOR'!A10</f>
        <v>AGEHAB</v>
      </c>
      <c r="B1" s="5"/>
      <c r="C1" s="5"/>
      <c r="D1" s="5"/>
      <c r="E1" s="5"/>
      <c r="F1" s="5"/>
      <c r="G1" s="5"/>
      <c r="H1" s="5"/>
      <c r="I1" s="5"/>
      <c r="J1" s="5"/>
      <c r="K1" s="5"/>
    </row>
    <row r="2" s="1" customFormat="1" ht="18" spans="1:14">
      <c r="A2" s="5" t="s">
        <v>439</v>
      </c>
      <c r="B2" s="61"/>
      <c r="C2" s="5"/>
      <c r="D2" s="5"/>
      <c r="E2" s="5"/>
      <c r="F2" s="5"/>
      <c r="G2" s="5"/>
      <c r="H2" s="5"/>
      <c r="I2" s="5"/>
      <c r="J2" s="5"/>
      <c r="K2" s="5"/>
      <c r="L2" s="6"/>
      <c r="M2" s="6"/>
      <c r="N2" s="6"/>
    </row>
    <row r="3" s="1" customFormat="1" spans="1:14">
      <c r="A3" s="7" t="s">
        <v>440</v>
      </c>
      <c r="B3" s="62"/>
      <c r="C3" s="7"/>
      <c r="D3" s="7"/>
      <c r="E3" s="7"/>
      <c r="F3" s="7"/>
      <c r="G3" s="7"/>
      <c r="H3" s="7"/>
      <c r="I3" s="7"/>
      <c r="J3" s="7"/>
      <c r="K3" s="7"/>
    </row>
    <row r="4" s="1" customFormat="1" spans="1:14">
      <c r="A4" s="7" t="s">
        <v>274</v>
      </c>
      <c r="B4" s="7" t="s">
        <v>275</v>
      </c>
      <c r="C4" s="7" t="s">
        <v>276</v>
      </c>
      <c r="D4" s="7" t="s">
        <v>441</v>
      </c>
      <c r="E4" s="63" t="s">
        <v>278</v>
      </c>
      <c r="F4" s="63"/>
      <c r="G4" s="63"/>
      <c r="H4" s="63"/>
      <c r="I4" s="63"/>
      <c r="J4" s="63"/>
      <c r="K4" s="63"/>
    </row>
    <row r="5" s="1" customFormat="1" ht="38.25" spans="1:14">
      <c r="A5" s="7"/>
      <c r="B5" s="7"/>
      <c r="C5" s="7"/>
      <c r="D5" s="7"/>
      <c r="E5" s="64" t="s">
        <v>280</v>
      </c>
      <c r="F5" s="64" t="s">
        <v>281</v>
      </c>
      <c r="G5" s="64"/>
      <c r="H5" s="64"/>
      <c r="I5" s="64" t="s">
        <v>282</v>
      </c>
      <c r="J5" s="63" t="s">
        <v>285</v>
      </c>
      <c r="K5" s="63" t="s">
        <v>442</v>
      </c>
    </row>
    <row r="6" s="2" customFormat="1" ht="51" spans="1:14">
      <c r="A6" s="15">
        <v>1</v>
      </c>
      <c r="B6" s="65" t="s">
        <v>443</v>
      </c>
      <c r="C6" s="15" t="s">
        <v>276</v>
      </c>
      <c r="D6" s="66">
        <f>'SEMAD e AGEHAB TOTALIZADOR'!B15*2</f>
        <v>2</v>
      </c>
      <c r="E6" s="67" t="s">
        <v>295</v>
      </c>
      <c r="F6" s="67" t="s">
        <v>444</v>
      </c>
      <c r="G6" s="67" t="s">
        <v>445</v>
      </c>
      <c r="H6" s="67" t="s">
        <v>446</v>
      </c>
      <c r="I6" s="67"/>
      <c r="J6" s="68">
        <f t="shared" ref="J6:J10" si="0">AVERAGE(E7:I7)</f>
        <v>11.55</v>
      </c>
      <c r="K6" s="69">
        <f t="shared" ref="K6:K10" si="1">D6*J6</f>
        <v>23.1</v>
      </c>
    </row>
    <row r="7" s="2" customFormat="1" spans="1:14">
      <c r="A7" s="15"/>
      <c r="B7" s="65"/>
      <c r="C7" s="15"/>
      <c r="D7" s="70"/>
      <c r="E7" s="71">
        <v>12.43</v>
      </c>
      <c r="F7" s="71">
        <v>10.28</v>
      </c>
      <c r="G7" s="71">
        <v>12</v>
      </c>
      <c r="H7" s="71">
        <v>11.5</v>
      </c>
      <c r="I7" s="71"/>
      <c r="J7" s="68"/>
      <c r="K7" s="72"/>
      <c r="M7" s="73"/>
      <c r="N7" s="74"/>
    </row>
    <row r="8" s="2" customFormat="1" ht="38.25" spans="1:14">
      <c r="A8" s="15">
        <v>2</v>
      </c>
      <c r="B8" s="65" t="s">
        <v>447</v>
      </c>
      <c r="C8" s="15" t="s">
        <v>276</v>
      </c>
      <c r="D8" s="66">
        <v>0</v>
      </c>
      <c r="E8" s="71" t="s">
        <v>355</v>
      </c>
      <c r="F8" s="71" t="s">
        <v>448</v>
      </c>
      <c r="G8" s="71" t="s">
        <v>449</v>
      </c>
      <c r="H8" s="71"/>
      <c r="I8" s="71"/>
      <c r="J8" s="68">
        <f t="shared" si="0"/>
        <v>191.3</v>
      </c>
      <c r="K8" s="69">
        <f t="shared" si="1"/>
        <v>0</v>
      </c>
    </row>
    <row r="9" s="2" customFormat="1" spans="1:14">
      <c r="A9" s="15"/>
      <c r="B9" s="65"/>
      <c r="C9" s="15"/>
      <c r="D9" s="70"/>
      <c r="E9" s="71">
        <v>173.57</v>
      </c>
      <c r="F9" s="71">
        <v>182.6</v>
      </c>
      <c r="G9" s="71">
        <v>217.72</v>
      </c>
      <c r="H9" s="71"/>
      <c r="I9" s="71"/>
      <c r="J9" s="68"/>
      <c r="K9" s="72"/>
      <c r="M9" s="73"/>
      <c r="N9" s="74"/>
    </row>
    <row r="10" s="2" customFormat="1" ht="51" spans="1:14">
      <c r="A10" s="15">
        <v>3</v>
      </c>
      <c r="B10" s="65" t="s">
        <v>450</v>
      </c>
      <c r="C10" s="15" t="s">
        <v>276</v>
      </c>
      <c r="D10" s="70">
        <f>1*6</f>
        <v>6</v>
      </c>
      <c r="E10" s="67" t="s">
        <v>287</v>
      </c>
      <c r="F10" s="71" t="s">
        <v>451</v>
      </c>
      <c r="G10" s="71" t="s">
        <v>452</v>
      </c>
      <c r="H10" s="71" t="s">
        <v>453</v>
      </c>
      <c r="I10" s="71"/>
      <c r="J10" s="68">
        <f t="shared" si="0"/>
        <v>21.09</v>
      </c>
      <c r="K10" s="69">
        <f t="shared" si="1"/>
        <v>126.54</v>
      </c>
    </row>
    <row r="11" s="2" customFormat="1" spans="1:14">
      <c r="A11" s="15"/>
      <c r="B11" s="65"/>
      <c r="C11" s="15"/>
      <c r="D11" s="70"/>
      <c r="E11" s="71">
        <v>22.9</v>
      </c>
      <c r="F11" s="71">
        <v>16.9</v>
      </c>
      <c r="G11" s="71">
        <v>24.55</v>
      </c>
      <c r="H11" s="71">
        <v>20</v>
      </c>
      <c r="I11" s="71"/>
      <c r="J11" s="68"/>
      <c r="K11" s="72"/>
      <c r="M11" s="73"/>
      <c r="N11" s="74"/>
    </row>
    <row r="12" s="2" customFormat="1" ht="38.25" spans="1:14">
      <c r="A12" s="15">
        <v>4</v>
      </c>
      <c r="B12" s="65" t="s">
        <v>454</v>
      </c>
      <c r="C12" s="15" t="s">
        <v>276</v>
      </c>
      <c r="D12" s="66">
        <f>1*5</f>
        <v>5</v>
      </c>
      <c r="E12" s="71" t="s">
        <v>455</v>
      </c>
      <c r="F12" s="71" t="s">
        <v>456</v>
      </c>
      <c r="G12" s="71" t="s">
        <v>457</v>
      </c>
      <c r="H12" s="71" t="s">
        <v>458</v>
      </c>
      <c r="I12" s="71"/>
      <c r="J12" s="68">
        <f t="shared" ref="J12:J16" si="2">AVERAGE(E13:I13)</f>
        <v>14.66</v>
      </c>
      <c r="K12" s="69">
        <f t="shared" ref="K12:K16" si="3">D12*J12</f>
        <v>73.3</v>
      </c>
    </row>
    <row r="13" s="2" customFormat="1" spans="1:14">
      <c r="A13" s="15"/>
      <c r="B13" s="65"/>
      <c r="C13" s="15"/>
      <c r="D13" s="70"/>
      <c r="E13" s="71">
        <v>14.45</v>
      </c>
      <c r="F13" s="71">
        <v>14.3</v>
      </c>
      <c r="G13" s="71">
        <v>14.9</v>
      </c>
      <c r="H13" s="71">
        <v>15</v>
      </c>
      <c r="I13" s="71"/>
      <c r="J13" s="68"/>
      <c r="K13" s="72"/>
      <c r="M13" s="73"/>
      <c r="N13" s="74"/>
    </row>
    <row r="14" s="2" customFormat="1" ht="63.75" spans="1:14">
      <c r="A14" s="15">
        <v>5</v>
      </c>
      <c r="B14" s="65" t="s">
        <v>459</v>
      </c>
      <c r="C14" s="15" t="s">
        <v>276</v>
      </c>
      <c r="D14" s="66">
        <v>0</v>
      </c>
      <c r="E14" s="71" t="s">
        <v>295</v>
      </c>
      <c r="F14" s="71" t="s">
        <v>460</v>
      </c>
      <c r="G14" s="71" t="s">
        <v>461</v>
      </c>
      <c r="H14" s="71"/>
      <c r="I14" s="71"/>
      <c r="J14" s="68">
        <f t="shared" si="2"/>
        <v>61.21</v>
      </c>
      <c r="K14" s="69">
        <f t="shared" si="3"/>
        <v>0</v>
      </c>
    </row>
    <row r="15" s="2" customFormat="1" spans="1:14">
      <c r="A15" s="15"/>
      <c r="B15" s="65"/>
      <c r="C15" s="15"/>
      <c r="D15" s="70"/>
      <c r="E15" s="71">
        <v>57.9</v>
      </c>
      <c r="F15" s="71">
        <v>66</v>
      </c>
      <c r="G15" s="71">
        <v>59.72</v>
      </c>
      <c r="H15" s="71"/>
      <c r="I15" s="71"/>
      <c r="J15" s="68"/>
      <c r="K15" s="72"/>
      <c r="M15" s="73"/>
      <c r="N15" s="74"/>
    </row>
    <row r="16" s="2" customFormat="1" ht="38.25" spans="1:14">
      <c r="A16" s="15">
        <v>6</v>
      </c>
      <c r="B16" s="65" t="s">
        <v>462</v>
      </c>
      <c r="C16" s="15" t="s">
        <v>276</v>
      </c>
      <c r="D16" s="66">
        <v>0</v>
      </c>
      <c r="E16" s="71" t="s">
        <v>295</v>
      </c>
      <c r="F16" s="71" t="s">
        <v>463</v>
      </c>
      <c r="G16" s="71" t="s">
        <v>464</v>
      </c>
      <c r="H16" s="71"/>
      <c r="I16" s="71"/>
      <c r="J16" s="68">
        <f t="shared" si="2"/>
        <v>76.31</v>
      </c>
      <c r="K16" s="69">
        <f t="shared" si="3"/>
        <v>0</v>
      </c>
    </row>
    <row r="17" s="2" customFormat="1" spans="1:14">
      <c r="A17" s="15"/>
      <c r="B17" s="65"/>
      <c r="C17" s="15"/>
      <c r="D17" s="70"/>
      <c r="E17" s="71">
        <v>78.56</v>
      </c>
      <c r="F17" s="71">
        <v>78.14</v>
      </c>
      <c r="G17" s="71">
        <v>72.24</v>
      </c>
      <c r="H17" s="71"/>
      <c r="I17" s="71"/>
      <c r="J17" s="68"/>
      <c r="K17" s="72"/>
      <c r="M17" s="73"/>
      <c r="N17" s="74"/>
    </row>
    <row r="18" s="2" customFormat="1" ht="38.25" spans="1:14">
      <c r="A18" s="15">
        <v>7</v>
      </c>
      <c r="B18" s="65" t="s">
        <v>465</v>
      </c>
      <c r="C18" s="15" t="s">
        <v>276</v>
      </c>
      <c r="D18" s="66">
        <v>1</v>
      </c>
      <c r="E18" s="71" t="s">
        <v>295</v>
      </c>
      <c r="F18" s="71" t="s">
        <v>466</v>
      </c>
      <c r="G18" s="71" t="s">
        <v>467</v>
      </c>
      <c r="H18" s="71"/>
      <c r="I18" s="71"/>
      <c r="J18" s="68">
        <f>AVERAGE(E19:I19)</f>
        <v>56.77</v>
      </c>
      <c r="K18" s="69">
        <f>D18*J18</f>
        <v>56.77</v>
      </c>
    </row>
    <row r="19" s="2" customFormat="1" spans="1:14">
      <c r="A19" s="15"/>
      <c r="B19" s="65"/>
      <c r="C19" s="15"/>
      <c r="D19" s="70"/>
      <c r="E19" s="71">
        <v>65.05</v>
      </c>
      <c r="F19" s="71">
        <v>56.19</v>
      </c>
      <c r="G19" s="71">
        <v>49.06</v>
      </c>
      <c r="H19" s="71"/>
      <c r="I19" s="71"/>
      <c r="J19" s="68"/>
      <c r="K19" s="72"/>
      <c r="M19" s="73"/>
      <c r="N19" s="74"/>
    </row>
    <row r="20" s="2" customFormat="1" ht="38.25" spans="1:14">
      <c r="A20" s="15">
        <v>8</v>
      </c>
      <c r="B20" s="65" t="s">
        <v>468</v>
      </c>
      <c r="C20" s="15" t="s">
        <v>276</v>
      </c>
      <c r="D20" s="66">
        <v>1</v>
      </c>
      <c r="E20" s="71" t="s">
        <v>295</v>
      </c>
      <c r="F20" s="71" t="s">
        <v>469</v>
      </c>
      <c r="G20" s="71" t="s">
        <v>470</v>
      </c>
      <c r="H20" s="71" t="s">
        <v>471</v>
      </c>
      <c r="I20" s="71"/>
      <c r="J20" s="68">
        <f>AVERAGE(E21:I21)</f>
        <v>28.78</v>
      </c>
      <c r="K20" s="69">
        <f>D20*J20</f>
        <v>28.78</v>
      </c>
    </row>
    <row r="21" s="2" customFormat="1" spans="1:14">
      <c r="A21" s="15"/>
      <c r="B21" s="65"/>
      <c r="C21" s="15"/>
      <c r="D21" s="70"/>
      <c r="E21" s="71">
        <v>30.3</v>
      </c>
      <c r="F21" s="71">
        <v>27.7</v>
      </c>
      <c r="G21" s="71">
        <v>30</v>
      </c>
      <c r="H21" s="71">
        <v>27.1</v>
      </c>
      <c r="I21" s="71"/>
      <c r="J21" s="68"/>
      <c r="K21" s="72"/>
    </row>
    <row r="22" s="1" customFormat="1" ht="27.95" customHeight="1" spans="1:14">
      <c r="F22" s="75" t="s">
        <v>472</v>
      </c>
      <c r="G22" s="75"/>
      <c r="H22" s="75"/>
      <c r="I22" s="75"/>
      <c r="J22" s="75"/>
      <c r="K22" s="76">
        <f>SUM(K6:K21)</f>
        <v>308.49</v>
      </c>
    </row>
    <row r="23" s="1" customFormat="1" ht="27.95" customHeight="1" spans="1:14">
      <c r="A23" s="77"/>
      <c r="B23" s="78"/>
      <c r="C23" s="78"/>
      <c r="D23" s="78"/>
      <c r="E23" s="78"/>
      <c r="F23" s="79" t="s">
        <v>306</v>
      </c>
      <c r="G23" s="79"/>
      <c r="H23" s="79"/>
      <c r="I23" s="79"/>
      <c r="J23" s="79"/>
      <c r="K23" s="80">
        <v>12</v>
      </c>
    </row>
    <row r="24" s="1" customFormat="1" ht="27.95" customHeight="1" spans="1:14">
      <c r="A24" s="73"/>
      <c r="B24" s="74"/>
      <c r="C24" s="73"/>
      <c r="D24" s="73"/>
      <c r="E24" s="81"/>
      <c r="F24" s="82" t="s">
        <v>473</v>
      </c>
      <c r="G24" s="82"/>
      <c r="H24" s="82"/>
      <c r="I24" s="82"/>
      <c r="J24" s="82"/>
      <c r="K24" s="83">
        <f>K22/K23</f>
        <v>25.71</v>
      </c>
    </row>
    <row r="25" ht="27.95" customHeight="1" spans="1:14">
      <c r="F25" s="79" t="s">
        <v>474</v>
      </c>
      <c r="G25" s="79"/>
      <c r="H25" s="79"/>
      <c r="I25" s="79"/>
      <c r="J25" s="79"/>
      <c r="K25" s="80">
        <v>1</v>
      </c>
    </row>
    <row r="26" ht="27.95" customHeight="1" spans="1:14">
      <c r="F26" s="82" t="s">
        <v>307</v>
      </c>
      <c r="G26" s="82"/>
      <c r="H26" s="82"/>
      <c r="I26" s="82"/>
      <c r="J26" s="82"/>
      <c r="K26" s="83">
        <f>K24/K25</f>
        <v>25.71</v>
      </c>
    </row>
  </sheetData>
  <mergeCells count="61">
    <mergeCell ref="A1:K1"/>
    <mergeCell ref="A2:K2"/>
    <mergeCell ref="A3:K3"/>
    <mergeCell ref="E4:J4"/>
    <mergeCell ref="F22:J22"/>
    <mergeCell ref="F23:J23"/>
    <mergeCell ref="F24:J24"/>
    <mergeCell ref="F25:J25"/>
    <mergeCell ref="F26:J26"/>
    <mergeCell ref="A4:A5"/>
    <mergeCell ref="A6:A7"/>
    <mergeCell ref="A8:A9"/>
    <mergeCell ref="A10:A11"/>
    <mergeCell ref="A12:A13"/>
    <mergeCell ref="A14:A15"/>
    <mergeCell ref="A16:A17"/>
    <mergeCell ref="A18:A19"/>
    <mergeCell ref="A20:A21"/>
    <mergeCell ref="B4:B5"/>
    <mergeCell ref="B6:B7"/>
    <mergeCell ref="B8:B9"/>
    <mergeCell ref="B10:B11"/>
    <mergeCell ref="B12:B13"/>
    <mergeCell ref="B14:B15"/>
    <mergeCell ref="B16:B17"/>
    <mergeCell ref="B18:B19"/>
    <mergeCell ref="B20:B21"/>
    <mergeCell ref="C4:C5"/>
    <mergeCell ref="C6:C7"/>
    <mergeCell ref="C8:C9"/>
    <mergeCell ref="C10:C11"/>
    <mergeCell ref="C12:C13"/>
    <mergeCell ref="C14:C15"/>
    <mergeCell ref="C16:C17"/>
    <mergeCell ref="C18:C19"/>
    <mergeCell ref="C20:C21"/>
    <mergeCell ref="D4:D5"/>
    <mergeCell ref="D6:D7"/>
    <mergeCell ref="D8:D9"/>
    <mergeCell ref="D10:D11"/>
    <mergeCell ref="D12:D13"/>
    <mergeCell ref="D14:D15"/>
    <mergeCell ref="D16:D17"/>
    <mergeCell ref="D18:D19"/>
    <mergeCell ref="D20:D21"/>
    <mergeCell ref="J6:J7"/>
    <mergeCell ref="J8:J9"/>
    <mergeCell ref="J10:J11"/>
    <mergeCell ref="J12:J13"/>
    <mergeCell ref="J14:J15"/>
    <mergeCell ref="J16:J17"/>
    <mergeCell ref="J18:J19"/>
    <mergeCell ref="J20:J21"/>
    <mergeCell ref="K6:K7"/>
    <mergeCell ref="K8:K9"/>
    <mergeCell ref="K10:K11"/>
    <mergeCell ref="K12:K13"/>
    <mergeCell ref="K14:K15"/>
    <mergeCell ref="K16:K17"/>
    <mergeCell ref="K18:K19"/>
    <mergeCell ref="K20:K21"/>
  </mergeCells>
  <pageMargins left="0.554166666666667" right="0.357638888888889" top="0.605555555555556" bottom="0.605555555555556" header="0.5" footer="0.5"/>
  <pageSetup paperSize="9" scale="75"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799981688894314"/>
  </sheetPr>
  <dimension ref="A1:T33"/>
  <sheetViews>
    <sheetView view="pageBreakPreview" zoomScale="70" zoomScaleNormal="80" workbookViewId="0">
      <selection activeCell="H11" sqref="H11"/>
    </sheetView>
  </sheetViews>
  <sheetFormatPr defaultColWidth="9.14285714285714" defaultRowHeight="12.75"/>
  <cols>
    <col min="1" max="1" width="7.14285714285714" style="3" customWidth="1"/>
    <col min="2" max="2" width="36.8571428571429" style="2" customWidth="1"/>
    <col min="3" max="3" width="9.42857142857143" style="2" customWidth="1"/>
    <col min="4" max="4" width="11.8571428571429" style="2" customWidth="1"/>
    <col min="5" max="9" width="25.7142857142857" style="4" customWidth="1"/>
    <col min="10" max="10" width="14.7142857142857" style="4" customWidth="1"/>
    <col min="11" max="13" width="17.7142857142857" style="4" customWidth="1"/>
    <col min="14" max="14" width="13.1428571428571" style="4" customWidth="1"/>
    <col min="15" max="15" width="13.2857142857143" style="4" customWidth="1"/>
    <col min="16" max="16" width="16.4285714285714" style="4" customWidth="1"/>
    <col min="17" max="17" width="16.8571428571429" style="4" customWidth="1"/>
    <col min="18" max="18" width="21.5714285714286" style="4" customWidth="1"/>
    <col min="19" max="20" width="12" style="4" customWidth="1"/>
    <col min="21" max="16384" width="9.14285714285714" style="2"/>
  </cols>
  <sheetData>
    <row r="1" s="1" customFormat="1" ht="18" spans="1:15">
      <c r="A1" s="5" t="str">
        <f>'SEMAD e AGEHAB TOTALIZADOR'!A10</f>
        <v>AGEHAB</v>
      </c>
      <c r="B1" s="5"/>
      <c r="C1" s="5"/>
      <c r="D1" s="5"/>
      <c r="E1" s="5"/>
      <c r="F1" s="5"/>
      <c r="G1" s="5"/>
      <c r="H1" s="5"/>
      <c r="I1" s="5"/>
      <c r="J1" s="5"/>
      <c r="K1" s="5"/>
      <c r="L1" s="5"/>
      <c r="M1" s="5"/>
    </row>
    <row r="2" s="1" customFormat="1" ht="18" spans="1:15">
      <c r="A2" s="5" t="s">
        <v>475</v>
      </c>
      <c r="B2" s="5"/>
      <c r="C2" s="5"/>
      <c r="D2" s="5"/>
      <c r="E2" s="5"/>
      <c r="F2" s="5"/>
      <c r="G2" s="5"/>
      <c r="H2" s="5"/>
      <c r="I2" s="5"/>
      <c r="J2" s="5"/>
      <c r="K2" s="5"/>
      <c r="L2" s="5"/>
      <c r="M2" s="5"/>
      <c r="N2" s="6"/>
      <c r="O2" s="6"/>
    </row>
    <row r="3" s="1" customFormat="1" spans="1:15">
      <c r="A3" s="7" t="s">
        <v>476</v>
      </c>
      <c r="B3" s="7"/>
      <c r="C3" s="7"/>
      <c r="D3" s="7"/>
      <c r="E3" s="7"/>
      <c r="F3" s="7"/>
      <c r="G3" s="7"/>
      <c r="H3" s="7"/>
      <c r="I3" s="7"/>
      <c r="J3" s="7"/>
      <c r="K3" s="7"/>
      <c r="L3" s="7"/>
      <c r="M3" s="7"/>
    </row>
    <row r="4" s="1" customFormat="1" spans="1:15">
      <c r="A4" s="7" t="s">
        <v>274</v>
      </c>
      <c r="B4" s="7" t="s">
        <v>275</v>
      </c>
      <c r="C4" s="7" t="s">
        <v>276</v>
      </c>
      <c r="D4" s="7" t="s">
        <v>441</v>
      </c>
      <c r="E4" s="8" t="s">
        <v>278</v>
      </c>
      <c r="F4" s="9"/>
      <c r="G4" s="9"/>
      <c r="H4" s="9"/>
      <c r="I4" s="9"/>
      <c r="J4" s="10"/>
      <c r="K4" s="8" t="s">
        <v>477</v>
      </c>
      <c r="L4" s="9"/>
      <c r="M4" s="10"/>
    </row>
    <row r="5" s="1" customFormat="1" ht="39.95" customHeight="1" spans="1:15">
      <c r="A5" s="7"/>
      <c r="B5" s="7"/>
      <c r="C5" s="7"/>
      <c r="D5" s="7"/>
      <c r="E5" s="7" t="s">
        <v>280</v>
      </c>
      <c r="F5" s="7" t="s">
        <v>281</v>
      </c>
      <c r="G5" s="7" t="s">
        <v>282</v>
      </c>
      <c r="H5" s="7" t="s">
        <v>283</v>
      </c>
      <c r="I5" s="7" t="s">
        <v>284</v>
      </c>
      <c r="J5" s="11" t="s">
        <v>285</v>
      </c>
      <c r="K5" s="12" t="s">
        <v>478</v>
      </c>
      <c r="L5" s="12" t="s">
        <v>479</v>
      </c>
      <c r="M5" s="12" t="s">
        <v>480</v>
      </c>
    </row>
    <row r="6" s="2" customFormat="1" ht="80.1" customHeight="1" spans="1:15">
      <c r="A6" s="13">
        <v>1</v>
      </c>
      <c r="B6" s="14" t="s">
        <v>481</v>
      </c>
      <c r="C6" s="13" t="s">
        <v>276</v>
      </c>
      <c r="D6" s="13">
        <v>0</v>
      </c>
      <c r="E6" s="15" t="s">
        <v>287</v>
      </c>
      <c r="F6" s="15" t="s">
        <v>482</v>
      </c>
      <c r="G6" s="16" t="s">
        <v>483</v>
      </c>
      <c r="H6" s="16" t="s">
        <v>484</v>
      </c>
      <c r="I6" s="16"/>
      <c r="J6" s="17">
        <f t="shared" ref="J6:J10" si="0">AVERAGE(E7:I7)</f>
        <v>485.08</v>
      </c>
      <c r="K6" s="18">
        <f t="shared" ref="K6:K10" si="1">D6*J6</f>
        <v>0</v>
      </c>
      <c r="L6" s="19">
        <v>0.2</v>
      </c>
      <c r="M6" s="20">
        <f t="shared" ref="M6:M10" si="2">K6*L6</f>
        <v>0</v>
      </c>
    </row>
    <row r="7" s="2" customFormat="1" spans="1:15">
      <c r="A7" s="21"/>
      <c r="B7" s="22"/>
      <c r="C7" s="21"/>
      <c r="D7" s="21"/>
      <c r="E7" s="16">
        <v>449.9</v>
      </c>
      <c r="F7" s="16">
        <v>491</v>
      </c>
      <c r="G7" s="16">
        <v>479.4</v>
      </c>
      <c r="H7" s="16">
        <v>520</v>
      </c>
      <c r="I7" s="16"/>
      <c r="J7" s="23"/>
      <c r="K7" s="24"/>
      <c r="L7" s="25"/>
      <c r="M7" s="26"/>
    </row>
    <row r="8" s="2" customFormat="1" ht="114.95" customHeight="1" spans="1:15">
      <c r="A8" s="13">
        <v>2</v>
      </c>
      <c r="B8" s="14" t="s">
        <v>485</v>
      </c>
      <c r="C8" s="13" t="s">
        <v>276</v>
      </c>
      <c r="D8" s="27">
        <v>1</v>
      </c>
      <c r="E8" s="15" t="s">
        <v>295</v>
      </c>
      <c r="F8" s="16" t="s">
        <v>486</v>
      </c>
      <c r="G8" s="15" t="s">
        <v>487</v>
      </c>
      <c r="H8" s="15"/>
      <c r="I8" s="15"/>
      <c r="J8" s="17">
        <f t="shared" si="0"/>
        <v>1477.61</v>
      </c>
      <c r="K8" s="18">
        <f t="shared" si="1"/>
        <v>1477.61</v>
      </c>
      <c r="L8" s="19">
        <v>0.2</v>
      </c>
      <c r="M8" s="20">
        <f t="shared" si="2"/>
        <v>295.52</v>
      </c>
    </row>
    <row r="9" s="2" customFormat="1" spans="1:15">
      <c r="A9" s="21"/>
      <c r="B9" s="22"/>
      <c r="C9" s="21"/>
      <c r="D9" s="21"/>
      <c r="E9" s="16">
        <v>1300.22</v>
      </c>
      <c r="F9" s="16">
        <v>1654.99</v>
      </c>
      <c r="G9" s="16"/>
      <c r="H9" s="16"/>
      <c r="I9" s="16"/>
      <c r="J9" s="23"/>
      <c r="K9" s="24"/>
      <c r="L9" s="25"/>
      <c r="M9" s="26"/>
    </row>
    <row r="10" s="2" customFormat="1" ht="68.1" customHeight="1" spans="1:15">
      <c r="A10" s="13">
        <v>3</v>
      </c>
      <c r="B10" s="14" t="s">
        <v>488</v>
      </c>
      <c r="C10" s="13" t="s">
        <v>276</v>
      </c>
      <c r="D10" s="13">
        <v>1</v>
      </c>
      <c r="E10" s="15" t="s">
        <v>295</v>
      </c>
      <c r="F10" s="15" t="s">
        <v>489</v>
      </c>
      <c r="G10" s="16" t="s">
        <v>490</v>
      </c>
      <c r="H10" s="16"/>
      <c r="I10" s="16"/>
      <c r="J10" s="17">
        <f t="shared" si="0"/>
        <v>2278.83</v>
      </c>
      <c r="K10" s="18">
        <f t="shared" si="1"/>
        <v>2278.83</v>
      </c>
      <c r="L10" s="19">
        <v>0.2</v>
      </c>
      <c r="M10" s="20">
        <f t="shared" si="2"/>
        <v>455.77</v>
      </c>
    </row>
    <row r="11" s="2" customFormat="1" spans="1:15">
      <c r="A11" s="21"/>
      <c r="B11" s="22"/>
      <c r="C11" s="21"/>
      <c r="D11" s="21"/>
      <c r="E11" s="16">
        <v>2119</v>
      </c>
      <c r="F11" s="16">
        <v>2490</v>
      </c>
      <c r="G11" s="16">
        <v>2227.49</v>
      </c>
      <c r="H11" s="16"/>
      <c r="I11" s="16"/>
      <c r="J11" s="23"/>
      <c r="K11" s="24"/>
      <c r="L11" s="25"/>
      <c r="M11" s="26"/>
    </row>
    <row r="12" s="2" customFormat="1" ht="123.95" customHeight="1" spans="1:15">
      <c r="A12" s="13">
        <v>4</v>
      </c>
      <c r="B12" s="14" t="s">
        <v>491</v>
      </c>
      <c r="C12" s="13" t="s">
        <v>276</v>
      </c>
      <c r="D12" s="13">
        <v>1</v>
      </c>
      <c r="E12" s="16" t="s">
        <v>492</v>
      </c>
      <c r="F12" s="15" t="s">
        <v>493</v>
      </c>
      <c r="G12" s="15" t="s">
        <v>494</v>
      </c>
      <c r="H12" s="15" t="s">
        <v>495</v>
      </c>
      <c r="I12" s="15"/>
      <c r="J12" s="17">
        <f t="shared" ref="J12:J16" si="3">AVERAGE(E13:I13)</f>
        <v>3027.54</v>
      </c>
      <c r="K12" s="18">
        <f t="shared" ref="K12:K16" si="4">D12*J12</f>
        <v>3027.54</v>
      </c>
      <c r="L12" s="19">
        <v>0.2</v>
      </c>
      <c r="M12" s="20">
        <f t="shared" ref="M12:M16" si="5">K12*L12</f>
        <v>605.51</v>
      </c>
    </row>
    <row r="13" s="2" customFormat="1" spans="1:15">
      <c r="A13" s="21"/>
      <c r="B13" s="22"/>
      <c r="C13" s="21"/>
      <c r="D13" s="21"/>
      <c r="E13" s="16">
        <v>2399.28</v>
      </c>
      <c r="F13" s="16">
        <v>3965.88</v>
      </c>
      <c r="G13" s="16">
        <v>3100</v>
      </c>
      <c r="H13" s="16">
        <v>2645</v>
      </c>
      <c r="I13" s="16"/>
      <c r="J13" s="23"/>
      <c r="K13" s="24"/>
      <c r="L13" s="25"/>
      <c r="M13" s="26"/>
    </row>
    <row r="14" s="2" customFormat="1" ht="51" spans="1:15">
      <c r="A14" s="13">
        <v>5</v>
      </c>
      <c r="B14" s="14" t="s">
        <v>496</v>
      </c>
      <c r="C14" s="13" t="s">
        <v>276</v>
      </c>
      <c r="D14" s="13">
        <v>1</v>
      </c>
      <c r="E14" s="16" t="s">
        <v>497</v>
      </c>
      <c r="F14" s="16" t="s">
        <v>498</v>
      </c>
      <c r="G14" s="15" t="s">
        <v>499</v>
      </c>
      <c r="H14" s="15" t="s">
        <v>500</v>
      </c>
      <c r="I14" s="15"/>
      <c r="J14" s="17">
        <f t="shared" si="3"/>
        <v>484.7</v>
      </c>
      <c r="K14" s="18">
        <f t="shared" si="4"/>
        <v>484.7</v>
      </c>
      <c r="L14" s="19">
        <v>0.2</v>
      </c>
      <c r="M14" s="20">
        <f t="shared" si="5"/>
        <v>96.94</v>
      </c>
    </row>
    <row r="15" s="2" customFormat="1" spans="1:15">
      <c r="A15" s="21"/>
      <c r="B15" s="22"/>
      <c r="C15" s="21"/>
      <c r="D15" s="21"/>
      <c r="E15" s="16">
        <v>489.9</v>
      </c>
      <c r="F15" s="16">
        <v>459</v>
      </c>
      <c r="G15" s="16">
        <v>519.89</v>
      </c>
      <c r="H15" s="16">
        <v>470</v>
      </c>
      <c r="I15" s="16"/>
      <c r="J15" s="23"/>
      <c r="K15" s="24"/>
      <c r="L15" s="25"/>
      <c r="M15" s="26"/>
    </row>
    <row r="16" s="2" customFormat="1" ht="167.1" customHeight="1" spans="1:15">
      <c r="A16" s="13">
        <v>6</v>
      </c>
      <c r="B16" s="14" t="s">
        <v>501</v>
      </c>
      <c r="C16" s="13" t="s">
        <v>276</v>
      </c>
      <c r="D16" s="13">
        <v>0</v>
      </c>
      <c r="E16" s="15" t="s">
        <v>295</v>
      </c>
      <c r="F16" s="16" t="s">
        <v>502</v>
      </c>
      <c r="G16" s="16" t="s">
        <v>503</v>
      </c>
      <c r="H16" s="16"/>
      <c r="I16" s="16"/>
      <c r="J16" s="17">
        <f t="shared" si="3"/>
        <v>9171.22</v>
      </c>
      <c r="K16" s="18">
        <f t="shared" si="4"/>
        <v>0</v>
      </c>
      <c r="L16" s="19">
        <v>0.2</v>
      </c>
      <c r="M16" s="20">
        <f t="shared" si="5"/>
        <v>0</v>
      </c>
    </row>
    <row r="17" spans="1:20">
      <c r="A17" s="21"/>
      <c r="B17" s="22"/>
      <c r="C17" s="21"/>
      <c r="D17" s="21"/>
      <c r="E17" s="16">
        <v>10758</v>
      </c>
      <c r="F17" s="16">
        <v>8498</v>
      </c>
      <c r="G17" s="16">
        <v>8257.67</v>
      </c>
      <c r="H17" s="16"/>
      <c r="I17" s="16"/>
      <c r="J17" s="23"/>
      <c r="K17" s="24"/>
      <c r="L17" s="25"/>
      <c r="M17" s="26"/>
      <c r="N17" s="2"/>
      <c r="O17" s="2"/>
      <c r="P17" s="2"/>
      <c r="Q17" s="2"/>
      <c r="R17" s="2"/>
      <c r="S17" s="2"/>
      <c r="T17" s="2"/>
    </row>
    <row r="18" ht="93.95" customHeight="1" spans="1:20">
      <c r="A18" s="15">
        <v>7</v>
      </c>
      <c r="B18" s="28" t="s">
        <v>504</v>
      </c>
      <c r="C18" s="13" t="s">
        <v>276</v>
      </c>
      <c r="D18" s="15">
        <v>0</v>
      </c>
      <c r="E18" s="16" t="s">
        <v>295</v>
      </c>
      <c r="F18" s="15" t="s">
        <v>505</v>
      </c>
      <c r="G18" s="16" t="s">
        <v>506</v>
      </c>
      <c r="H18" s="16"/>
      <c r="I18" s="16"/>
      <c r="J18" s="17">
        <f t="shared" ref="J18:J22" si="6">AVERAGE(E19:I19)</f>
        <v>1039.98</v>
      </c>
      <c r="K18" s="18">
        <f t="shared" ref="K18:K22" si="7">D18*J18</f>
        <v>0</v>
      </c>
      <c r="L18" s="19">
        <v>0.2</v>
      </c>
      <c r="M18" s="20">
        <f t="shared" ref="M18:M22" si="8">K18*L18</f>
        <v>0</v>
      </c>
      <c r="N18" s="2"/>
      <c r="O18" s="2"/>
      <c r="P18" s="2"/>
      <c r="Q18" s="2"/>
      <c r="R18" s="2"/>
      <c r="S18" s="2"/>
      <c r="T18" s="2"/>
    </row>
    <row r="19" spans="1:20">
      <c r="A19" s="15"/>
      <c r="B19" s="28"/>
      <c r="C19" s="21"/>
      <c r="D19" s="15"/>
      <c r="E19" s="16">
        <v>1225.3</v>
      </c>
      <c r="F19" s="16">
        <v>1045.47</v>
      </c>
      <c r="G19" s="16">
        <v>849.16</v>
      </c>
      <c r="H19" s="16"/>
      <c r="I19" s="16"/>
      <c r="J19" s="23"/>
      <c r="K19" s="24"/>
      <c r="L19" s="25"/>
      <c r="M19" s="26"/>
      <c r="N19" s="2"/>
      <c r="O19" s="2"/>
      <c r="P19" s="2"/>
      <c r="Q19" s="2"/>
      <c r="R19" s="2"/>
      <c r="S19" s="2"/>
      <c r="T19" s="2"/>
    </row>
    <row r="20" ht="180.95" customHeight="1" spans="1:20">
      <c r="A20" s="15">
        <v>8</v>
      </c>
      <c r="B20" s="28" t="s">
        <v>507</v>
      </c>
      <c r="C20" s="13" t="s">
        <v>276</v>
      </c>
      <c r="D20" s="15">
        <v>0</v>
      </c>
      <c r="E20" s="15" t="s">
        <v>295</v>
      </c>
      <c r="F20" s="16" t="s">
        <v>355</v>
      </c>
      <c r="G20" s="16" t="s">
        <v>395</v>
      </c>
      <c r="H20" s="16"/>
      <c r="I20" s="16"/>
      <c r="J20" s="17">
        <f t="shared" si="6"/>
        <v>946.88</v>
      </c>
      <c r="K20" s="18">
        <f t="shared" si="7"/>
        <v>0</v>
      </c>
      <c r="L20" s="19">
        <v>0.2</v>
      </c>
      <c r="M20" s="20">
        <f t="shared" si="8"/>
        <v>0</v>
      </c>
      <c r="N20" s="2"/>
      <c r="O20" s="2"/>
      <c r="P20" s="2"/>
      <c r="Q20" s="2"/>
      <c r="R20" s="2"/>
      <c r="S20" s="2"/>
      <c r="T20" s="2"/>
    </row>
    <row r="21" spans="1:20">
      <c r="A21" s="15"/>
      <c r="B21" s="28"/>
      <c r="C21" s="21"/>
      <c r="D21" s="15"/>
      <c r="E21" s="16">
        <v>840</v>
      </c>
      <c r="F21" s="16">
        <v>980.75</v>
      </c>
      <c r="G21" s="16">
        <v>1019.9</v>
      </c>
      <c r="H21" s="16"/>
      <c r="I21" s="16"/>
      <c r="J21" s="23"/>
      <c r="K21" s="24"/>
      <c r="L21" s="25"/>
      <c r="M21" s="26"/>
      <c r="N21" s="2"/>
      <c r="O21" s="2"/>
      <c r="P21" s="2"/>
      <c r="Q21" s="2"/>
      <c r="R21" s="2"/>
      <c r="S21" s="2"/>
      <c r="T21" s="2"/>
    </row>
    <row r="22" ht="25.5" spans="1:20">
      <c r="A22" s="15">
        <v>9</v>
      </c>
      <c r="B22" s="28" t="s">
        <v>508</v>
      </c>
      <c r="C22" s="13" t="s">
        <v>276</v>
      </c>
      <c r="D22" s="29">
        <v>0</v>
      </c>
      <c r="E22" s="15" t="s">
        <v>295</v>
      </c>
      <c r="F22" s="16" t="s">
        <v>509</v>
      </c>
      <c r="G22" s="16" t="s">
        <v>510</v>
      </c>
      <c r="H22" s="16"/>
      <c r="I22" s="16"/>
      <c r="J22" s="17">
        <f t="shared" si="6"/>
        <v>1291.66</v>
      </c>
      <c r="K22" s="18">
        <f t="shared" si="7"/>
        <v>0</v>
      </c>
      <c r="L22" s="19">
        <v>0.2</v>
      </c>
      <c r="M22" s="20">
        <f t="shared" si="8"/>
        <v>0</v>
      </c>
      <c r="N22" s="2"/>
      <c r="O22" s="2"/>
      <c r="P22" s="2"/>
      <c r="Q22" s="2"/>
      <c r="R22" s="2"/>
      <c r="S22" s="2"/>
      <c r="T22" s="2"/>
    </row>
    <row r="23" spans="1:20">
      <c r="A23" s="15"/>
      <c r="B23" s="28"/>
      <c r="C23" s="21"/>
      <c r="D23" s="15"/>
      <c r="E23" s="30">
        <v>1485</v>
      </c>
      <c r="F23" s="30">
        <v>1189.99</v>
      </c>
      <c r="G23" s="30">
        <v>1200</v>
      </c>
      <c r="H23" s="30"/>
      <c r="I23" s="30"/>
      <c r="J23" s="23"/>
      <c r="K23" s="24"/>
      <c r="L23" s="25"/>
      <c r="M23" s="26"/>
      <c r="N23" s="2"/>
      <c r="O23" s="2"/>
      <c r="P23" s="2"/>
      <c r="Q23" s="2"/>
      <c r="R23" s="2"/>
      <c r="S23" s="2"/>
      <c r="T23" s="2"/>
    </row>
    <row r="24" ht="69" customHeight="1" spans="1:20">
      <c r="A24" s="15">
        <v>10</v>
      </c>
      <c r="B24" s="28" t="s">
        <v>511</v>
      </c>
      <c r="C24" s="15" t="s">
        <v>276</v>
      </c>
      <c r="D24" s="29">
        <v>0</v>
      </c>
      <c r="E24" s="16" t="s">
        <v>512</v>
      </c>
      <c r="F24" s="15" t="s">
        <v>295</v>
      </c>
      <c r="G24" s="16" t="s">
        <v>513</v>
      </c>
      <c r="H24" s="15" t="s">
        <v>514</v>
      </c>
      <c r="I24" s="16" t="s">
        <v>512</v>
      </c>
      <c r="J24" s="17">
        <f>AVERAGE(E25:I25)</f>
        <v>832.4</v>
      </c>
      <c r="K24" s="18">
        <f>D24*J24</f>
        <v>0</v>
      </c>
      <c r="L24" s="19">
        <v>0.2</v>
      </c>
      <c r="M24" s="20">
        <f>K24*L24</f>
        <v>0</v>
      </c>
      <c r="N24" s="2"/>
      <c r="O24" s="2"/>
      <c r="P24" s="2"/>
      <c r="Q24" s="2"/>
      <c r="R24" s="2"/>
      <c r="S24" s="2"/>
      <c r="T24" s="2"/>
    </row>
    <row r="25" spans="1:20">
      <c r="A25" s="15"/>
      <c r="B25" s="28"/>
      <c r="C25" s="15"/>
      <c r="D25" s="15"/>
      <c r="E25" s="31">
        <v>820</v>
      </c>
      <c r="F25" s="31">
        <v>799</v>
      </c>
      <c r="G25" s="31">
        <v>898</v>
      </c>
      <c r="H25" s="31">
        <v>800</v>
      </c>
      <c r="I25" s="31">
        <v>845</v>
      </c>
      <c r="J25" s="23"/>
      <c r="K25" s="24"/>
      <c r="L25" s="25"/>
      <c r="M25" s="26"/>
      <c r="N25" s="2"/>
      <c r="O25" s="2"/>
      <c r="P25" s="2"/>
      <c r="Q25" s="2"/>
      <c r="R25" s="2"/>
      <c r="S25" s="2"/>
      <c r="T25" s="2"/>
    </row>
    <row r="26" ht="25.5" spans="1:20">
      <c r="A26" s="32"/>
      <c r="B26" s="32"/>
      <c r="C26" s="32"/>
      <c r="D26" s="32"/>
      <c r="E26" s="33"/>
      <c r="F26" s="2"/>
      <c r="G26" s="2"/>
      <c r="H26" s="2"/>
      <c r="I26" s="2"/>
      <c r="J26" s="34" t="s">
        <v>515</v>
      </c>
      <c r="K26" s="35">
        <f>SUM(K6:K25)</f>
        <v>7268.68</v>
      </c>
      <c r="L26" s="35"/>
      <c r="M26" s="36">
        <f>SUM(M6:M25)</f>
        <v>1453.74</v>
      </c>
      <c r="N26" s="37"/>
      <c r="O26" s="2"/>
      <c r="P26" s="2"/>
      <c r="Q26" s="2"/>
      <c r="R26" s="2"/>
      <c r="S26" s="2"/>
      <c r="T26" s="2"/>
    </row>
    <row r="27" spans="1:20">
      <c r="A27" s="32"/>
      <c r="B27" s="32"/>
      <c r="C27" s="32"/>
      <c r="D27" s="32"/>
      <c r="F27" s="2"/>
      <c r="G27" s="2"/>
      <c r="H27" s="2"/>
      <c r="I27" s="2"/>
      <c r="J27" s="38" t="s">
        <v>516</v>
      </c>
      <c r="K27" s="39"/>
      <c r="L27" s="40"/>
      <c r="M27" s="41">
        <v>12</v>
      </c>
      <c r="N27" s="2"/>
      <c r="O27" s="2"/>
      <c r="P27" s="2"/>
      <c r="Q27" s="2"/>
      <c r="R27" s="2"/>
      <c r="S27" s="2"/>
      <c r="T27" s="2"/>
    </row>
    <row r="28" spans="1:20">
      <c r="E28" s="42"/>
      <c r="F28" s="42"/>
      <c r="G28" s="2"/>
      <c r="H28" s="2"/>
      <c r="I28" s="2"/>
      <c r="J28" s="43" t="s">
        <v>517</v>
      </c>
      <c r="K28" s="44"/>
      <c r="L28" s="45"/>
      <c r="M28" s="46">
        <f>M26/M27</f>
        <v>121.15</v>
      </c>
      <c r="P28" s="47"/>
    </row>
    <row r="29" spans="1:20">
      <c r="A29" s="42"/>
      <c r="B29" s="42"/>
      <c r="C29" s="42"/>
      <c r="D29" s="42"/>
      <c r="E29" s="42"/>
      <c r="F29" s="42"/>
      <c r="G29" s="2"/>
      <c r="H29" s="2"/>
      <c r="I29" s="2"/>
      <c r="J29" s="48" t="s">
        <v>518</v>
      </c>
      <c r="K29" s="49"/>
      <c r="L29" s="50"/>
      <c r="M29" s="51">
        <v>1</v>
      </c>
    </row>
    <row r="30" spans="1:20">
      <c r="A30" s="42"/>
      <c r="B30" s="42"/>
      <c r="C30" s="42"/>
      <c r="D30" s="42"/>
      <c r="E30" s="52"/>
      <c r="F30" s="52"/>
      <c r="G30" s="52"/>
      <c r="H30" s="52"/>
      <c r="I30" s="52"/>
      <c r="J30" s="53"/>
      <c r="K30" s="54"/>
      <c r="L30" s="55"/>
      <c r="M30" s="56">
        <f>M28/M29</f>
        <v>121.15</v>
      </c>
    </row>
    <row r="31" spans="1:20">
      <c r="A31" s="52"/>
      <c r="B31" s="52"/>
      <c r="C31" s="52"/>
      <c r="D31" s="52"/>
      <c r="E31" s="52"/>
      <c r="F31" s="52"/>
      <c r="G31" s="52"/>
      <c r="H31" s="52"/>
      <c r="I31" s="52"/>
      <c r="J31" s="52"/>
      <c r="M31" s="57"/>
    </row>
    <row r="32" ht="18.95" customHeight="1" spans="1:20">
      <c r="A32" s="58" t="s">
        <v>519</v>
      </c>
      <c r="B32" s="58"/>
      <c r="C32" s="58"/>
      <c r="D32" s="58"/>
      <c r="E32" s="28"/>
      <c r="F32" s="28"/>
      <c r="G32" s="28"/>
      <c r="H32" s="28"/>
      <c r="I32" s="28"/>
      <c r="J32" s="28"/>
      <c r="K32" s="58"/>
      <c r="L32" s="58"/>
      <c r="M32" s="58"/>
    </row>
    <row r="33" ht="36.95" customHeight="1" spans="1:13">
      <c r="A33" s="28" t="s">
        <v>520</v>
      </c>
      <c r="B33" s="28"/>
      <c r="C33" s="28"/>
      <c r="D33" s="28"/>
      <c r="E33" s="59"/>
      <c r="F33" s="59"/>
      <c r="G33" s="59"/>
      <c r="H33" s="59"/>
      <c r="I33" s="59"/>
      <c r="J33" s="59"/>
      <c r="K33" s="28"/>
      <c r="L33" s="28"/>
      <c r="M33" s="28"/>
    </row>
  </sheetData>
  <mergeCells count="95">
    <mergeCell ref="A1:M1"/>
    <mergeCell ref="A2:M2"/>
    <mergeCell ref="A3:M3"/>
    <mergeCell ref="E4:J4"/>
    <mergeCell ref="K4:M4"/>
    <mergeCell ref="J27:L27"/>
    <mergeCell ref="J28:L28"/>
    <mergeCell ref="J29:L29"/>
    <mergeCell ref="J30:L30"/>
    <mergeCell ref="A32:M32"/>
    <mergeCell ref="A33:M33"/>
    <mergeCell ref="A4:A5"/>
    <mergeCell ref="A6:A7"/>
    <mergeCell ref="A8:A9"/>
    <mergeCell ref="A10:A11"/>
    <mergeCell ref="A12:A13"/>
    <mergeCell ref="A14:A15"/>
    <mergeCell ref="A16:A17"/>
    <mergeCell ref="A18:A19"/>
    <mergeCell ref="A20:A21"/>
    <mergeCell ref="A22:A23"/>
    <mergeCell ref="A24:A25"/>
    <mergeCell ref="B4:B5"/>
    <mergeCell ref="B6:B7"/>
    <mergeCell ref="B8:B9"/>
    <mergeCell ref="B10:B11"/>
    <mergeCell ref="B12:B13"/>
    <mergeCell ref="B14:B15"/>
    <mergeCell ref="B16:B17"/>
    <mergeCell ref="B18:B19"/>
    <mergeCell ref="B20:B21"/>
    <mergeCell ref="B22:B23"/>
    <mergeCell ref="B24:B25"/>
    <mergeCell ref="C4:C5"/>
    <mergeCell ref="C6:C7"/>
    <mergeCell ref="C8:C9"/>
    <mergeCell ref="C10:C11"/>
    <mergeCell ref="C12:C13"/>
    <mergeCell ref="C14:C15"/>
    <mergeCell ref="C16:C17"/>
    <mergeCell ref="C18:C19"/>
    <mergeCell ref="C20:C21"/>
    <mergeCell ref="C22:C23"/>
    <mergeCell ref="C24:C25"/>
    <mergeCell ref="D4:D5"/>
    <mergeCell ref="D6:D7"/>
    <mergeCell ref="D8:D9"/>
    <mergeCell ref="D10:D11"/>
    <mergeCell ref="D12:D13"/>
    <mergeCell ref="D14:D15"/>
    <mergeCell ref="D16:D17"/>
    <mergeCell ref="D18:D19"/>
    <mergeCell ref="D20:D21"/>
    <mergeCell ref="D22:D23"/>
    <mergeCell ref="D24:D25"/>
    <mergeCell ref="J6:J7"/>
    <mergeCell ref="J8:J9"/>
    <mergeCell ref="J10:J11"/>
    <mergeCell ref="J12:J13"/>
    <mergeCell ref="J14:J15"/>
    <mergeCell ref="J16:J17"/>
    <mergeCell ref="J18:J19"/>
    <mergeCell ref="J20:J21"/>
    <mergeCell ref="J22:J23"/>
    <mergeCell ref="J24:J25"/>
    <mergeCell ref="K6:K7"/>
    <mergeCell ref="K8:K9"/>
    <mergeCell ref="K10:K11"/>
    <mergeCell ref="K12:K13"/>
    <mergeCell ref="K14:K15"/>
    <mergeCell ref="K16:K17"/>
    <mergeCell ref="K18:K19"/>
    <mergeCell ref="K20:K21"/>
    <mergeCell ref="K22:K23"/>
    <mergeCell ref="K24:K25"/>
    <mergeCell ref="L6:L7"/>
    <mergeCell ref="L8:L9"/>
    <mergeCell ref="L10:L11"/>
    <mergeCell ref="L12:L13"/>
    <mergeCell ref="L14:L15"/>
    <mergeCell ref="L16:L17"/>
    <mergeCell ref="L18:L19"/>
    <mergeCell ref="L20:L21"/>
    <mergeCell ref="L22:L23"/>
    <mergeCell ref="L24:L25"/>
    <mergeCell ref="M6:M7"/>
    <mergeCell ref="M8:M9"/>
    <mergeCell ref="M10:M11"/>
    <mergeCell ref="M12:M13"/>
    <mergeCell ref="M14:M15"/>
    <mergeCell ref="M16:M17"/>
    <mergeCell ref="M18:M19"/>
    <mergeCell ref="M20:M21"/>
    <mergeCell ref="M22:M23"/>
    <mergeCell ref="M24:M25"/>
  </mergeCells>
  <pageMargins left="0.554166666666667" right="0.357638888888889" top="0.605555555555556" bottom="0.605555555555556" header="0.5" footer="0.5"/>
  <pageSetup paperSize="9" scale="51"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17</vt:i4>
      </vt:variant>
    </vt:vector>
  </HeadingPairs>
  <TitlesOfParts>
    <vt:vector size="17" baseType="lpstr">
      <vt:lpstr>RAIZ_DADOS</vt:lpstr>
      <vt:lpstr>SEMAD e AGEHAB TOTALIZADOR</vt:lpstr>
      <vt:lpstr>SEMAD 1-A_Servente Insal 30h</vt:lpstr>
      <vt:lpstr>SEMAD 1-B_Servente 30 h</vt:lpstr>
      <vt:lpstr>SEMAD 1-C_Servente Ext 30 h</vt:lpstr>
      <vt:lpstr>SEMAD 1-D_Limpador Vidros 30 h</vt:lpstr>
      <vt:lpstr>SEMAD 1-E_Encarregado 30 h</vt:lpstr>
      <vt:lpstr>SEMAD 1-F_Jardineiro 30 hs</vt:lpstr>
      <vt:lpstr>AGEHAB 1-G_Servente Insal 30h</vt:lpstr>
      <vt:lpstr>SEMAD 1_Uniformes_SEMAD</vt:lpstr>
      <vt:lpstr>SEMAD 1_EPI's_SEMAD</vt:lpstr>
      <vt:lpstr>SEMAD 1_Materiais_SEMAD</vt:lpstr>
      <vt:lpstr>SEMAD 1_Equipamentos_SEMAD</vt:lpstr>
      <vt:lpstr>AGEHAB 1_Uniformes_AGEHAB</vt:lpstr>
      <vt:lpstr>AGEHAB 1_EPI's_AGEHAB</vt:lpstr>
      <vt:lpstr>AGEHAB 1_Materiais_AGEHAB</vt:lpstr>
      <vt:lpstr>AGEHAB 1_Equipamentos_AGEHAB</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mirian.joboji</dc:creator>
  <cp:lastModifiedBy>rafael.cury</cp:lastModifiedBy>
  <dcterms:created xsi:type="dcterms:W3CDTF">2021-09-17T14:28:00Z</dcterms:created>
  <dcterms:modified xsi:type="dcterms:W3CDTF">2026-06-22T13:22:54Z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D91840972555471EA9A47340B4C79ACA_13</vt:lpwstr>
  </property>
  <property fmtid="{D5CDD505-2E9C-101B-9397-08002B2CF9AE}" pid="3" name="KSOProductBuildVer">
    <vt:lpwstr>1033-12.1.0.25830</vt:lpwstr>
  </property>
  <property fmtid="{D5CDD505-2E9C-101B-9397-08002B2CF9AE}" pid="4" name="CalculationRule">
    <vt:i4>0</vt:i4>
  </property>
</Properties>
</file>