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mc:AlternateContent xmlns:mc="http://schemas.openxmlformats.org/markup-compatibility/2006">
    <mc:Choice Requires="x15">
      <x15ac:absPath xmlns:x15ac="http://schemas.microsoft.com/office/spreadsheetml/2010/11/ac" url="G:\COMERCIAL\2026\LICITAÇÃO\LIMPEZA\05 MAIO\26 PREFEITURA DE DOURADOS\Planilha de Custos\"/>
    </mc:Choice>
  </mc:AlternateContent>
  <xr:revisionPtr revIDLastSave="0" documentId="13_ncr:1_{D67AB785-D40B-454C-B31F-2C44717DD3EF}" xr6:coauthVersionLast="47" xr6:coauthVersionMax="47" xr10:uidLastSave="{00000000-0000-0000-0000-000000000000}"/>
  <bookViews>
    <workbookView xWindow="-28920" yWindow="-1185" windowWidth="29040" windowHeight="15720" tabRatio="988" firstSheet="3" activeTab="8" xr2:uid="{00000000-000D-0000-FFFF-FFFF00000000}"/>
  </bookViews>
  <sheets>
    <sheet name="RAIZ DOS DADOS" sheetId="1" r:id="rId1"/>
    <sheet name="SEMAS TOTALIZADOR GERAL" sheetId="2" r:id="rId2"/>
    <sheet name="SEMAS 1-A_Servente Insal 30h" sheetId="3" r:id="rId3"/>
    <sheet name="SEMAS 2-B_Servente Insal 40h" sheetId="4" r:id="rId4"/>
    <sheet name="SEMAS 2-C_Servente 30 h" sheetId="5" r:id="rId5"/>
    <sheet name="SEMAS 2-D_Servente Ext 30 h" sheetId="6" r:id="rId6"/>
    <sheet name="SEMAS 2-E_Servente Ext 40 h" sheetId="7" r:id="rId7"/>
    <sheet name="SEMAS 2-F_Encarregado 30 h" sheetId="8" r:id="rId8"/>
    <sheet name="SEMAS 2-G_Jardineiro 30 hs" sheetId="9" r:id="rId9"/>
    <sheet name="SEMAS 2_Uniformes" sheetId="10" r:id="rId10"/>
    <sheet name="SEMAS 2_EPI's" sheetId="11" r:id="rId11"/>
    <sheet name="SEMAS 2_Materiais" sheetId="12" r:id="rId12"/>
    <sheet name="SEMAS 2_Equipamentos" sheetId="13" r:id="rId13"/>
  </sheets>
  <externalReferences>
    <externalReference r:id="rId14"/>
  </externalReferences>
  <definedNames>
    <definedName name="_xlnm.Print_Area" localSheetId="2">'SEMAS 1-A_Servente Insal 30h'!$A$1:$F$138</definedName>
    <definedName name="_xlnm.Print_Area" localSheetId="10">'SEMAS 2_EPI''s'!$A$1:$K$65</definedName>
    <definedName name="_xlnm.Print_Area" localSheetId="9">#REF!</definedName>
    <definedName name="_xlnm.Print_Area" localSheetId="3">'SEMAS 2-B_Servente Insal 40h'!$A$1:$F$138</definedName>
    <definedName name="_xlnm.Print_Area" localSheetId="4">'SEMAS 2-C_Servente 30 h'!$A$1:$F$138</definedName>
    <definedName name="_xlnm.Print_Area" localSheetId="5">'SEMAS 2-D_Servente Ext 30 h'!$A$1:$F$138</definedName>
    <definedName name="_xlnm.Print_Area" localSheetId="6">'SEMAS 2-E_Servente Ext 40 h'!$A$1:$F$138</definedName>
    <definedName name="_xlnm.Print_Area" localSheetId="7">'SEMAS 2-F_Encarregado 30 h'!$A$1:$F$138</definedName>
    <definedName name="_xlnm.Print_Area" localSheetId="8">'SEMAS 2-G_Jardineiro 30 hs'!$A$1:$F$138</definedName>
    <definedName name="_xlnm.Print_Area" localSheetId="1">'SEMAS TOTALIZADOR GERAL'!$A$1:$M$90</definedName>
  </definedNames>
  <calcPr calcId="191029" iterateDelta="1E-4" fullPrecision="0"/>
</workbook>
</file>

<file path=xl/calcChain.xml><?xml version="1.0" encoding="utf-8"?>
<calcChain xmlns="http://schemas.openxmlformats.org/spreadsheetml/2006/main">
  <c r="E86" i="9" l="1"/>
  <c r="F86" i="9" s="1"/>
  <c r="F92" i="9" s="1"/>
  <c r="F99" i="9" s="1"/>
  <c r="F101" i="9" s="1"/>
  <c r="F128" i="9" s="1"/>
  <c r="F130" i="9" s="1"/>
  <c r="E86" i="8"/>
  <c r="E86" i="7"/>
  <c r="E86" i="6"/>
  <c r="F86" i="6" s="1"/>
  <c r="F92" i="6" s="1"/>
  <c r="F99" i="6" s="1"/>
  <c r="F101" i="6" s="1"/>
  <c r="F128" i="6" s="1"/>
  <c r="F130" i="6" s="1"/>
  <c r="E86" i="5"/>
  <c r="F86" i="5" s="1"/>
  <c r="F92" i="5" s="1"/>
  <c r="F99" i="5" s="1"/>
  <c r="F101" i="5" s="1"/>
  <c r="F128" i="5" s="1"/>
  <c r="F130" i="5" s="1"/>
  <c r="E87" i="4"/>
  <c r="E86" i="4"/>
  <c r="E86" i="3"/>
  <c r="F86" i="3" s="1"/>
  <c r="F92" i="3" s="1"/>
  <c r="F99" i="3" s="1"/>
  <c r="F101" i="3" s="1"/>
  <c r="F128" i="3" s="1"/>
  <c r="F130" i="3" s="1"/>
  <c r="M30" i="13"/>
  <c r="M29" i="13"/>
  <c r="M28" i="13"/>
  <c r="M26" i="13"/>
  <c r="K26" i="13"/>
  <c r="M24" i="13"/>
  <c r="K24" i="13"/>
  <c r="J24" i="13"/>
  <c r="D24" i="13"/>
  <c r="M22" i="13"/>
  <c r="K22" i="13"/>
  <c r="J22" i="13"/>
  <c r="D22" i="13"/>
  <c r="M20" i="13"/>
  <c r="K20" i="13"/>
  <c r="J20" i="13"/>
  <c r="M18" i="13"/>
  <c r="K18" i="13"/>
  <c r="J18" i="13"/>
  <c r="M16" i="13"/>
  <c r="K16" i="13"/>
  <c r="J16" i="13"/>
  <c r="M14" i="13"/>
  <c r="K14" i="13"/>
  <c r="J14" i="13"/>
  <c r="M12" i="13"/>
  <c r="K12" i="13"/>
  <c r="J12" i="13"/>
  <c r="D12" i="13"/>
  <c r="M10" i="13"/>
  <c r="K10" i="13"/>
  <c r="J10" i="13"/>
  <c r="D10" i="13"/>
  <c r="M8" i="13"/>
  <c r="K8" i="13"/>
  <c r="J8" i="13"/>
  <c r="D8" i="13"/>
  <c r="M6" i="13"/>
  <c r="K6" i="13"/>
  <c r="J6" i="13"/>
  <c r="D6" i="13"/>
  <c r="A1" i="13"/>
  <c r="K26" i="12"/>
  <c r="K25" i="12"/>
  <c r="K24" i="12"/>
  <c r="K22" i="12"/>
  <c r="K20" i="12"/>
  <c r="J20" i="12"/>
  <c r="D20" i="12"/>
  <c r="K18" i="12"/>
  <c r="J18" i="12"/>
  <c r="D18" i="12"/>
  <c r="K16" i="12"/>
  <c r="J16" i="12"/>
  <c r="D16" i="12"/>
  <c r="K14" i="12"/>
  <c r="J14" i="12"/>
  <c r="D14" i="12"/>
  <c r="K12" i="12"/>
  <c r="J12" i="12"/>
  <c r="D12" i="12"/>
  <c r="K10" i="12"/>
  <c r="J10" i="12"/>
  <c r="D10" i="12"/>
  <c r="K8" i="12"/>
  <c r="J8" i="12"/>
  <c r="D8" i="12"/>
  <c r="K6" i="12"/>
  <c r="J6" i="12"/>
  <c r="D6" i="12"/>
  <c r="A1" i="12"/>
  <c r="K65" i="11"/>
  <c r="K63" i="11"/>
  <c r="K61" i="11"/>
  <c r="J61" i="11"/>
  <c r="K59" i="11"/>
  <c r="J59" i="11"/>
  <c r="K57" i="11"/>
  <c r="J57" i="11"/>
  <c r="K55" i="11"/>
  <c r="J55" i="11"/>
  <c r="K53" i="11"/>
  <c r="J53" i="11"/>
  <c r="K51" i="11"/>
  <c r="J51" i="11"/>
  <c r="D51" i="11"/>
  <c r="K49" i="11"/>
  <c r="J49" i="11"/>
  <c r="K44" i="11"/>
  <c r="K42" i="11"/>
  <c r="K40" i="11"/>
  <c r="J40" i="11"/>
  <c r="K38" i="11"/>
  <c r="J38" i="11"/>
  <c r="K36" i="11"/>
  <c r="J36" i="11"/>
  <c r="K34" i="11"/>
  <c r="J34" i="11"/>
  <c r="K32" i="11"/>
  <c r="J32" i="11"/>
  <c r="K30" i="11"/>
  <c r="J30" i="11"/>
  <c r="K28" i="11"/>
  <c r="J28" i="11"/>
  <c r="K26" i="11"/>
  <c r="J26" i="11"/>
  <c r="K24" i="11"/>
  <c r="J24" i="11"/>
  <c r="K22" i="11"/>
  <c r="J22" i="11"/>
  <c r="K17" i="11"/>
  <c r="K15" i="11"/>
  <c r="K13" i="11"/>
  <c r="J13" i="11"/>
  <c r="K11" i="11"/>
  <c r="J11" i="11"/>
  <c r="D11" i="11"/>
  <c r="K9" i="11"/>
  <c r="J9" i="11"/>
  <c r="D9" i="11"/>
  <c r="K7" i="11"/>
  <c r="J7" i="11"/>
  <c r="A1" i="11"/>
  <c r="K66" i="10"/>
  <c r="K64" i="10"/>
  <c r="K62" i="10"/>
  <c r="J62" i="10"/>
  <c r="D62" i="10"/>
  <c r="K60" i="10"/>
  <c r="J60" i="10"/>
  <c r="D60" i="10"/>
  <c r="K58" i="10"/>
  <c r="J58" i="10"/>
  <c r="D58" i="10"/>
  <c r="K56" i="10"/>
  <c r="J56" i="10"/>
  <c r="D56" i="10"/>
  <c r="K54" i="10"/>
  <c r="J54" i="10"/>
  <c r="D54" i="10"/>
  <c r="K49" i="10"/>
  <c r="K47" i="10"/>
  <c r="K45" i="10"/>
  <c r="J45" i="10"/>
  <c r="K43" i="10"/>
  <c r="J43" i="10"/>
  <c r="K41" i="10"/>
  <c r="J41" i="10"/>
  <c r="K39" i="10"/>
  <c r="J39" i="10"/>
  <c r="K37" i="10"/>
  <c r="J37" i="10"/>
  <c r="D37" i="10"/>
  <c r="K32" i="10"/>
  <c r="K30" i="10"/>
  <c r="K28" i="10"/>
  <c r="J28" i="10"/>
  <c r="K26" i="10"/>
  <c r="J26" i="10"/>
  <c r="K24" i="10"/>
  <c r="J24" i="10"/>
  <c r="K22" i="10"/>
  <c r="J22" i="10"/>
  <c r="K17" i="10"/>
  <c r="K15" i="10"/>
  <c r="K13" i="10"/>
  <c r="J13" i="10"/>
  <c r="D13" i="10"/>
  <c r="K11" i="10"/>
  <c r="J11" i="10"/>
  <c r="K9" i="10"/>
  <c r="J9" i="10"/>
  <c r="D9" i="10"/>
  <c r="K7" i="10"/>
  <c r="J7" i="10"/>
  <c r="D7" i="10"/>
  <c r="A1" i="10"/>
  <c r="E136" i="9"/>
  <c r="A136" i="9"/>
  <c r="F129" i="9"/>
  <c r="F127" i="9"/>
  <c r="F126" i="9"/>
  <c r="F125" i="9"/>
  <c r="E115" i="9"/>
  <c r="F109" i="9"/>
  <c r="F108" i="9"/>
  <c r="F107" i="9"/>
  <c r="F106" i="9"/>
  <c r="F105" i="9"/>
  <c r="F100" i="9"/>
  <c r="F96" i="9"/>
  <c r="F91" i="9"/>
  <c r="F90" i="9"/>
  <c r="E90" i="9"/>
  <c r="F89" i="9"/>
  <c r="E89" i="9"/>
  <c r="F88" i="9"/>
  <c r="E88" i="9"/>
  <c r="F87" i="9"/>
  <c r="E87" i="9"/>
  <c r="F81" i="9"/>
  <c r="F80" i="9"/>
  <c r="E80" i="9"/>
  <c r="F79" i="9"/>
  <c r="E79" i="9"/>
  <c r="F78" i="9"/>
  <c r="E78" i="9"/>
  <c r="F77" i="9"/>
  <c r="E77" i="9"/>
  <c r="F76" i="9"/>
  <c r="E76" i="9"/>
  <c r="F75" i="9"/>
  <c r="E75" i="9"/>
  <c r="F71" i="9"/>
  <c r="F70" i="9"/>
  <c r="F69" i="9"/>
  <c r="F68" i="9"/>
  <c r="F65" i="9"/>
  <c r="F64" i="9"/>
  <c r="F62" i="9"/>
  <c r="F61" i="9"/>
  <c r="F60" i="9"/>
  <c r="E59" i="9"/>
  <c r="E58" i="9"/>
  <c r="E57" i="9"/>
  <c r="F56" i="9"/>
  <c r="F53" i="9"/>
  <c r="E53" i="9"/>
  <c r="F52" i="9"/>
  <c r="F51" i="9"/>
  <c r="F50" i="9"/>
  <c r="F49" i="9"/>
  <c r="F48" i="9"/>
  <c r="F47" i="9"/>
  <c r="E47" i="9"/>
  <c r="F46" i="9"/>
  <c r="F45" i="9"/>
  <c r="F42" i="9"/>
  <c r="E42" i="9"/>
  <c r="F41" i="9"/>
  <c r="E41" i="9"/>
  <c r="F40" i="9"/>
  <c r="E40" i="9"/>
  <c r="F39" i="9"/>
  <c r="E39" i="9"/>
  <c r="F38" i="9"/>
  <c r="E38" i="9"/>
  <c r="F33" i="9"/>
  <c r="F32" i="9"/>
  <c r="B32" i="9"/>
  <c r="F27" i="9"/>
  <c r="F22" i="9"/>
  <c r="F21" i="9"/>
  <c r="F15" i="9"/>
  <c r="F86" i="8"/>
  <c r="F92" i="8" s="1"/>
  <c r="F99" i="8" s="1"/>
  <c r="F101" i="8" s="1"/>
  <c r="F128" i="8" s="1"/>
  <c r="F130" i="8" s="1"/>
  <c r="E136" i="8"/>
  <c r="A136" i="8"/>
  <c r="F129" i="8"/>
  <c r="F127" i="8"/>
  <c r="F126" i="8"/>
  <c r="F125" i="8"/>
  <c r="E115" i="8"/>
  <c r="F109" i="8"/>
  <c r="F106" i="8"/>
  <c r="F105" i="8"/>
  <c r="F100" i="8"/>
  <c r="F96" i="8"/>
  <c r="F91" i="8"/>
  <c r="F90" i="8"/>
  <c r="E90" i="8"/>
  <c r="F89" i="8"/>
  <c r="E89" i="8"/>
  <c r="F88" i="8"/>
  <c r="E88" i="8"/>
  <c r="F87" i="8"/>
  <c r="E87" i="8"/>
  <c r="F81" i="8"/>
  <c r="F80" i="8"/>
  <c r="E80" i="8"/>
  <c r="F79" i="8"/>
  <c r="E79" i="8"/>
  <c r="F78" i="8"/>
  <c r="E78" i="8"/>
  <c r="F77" i="8"/>
  <c r="E77" i="8"/>
  <c r="F76" i="8"/>
  <c r="E76" i="8"/>
  <c r="F75" i="8"/>
  <c r="E75" i="8"/>
  <c r="F71" i="8"/>
  <c r="F70" i="8"/>
  <c r="F69" i="8"/>
  <c r="F68" i="8"/>
  <c r="F65" i="8"/>
  <c r="F64" i="8"/>
  <c r="F62" i="8"/>
  <c r="F61" i="8"/>
  <c r="F60" i="8"/>
  <c r="E59" i="8"/>
  <c r="E57" i="8"/>
  <c r="F56" i="8"/>
  <c r="F53" i="8"/>
  <c r="E53" i="8"/>
  <c r="F52" i="8"/>
  <c r="F51" i="8"/>
  <c r="F50" i="8"/>
  <c r="F49" i="8"/>
  <c r="F48" i="8"/>
  <c r="F47" i="8"/>
  <c r="E47" i="8"/>
  <c r="F46" i="8"/>
  <c r="F45" i="8"/>
  <c r="F42" i="8"/>
  <c r="E42" i="8"/>
  <c r="F41" i="8"/>
  <c r="E41" i="8"/>
  <c r="F40" i="8"/>
  <c r="E40" i="8"/>
  <c r="F39" i="8"/>
  <c r="E39" i="8"/>
  <c r="F38" i="8"/>
  <c r="E38" i="8"/>
  <c r="F33" i="8"/>
  <c r="F32" i="8"/>
  <c r="B32" i="8"/>
  <c r="F27" i="8"/>
  <c r="F22" i="8"/>
  <c r="F21" i="8"/>
  <c r="F15" i="8"/>
  <c r="F86" i="7"/>
  <c r="F92" i="7" s="1"/>
  <c r="F99" i="7" s="1"/>
  <c r="F101" i="7" s="1"/>
  <c r="F128" i="7" s="1"/>
  <c r="F130" i="7" s="1"/>
  <c r="E136" i="7"/>
  <c r="A136" i="7"/>
  <c r="F129" i="7"/>
  <c r="F127" i="7"/>
  <c r="F126" i="7"/>
  <c r="F125" i="7"/>
  <c r="E115" i="7"/>
  <c r="F109" i="7"/>
  <c r="F108" i="7"/>
  <c r="F107" i="7"/>
  <c r="F106" i="7"/>
  <c r="F105" i="7"/>
  <c r="F100" i="7"/>
  <c r="F96" i="7"/>
  <c r="F91" i="7"/>
  <c r="F90" i="7"/>
  <c r="E90" i="7"/>
  <c r="F89" i="7"/>
  <c r="E89" i="7"/>
  <c r="F88" i="7"/>
  <c r="E88" i="7"/>
  <c r="F87" i="7"/>
  <c r="E87" i="7"/>
  <c r="F81" i="7"/>
  <c r="F80" i="7"/>
  <c r="E80" i="7"/>
  <c r="F79" i="7"/>
  <c r="E79" i="7"/>
  <c r="F78" i="7"/>
  <c r="E78" i="7"/>
  <c r="F77" i="7"/>
  <c r="E77" i="7"/>
  <c r="F76" i="7"/>
  <c r="E76" i="7"/>
  <c r="F75" i="7"/>
  <c r="E75" i="7"/>
  <c r="F71" i="7"/>
  <c r="F70" i="7"/>
  <c r="F69" i="7"/>
  <c r="F68" i="7"/>
  <c r="F65" i="7"/>
  <c r="F64" i="7"/>
  <c r="F62" i="7"/>
  <c r="F61" i="7"/>
  <c r="F60" i="7"/>
  <c r="E59" i="7"/>
  <c r="E57" i="7"/>
  <c r="F56" i="7"/>
  <c r="F53" i="7"/>
  <c r="E53" i="7"/>
  <c r="F52" i="7"/>
  <c r="F51" i="7"/>
  <c r="F50" i="7"/>
  <c r="F49" i="7"/>
  <c r="F48" i="7"/>
  <c r="F47" i="7"/>
  <c r="E47" i="7"/>
  <c r="F46" i="7"/>
  <c r="F45" i="7"/>
  <c r="F42" i="7"/>
  <c r="E42" i="7"/>
  <c r="F41" i="7"/>
  <c r="E41" i="7"/>
  <c r="F40" i="7"/>
  <c r="E40" i="7"/>
  <c r="F39" i="7"/>
  <c r="E39" i="7"/>
  <c r="F38" i="7"/>
  <c r="E38" i="7"/>
  <c r="F33" i="7"/>
  <c r="F27" i="7"/>
  <c r="F21" i="7"/>
  <c r="F15" i="7"/>
  <c r="E136" i="6"/>
  <c r="A136" i="6"/>
  <c r="F129" i="6"/>
  <c r="F127" i="6"/>
  <c r="F126" i="6"/>
  <c r="F125" i="6"/>
  <c r="E115" i="6"/>
  <c r="F109" i="6"/>
  <c r="F108" i="6"/>
  <c r="F107" i="6"/>
  <c r="F106" i="6"/>
  <c r="F105" i="6"/>
  <c r="F100" i="6"/>
  <c r="F96" i="6"/>
  <c r="F91" i="6"/>
  <c r="F90" i="6"/>
  <c r="E90" i="6"/>
  <c r="F89" i="6"/>
  <c r="E89" i="6"/>
  <c r="F88" i="6"/>
  <c r="E88" i="6"/>
  <c r="F87" i="6"/>
  <c r="E87" i="6"/>
  <c r="F81" i="6"/>
  <c r="F80" i="6"/>
  <c r="E80" i="6"/>
  <c r="F79" i="6"/>
  <c r="E79" i="6"/>
  <c r="F78" i="6"/>
  <c r="E78" i="6"/>
  <c r="F77" i="6"/>
  <c r="E77" i="6"/>
  <c r="F76" i="6"/>
  <c r="E76" i="6"/>
  <c r="F75" i="6"/>
  <c r="E75" i="6"/>
  <c r="F71" i="6"/>
  <c r="F70" i="6"/>
  <c r="F69" i="6"/>
  <c r="F68" i="6"/>
  <c r="F65" i="6"/>
  <c r="F64" i="6"/>
  <c r="F62" i="6"/>
  <c r="F61" i="6"/>
  <c r="F60" i="6"/>
  <c r="E59" i="6"/>
  <c r="E57" i="6"/>
  <c r="F56" i="6"/>
  <c r="F53" i="6"/>
  <c r="E53" i="6"/>
  <c r="F52" i="6"/>
  <c r="F51" i="6"/>
  <c r="F50" i="6"/>
  <c r="F49" i="6"/>
  <c r="F48" i="6"/>
  <c r="F47" i="6"/>
  <c r="E47" i="6"/>
  <c r="F46" i="6"/>
  <c r="F45" i="6"/>
  <c r="F42" i="6"/>
  <c r="E42" i="6"/>
  <c r="F41" i="6"/>
  <c r="E41" i="6"/>
  <c r="F40" i="6"/>
  <c r="E40" i="6"/>
  <c r="F39" i="6"/>
  <c r="E39" i="6"/>
  <c r="F38" i="6"/>
  <c r="E38" i="6"/>
  <c r="F33" i="6"/>
  <c r="F27" i="6"/>
  <c r="F21" i="6"/>
  <c r="F15" i="6"/>
  <c r="E136" i="5"/>
  <c r="A136" i="5"/>
  <c r="F129" i="5"/>
  <c r="F127" i="5"/>
  <c r="F126" i="5"/>
  <c r="F125" i="5"/>
  <c r="E115" i="5"/>
  <c r="F109" i="5"/>
  <c r="F108" i="5"/>
  <c r="F107" i="5"/>
  <c r="F106" i="5"/>
  <c r="F105" i="5"/>
  <c r="F100" i="5"/>
  <c r="F96" i="5"/>
  <c r="F91" i="5"/>
  <c r="F90" i="5"/>
  <c r="E90" i="5"/>
  <c r="F89" i="5"/>
  <c r="E89" i="5"/>
  <c r="F88" i="5"/>
  <c r="E88" i="5"/>
  <c r="F87" i="5"/>
  <c r="E87" i="5"/>
  <c r="F81" i="5"/>
  <c r="F80" i="5"/>
  <c r="E80" i="5"/>
  <c r="F79" i="5"/>
  <c r="E79" i="5"/>
  <c r="F78" i="5"/>
  <c r="E78" i="5"/>
  <c r="F77" i="5"/>
  <c r="E77" i="5"/>
  <c r="F76" i="5"/>
  <c r="E76" i="5"/>
  <c r="F75" i="5"/>
  <c r="E75" i="5"/>
  <c r="F71" i="5"/>
  <c r="F70" i="5"/>
  <c r="F69" i="5"/>
  <c r="F68" i="5"/>
  <c r="F65" i="5"/>
  <c r="F64" i="5"/>
  <c r="F62" i="5"/>
  <c r="F61" i="5"/>
  <c r="F60" i="5"/>
  <c r="E59" i="5"/>
  <c r="E57" i="5"/>
  <c r="F56" i="5"/>
  <c r="F53" i="5"/>
  <c r="E53" i="5"/>
  <c r="F52" i="5"/>
  <c r="F51" i="5"/>
  <c r="F50" i="5"/>
  <c r="F49" i="5"/>
  <c r="F48" i="5"/>
  <c r="F47" i="5"/>
  <c r="E47" i="5"/>
  <c r="F46" i="5"/>
  <c r="F45" i="5"/>
  <c r="F42" i="5"/>
  <c r="E42" i="5"/>
  <c r="F41" i="5"/>
  <c r="E41" i="5"/>
  <c r="F40" i="5"/>
  <c r="E40" i="5"/>
  <c r="F39" i="5"/>
  <c r="E39" i="5"/>
  <c r="F38" i="5"/>
  <c r="E38" i="5"/>
  <c r="F33" i="5"/>
  <c r="F27" i="5"/>
  <c r="F21" i="5"/>
  <c r="F15" i="5"/>
  <c r="F86" i="4"/>
  <c r="F92" i="4"/>
  <c r="F99" i="4"/>
  <c r="F101" i="4" s="1"/>
  <c r="F128" i="4" s="1"/>
  <c r="F130" i="4" s="1"/>
  <c r="E136" i="4"/>
  <c r="A136" i="4"/>
  <c r="F129" i="4"/>
  <c r="F127" i="4"/>
  <c r="F126" i="4"/>
  <c r="F125" i="4"/>
  <c r="E115" i="4"/>
  <c r="F109" i="4"/>
  <c r="F108" i="4"/>
  <c r="F107" i="4"/>
  <c r="F106" i="4"/>
  <c r="F105" i="4"/>
  <c r="F100" i="4"/>
  <c r="F96" i="4"/>
  <c r="F91" i="4"/>
  <c r="F90" i="4"/>
  <c r="E90" i="4"/>
  <c r="F89" i="4"/>
  <c r="E89" i="4"/>
  <c r="F88" i="4"/>
  <c r="E88" i="4"/>
  <c r="F87" i="4"/>
  <c r="F81" i="4"/>
  <c r="F80" i="4"/>
  <c r="E80" i="4"/>
  <c r="F79" i="4"/>
  <c r="E79" i="4"/>
  <c r="F78" i="4"/>
  <c r="E78" i="4"/>
  <c r="F77" i="4"/>
  <c r="E77" i="4"/>
  <c r="F76" i="4"/>
  <c r="E76" i="4"/>
  <c r="F75" i="4"/>
  <c r="E75" i="4"/>
  <c r="F71" i="4"/>
  <c r="F70" i="4"/>
  <c r="F69" i="4"/>
  <c r="F68" i="4"/>
  <c r="F65" i="4"/>
  <c r="F64" i="4"/>
  <c r="F62" i="4"/>
  <c r="F61" i="4"/>
  <c r="F60" i="4"/>
  <c r="E59" i="4"/>
  <c r="E57" i="4"/>
  <c r="F56" i="4"/>
  <c r="F53" i="4"/>
  <c r="E53" i="4"/>
  <c r="F52" i="4"/>
  <c r="F51" i="4"/>
  <c r="F50" i="4"/>
  <c r="F49" i="4"/>
  <c r="F48" i="4"/>
  <c r="F47" i="4"/>
  <c r="E47" i="4"/>
  <c r="F46" i="4"/>
  <c r="F45" i="4"/>
  <c r="F42" i="4"/>
  <c r="E42" i="4"/>
  <c r="F41" i="4"/>
  <c r="E41" i="4"/>
  <c r="F40" i="4"/>
  <c r="E40" i="4"/>
  <c r="F39" i="4"/>
  <c r="E39" i="4"/>
  <c r="F38" i="4"/>
  <c r="E38" i="4"/>
  <c r="F33" i="4"/>
  <c r="F29" i="4"/>
  <c r="E29" i="4"/>
  <c r="F27" i="4"/>
  <c r="F21" i="4"/>
  <c r="F15" i="4"/>
  <c r="E136" i="3"/>
  <c r="A136" i="3"/>
  <c r="F129" i="3"/>
  <c r="F127" i="3"/>
  <c r="F126" i="3"/>
  <c r="F125" i="3"/>
  <c r="E115" i="3"/>
  <c r="F109" i="3"/>
  <c r="F108" i="3"/>
  <c r="F107" i="3"/>
  <c r="F106" i="3"/>
  <c r="F105" i="3"/>
  <c r="F100" i="3"/>
  <c r="F96" i="3"/>
  <c r="F91" i="3"/>
  <c r="F90" i="3"/>
  <c r="E90" i="3"/>
  <c r="F89" i="3"/>
  <c r="E89" i="3"/>
  <c r="F88" i="3"/>
  <c r="E88" i="3"/>
  <c r="F87" i="3"/>
  <c r="E87" i="3"/>
  <c r="F81" i="3"/>
  <c r="F80" i="3"/>
  <c r="E80" i="3"/>
  <c r="F79" i="3"/>
  <c r="E79" i="3"/>
  <c r="F78" i="3"/>
  <c r="E78" i="3"/>
  <c r="F77" i="3"/>
  <c r="E77" i="3"/>
  <c r="F76" i="3"/>
  <c r="E76" i="3"/>
  <c r="F75" i="3"/>
  <c r="E75" i="3"/>
  <c r="F71" i="3"/>
  <c r="F70" i="3"/>
  <c r="F69" i="3"/>
  <c r="F68" i="3"/>
  <c r="F65" i="3"/>
  <c r="F64" i="3"/>
  <c r="F62" i="3"/>
  <c r="F61" i="3"/>
  <c r="F60" i="3"/>
  <c r="E59" i="3"/>
  <c r="E58" i="3"/>
  <c r="E57" i="3"/>
  <c r="F56" i="3"/>
  <c r="F53" i="3"/>
  <c r="E53" i="3"/>
  <c r="F52" i="3"/>
  <c r="F51" i="3"/>
  <c r="F50" i="3"/>
  <c r="F49" i="3"/>
  <c r="F48" i="3"/>
  <c r="F47" i="3"/>
  <c r="E47" i="3"/>
  <c r="F46" i="3"/>
  <c r="F45" i="3"/>
  <c r="F42" i="3"/>
  <c r="E42" i="3"/>
  <c r="F41" i="3"/>
  <c r="E41" i="3"/>
  <c r="F40" i="3"/>
  <c r="E40" i="3"/>
  <c r="F39" i="3"/>
  <c r="E39" i="3"/>
  <c r="F38" i="3"/>
  <c r="E38" i="3"/>
  <c r="F33" i="3"/>
  <c r="F29" i="3"/>
  <c r="E29" i="3"/>
  <c r="F27" i="3"/>
  <c r="F21" i="3"/>
  <c r="F15" i="3"/>
  <c r="C50" i="2"/>
  <c r="H45" i="2"/>
  <c r="H44" i="2"/>
  <c r="F44" i="2"/>
  <c r="H43" i="2"/>
  <c r="F43" i="2"/>
  <c r="H42" i="2"/>
  <c r="F42" i="2"/>
  <c r="H41" i="2"/>
  <c r="F41" i="2"/>
  <c r="H40" i="2"/>
  <c r="F40" i="2"/>
  <c r="H39" i="2"/>
  <c r="F39" i="2"/>
  <c r="F25" i="2"/>
  <c r="F24" i="2"/>
  <c r="B24" i="2"/>
  <c r="A24" i="2"/>
  <c r="F23" i="2"/>
  <c r="B23" i="2"/>
  <c r="A23" i="2"/>
  <c r="F22" i="2"/>
  <c r="B22" i="2"/>
  <c r="A22" i="2"/>
  <c r="F21" i="2"/>
  <c r="B21" i="2"/>
  <c r="A21" i="2"/>
  <c r="F20" i="2"/>
  <c r="B20" i="2"/>
  <c r="A20" i="2"/>
  <c r="F19" i="2"/>
  <c r="B19" i="2"/>
  <c r="A19" i="2"/>
  <c r="F18" i="2"/>
  <c r="B18" i="2"/>
  <c r="A18" i="2"/>
  <c r="A15" i="2"/>
  <c r="M6" i="2"/>
  <c r="L6" i="2"/>
  <c r="K6" i="2"/>
  <c r="J6" i="2"/>
  <c r="I6" i="2"/>
  <c r="H6" i="2"/>
  <c r="G6" i="2"/>
  <c r="F6" i="2"/>
  <c r="E6" i="2"/>
  <c r="D6" i="2"/>
  <c r="C6" i="2"/>
  <c r="B6" i="2"/>
  <c r="L5" i="2"/>
  <c r="F5" i="2"/>
  <c r="D5" i="2"/>
  <c r="B5" i="2"/>
  <c r="D23" i="1"/>
  <c r="D22" i="1"/>
  <c r="D21" i="1"/>
  <c r="D20" i="1"/>
  <c r="D19" i="1"/>
  <c r="D18" i="1"/>
  <c r="D17" i="1"/>
  <c r="D16" i="1"/>
  <c r="D15" i="1"/>
  <c r="D14" i="1"/>
  <c r="D13" i="1"/>
  <c r="D12" i="1"/>
  <c r="D11" i="1"/>
  <c r="D10" i="1"/>
  <c r="D9" i="1"/>
  <c r="F113" i="9" l="1"/>
  <c r="F113" i="8"/>
  <c r="F113" i="7"/>
  <c r="F114" i="7" s="1"/>
  <c r="F113" i="6"/>
  <c r="F114" i="6"/>
  <c r="F117" i="6" s="1"/>
  <c r="F120" i="5"/>
  <c r="F113" i="5"/>
  <c r="F114" i="5"/>
  <c r="F117" i="5" s="1"/>
  <c r="F118" i="5"/>
  <c r="F114" i="4"/>
  <c r="F117" i="4" s="1"/>
  <c r="F113" i="4"/>
  <c r="F113" i="3"/>
  <c r="F114" i="3"/>
  <c r="F120" i="3" s="1"/>
  <c r="F114" i="9" l="1"/>
  <c r="F114" i="8"/>
  <c r="F120" i="7"/>
  <c r="F121" i="7" s="1"/>
  <c r="F131" i="7" s="1"/>
  <c r="F132" i="7" s="1"/>
  <c r="B136" i="7" s="1"/>
  <c r="F118" i="7"/>
  <c r="F117" i="7"/>
  <c r="F120" i="6"/>
  <c r="F118" i="6"/>
  <c r="F121" i="6" s="1"/>
  <c r="F131" i="6" s="1"/>
  <c r="F132" i="6" s="1"/>
  <c r="B136" i="6" s="1"/>
  <c r="F121" i="5"/>
  <c r="F131" i="5" s="1"/>
  <c r="F132" i="5" s="1"/>
  <c r="B136" i="5" s="1"/>
  <c r="F118" i="4"/>
  <c r="F121" i="4"/>
  <c r="F131" i="4" s="1"/>
  <c r="F132" i="4" s="1"/>
  <c r="B136" i="4" s="1"/>
  <c r="F120" i="4"/>
  <c r="F118" i="3"/>
  <c r="F117" i="3"/>
  <c r="F121" i="3"/>
  <c r="F131" i="3" s="1"/>
  <c r="F132" i="3" s="1"/>
  <c r="B136" i="3" s="1"/>
  <c r="F118" i="9" l="1"/>
  <c r="F117" i="9"/>
  <c r="F120" i="9"/>
  <c r="F121" i="9" s="1"/>
  <c r="F131" i="9" s="1"/>
  <c r="F132" i="9" s="1"/>
  <c r="B136" i="9" s="1"/>
  <c r="F120" i="8"/>
  <c r="F118" i="8"/>
  <c r="F117" i="8"/>
  <c r="F121" i="8" s="1"/>
  <c r="F131" i="8" s="1"/>
  <c r="F132" i="8" s="1"/>
  <c r="B136" i="8" s="1"/>
  <c r="D136" i="7"/>
  <c r="F136" i="7" s="1"/>
  <c r="F137" i="7" s="1"/>
  <c r="F138" i="7" s="1"/>
  <c r="E22" i="2"/>
  <c r="G22" i="2" s="1"/>
  <c r="I22" i="2" s="1"/>
  <c r="E21" i="2"/>
  <c r="G21" i="2" s="1"/>
  <c r="I21" i="2" s="1"/>
  <c r="D136" i="6"/>
  <c r="F136" i="6" s="1"/>
  <c r="F137" i="6" s="1"/>
  <c r="F138" i="6" s="1"/>
  <c r="E20" i="2"/>
  <c r="G20" i="2" s="1"/>
  <c r="I20" i="2" s="1"/>
  <c r="D136" i="5"/>
  <c r="F136" i="5" s="1"/>
  <c r="F137" i="5" s="1"/>
  <c r="F138" i="5" s="1"/>
  <c r="E19" i="2"/>
  <c r="G19" i="2" s="1"/>
  <c r="I19" i="2" s="1"/>
  <c r="D136" i="4"/>
  <c r="F136" i="4" s="1"/>
  <c r="F137" i="4" s="1"/>
  <c r="F138" i="4" s="1"/>
  <c r="E18" i="2"/>
  <c r="G18" i="2" s="1"/>
  <c r="D136" i="3"/>
  <c r="F136" i="3" s="1"/>
  <c r="F137" i="3" s="1"/>
  <c r="F138" i="3" s="1"/>
  <c r="E24" i="2" l="1"/>
  <c r="G24" i="2" s="1"/>
  <c r="I24" i="2" s="1"/>
  <c r="D136" i="9"/>
  <c r="F136" i="9" s="1"/>
  <c r="F137" i="9" s="1"/>
  <c r="F138" i="9" s="1"/>
  <c r="E23" i="2"/>
  <c r="G23" i="2" s="1"/>
  <c r="I23" i="2" s="1"/>
  <c r="D136" i="8"/>
  <c r="F136" i="8" s="1"/>
  <c r="F137" i="8" s="1"/>
  <c r="F138" i="8" s="1"/>
  <c r="I18" i="2"/>
  <c r="G25" i="2" l="1"/>
  <c r="I25" i="2"/>
  <c r="A50" i="2" s="1"/>
  <c r="E50" i="2" s="1"/>
  <c r="G51"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myjob</author>
  </authors>
  <commentList>
    <comment ref="D22" authorId="0" shapeId="0" xr:uid="{00000000-0006-0000-0000-000001000000}">
      <text>
        <r>
          <rPr>
            <sz val="9"/>
            <rFont val="Arial"/>
          </rPr>
          <t xml:space="preserve">Valor referente a 50% de R$ 112,00 conforme §3º da Cláusula 11ª, tendo em vista que os postos a ser lotados na Rodoviária trabalharão 6 horas por dia.
</t>
        </r>
      </text>
    </comment>
  </commentList>
</comments>
</file>

<file path=xl/sharedStrings.xml><?xml version="1.0" encoding="utf-8"?>
<sst xmlns="http://schemas.openxmlformats.org/spreadsheetml/2006/main" count="2228" uniqueCount="510">
  <si>
    <t>SINDICATO(S) DA(S) CATEGORIA(S) PROFISSIONAL(IS) ENVOLVIDA(S) NA PRESTAÇÃO DOS SERVIÇOS</t>
  </si>
  <si>
    <t>Sindicato das Empresa de Asseio e Conservação de MS</t>
  </si>
  <si>
    <t>Entrada de Dados</t>
  </si>
  <si>
    <t>Cláusulas da CCT</t>
  </si>
  <si>
    <t>Item da Planilha</t>
  </si>
  <si>
    <t>Valores</t>
  </si>
  <si>
    <t>Data Base da Categoria</t>
  </si>
  <si>
    <t>1ª</t>
  </si>
  <si>
    <t>1 de janeiro</t>
  </si>
  <si>
    <t>Salário normativo</t>
  </si>
  <si>
    <t>3ª</t>
  </si>
  <si>
    <t>1 - A</t>
  </si>
  <si>
    <t>Auxílio Alimentação</t>
  </si>
  <si>
    <t>14ª</t>
  </si>
  <si>
    <t>2.3 - B</t>
  </si>
  <si>
    <t>Cesta Básica</t>
  </si>
  <si>
    <t>12ª</t>
  </si>
  <si>
    <t>2.3 - F</t>
  </si>
  <si>
    <t>Parágrafo Quinto: O direito ao recebimento do “PRÊMIO CESTA BÁSICA”, independente da jornada de trabalho, está condicionado ao colaborador que não possuir nenhuma falta, seja ela justificada ou não ao trabalho, nenhum afastamento de suas atividades laborais (atestados ou licenças), ou seja, somente receberá o valor integral o colaborador que cumprir totalmente a sua jornada de trabalho diária e mensal bem como aqueles trabalhadores que não sofrerem nenhuma medida disciplinar (advertência formal, suspensão).</t>
  </si>
  <si>
    <t>Gratificação Encarregado - até 5 empregados</t>
  </si>
  <si>
    <t>5ª</t>
  </si>
  <si>
    <t>44 h</t>
  </si>
  <si>
    <t>Gratificação Encarregado - de 6 a 20 empregados</t>
  </si>
  <si>
    <t>Gratificação Encarregado - de 21 até 40 empregados</t>
  </si>
  <si>
    <t>Gratificação Encarregado - acima de 40 empregados</t>
  </si>
  <si>
    <t>Gratificação Jardineiro</t>
  </si>
  <si>
    <t>Gratificação Limpador de Vidros</t>
  </si>
  <si>
    <t>Proporcional 30 h</t>
  </si>
  <si>
    <t>PPS - Premiação de Posto de Serviço (Transbordo de ônibus)</t>
  </si>
  <si>
    <t>11ª</t>
  </si>
  <si>
    <t>As partes estabelecem que os trabalhadores vinculados às empresas de asseio e conservação que prestarem serviço nos locais específicos abaixo, somente enquanto estiver prestando serviço no respectivo local, terão direito ao recebimento de um prêmio mensal de caráter indenizatório, vinculado a assiduidade, sendo devida ao empregado que, no curso do mês, não tenha faltado ao trabalho, inclusive faltas justificadas ou abonadas, e que não integrará a remuneração nos termos do §2.º do art. 457 da CLT, segundo condições e valores abaixo indicados:
1 - Os empregados que trabalharem exclusivamente em: aeroportos, estações rodoviárias, ferroviárias, centros comerciais, shopping-center, supermercados, hospitais, posto de saúde, casas de diversões, lojas de departamentos, terminais de transbordo de ônibus urbanos, farão jus a uma premiação de: R$ 112,00
2 - (...)
3 - Os empregados que trabalharem em área rural, farão jus a uma premiação mensal de: R$ 100,00
Parágrafo Terceiro: Aos trabalhadores que exercem atividades em jornada em tempo parcial, tendo em vista que sua jornada de trabalho é reduzida em comparação com as demais modalidades de jornada de trabalho, o que faz com que seja necessária uma visão isonômica sobre a premiação a que se refere a presente cláusula, fará jus a um prêmio por assiduidade equivalente a 50% (cinquenta por cento) daquele devido aos trabalhadores cuja jornada de trabalho se enquadra nas demais modalidades previstas nesta CCT</t>
  </si>
  <si>
    <t>PPS - Premiação de Posto de Serviço (Rodoviária)</t>
  </si>
  <si>
    <t>Prêmios Especiais por posto de serviço (Escola Capilé e Fazenda Miya?)</t>
  </si>
  <si>
    <t>Benefício Social Familiar</t>
  </si>
  <si>
    <t>19ª</t>
  </si>
  <si>
    <t>Assistência e da inclusão social do trabalhador</t>
  </si>
  <si>
    <t>20ª</t>
  </si>
  <si>
    <t>Jornada de trabalho da CCT: 44horas</t>
  </si>
  <si>
    <t>32ª</t>
  </si>
  <si>
    <t>30 h ou 40 h</t>
  </si>
  <si>
    <t>Ano</t>
  </si>
  <si>
    <t>Salário mínimo (para cálculo insalubridade)</t>
  </si>
  <si>
    <t>Percentual de Insalubridade - limpeza de banheiro</t>
  </si>
  <si>
    <t xml:space="preserve">Vale transporte </t>
  </si>
  <si>
    <t>Decreto Municipal n.º 256 de 15/05/2025. Valor vigente a partir de 1º de junho de 2025</t>
  </si>
  <si>
    <t>RAT x FAP</t>
  </si>
  <si>
    <t xml:space="preserve">Média de dias trabalhados no mês </t>
  </si>
  <si>
    <t>Quantidade de passagens por dia - 30hs</t>
  </si>
  <si>
    <t>Quantidade de passagens por dia - 40hs</t>
  </si>
  <si>
    <t>SEMAS</t>
  </si>
  <si>
    <t>RESUMO - QUANTIDADE DE POSTOS</t>
  </si>
  <si>
    <t>Secretaria / Órgão</t>
  </si>
  <si>
    <t>Servente</t>
  </si>
  <si>
    <t>Limpador de Vidro</t>
  </si>
  <si>
    <t>Encarregado</t>
  </si>
  <si>
    <t>Jardineiro</t>
  </si>
  <si>
    <t>Total Estimado na Licitação</t>
  </si>
  <si>
    <t>Contratação Imediata</t>
  </si>
  <si>
    <t>Com Adicional</t>
  </si>
  <si>
    <t>Sem Adicional</t>
  </si>
  <si>
    <t>Externo</t>
  </si>
  <si>
    <t>Total</t>
  </si>
  <si>
    <t>CARGA HORÁRIA:</t>
  </si>
  <si>
    <t>30 h</t>
  </si>
  <si>
    <t>40 h</t>
  </si>
  <si>
    <t>PLANILHA :</t>
  </si>
  <si>
    <t>2 - A</t>
  </si>
  <si>
    <t>2 - B</t>
  </si>
  <si>
    <t>2 - C</t>
  </si>
  <si>
    <t>-</t>
  </si>
  <si>
    <t>2 - D</t>
  </si>
  <si>
    <t>2 - E</t>
  </si>
  <si>
    <t>2 - F</t>
  </si>
  <si>
    <t>2 - G</t>
  </si>
  <si>
    <t>Conforme Item 5.5.2 do Termo de Referência, os serviços deverão ser prestados nos seguintes horários:</t>
  </si>
  <si>
    <t xml:space="preserve">SEMAS: </t>
  </si>
  <si>
    <t xml:space="preserve">a.Sede e diversos programas: das 07:30 às 13:30, , perfazendo uma jornada de 30 horas semanais, sendo 6 (seis) horas diárias, de segunda-feira à sexta-feira. </t>
  </si>
  <si>
    <t xml:space="preserve">b.Exceções: Casa da Acolhida, CREAS e Centro POP: das 7:00 às 11:00 e das 13:00 às 17:00, perfazendo uma jornada de 40 horas semanais, sendo 8 (oito) horas diárias, de segunda-feira à sexta-feira. </t>
  </si>
  <si>
    <t xml:space="preserve">RESUMO I - ESTIMATIVA REF.: CUSTEIO M.O. </t>
  </si>
  <si>
    <t>Planilha:</t>
  </si>
  <si>
    <t>Posto</t>
  </si>
  <si>
    <t>Valor Unitário</t>
  </si>
  <si>
    <t>Quantidade de postos</t>
  </si>
  <si>
    <t>Valor Mensal</t>
  </si>
  <si>
    <t>Quant. Meses</t>
  </si>
  <si>
    <t>Valor total estimado da contratação</t>
  </si>
  <si>
    <t xml:space="preserve">TOTAL GERAL (RESUMO I - ESTIMATIVA REF.: CUSTEIO M.O. SEMAS ): </t>
  </si>
  <si>
    <t>RESUMO II - FORMAÇÃO DE PREÇOS APOIO TECNOLÓGICO</t>
  </si>
  <si>
    <t>DESCRIÇÃO</t>
  </si>
  <si>
    <t>QTDD</t>
  </si>
  <si>
    <t>SUBTOTAL</t>
  </si>
  <si>
    <t>Quant. Mensal</t>
  </si>
  <si>
    <t>Licenças do Software de Gestão</t>
  </si>
  <si>
    <t>Licenças Gerenciamento de frequência e Documentos</t>
  </si>
  <si>
    <t>Terminal Biométrico</t>
  </si>
  <si>
    <t>Dispositivos móveis (celular ou tablet)</t>
  </si>
  <si>
    <t>Chip de comunicação de dados para conectividade</t>
  </si>
  <si>
    <t>Estação de trabalho completa, incluindo monitor e nobreak;(um) serviço de instalação física, rede lógica dos equipamentos e configuração dos softwares contratados</t>
  </si>
  <si>
    <t>TOTAL GERAL RESUMO II CUSTEIO AP. TEC. SEMAS</t>
  </si>
  <si>
    <t>PREÇO FINAL SEMAS</t>
  </si>
  <si>
    <t>TOTAL DO RESUMO I SEMAS</t>
  </si>
  <si>
    <t>+</t>
  </si>
  <si>
    <t>TOTAL DO RESUMO II SEMAS</t>
  </si>
  <si>
    <t>=</t>
  </si>
  <si>
    <t>PREÇO FINAL (12 MESES) SEMAS</t>
  </si>
  <si>
    <t>PLANILHA DE CUSTOS E FORMAÇÃO DE PREÇOS</t>
  </si>
  <si>
    <t>SEMAS - SERVENTE COM INSALUBRIDADE - 30 HORAS</t>
  </si>
  <si>
    <t xml:space="preserve">Processo nº </t>
  </si>
  <si>
    <t>Pregão nº ___/2026</t>
  </si>
  <si>
    <t>Data do Pregão: ___ / ___ / ______</t>
  </si>
  <si>
    <t>I. Discriminação dos Serviços - Servente</t>
  </si>
  <si>
    <t>►</t>
  </si>
  <si>
    <t>Data de apresentação da proposta (dia/mês/ano)</t>
  </si>
  <si>
    <t>___/____/______</t>
  </si>
  <si>
    <t>Município/UF</t>
  </si>
  <si>
    <t>Dourados/MS</t>
  </si>
  <si>
    <t>Vigência do Acordo, Convenção ou Sentença Normativa em Dissídio Coletivo</t>
  </si>
  <si>
    <t>1º/01/2026 a 31/12/2026</t>
  </si>
  <si>
    <t>Nº de meses de execução contratual</t>
  </si>
  <si>
    <t>II. Identificação do Serviço</t>
  </si>
  <si>
    <t>Tipo de Serviço</t>
  </si>
  <si>
    <t>Unidade de Medida</t>
  </si>
  <si>
    <t xml:space="preserve">Quantidade total a contratar </t>
  </si>
  <si>
    <t>Servente Interno: 30 h + Insalubridade</t>
  </si>
  <si>
    <t>Mão-de-obra vinculada à execução contratual</t>
  </si>
  <si>
    <t>Dados para composição dos custos referente à mão-de-obra</t>
  </si>
  <si>
    <t>Tipo de serviço (mesmo serviço com características distintas)</t>
  </si>
  <si>
    <t>Limpeza e conserv.</t>
  </si>
  <si>
    <t>Classificação Brasileira de Ocupações (CBO)</t>
  </si>
  <si>
    <t>5143-20</t>
  </si>
  <si>
    <t>Salário Normativo da Categoria Profissional 44 HRS</t>
  </si>
  <si>
    <t>Categoria profissional (vinculada à execução contratual)</t>
  </si>
  <si>
    <t>Data base da categoria (dia/mês/ano)</t>
  </si>
  <si>
    <t>1º de janeiro de 2026</t>
  </si>
  <si>
    <t>Módulo 1 - Composição da Remuneração</t>
  </si>
  <si>
    <t>Composição da Remuneração</t>
  </si>
  <si>
    <t>Valor (R$)</t>
  </si>
  <si>
    <t>A</t>
  </si>
  <si>
    <t>Salário-Base</t>
  </si>
  <si>
    <t>B</t>
  </si>
  <si>
    <t>Adicional de Periculosidade</t>
  </si>
  <si>
    <t>C</t>
  </si>
  <si>
    <t>Adicional de Insalubridade</t>
  </si>
  <si>
    <t>D</t>
  </si>
  <si>
    <t>Adicional Noturno</t>
  </si>
  <si>
    <t>E</t>
  </si>
  <si>
    <t>Adicional de Hora Noturna Reduzida</t>
  </si>
  <si>
    <t>F</t>
  </si>
  <si>
    <t>Outros (Especificar)</t>
  </si>
  <si>
    <t>Módulo 2 - Encargos e Benefícios Anuais, Mensais e Diários</t>
  </si>
  <si>
    <t>Submódulo 2.1 - 13º (décimo terceiro) Salário, Férias e Adicional de Férias</t>
  </si>
  <si>
    <t>2.1</t>
  </si>
  <si>
    <t>13º (décimo terceiro) Salário, Férias e Adicional de Férias</t>
  </si>
  <si>
    <t>Percentual (%)</t>
  </si>
  <si>
    <t>13º (décimo terceiro) Salário</t>
  </si>
  <si>
    <t>Férias e Adicional de Férias</t>
  </si>
  <si>
    <t>Incidência do Submódulo 2.2 sobre 13º Salário , Férias e Adicional de Férias</t>
  </si>
  <si>
    <t>Submódulo 2.2 - Encargos Previdenciários (GPS), Fundo de Garantia por Tempo de Serviço (FGTS) e outras contribuições</t>
  </si>
  <si>
    <t>2.2</t>
  </si>
  <si>
    <t>GPS, FGTS e outras contribuições</t>
  </si>
  <si>
    <t>INSS</t>
  </si>
  <si>
    <t>Salário Educação</t>
  </si>
  <si>
    <t>SAT</t>
  </si>
  <si>
    <t>SESC ou SESI</t>
  </si>
  <si>
    <t>SENAI - SENAC</t>
  </si>
  <si>
    <t>SEBRAE</t>
  </si>
  <si>
    <t>G</t>
  </si>
  <si>
    <t>INCRA</t>
  </si>
  <si>
    <t>H</t>
  </si>
  <si>
    <t>FGTS</t>
  </si>
  <si>
    <t xml:space="preserve">Total </t>
  </si>
  <si>
    <t>Submódulo 2.3 - Benefícios Mensais e Diários.</t>
  </si>
  <si>
    <t>2.3</t>
  </si>
  <si>
    <t>Benefícios Mensais e Diários</t>
  </si>
  <si>
    <t>Transporte [=((A.1)*(A.2)*(A.3))-(SB*6%)]</t>
  </si>
  <si>
    <t>A.1. Valor da tarifa do transporte coletivo em Dourados/MS:</t>
  </si>
  <si>
    <t>A.2. Quantidade de passagens por dia por empregado:</t>
  </si>
  <si>
    <t>A.3. Quantidade dias/mês:</t>
  </si>
  <si>
    <t>Auxílio-Refeição/Alimentação</t>
  </si>
  <si>
    <t>Benefício Assistencial ao Trabalhador</t>
  </si>
  <si>
    <t>"Prêmios" (aeroporto, rodoviária e postos de saúde)</t>
  </si>
  <si>
    <t>Prêmio Cesta Básica</t>
  </si>
  <si>
    <t>Quadro-Resumo do Módulo 2 - Encargos e Benefícios anuais, mensais e diários</t>
  </si>
  <si>
    <t>Encargos e Benefícios Anuais, Mensais e Diários</t>
  </si>
  <si>
    <t>GPS, FGTS e outras contribuições (incidência sobre o Módulo 1 e Submódulo 2.1)</t>
  </si>
  <si>
    <t>Módulo 3 - Provisão para Rescisão</t>
  </si>
  <si>
    <t>Provisão para Rescisão</t>
  </si>
  <si>
    <t>Aviso Prévio Indenizado (API)</t>
  </si>
  <si>
    <t>Incidência do FGTS sobre o Aviso Prévio Indenizado</t>
  </si>
  <si>
    <t>Multa do FGTS sobre o Aviso Prévio Indenizado</t>
  </si>
  <si>
    <t>Aviso Prévio Trabalhado</t>
  </si>
  <si>
    <t>Incidência dos encargos do submódulo 2.2 sobre o Aviso Prévio Trabalhado</t>
  </si>
  <si>
    <t>Multa do FGTS sobre o Aviso Prévio Trabalhado</t>
  </si>
  <si>
    <t>Módulo 4 - Custo de Reposição do Profissional Ausente</t>
  </si>
  <si>
    <t>Submódulo 4.1 - Ausências Legais</t>
  </si>
  <si>
    <t>4.1</t>
  </si>
  <si>
    <t>Ausências Legais</t>
  </si>
  <si>
    <t>Férias</t>
  </si>
  <si>
    <t>Licença-Paternidade</t>
  </si>
  <si>
    <t>Ausência por acidente de trabalho</t>
  </si>
  <si>
    <t>Afastamento Maternidade</t>
  </si>
  <si>
    <t>Outros (especificar)</t>
  </si>
  <si>
    <t>Submódulo 4.2 - Intrajornada</t>
  </si>
  <si>
    <t>4.2</t>
  </si>
  <si>
    <t>Intrajornada</t>
  </si>
  <si>
    <t>Intervalo para repouso e alimentação</t>
  </si>
  <si>
    <t>Quadro-Resumo do Módulo 4 - Custo de Reposição do Profissional Ausente</t>
  </si>
  <si>
    <t>Custo de Reposição do Profissional Ausente</t>
  </si>
  <si>
    <t>Módulo 5 - Insumos Diversos</t>
  </si>
  <si>
    <t>Insumos Diversos</t>
  </si>
  <si>
    <t>Uniformes</t>
  </si>
  <si>
    <t>EPI'S</t>
  </si>
  <si>
    <t>Materiais</t>
  </si>
  <si>
    <t>Equipamentos</t>
  </si>
  <si>
    <t>Módulo 6 - Custos Indiretos, Tributos e Lucro</t>
  </si>
  <si>
    <t>Custos Indiretos, Tributos e Lucro</t>
  </si>
  <si>
    <t>Custos Indiretos</t>
  </si>
  <si>
    <t>Lucro</t>
  </si>
  <si>
    <t>Tributos</t>
  </si>
  <si>
    <t>C.1. Tributos Federais (especificar)</t>
  </si>
  <si>
    <t>C.1.1. PIS</t>
  </si>
  <si>
    <t>C.1.2. COFINS</t>
  </si>
  <si>
    <t>C.2. Tributos Estaduais (especificar)</t>
  </si>
  <si>
    <t>C.3. Tributos Municipais (ISS)</t>
  </si>
  <si>
    <t>QUADRO-RESUMO DO CUSTO POR EMPREGADO</t>
  </si>
  <si>
    <t>Mão de obra vinculada à execução contratual (valor por empregado)</t>
  </si>
  <si>
    <t>Subtotal (A + B +C+ D+E)</t>
  </si>
  <si>
    <t>Módulo 6 – Custos Indiretos, Tributos e Lucro</t>
  </si>
  <si>
    <t xml:space="preserve">Valor Total por Empregado </t>
  </si>
  <si>
    <t>QUADRO RESUMO - VALORES MENSAL DOS SERVIÇOS</t>
  </si>
  <si>
    <t>Tipo de Serviço
(A)</t>
  </si>
  <si>
    <t>Valor proposto por empregado 
(B)</t>
  </si>
  <si>
    <t>Quantidade de empregados por posto
(C)</t>
  </si>
  <si>
    <t>Valor proposto por posto
(D)</t>
  </si>
  <si>
    <t>Quantidade de postos
(E)</t>
  </si>
  <si>
    <t>Valor total de serviço 
(F= D * E)</t>
  </si>
  <si>
    <t>VALOR MENSAL DOS SERVIÇOS</t>
  </si>
  <si>
    <t>VALOR ANUAL DOS SERVIÇOS</t>
  </si>
  <si>
    <t>SEMAS - SERVENTE COM INSALUBRIDADE - 40 HORAS</t>
  </si>
  <si>
    <t>Servente Interno: 40 h + Insalubridade</t>
  </si>
  <si>
    <t>SEMAS - SERVENTE - 30 HORAS</t>
  </si>
  <si>
    <t>Servente Interno: 30 h</t>
  </si>
  <si>
    <t>Servente Externo: 30 h</t>
  </si>
  <si>
    <t>SEMAS - SERVENTE - 40 HORAS</t>
  </si>
  <si>
    <t>Servente Externo: 40 h</t>
  </si>
  <si>
    <t>SEMAS - ENCARREGADO - 30 HORAS</t>
  </si>
  <si>
    <t>Encarregado de limpeza: 30 h</t>
  </si>
  <si>
    <t>Encarregado de limpeza</t>
  </si>
  <si>
    <t>4101-05</t>
  </si>
  <si>
    <t>para este cargo não há EPIs</t>
  </si>
  <si>
    <t>para este cargo não há materiais</t>
  </si>
  <si>
    <t>para este cargo não há equipamentos</t>
  </si>
  <si>
    <t>SEMAS - JARDINEIRO - 30 HORAS</t>
  </si>
  <si>
    <t>Jardineiro: 30 h</t>
  </si>
  <si>
    <t>6220-10</t>
  </si>
  <si>
    <t xml:space="preserve"> UNIFORMES POR FUNÇÃO </t>
  </si>
  <si>
    <t>SERVENTE INTERNO</t>
  </si>
  <si>
    <t>Item</t>
  </si>
  <si>
    <t>Descrição</t>
  </si>
  <si>
    <t>Unidade</t>
  </si>
  <si>
    <t>Quantidade Anual por Posto
(A)</t>
  </si>
  <si>
    <t>Pesquisa de Preços</t>
  </si>
  <si>
    <t>Total Anual
(G=A*F))</t>
  </si>
  <si>
    <t>Fornecedor 1
(B)</t>
  </si>
  <si>
    <t>Fornecedor 2
(C)</t>
  </si>
  <si>
    <t>Fornecedor 3
(E)</t>
  </si>
  <si>
    <t>Fornecedor 4</t>
  </si>
  <si>
    <t>Fornecedor 5</t>
  </si>
  <si>
    <t>Média unitária dos preços
(F=MÉDIA (B:E))</t>
  </si>
  <si>
    <t>Camiseta malha fina gola em v, manga curta, com identificação da empresa, Cor a Definir.</t>
  </si>
  <si>
    <t>AMAZON SERVICOS DE VAREJO DO BRASIL LTDA
CNPJ: 15436940000103</t>
  </si>
  <si>
    <t>TOPVISION COMERCIO E SERVICOS LTDA
CNPJ: 17099595000187</t>
  </si>
  <si>
    <t>ANDRE ANTONIO SABINO ME
CNPJ: 27743380000100</t>
  </si>
  <si>
    <t>TEX TEXTIL LTDA
CNPJ: 60250972000166</t>
  </si>
  <si>
    <t>KUADRADUS INDUSTRIA E COMERCIO DE ARTIGOS ESPORTIVOS LTDA
CNPJ: 03775336000114</t>
  </si>
  <si>
    <t>Calça comprida de cós alto em tecido de brim 100% algodão preencolhido, com elástico na cintura, bolso na lateral.</t>
  </si>
  <si>
    <t>MARQUES UNIFORMES LTDA
CNPJ: 58289095000195</t>
  </si>
  <si>
    <t>THIAGO HENRIQUE DE RAMOS 45575633845
CNPJ: 37696477000163</t>
  </si>
  <si>
    <t>EBAZAR.COM.BR. LTDA
CNPJ: 03007331000141</t>
  </si>
  <si>
    <t>ALAIDE ALVES DOS SANTOS
CNPJ: 03177123000190</t>
  </si>
  <si>
    <t>MARK LEWIS UNIFORMES PROFISSIONAIS LTDA
CNPJ: 46419870000109</t>
  </si>
  <si>
    <t>Meia em algodão, tipo soquete.</t>
  </si>
  <si>
    <t>Par</t>
  </si>
  <si>
    <t>CARLOS EDUARDO RAMALHO
CNPJ: 37150021000101</t>
  </si>
  <si>
    <t>ALFA OMEGA SERVICOS TERCEIRIZADOS LTDA
CNPJ: 16650774000106</t>
  </si>
  <si>
    <t>Calçado especializado para o uso profissional, unissex, solado antiderrapante, acompanhado de palmilha, com material macio, flexível e impermeável.</t>
  </si>
  <si>
    <t>MARBA COMERCIAL LTDA
CNPJ: 49776241000116</t>
  </si>
  <si>
    <t>BLUSAFE EQUIPAMENTOS DE PROTECAO INDIVIDUAL LTDA
CNPJ: 36091140000160</t>
  </si>
  <si>
    <t>Total Anual por Posto</t>
  </si>
  <si>
    <t>Quantidade de meses</t>
  </si>
  <si>
    <t>Total Mensal por posto</t>
  </si>
  <si>
    <t>LIMPADOR DE VIDRO</t>
  </si>
  <si>
    <t>Fornecedor 1</t>
  </si>
  <si>
    <t>Fornecedor 2</t>
  </si>
  <si>
    <t>Fornecedor 3</t>
  </si>
  <si>
    <t>Média unitária dos preços
(D)</t>
  </si>
  <si>
    <t>Camiseta malha fria PV, manga longa, gola V, com emblema da empresa</t>
  </si>
  <si>
    <t>PETTER UNIFORMES LTDA
CNPJ: 16996110000195</t>
  </si>
  <si>
    <t>R F DA SILVA RTI SUBLIMATICA
CNPJ: 36584748000126</t>
  </si>
  <si>
    <t>VEST BEM UNIFORMES, CONFECCOES E LIMPEZA LTDA
CNPJ: 49613182000165</t>
  </si>
  <si>
    <t>ENCARREGADO</t>
  </si>
  <si>
    <t>Camisa polo em malha piquet, mangas curtas, com 2 ou 3 botões frontais, cor a definir, com logo da empresa bordada</t>
  </si>
  <si>
    <t>MARIA DO SOCORRO SOUSA DO VALE
CNPJ: 26461086000143</t>
  </si>
  <si>
    <t>YVU INDUSTRIA DE CONFECCOES LTDA
CNPJ: 14344612000106</t>
  </si>
  <si>
    <t>LANA UNIFORMES LTDA
CNPJ: 48988407000103</t>
  </si>
  <si>
    <t>Calça jeans, azul índigo/escuro, corte clássico com bolsos, de boa qualidade</t>
  </si>
  <si>
    <t>A NOVA SOLUÇÃO LTDA
CNPJ: 70157680000137</t>
  </si>
  <si>
    <t>NOVA RIO SERVIÇOS GERAIS LTDA
CNPJ: 29212545000143</t>
  </si>
  <si>
    <t>UNIPROT COMERCIO DE EQUIPAMENTOS DE SEGURANCA LTDA
CNPJ: 71595722000184</t>
  </si>
  <si>
    <t>RP TEXTIL LTDA
CNPJ: 43715476000111</t>
  </si>
  <si>
    <t>Cinto de couro, com fivela, na cor preta</t>
  </si>
  <si>
    <t>PARANASEG EQUIPAMENTOS E SUPRIMENTOS INDUSTRIAIS LTDA
CNPJ: 43058709000150</t>
  </si>
  <si>
    <t>61.093.692 ELISANGELA MOREIRA DE VASCONCELOS
CNPJ: 61093692000154</t>
  </si>
  <si>
    <t>SUELEN LOPES DOS SANTOS 17224131741
CNPJ: 44270347000120</t>
  </si>
  <si>
    <t>EMPREENDIMENTO LGA LTDA
CNPJ: 37278582000182</t>
  </si>
  <si>
    <t>Meia de algodão, tipo soquete</t>
  </si>
  <si>
    <t>Sapato fechado, tipo mocassim ou social.</t>
  </si>
  <si>
    <t>TOPMIX UTILIDADES E SERVICOS LTDA
CNPJ: 30994121000167</t>
  </si>
  <si>
    <t>FERNANDO CEZAR RABELO DE OLIVEIRA LTDA
CNPJ: 28971746000161</t>
  </si>
  <si>
    <t>VIA SPORTS COMERCIO E INDUSTRIA DE CONFECCOES LTDA
CNPJ: 19895094000132</t>
  </si>
  <si>
    <t>JARDINEIRO E SERVENTES EXTERNOS</t>
  </si>
  <si>
    <t>Calça comprida em tecido brim, com bolsos nas laterais.</t>
  </si>
  <si>
    <t>Meias em algodão, tipo soquete</t>
  </si>
  <si>
    <t>Botas de couro de cano médio com biqueira em aço e proteção anti-corte;</t>
  </si>
  <si>
    <t>PROTEGGERE COMERCIO DE EPIS LTDA
CNPJ: 12670981000163</t>
  </si>
  <si>
    <t>ARMAZEM COMERCIAL NOVO LAR LTDA
CNPJ: 24556839000179</t>
  </si>
  <si>
    <t>Boné em tecido tipo sarja no modelo legionário (com cobertura na nuca) e com velcro na frente para fechamento e ajustes.</t>
  </si>
  <si>
    <t>COMERCIAL MAIORKY LTDA
CNPJ: 07611611000115</t>
  </si>
  <si>
    <t>D F COMERCIO DE EPIS FERRAMENTAS E EQUIPAMENTOS IND. LTDA EP
CNPJ: 23724306000196</t>
  </si>
  <si>
    <t xml:space="preserve"> EPI'S POR FUNÇÃO</t>
  </si>
  <si>
    <t>Quantidade Anual por funcionário
(A)</t>
  </si>
  <si>
    <t>Óculos de proteção incolor: Utilizado para limpeza de vidros e manuseio de produtos químicos</t>
  </si>
  <si>
    <t>POTENCIAL COMERCIO E SERVICOS LTDA
CNPJ: 18729614000174</t>
  </si>
  <si>
    <t>COMERCIO ROMANO LTDA
CNPJ: 44943068000180</t>
  </si>
  <si>
    <t>EXPRESSO SAUDE LTDA
CNPJ: 10815369000106</t>
  </si>
  <si>
    <t>RITHEUS COMERCIO E SERVICOS LTDA
CNPJ: 03207567000121</t>
  </si>
  <si>
    <t>Luvas de látex, cano longo: Utilização de produtos químicos e limpeza em geral</t>
  </si>
  <si>
    <t>CREATIVE THINGS COMERCIO DE DISTRIBUICAO LTDA
CNPJ: 10206542000179</t>
  </si>
  <si>
    <t>FALCAO E CRUZ COMERCIO DE ALIMENTOS LTDA
CNPJ: 09587749000151</t>
  </si>
  <si>
    <t>AC EMPREENDIMENTOS LTDA
CNPJ: 21635989000180</t>
  </si>
  <si>
    <t>RBL SOLUCOES INTREGAS LTDA
CNPJ: 41247496000180</t>
  </si>
  <si>
    <t>Máscara proteção, modelo N95/PFF2 para poeiras, fumos e névoas. Poeiras e nevoas (baixa concentração)</t>
  </si>
  <si>
    <t>Unid.</t>
  </si>
  <si>
    <t>MAGAZINE LUIZA S/A
CNPJ: 47960950108836</t>
  </si>
  <si>
    <t>LA DALLAPORTA JUNIOR
CNPJ: 11145401000156</t>
  </si>
  <si>
    <t>SERVAL SERVICOS E LIMPEZA LTDA
CNPJ: 07360290000638</t>
  </si>
  <si>
    <t>ARLIMED DISTRIBUIDORA
CNPJ: 18362195000185</t>
  </si>
  <si>
    <t>Bota de borracha, cano longo</t>
  </si>
  <si>
    <t>GLOBAL SOLUCOES COMERCIO E SERVICOS LTDA
CNPJ: 59618874000150</t>
  </si>
  <si>
    <t>DRW COMERCIO LTDA
CNPJ: 59850232000181</t>
  </si>
  <si>
    <t>MASTERSUL EQUIPAMENTOS DE SEGURANCA LTDA
CNPJ: 18274923000105</t>
  </si>
  <si>
    <t>CINTO PARAQUEDISTA- 3 Argolas em aço (uma argola dorsal, e duas laterais) , ajuste na cintura, ajuste nas pernas, dois pontos  frontais, regulagem no suspensório e acolchoamento. Com C.A.</t>
  </si>
  <si>
    <t>RAVD EPI E CONSULTORIA SST LTDA
CNPJ: 27136199000136</t>
  </si>
  <si>
    <t>JFB EMPREENDIMENTOS LTDA
CNPJ: 13582905000169</t>
  </si>
  <si>
    <t>BLUSAFE EQUIPAMENTOS DE PROTEÇÃO INDIVIDUAL LTDA
CNPJ: 36091140000160</t>
  </si>
  <si>
    <t>SAFE - SUPPLY IT SUPRIMENTOS LTDA
CNPJ: 14183614000160</t>
  </si>
  <si>
    <t>Óculos de proteção, com lente de policarbonato, com fibras UVA e UVB e hastes ajustáveis de nylon resistente.</t>
  </si>
  <si>
    <t>unidade</t>
  </si>
  <si>
    <t>OESTE MED COMERCIO E IMPORTACAO DE PRODUTOS HOSPITALARES LTDA
CNPJ: 28069066000157</t>
  </si>
  <si>
    <t>DENTAL BONSUCESSO PRODUTOS ODONTOLOGICOS LTDA
CNPJ: 02482141000113</t>
  </si>
  <si>
    <t>LEROY MERLIN COMPANHIA BRASILEIRA DE BRICOLAGEM
CNPJ: 01438784004860</t>
  </si>
  <si>
    <t>ESTRELA COMERCIO DE PRODUTOS MEDICOS E HOSPITALARES LTDA
CNPJ: 02209788000176</t>
  </si>
  <si>
    <t>59 113 312 MARCELO MOREIRA GOMES
CNPJ: 59113312000154</t>
  </si>
  <si>
    <t>Descensor</t>
  </si>
  <si>
    <t>D&amp;F COMERCIO DE EPI S FERRAMENTAS E EQUIPAMENTOS INDUSTRIAIS LTDA
CNPJ: 23724306000196</t>
  </si>
  <si>
    <t>ALTITUDE COMERCIO DE EQUIPAMENTOS ESPORTIVOS LTDA
CNPJ: 11456144000173</t>
  </si>
  <si>
    <t>SOLL -SERVICOS OBRAS E LOCACOES LTDA
CNPJ: 00323090000151</t>
  </si>
  <si>
    <t>BUNZL EQUIPAMENTOS PARA PROTECAO INDIVIDUAL LTDA
CNPJ: 43854777000126</t>
  </si>
  <si>
    <t>Trava Queda</t>
  </si>
  <si>
    <t>VDM EQUIPAMENTOS DE SEGURANCA E UNIFORMES LTDA
CNPJ: 06921384000161</t>
  </si>
  <si>
    <t>HANDREIY VINICIUS MORAES DJUBATIE MANUTENCAO
CNPJ: 32300137000158</t>
  </si>
  <si>
    <t>BP COMERCIO E SERVICO LTDA
CNPJ: 53251760000138</t>
  </si>
  <si>
    <t>FACCINA DALTORA EQUIPAMENTOS DE SEGURANCA LTDA
CNPJ: 04584756000186</t>
  </si>
  <si>
    <t>Capacete sem aba para serviço em altura</t>
  </si>
  <si>
    <t>CAZAROTTO CIA.LTDA
CNPJ: 92232388000174</t>
  </si>
  <si>
    <t>Ascensor</t>
  </si>
  <si>
    <t>BUNKER FORNECIMENTO DE MATERIAIS TATICOS UNIFORMES E EPIS LTDA
CNPJ: 53998445000179</t>
  </si>
  <si>
    <t>GRUPO CASAS BAHIA S.A.
CNPJ: 33041260065290</t>
  </si>
  <si>
    <t>SUPREMA MAQUINAS E FERRAMENTAS
CNPJ: 59853551000140</t>
  </si>
  <si>
    <t>SEA &amp; NAUTICA LTDA
CNPJ: 70994140000108</t>
  </si>
  <si>
    <t>39.425.550 THAYNAH LAIS FERREIRA CAMPOS DOS SANTOS
CNPJ: 39425550000198</t>
  </si>
  <si>
    <t>Mosquetão oval</t>
  </si>
  <si>
    <t>SAFE - SUPPLY &amp; IT SUPRIMENTOS LTDA
CNPJ: 14183614000160</t>
  </si>
  <si>
    <t>COMERCIAL GUARA LTDA
CNPJ: 07731777000175</t>
  </si>
  <si>
    <t>FGS COMERCIAL LTDA
CNPJ: 39988022000147</t>
  </si>
  <si>
    <t>Estribo Um Degrau</t>
  </si>
  <si>
    <t>MAXQUALITY INDUSTRIA E COMERCIO LTDA
CNPJ: 21718712000110</t>
  </si>
  <si>
    <t>TIAGO MARTINS DE LIMA EQUIPAMENTOS ME
CNPJ: 17924845000176</t>
  </si>
  <si>
    <t>Corda Semi Estática</t>
  </si>
  <si>
    <t>COMANDO BRAVO LICITACAO E IMPORTACAO LTDA
CNPJ: 48749155000151</t>
  </si>
  <si>
    <t>INFZONE LTDA
CNPJ: 59351264000132</t>
  </si>
  <si>
    <t>TALABARTE DE SEGURANÇA - TALABARTE DE SEGURANÇA, 2 mosquetores trava dupla *53*mm de abertura, com absorvedor de energia</t>
  </si>
  <si>
    <t>DF COMERCIO E SERVICOS LTDA
CNPJ: 45644476000101</t>
  </si>
  <si>
    <t>CAWEL MATERIAIS ELETRICOS LTDA
CNPJ: 44722099000100</t>
  </si>
  <si>
    <t>N MARCHON OLIVEIRA COMERCIO ONLINE LTDA
CNPJ: 39531227000107</t>
  </si>
  <si>
    <t>CLARUS COMERCIO DE EPI'S E FERRAMENTAS LTDA
CNPJ: 06012849000161</t>
  </si>
  <si>
    <t>JARDINEIRO e SERVENTE EXTERNO</t>
  </si>
  <si>
    <t>Capa plástica com capuz</t>
  </si>
  <si>
    <t>ZENI PEREIRA DA SILVA MARTINS
CNPJ: 06103925000144</t>
  </si>
  <si>
    <t>CITY CLEAN COM. EQUIPAMENTOS LTDA
CNPJ: 48256518000117</t>
  </si>
  <si>
    <t>SAMUEL SILVA DE MOURA LTDA
CNPJ: 38149368000199</t>
  </si>
  <si>
    <t>FORTPEL COMERCIO DE DESCARTAVEIS LTDA - PE
CNPJ: 22006201000139</t>
  </si>
  <si>
    <t>Luva de segurança confeccionada em vaqueta na palma, face palmar dos dedos e unheira, reforço interno em vaqueta na palma, dorso e face dorsal dos dedos em náilon com elástico para ajuste, tamanho único - Com certificação do DSST/Ministério do Trabalho e Emprego.</t>
  </si>
  <si>
    <t>PAR</t>
  </si>
  <si>
    <t>L. DE NARDIN LTDA
CNPJ: 47363565000105</t>
  </si>
  <si>
    <t>THS TECNOLOGIA INFORMACAO E COMUNICACAO LTDA
CNPJ: 10757593000199</t>
  </si>
  <si>
    <t>SANTOS HEALTH &amp; SAFETY
CNPJ: 37565563000137</t>
  </si>
  <si>
    <t>Respirador descartável dobrável PPF1 – NR6.</t>
  </si>
  <si>
    <t>M7 ACESSORIOS LTDA
CNPJ: 12383275000130</t>
  </si>
  <si>
    <t>SILVA DE ALMEIDA CONSTRUCAO LTDA
CNPJ: 44123897000116</t>
  </si>
  <si>
    <t>ABEX SUPPLY IMPORTACAO E EXPORTACAO LTDA
CNPJ: 59527697000104</t>
  </si>
  <si>
    <t>TOTAL SEGURANCA EQUIPAMENTOS DE PROTECAO E SERVICOS ESPECIALIZADOS LTDA
CNPJ: 13851726000180</t>
  </si>
  <si>
    <t>Protetor solar FPS 50 ou superior (frasco de 1000ml), proteção contra radiações UVA e UVB.</t>
  </si>
  <si>
    <t>RF PRODUTOS HOSPITALARES E ODONTOLOGICOS LTDA
CNPJ: 43751565000113</t>
  </si>
  <si>
    <t>DIVINO ESPÍRITO SANTO SOLUÇÕES LTDA
CNPJ: 42819212000145</t>
  </si>
  <si>
    <t>SANIGRAN LTDA
CNPJ: 15153524000190</t>
  </si>
  <si>
    <t>DROGARIA BARAO LTDA
CNPJ: 69299360000132</t>
  </si>
  <si>
    <t>Protetor auricular tipo concha - Com certificação do DSST/Ministério
do Trabalho e Emprego.</t>
  </si>
  <si>
    <t>N S C COMERCIO E SERVICOS LTDA
CNPJ: 49550435000107</t>
  </si>
  <si>
    <t>VDM SEGURANCA LTDA.
CNPJ: 56922844000144</t>
  </si>
  <si>
    <t>HOPE RIO DISTRIBUIDORA LTDA
CNPJ: 47292532000103</t>
  </si>
  <si>
    <t>TATICO EQUIPAMENTOS DE SEGURANCA LTDA
CNPJ: 35761275000122</t>
  </si>
  <si>
    <t>Boné árabe de segurança em brim Teknoluvas, confeccionado em brim 100% algodão, com aba e fechamento em velcro, visando à proteção do crânio, pescoço e ombros do usuário contra agentes abrasivos e escoriantes.</t>
  </si>
  <si>
    <t>UNIDADE</t>
  </si>
  <si>
    <t>GRAFICA PRODATA LTDA
CNPJ: 28141384000181</t>
  </si>
  <si>
    <t>JS COMERCIO LTDA
CNPJ: 40211692000131</t>
  </si>
  <si>
    <t>E &amp; L MATERIAL DE CONSTRUCAO LTDA
CNPJ: 15328361000139</t>
  </si>
  <si>
    <t>MATERIAIS DIVERSOS</t>
  </si>
  <si>
    <t>Materiais Diversos</t>
  </si>
  <si>
    <t>Quantidade Anual
(A)</t>
  </si>
  <si>
    <t>Média unitária dos preços
(B)</t>
  </si>
  <si>
    <t>Total Anual
(C= A*B)</t>
  </si>
  <si>
    <t>Borrifador profissional, em plástico, com gatilho spray, para capacidade de 1 litro</t>
  </si>
  <si>
    <t>PROLIMP COMERCIO VAREJISTA DE PRODUTOS SANEANTES LTDA
CNPJ: 07622961000187</t>
  </si>
  <si>
    <t>DISTRIMIX SOLUCOES &amp; SERVICOS BRASIL LTDA
CNPJ: 51044835000184</t>
  </si>
  <si>
    <t>MAIS CONSTRUIR COMERCIO E SERVICOS LTDA
CNPJ: 24563754000118</t>
  </si>
  <si>
    <t>Extensão telescópica, com 3 estágios, de até 4,5m .</t>
  </si>
  <si>
    <t>DIS BAHIA EMPREENDIMENTOS LTDA
CNPJ: 19427953000169</t>
  </si>
  <si>
    <t>CWF BRASIL SERVICOS
CNPJ: 22068281000157</t>
  </si>
  <si>
    <t>Limpa vidro concentrado, 1 litro.</t>
  </si>
  <si>
    <t>AC CLEAN COMERCIO DE LIMPEZA LTDA
CNPJ: 26759927000101</t>
  </si>
  <si>
    <t>SULCLEAN SERVICOS LTDA
CNPJ: 06205427000102</t>
  </si>
  <si>
    <t>BRILLARE COMERCIO DE PRODUTOS DE HIGIENE E LIMPEZA LTDA
CNPJ: 25195487000136</t>
  </si>
  <si>
    <t>Pano de Microfibra Para Vidros 40x40cm</t>
  </si>
  <si>
    <t>DALO EMPREENDIMENTOS LTDA
CNPJ: 49709450000147</t>
  </si>
  <si>
    <t>IVANETE BOERI
CNPJ: 01819055000190</t>
  </si>
  <si>
    <t>DISTRIBUIDORA DAMBROSKI LTDA
CNPJ: 11583995000187</t>
  </si>
  <si>
    <t>R M CORES TINTAS E PARAFUSOS LTDA ME
CNPJ: 20549798000132</t>
  </si>
  <si>
    <t>Raspador de Segurança Para Vidros (Lâmina de 10 cm)</t>
  </si>
  <si>
    <t>ECOCLEAN COMERCIO PRODUTOS LIMPEZA LTDA ME
CNPJ: 01231540000149</t>
  </si>
  <si>
    <t>AVANTE BRASIL COMERCIO E DISTRIBUICAO DE SUPRIMENTOS LTDA
CNPJ: 32098715000115</t>
  </si>
  <si>
    <t>Rodo Combinado (formado por um LAVADOR, com luva de acrílico e por um LIMPADOR de vidros, com guia de metal e lâmina de borracha), 35cm com  cabo fixo de alumínio 45 cm</t>
  </si>
  <si>
    <t>G B COMERCIO E DISTRIBUICAO LTDA
CNPJ: 10782385000140</t>
  </si>
  <si>
    <t>FORTPEL COMERCIO DE DESCARTAVEIS LTDA - SP
CNPJ: 20102722000164</t>
  </si>
  <si>
    <t>Vassoura para limpeza de teto com cabo extensor de 3 metros</t>
  </si>
  <si>
    <t>ANGELA MARIA CANDIDA NUNES
CNPJ: 40519372000143</t>
  </si>
  <si>
    <t>N &amp; N COMERCIO DE PRODUTOS LTDA
CNPJ: 42351193000175</t>
  </si>
  <si>
    <t>Vassoura de jardim com cabo.</t>
  </si>
  <si>
    <t>BOM GOSTO COMERCIO DE ALIMENTOS LTDA
CNPJ: 58687793000149</t>
  </si>
  <si>
    <t>EVERTON PERTUSSATTI
CNPJ: 32532322000178</t>
  </si>
  <si>
    <t>J.J.VITALLI
CNPJ: 08658622000113</t>
  </si>
  <si>
    <t xml:space="preserve">Total Anual </t>
  </si>
  <si>
    <t xml:space="preserve">Total Mensal </t>
  </si>
  <si>
    <t>Quantidade de postos de trabalho</t>
  </si>
  <si>
    <t>EQUIPAMENTOS E MATERIAIS PERMANENTES</t>
  </si>
  <si>
    <t>Equipamentos e Materiais Permanentes</t>
  </si>
  <si>
    <t>Estimativa de Valores</t>
  </si>
  <si>
    <t>Total Anual
(C=A x B )</t>
  </si>
  <si>
    <t>Taxa Anual Depreciação (%)</t>
  </si>
  <si>
    <t>Valor Anual</t>
  </si>
  <si>
    <t>Aspirador de pó e água, tipo industrial, com potência de 1400 a 1600W.</t>
  </si>
  <si>
    <t>SOUL DISTRIBUIDORA DE PRODUTOS E EQUIPAMENTOS INDUSTRIAIS LTDA
CNPJ: 51659136000149</t>
  </si>
  <si>
    <t>45382048 LISANDRE ANGELINI ALVES DA COSTA
CNPJ: 45382048000140</t>
  </si>
  <si>
    <t>PHM COMERCIO E CONFECCOES LTDA
CNPJ: 35794003000129</t>
  </si>
  <si>
    <t>Carrinho MOP completo, composto por: 01 (um) carrinho de limpeza multifuncional; 01 (um) balde doblo; 01 (um) pá plástica com cabo para lixo; 01 (uma) placa de sinalização "piso molhado"; 01 (um) conjunto mop Pó de 60 cm com cabo de alumínio, 01 (um) conjunto mop Úmido de 320gr cru com cabo de alumínio.</t>
  </si>
  <si>
    <t>RALSON M. LIMA LTDA
CNPJ: 33146225000100</t>
  </si>
  <si>
    <t>SIS COMERCIO DE MATERIAIS E EQUIPAMENTOS LTDA
CNPJ: 29926189000120</t>
  </si>
  <si>
    <t>Lavadeira e Enceradeira elétrica industrial,  com diâmetro da escova de no mínimo 350mm</t>
  </si>
  <si>
    <t>F A O MELO COMERCIO E SERVICOS
CNPJ: 57783781000155</t>
  </si>
  <si>
    <t>57.041.952 VITOR HENRIQUE GUSSI CENSSAO
CNPJ: 57041952000170</t>
  </si>
  <si>
    <t>Lavadora de Alta pressão, de uso profissional, com carrinho, características: potência mínima do motor 1 HP, voltagem 220 volts monofásico ou bifásico, mangueira de nylon com trama mínima 3/8", Pressão mínima 450 PSI, Vazão mínima 11 litros/minuto, comprimento da mangueira de saída até o esguicho mínimo 10 metros, Esguicho com função jato concentrado ou leque.</t>
  </si>
  <si>
    <t>BIDDEN COMERCIAL LTDA
CNPJ: 36181473000180</t>
  </si>
  <si>
    <t>MARCOS P DOS SANTOS COMERCIO LTDA
CNPJ: 07020668000140</t>
  </si>
  <si>
    <t>RODRIGO CAMPOS FONSECA
CNPJ: 62888382000199</t>
  </si>
  <si>
    <t>VITORIA MAQUINAS E FERRAMENTAS
CNPJ: 59589837000160</t>
  </si>
  <si>
    <t>Escada de Alumínio de abrir 2 lados com 9 degraus; e extensível- altura esticada mínimo 4 metros.</t>
  </si>
  <si>
    <t>JOSE NEYMAR MENDES GONCALVES 06525136628 - 
CNPJ: 24708774000130</t>
  </si>
  <si>
    <t>SOUZA &amp; SOUZA EQUIPAMENTOS COMERCIAIS LTDA
CNPJ: 04235125000151</t>
  </si>
  <si>
    <t>DR ROCHA MATERIAIS DE CONSTRUCAO LTDA
CNPJ: 23334784000190</t>
  </si>
  <si>
    <t>DANIEL NEVES QUEIROS LTDA
CNPJ: 25289956000186</t>
  </si>
  <si>
    <t>Torre andaime tubular, altura mínima de 6 metros, painéis 1m x 2,0m contendo as seguintes peças para torre de 2,0metros: 12 (doze) painéis 1000x1500x2,65mm, 04 (quatro) longarina de 2013 metros, 02 (duas) escadas de 3000mm, 04 (quatro) rodízios de 6 polegadas com trava ou sapata regulável, 01 (um) conjunto guarda corpo com porta e rodapé, 04 (quatro) pisos antiaderente 370x1500mm e demais componentes certificados em atendimento a Norma NR 18. Equipamento Novo.</t>
  </si>
  <si>
    <t>TORNEARIA SANTIAGO LTDA
CNPJ: 79226601000177</t>
  </si>
  <si>
    <t>LABONE TECNOLOGIA LTDA
CNPJ: 08893965000162</t>
  </si>
  <si>
    <t>Kit cadeira suspensa para limpeza de fachada predial. Características: 01 (uma) cadeira suspensa para cabo de aço, 01 (um) cinto de segurança com talabarte, 01 (um) trava quedas para corda de 12mm e demais componentes certificados em atendimento a Norma NR 18. Equipamento novo.</t>
  </si>
  <si>
    <t>ELASTOBOR BORRACHAS E PLASTICOS LTDA
CNPJ:53840542000210</t>
  </si>
  <si>
    <t>DUTRA MÁQUINAS COMERCIAL E TÉCNICA LTDA
CNPJ: 50970342000102</t>
  </si>
  <si>
    <t>Corda trava-quedas, cadeira suspensa 12 mm. Características: trançado triplo e alma central, trançado central em multifilamento de poliamida, trançado intermediário de polipropileno ou poliamida colorida com o mínimo de 50% de identificação, não excedendo 10% de densidade linear, trançado interno em multifilamento de poliamida, carga de ruptura de no mínimo 20kn = 2.038kgf, cabo sem capa externa (mínimo) 15kn = 1.529 (kgf), diâmetro nominal (mínimo) 12,0mm, desvio limite de +0,5mm, fita inserida na alma gravada NR 18.16,5 ISSO 1440. Rolo com 220 metros.</t>
  </si>
  <si>
    <t>Soprador de folhas com baterias de no mínimo 5 ah, carregador para remover a sujeira e manter as áreas verdes, abertas e outras áreas limpas.</t>
  </si>
  <si>
    <t>G Z MENEGUSSO LTDA
CNPJ: 47358786000187</t>
  </si>
  <si>
    <t>SANITOP COMERCIAL LTDA
CNPJ: 53710803000104</t>
  </si>
  <si>
    <t>Roçadeira dupla, a gasolina, com um cortador de nylon para aparar a grama, um cortador de lâmina para cortar matos densos, motor de no mínimo 62cc, haste: ajustável e ergonômica, guidão ajustável e cinta (alça).</t>
  </si>
  <si>
    <t>SANRE COMERCIO E IMPORTACAO LTDA
CNPJ: 20502109000134</t>
  </si>
  <si>
    <t>LANÇA PRODUTOS - COMERCIO E SERVIÇOS LTDA
CNPJ: 44258379000100</t>
  </si>
  <si>
    <t>COMABEM COMERCIO DE ALIMENTOS LTDA
CNPJ: 13390139000130</t>
  </si>
  <si>
    <t>TOTAL GERAL ANUAL</t>
  </si>
  <si>
    <t>Quantidade de meses da contratação</t>
  </si>
  <si>
    <t>Total mensal</t>
  </si>
  <si>
    <t>Valor por posto</t>
  </si>
  <si>
    <t>Notas:</t>
  </si>
  <si>
    <t>Depreciação de Equipamentos: Para o cálculo do insumo Depreciação de Equipamentos, adotou-se vida útil de 5 anos (depreciação de 20% ao ano), com base na média mais benéfica dos equipamentos similares constantes do Anexo III, da IN RFB nº 1700/2017.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</si>
</sst>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7" formatCode="&quot;R$&quot;\ #,##0.00;\-&quot;R$&quot;\ #,##0.00"/>
    <numFmt numFmtId="44" formatCode="_-&quot;R$&quot;\ * #,##0.00_-;\-&quot;R$&quot;\ * #,##0.00_-;_-&quot;R$&quot;\ * &quot;-&quot;??_-;_-@_-"/>
    <numFmt numFmtId="43" formatCode="_-* #,##0.00_-;\-* #,##0.00_-;_-* &quot;-&quot;??_-;_-@_-"/>
    <numFmt numFmtId="164" formatCode="&quot;R$&quot;\ #,##0.00_);[Red]\(&quot;R$&quot;\ #,##0.00\)"/>
    <numFmt numFmtId="165" formatCode="[$R$-416]\ #,##0.00;\-[$R$-416]\ #,##0.00"/>
    <numFmt numFmtId="166" formatCode="0_ "/>
    <numFmt numFmtId="167" formatCode="0.000%"/>
    <numFmt numFmtId="168" formatCode="#,##0_ "/>
    <numFmt numFmtId="169" formatCode="mmm\-yy"/>
    <numFmt numFmtId="170" formatCode="&quot;R$&quot;\ #,##0.00"/>
    <numFmt numFmtId="171" formatCode="&quot;R$ &quot;#,##0.00_);[Red]\(&quot;R$ &quot;#,##0.00\)"/>
    <numFmt numFmtId="172" formatCode="&quot;R$&quot;#,##0.00;[Red]&quot;R$&quot;#,##0.00"/>
    <numFmt numFmtId="173" formatCode="0.000000"/>
    <numFmt numFmtId="174" formatCode="_-* #,##0.0000_-;\-* #,##0.0000_-;_-* &quot;-&quot;??_-;_-@_-"/>
    <numFmt numFmtId="175" formatCode="&quot;R$&quot;#,##0.00;[Red]\-&quot;R$&quot;#,##0.00"/>
    <numFmt numFmtId="176" formatCode="_-* #,##0.0000_-;\-* #,##0.0000_-;_-* &quot;-&quot;????_-;_-@_-"/>
    <numFmt numFmtId="177" formatCode="_(&quot;R$ &quot;* #,##0.00_);_(&quot;R$ &quot;* \(#,##0.00\);_(&quot;R$ &quot;* &quot;-&quot;??_);_(@_)"/>
  </numFmts>
  <fonts count="32">
    <font>
      <sz val="11"/>
      <color theme="1"/>
      <name val="Calibri"/>
      <charset val="134"/>
      <scheme val="minor"/>
    </font>
    <font>
      <sz val="10"/>
      <color theme="1"/>
      <name val="Arial"/>
      <charset val="134"/>
    </font>
    <font>
      <sz val="10"/>
      <name val="Arial"/>
      <charset val="134"/>
    </font>
    <font>
      <b/>
      <sz val="14"/>
      <color theme="1"/>
      <name val="Arial"/>
      <charset val="134"/>
    </font>
    <font>
      <b/>
      <sz val="10"/>
      <color rgb="FF000000"/>
      <name val="Arial"/>
      <charset val="134"/>
    </font>
    <font>
      <b/>
      <sz val="10"/>
      <color theme="1"/>
      <name val="Arial"/>
      <charset val="134"/>
    </font>
    <font>
      <b/>
      <sz val="10"/>
      <name val="Arial"/>
      <charset val="134"/>
    </font>
    <font>
      <i/>
      <sz val="10"/>
      <name val="Arial"/>
      <charset val="134"/>
    </font>
    <font>
      <sz val="10"/>
      <color rgb="FF000000"/>
      <name val="Arial"/>
      <charset val="134"/>
    </font>
    <font>
      <b/>
      <sz val="12"/>
      <color theme="1"/>
      <name val="Arial"/>
      <charset val="134"/>
    </font>
    <font>
      <b/>
      <sz val="9"/>
      <color rgb="FF000000"/>
      <name val="Arial"/>
      <charset val="134"/>
    </font>
    <font>
      <u/>
      <sz val="10"/>
      <color rgb="FF000000"/>
      <name val="Arial"/>
      <charset val="134"/>
    </font>
    <font>
      <b/>
      <sz val="10"/>
      <color indexed="8"/>
      <name val="Arial"/>
      <charset val="134"/>
    </font>
    <font>
      <sz val="10"/>
      <color indexed="8"/>
      <name val="Arial"/>
      <charset val="134"/>
    </font>
    <font>
      <sz val="12"/>
      <color rgb="FF000000"/>
      <name val="Arial"/>
      <charset val="134"/>
    </font>
    <font>
      <sz val="8"/>
      <color theme="1"/>
      <name val="Arial"/>
      <charset val="134"/>
    </font>
    <font>
      <sz val="12"/>
      <name val="Arial"/>
      <charset val="134"/>
    </font>
    <font>
      <b/>
      <sz val="8"/>
      <color theme="1"/>
      <name val="Arial"/>
      <charset val="134"/>
    </font>
    <font>
      <sz val="9"/>
      <color theme="1"/>
      <name val="Arial"/>
      <charset val="134"/>
    </font>
    <font>
      <b/>
      <sz val="9"/>
      <color theme="0"/>
      <name val="Arial"/>
      <charset val="134"/>
    </font>
    <font>
      <b/>
      <sz val="9"/>
      <color theme="1"/>
      <name val="Arial"/>
      <charset val="134"/>
    </font>
    <font>
      <b/>
      <sz val="9"/>
      <name val="Arial"/>
      <charset val="134"/>
    </font>
    <font>
      <sz val="9"/>
      <color rgb="FF000000"/>
      <name val="Arial"/>
      <charset val="134"/>
    </font>
    <font>
      <sz val="12"/>
      <color theme="1"/>
      <name val="Arial"/>
      <charset val="134"/>
    </font>
    <font>
      <b/>
      <sz val="12"/>
      <name val="Arial"/>
      <charset val="134"/>
    </font>
    <font>
      <b/>
      <sz val="8"/>
      <name val="Arial"/>
      <charset val="134"/>
    </font>
    <font>
      <sz val="8"/>
      <name val="Arial"/>
      <charset val="134"/>
    </font>
    <font>
      <sz val="8"/>
      <color rgb="FFFF0000"/>
      <name val="Arial"/>
      <charset val="134"/>
    </font>
    <font>
      <sz val="9"/>
      <color rgb="FFFF0000"/>
      <name val="Arial"/>
      <charset val="134"/>
    </font>
    <font>
      <sz val="11"/>
      <color rgb="FF000000"/>
      <name val="Calibri"/>
      <charset val="1"/>
    </font>
    <font>
      <sz val="9"/>
      <name val="Arial"/>
    </font>
    <font>
      <sz val="11"/>
      <color theme="1"/>
      <name val="Calibri"/>
      <charset val="134"/>
      <scheme val="minor"/>
    </font>
  </fonts>
  <fills count="17">
    <fill>
      <patternFill patternType="none"/>
    </fill>
    <fill>
      <patternFill patternType="gray125"/>
    </fill>
    <fill>
      <patternFill patternType="solid">
        <fgColor theme="7" tint="0.79998168889431442"/>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rgb="FFFFFFFF"/>
        <bgColor rgb="FFFFFFCC"/>
      </patternFill>
    </fill>
    <fill>
      <patternFill patternType="solid">
        <fgColor theme="2"/>
        <bgColor indexed="64"/>
      </patternFill>
    </fill>
    <fill>
      <patternFill patternType="solid">
        <fgColor rgb="FFFFFFFF"/>
        <bgColor rgb="FFFFFFFF"/>
      </patternFill>
    </fill>
    <fill>
      <patternFill patternType="solid">
        <fgColor rgb="FF0070C0"/>
        <bgColor indexed="64"/>
      </patternFill>
    </fill>
    <fill>
      <patternFill patternType="solid">
        <fgColor theme="5" tint="0.59999389629810485"/>
        <bgColor indexed="64"/>
      </patternFill>
    </fill>
    <fill>
      <patternFill patternType="solid">
        <fgColor theme="9" tint="0.39997558519241921"/>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style="thin">
        <color auto="1"/>
      </right>
      <top/>
      <bottom/>
      <diagonal/>
    </border>
    <border>
      <left style="hair">
        <color auto="1"/>
      </left>
      <right/>
      <top/>
      <bottom/>
      <diagonal/>
    </border>
    <border>
      <left style="double">
        <color auto="1"/>
      </left>
      <right style="double">
        <color auto="1"/>
      </right>
      <top style="double">
        <color auto="1"/>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ouble">
        <color auto="1"/>
      </left>
      <right style="double">
        <color auto="1"/>
      </right>
      <top/>
      <bottom style="double">
        <color auto="1"/>
      </bottom>
      <diagonal/>
    </border>
    <border>
      <left style="dashed">
        <color auto="1"/>
      </left>
      <right style="dashed">
        <color auto="1"/>
      </right>
      <top style="dashed">
        <color auto="1"/>
      </top>
      <bottom style="dashed">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right/>
      <top style="medium">
        <color auto="1"/>
      </top>
      <bottom/>
      <diagonal/>
    </border>
    <border>
      <left style="medium">
        <color auto="1"/>
      </left>
      <right style="medium">
        <color auto="1"/>
      </right>
      <top style="thin">
        <color auto="1"/>
      </top>
      <bottom style="medium">
        <color auto="1"/>
      </bottom>
      <diagonal/>
    </border>
    <border>
      <left/>
      <right/>
      <top/>
      <bottom style="medium">
        <color auto="1"/>
      </bottom>
      <diagonal/>
    </border>
  </borders>
  <cellStyleXfs count="6">
    <xf numFmtId="0" fontId="0" fillId="0" borderId="0">
      <alignment vertical="center"/>
    </xf>
    <xf numFmtId="43" fontId="31" fillId="0" borderId="0" applyFont="0" applyFill="0" applyBorder="0" applyAlignment="0" applyProtection="0">
      <alignment vertical="center"/>
    </xf>
    <xf numFmtId="44" fontId="31" fillId="0" borderId="0" applyFont="0" applyFill="0" applyBorder="0" applyAlignment="0" applyProtection="0">
      <alignment vertical="center"/>
    </xf>
    <xf numFmtId="9" fontId="31" fillId="0" borderId="0" applyFont="0" applyFill="0" applyBorder="0" applyAlignment="0" applyProtection="0">
      <alignment vertical="center"/>
    </xf>
    <xf numFmtId="0" fontId="29" fillId="0" borderId="0"/>
    <xf numFmtId="0" fontId="2" fillId="0" borderId="0"/>
  </cellStyleXfs>
  <cellXfs count="374">
    <xf numFmtId="0" fontId="0" fillId="0" borderId="0" xfId="0">
      <alignment vertical="center"/>
    </xf>
    <xf numFmtId="0" fontId="1" fillId="0" borderId="0" xfId="0" applyFont="1">
      <alignment vertical="center"/>
    </xf>
    <xf numFmtId="0" fontId="2" fillId="0" borderId="0" xfId="0" applyFont="1">
      <alignment vertical="center"/>
    </xf>
    <xf numFmtId="0" fontId="2" fillId="0" borderId="0" xfId="0" applyFont="1" applyAlignment="1">
      <alignment horizontal="center" vertical="center"/>
    </xf>
    <xf numFmtId="164" fontId="2" fillId="0" borderId="0" xfId="0" applyNumberFormat="1" applyFont="1">
      <alignment vertical="center"/>
    </xf>
    <xf numFmtId="0" fontId="4"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165" fontId="2" fillId="0" borderId="1" xfId="0" applyNumberFormat="1" applyFont="1" applyBorder="1" applyAlignment="1">
      <alignment horizontal="center" vertical="center" wrapText="1"/>
    </xf>
    <xf numFmtId="0" fontId="2" fillId="0" borderId="1" xfId="0" applyFont="1" applyBorder="1" applyAlignment="1">
      <alignment horizontal="justify" vertical="center" wrapText="1"/>
    </xf>
    <xf numFmtId="164" fontId="2" fillId="0" borderId="1" xfId="2" applyNumberFormat="1" applyFont="1" applyBorder="1" applyAlignment="1">
      <alignment horizontal="center" vertical="center" wrapText="1"/>
    </xf>
    <xf numFmtId="164" fontId="2" fillId="0" borderId="1" xfId="2" applyNumberFormat="1" applyFont="1" applyFill="1" applyBorder="1" applyAlignment="1">
      <alignment horizontal="center" vertical="center" wrapText="1"/>
    </xf>
    <xf numFmtId="0" fontId="6" fillId="0" borderId="0" xfId="0" applyFont="1" applyAlignment="1">
      <alignment horizontal="center" vertical="center" wrapText="1"/>
    </xf>
    <xf numFmtId="165" fontId="2" fillId="0" borderId="0" xfId="0" applyNumberFormat="1" applyFont="1" applyAlignment="1">
      <alignment horizontal="center" vertical="center" wrapText="1"/>
    </xf>
    <xf numFmtId="0" fontId="7" fillId="0" borderId="0" xfId="0" applyFont="1" applyAlignment="1">
      <alignment vertical="center" wrapText="1"/>
    </xf>
    <xf numFmtId="0" fontId="7" fillId="0" borderId="6" xfId="0" applyFont="1" applyBorder="1" applyAlignment="1">
      <alignment horizontal="center" vertical="center" wrapText="1"/>
    </xf>
    <xf numFmtId="0" fontId="7" fillId="0" borderId="0" xfId="0" applyFont="1" applyAlignment="1">
      <alignment horizontal="center" vertical="center" wrapText="1"/>
    </xf>
    <xf numFmtId="0" fontId="3" fillId="0" borderId="0" xfId="0" applyFont="1">
      <alignment vertical="center"/>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165" fontId="2" fillId="0" borderId="4" xfId="0" applyNumberFormat="1" applyFont="1" applyBorder="1" applyAlignment="1">
      <alignment horizontal="center" vertical="center" wrapText="1"/>
    </xf>
    <xf numFmtId="165" fontId="2" fillId="0" borderId="1" xfId="0" applyNumberFormat="1" applyFont="1" applyBorder="1" applyAlignment="1">
      <alignment horizontal="center" vertical="center"/>
    </xf>
    <xf numFmtId="165" fontId="2" fillId="0" borderId="5" xfId="0" applyNumberFormat="1" applyFont="1" applyBorder="1" applyAlignment="1">
      <alignment horizontal="center" vertical="center" wrapText="1"/>
    </xf>
    <xf numFmtId="165" fontId="6" fillId="3" borderId="1" xfId="0" applyNumberFormat="1" applyFont="1" applyFill="1" applyBorder="1" applyAlignment="1">
      <alignment horizontal="right" vertical="center" wrapText="1"/>
    </xf>
    <xf numFmtId="165" fontId="6" fillId="3" borderId="1" xfId="0" applyNumberFormat="1" applyFont="1" applyFill="1" applyBorder="1">
      <alignment vertical="center"/>
    </xf>
    <xf numFmtId="165" fontId="6" fillId="3" borderId="1" xfId="0" applyNumberFormat="1" applyFont="1" applyFill="1" applyBorder="1" applyAlignment="1">
      <alignment horizontal="center" vertical="center"/>
    </xf>
    <xf numFmtId="165" fontId="2" fillId="0" borderId="0" xfId="0" applyNumberFormat="1" applyFont="1">
      <alignment vertical="center"/>
    </xf>
    <xf numFmtId="166" fontId="6" fillId="0" borderId="1" xfId="1" applyNumberFormat="1" applyFont="1" applyFill="1" applyBorder="1" applyAlignment="1">
      <alignment horizontal="center" vertical="center"/>
    </xf>
    <xf numFmtId="164" fontId="6" fillId="0" borderId="1" xfId="0" applyNumberFormat="1" applyFont="1" applyBorder="1" applyAlignment="1">
      <alignment horizontal="center" vertical="center"/>
    </xf>
    <xf numFmtId="167" fontId="2" fillId="0" borderId="0" xfId="3" applyNumberFormat="1" applyFont="1">
      <alignment vertical="center"/>
    </xf>
    <xf numFmtId="1" fontId="6" fillId="4" borderId="1" xfId="2" applyNumberFormat="1" applyFont="1" applyFill="1" applyBorder="1" applyAlignment="1">
      <alignment horizontal="center" vertical="center"/>
    </xf>
    <xf numFmtId="164" fontId="6" fillId="5" borderId="1" xfId="0" applyNumberFormat="1" applyFont="1" applyFill="1" applyBorder="1" applyAlignment="1">
      <alignment horizontal="center" vertical="center"/>
    </xf>
    <xf numFmtId="164" fontId="2" fillId="0" borderId="0" xfId="0" applyNumberFormat="1" applyFont="1" applyAlignment="1">
      <alignment horizontal="center" vertical="center" wrapText="1"/>
    </xf>
    <xf numFmtId="164" fontId="6" fillId="0" borderId="0" xfId="0" applyNumberFormat="1" applyFont="1">
      <alignment vertical="center"/>
    </xf>
    <xf numFmtId="0" fontId="2" fillId="0" borderId="0" xfId="0" applyFont="1" applyAlignment="1">
      <alignment horizontal="left" vertical="center"/>
    </xf>
    <xf numFmtId="0" fontId="5" fillId="6"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1" fillId="0" borderId="1" xfId="0" applyFont="1" applyBorder="1" applyAlignment="1">
      <alignment horizontal="center" vertical="center" wrapText="1"/>
    </xf>
    <xf numFmtId="165" fontId="1" fillId="0" borderId="1" xfId="0" applyNumberFormat="1" applyFont="1" applyBorder="1" applyAlignment="1">
      <alignment horizontal="center" vertical="center" wrapText="1"/>
    </xf>
    <xf numFmtId="0" fontId="1" fillId="0" borderId="0" xfId="0" applyFont="1" applyAlignment="1">
      <alignment horizontal="center" vertical="center"/>
    </xf>
    <xf numFmtId="165" fontId="4" fillId="0" borderId="0" xfId="0" applyNumberFormat="1" applyFont="1" applyAlignment="1">
      <alignment vertical="center" wrapText="1"/>
    </xf>
    <xf numFmtId="0" fontId="8" fillId="0" borderId="0" xfId="0" applyFont="1" applyAlignment="1">
      <alignment horizontal="center" vertical="center" wrapText="1"/>
    </xf>
    <xf numFmtId="0" fontId="8" fillId="0" borderId="0" xfId="0" applyFont="1" applyAlignment="1">
      <alignment horizontal="justify" vertical="center" wrapText="1"/>
    </xf>
    <xf numFmtId="165" fontId="8" fillId="0" borderId="0" xfId="0" applyNumberFormat="1" applyFont="1" applyAlignment="1">
      <alignment horizontal="center" vertical="center" wrapText="1"/>
    </xf>
    <xf numFmtId="165" fontId="4" fillId="7" borderId="1" xfId="0" applyNumberFormat="1" applyFont="1" applyFill="1" applyBorder="1" applyAlignment="1">
      <alignment horizontal="center" vertical="center" wrapText="1"/>
    </xf>
    <xf numFmtId="168" fontId="4" fillId="0" borderId="1" xfId="0" applyNumberFormat="1" applyFont="1" applyBorder="1" applyAlignment="1">
      <alignment horizontal="center" vertical="center" wrapText="1"/>
    </xf>
    <xf numFmtId="165" fontId="5" fillId="3" borderId="1" xfId="0" applyNumberFormat="1" applyFont="1" applyFill="1" applyBorder="1" applyAlignment="1">
      <alignment horizontal="center" vertical="center" wrapText="1"/>
    </xf>
    <xf numFmtId="0" fontId="1" fillId="0" borderId="0" xfId="0" applyFont="1" applyAlignment="1">
      <alignment horizontal="justify" vertical="center"/>
    </xf>
    <xf numFmtId="0" fontId="9" fillId="0" borderId="0" xfId="0" applyFont="1" applyAlignment="1">
      <alignment horizontal="center" vertical="center"/>
    </xf>
    <xf numFmtId="165" fontId="9" fillId="0" borderId="0" xfId="0" applyNumberFormat="1" applyFont="1" applyAlignment="1">
      <alignment horizontal="center" vertical="center" wrapText="1"/>
    </xf>
    <xf numFmtId="165" fontId="1" fillId="0" borderId="0" xfId="0" applyNumberFormat="1" applyFont="1" applyAlignment="1">
      <alignment horizontal="center" vertical="center" wrapText="1"/>
    </xf>
    <xf numFmtId="0" fontId="4" fillId="8" borderId="1" xfId="0" applyFont="1" applyFill="1" applyBorder="1" applyAlignment="1">
      <alignment horizontal="center" vertical="center" wrapText="1"/>
    </xf>
    <xf numFmtId="0" fontId="5" fillId="8" borderId="1" xfId="0" applyFont="1" applyFill="1" applyBorder="1" applyAlignment="1">
      <alignment horizontal="center" vertical="center" wrapText="1"/>
    </xf>
    <xf numFmtId="0" fontId="10" fillId="8" borderId="1" xfId="0" applyFont="1" applyFill="1" applyBorder="1" applyAlignment="1">
      <alignment horizontal="center" vertical="center" wrapText="1"/>
    </xf>
    <xf numFmtId="165" fontId="1" fillId="10" borderId="1" xfId="0" applyNumberFormat="1" applyFont="1" applyFill="1" applyBorder="1" applyAlignment="1">
      <alignment horizontal="center" vertical="center" wrapText="1"/>
    </xf>
    <xf numFmtId="165" fontId="1" fillId="0" borderId="0" xfId="2" applyNumberFormat="1" applyFont="1" applyFill="1" applyBorder="1" applyAlignment="1">
      <alignment vertical="center" wrapText="1"/>
    </xf>
    <xf numFmtId="165" fontId="1" fillId="0" borderId="0" xfId="0" applyNumberFormat="1" applyFont="1">
      <alignment vertical="center"/>
    </xf>
    <xf numFmtId="0" fontId="1" fillId="0" borderId="0" xfId="0" applyFont="1" applyAlignment="1">
      <alignment vertical="center" wrapText="1"/>
    </xf>
    <xf numFmtId="165" fontId="2" fillId="0" borderId="1" xfId="2" applyNumberFormat="1" applyFont="1" applyFill="1" applyBorder="1" applyAlignment="1">
      <alignment horizontal="center" vertical="center"/>
    </xf>
    <xf numFmtId="0" fontId="5" fillId="0" borderId="0" xfId="0" applyFont="1" applyAlignment="1">
      <alignment horizontal="center" vertical="center"/>
    </xf>
    <xf numFmtId="165" fontId="5" fillId="0" borderId="0" xfId="0" applyNumberFormat="1" applyFont="1" applyAlignment="1">
      <alignment horizontal="center" vertical="center" wrapText="1"/>
    </xf>
    <xf numFmtId="0" fontId="12" fillId="0" borderId="0" xfId="0" applyFont="1" applyAlignment="1">
      <alignment vertical="center" wrapText="1"/>
    </xf>
    <xf numFmtId="0" fontId="13" fillId="0" borderId="0" xfId="0" applyFont="1" applyAlignment="1">
      <alignment vertical="center" wrapText="1"/>
    </xf>
    <xf numFmtId="0" fontId="14" fillId="0" borderId="0" xfId="4" applyFont="1" applyAlignment="1" applyProtection="1">
      <alignment vertical="center"/>
      <protection locked="0"/>
    </xf>
    <xf numFmtId="10" fontId="12" fillId="0" borderId="0" xfId="0" applyNumberFormat="1" applyFont="1" applyAlignment="1">
      <alignment horizontal="center" vertical="center" wrapText="1"/>
    </xf>
    <xf numFmtId="2" fontId="13" fillId="0" borderId="0" xfId="0" applyNumberFormat="1" applyFont="1" applyAlignment="1">
      <alignment vertical="center" wrapText="1"/>
    </xf>
    <xf numFmtId="0" fontId="13" fillId="0" borderId="0" xfId="0" applyFont="1" applyAlignment="1">
      <alignment horizontal="center" vertical="center" wrapText="1"/>
    </xf>
    <xf numFmtId="0" fontId="15" fillId="0" borderId="0" xfId="0" applyFont="1" applyAlignment="1">
      <alignment vertical="center" wrapText="1"/>
    </xf>
    <xf numFmtId="0" fontId="5" fillId="0" borderId="0" xfId="0" applyFont="1" applyAlignment="1">
      <alignment vertical="center" wrapText="1"/>
    </xf>
    <xf numFmtId="164" fontId="1" fillId="0" borderId="0" xfId="0" applyNumberFormat="1" applyFont="1" applyAlignment="1">
      <alignment horizontal="right" vertical="center" wrapText="1"/>
    </xf>
    <xf numFmtId="0" fontId="5" fillId="6" borderId="12" xfId="0" applyFont="1" applyFill="1" applyBorder="1" applyAlignment="1">
      <alignment horizontal="center" vertical="center" wrapText="1"/>
    </xf>
    <xf numFmtId="0" fontId="2" fillId="0" borderId="0" xfId="0" applyFont="1" applyAlignment="1">
      <alignment vertical="center" wrapText="1"/>
    </xf>
    <xf numFmtId="0" fontId="16" fillId="11" borderId="0" xfId="4" applyFont="1" applyFill="1" applyAlignment="1">
      <alignment vertical="center"/>
    </xf>
    <xf numFmtId="169" fontId="16" fillId="11" borderId="0" xfId="4" applyNumberFormat="1" applyFont="1" applyFill="1" applyAlignment="1">
      <alignment vertical="center"/>
    </xf>
    <xf numFmtId="0" fontId="12" fillId="12" borderId="12" xfId="0" applyFont="1" applyFill="1" applyBorder="1" applyAlignment="1">
      <alignment horizontal="center" vertical="center" wrapText="1"/>
    </xf>
    <xf numFmtId="0" fontId="13" fillId="0" borderId="12" xfId="0" applyFont="1" applyBorder="1" applyAlignment="1">
      <alignment horizontal="right" vertical="center" wrapText="1"/>
    </xf>
    <xf numFmtId="170" fontId="5" fillId="0" borderId="12" xfId="1" applyNumberFormat="1" applyFont="1" applyFill="1" applyBorder="1" applyAlignment="1">
      <alignment horizontal="right" vertical="center" wrapText="1"/>
    </xf>
    <xf numFmtId="3" fontId="5" fillId="0" borderId="12" xfId="0" applyNumberFormat="1" applyFont="1" applyBorder="1" applyAlignment="1">
      <alignment horizontal="center" vertical="center" wrapText="1"/>
    </xf>
    <xf numFmtId="0" fontId="12" fillId="0" borderId="12" xfId="0" applyFont="1" applyBorder="1" applyAlignment="1">
      <alignment horizontal="center" vertical="center" wrapText="1"/>
    </xf>
    <xf numFmtId="3" fontId="12" fillId="0" borderId="12" xfId="0" applyNumberFormat="1" applyFont="1" applyBorder="1" applyAlignment="1">
      <alignment horizontal="center" vertical="center" wrapText="1"/>
    </xf>
    <xf numFmtId="0" fontId="1" fillId="0" borderId="12" xfId="0" applyFont="1" applyBorder="1" applyAlignment="1">
      <alignment horizontal="right" vertical="center" wrapText="1"/>
    </xf>
    <xf numFmtId="0" fontId="4" fillId="12" borderId="12" xfId="4" applyFont="1" applyFill="1" applyBorder="1" applyAlignment="1">
      <alignment horizontal="center" vertical="center"/>
    </xf>
    <xf numFmtId="0" fontId="8" fillId="0" borderId="12" xfId="4" applyFont="1" applyBorder="1" applyAlignment="1">
      <alignment horizontal="right" vertical="center"/>
    </xf>
    <xf numFmtId="0" fontId="14" fillId="0" borderId="0" xfId="4" applyFont="1" applyAlignment="1">
      <alignment horizontal="center" vertical="center"/>
    </xf>
    <xf numFmtId="0" fontId="14" fillId="0" borderId="0" xfId="4" applyFont="1" applyAlignment="1">
      <alignment vertical="center"/>
    </xf>
    <xf numFmtId="171" fontId="1" fillId="0" borderId="12" xfId="0" applyNumberFormat="1" applyFont="1" applyBorder="1" applyAlignment="1">
      <alignment horizontal="right" vertical="center" wrapText="1"/>
    </xf>
    <xf numFmtId="0" fontId="5" fillId="12" borderId="12" xfId="0" applyFont="1" applyFill="1" applyBorder="1" applyAlignment="1">
      <alignment horizontal="center" vertical="center" wrapText="1"/>
    </xf>
    <xf numFmtId="164" fontId="5" fillId="12" borderId="12" xfId="0" applyNumberFormat="1" applyFont="1" applyFill="1" applyBorder="1" applyAlignment="1">
      <alignment horizontal="right" vertical="center" wrapText="1"/>
    </xf>
    <xf numFmtId="0" fontId="1" fillId="0" borderId="12" xfId="0" applyFont="1" applyBorder="1" applyAlignment="1">
      <alignment horizontal="center" vertical="center" wrapText="1"/>
    </xf>
    <xf numFmtId="164" fontId="1" fillId="0" borderId="12" xfId="0" applyNumberFormat="1" applyFont="1" applyBorder="1" applyAlignment="1">
      <alignment horizontal="right" vertical="center" wrapText="1"/>
    </xf>
    <xf numFmtId="0" fontId="13" fillId="0" borderId="0" xfId="0" applyFont="1" applyAlignment="1">
      <alignment horizontal="justify" vertical="center" wrapText="1"/>
    </xf>
    <xf numFmtId="9" fontId="1" fillId="0" borderId="12" xfId="0" applyNumberFormat="1" applyFont="1" applyBorder="1" applyAlignment="1">
      <alignment horizontal="center" vertical="center" wrapText="1"/>
    </xf>
    <xf numFmtId="0" fontId="1" fillId="2" borderId="12" xfId="0" applyFont="1" applyFill="1" applyBorder="1" applyAlignment="1">
      <alignment horizontal="center" vertical="center" wrapText="1"/>
    </xf>
    <xf numFmtId="164" fontId="5" fillId="2" borderId="12" xfId="0" applyNumberFormat="1" applyFont="1" applyFill="1" applyBorder="1" applyAlignment="1">
      <alignment horizontal="right" vertical="center" wrapText="1"/>
    </xf>
    <xf numFmtId="172" fontId="13" fillId="0" borderId="0" xfId="0" applyNumberFormat="1" applyFont="1" applyAlignment="1">
      <alignment vertical="center" wrapText="1"/>
    </xf>
    <xf numFmtId="10" fontId="1" fillId="0" borderId="12" xfId="0" applyNumberFormat="1" applyFont="1" applyBorder="1" applyAlignment="1">
      <alignment horizontal="center" vertical="center" wrapText="1"/>
    </xf>
    <xf numFmtId="10" fontId="5" fillId="0" borderId="12" xfId="0" applyNumberFormat="1" applyFont="1" applyBorder="1" applyAlignment="1">
      <alignment horizontal="center" vertical="center" wrapText="1"/>
    </xf>
    <xf numFmtId="164" fontId="5" fillId="0" borderId="12" xfId="0" applyNumberFormat="1" applyFont="1" applyBorder="1" applyAlignment="1">
      <alignment horizontal="right" vertical="center" wrapText="1"/>
    </xf>
    <xf numFmtId="10" fontId="5" fillId="2" borderId="12" xfId="0" applyNumberFormat="1" applyFont="1" applyFill="1" applyBorder="1" applyAlignment="1">
      <alignment horizontal="center" vertical="center" wrapText="1"/>
    </xf>
    <xf numFmtId="164" fontId="12" fillId="0" borderId="0" xfId="0" applyNumberFormat="1" applyFont="1" applyAlignment="1">
      <alignment horizontal="center" vertical="center" wrapText="1"/>
    </xf>
    <xf numFmtId="9" fontId="1" fillId="0" borderId="12" xfId="3" applyFont="1" applyFill="1" applyBorder="1" applyAlignment="1">
      <alignment horizontal="center" vertical="center" wrapText="1"/>
    </xf>
    <xf numFmtId="10" fontId="12" fillId="0" borderId="0" xfId="0" applyNumberFormat="1" applyFont="1" applyAlignment="1">
      <alignment vertical="center" wrapText="1"/>
    </xf>
    <xf numFmtId="7" fontId="1" fillId="0" borderId="12" xfId="1" applyNumberFormat="1" applyFont="1" applyBorder="1" applyAlignment="1">
      <alignment horizontal="center" vertical="center" wrapText="1"/>
    </xf>
    <xf numFmtId="37" fontId="1" fillId="0" borderId="12" xfId="0" applyNumberFormat="1" applyFont="1" applyBorder="1" applyAlignment="1">
      <alignment horizontal="center" vertical="center" wrapText="1"/>
    </xf>
    <xf numFmtId="0" fontId="2" fillId="0" borderId="12" xfId="0" applyFont="1" applyBorder="1" applyAlignment="1">
      <alignment horizontal="center" vertical="center" wrapText="1"/>
    </xf>
    <xf numFmtId="164" fontId="2" fillId="0" borderId="12" xfId="0" applyNumberFormat="1" applyFont="1" applyBorder="1" applyAlignment="1">
      <alignment horizontal="right" vertical="center" wrapText="1"/>
    </xf>
    <xf numFmtId="0" fontId="2" fillId="0" borderId="0" xfId="0" applyFont="1" applyAlignment="1">
      <alignment horizontal="justify" vertical="center" wrapText="1"/>
    </xf>
    <xf numFmtId="0" fontId="5" fillId="2" borderId="12" xfId="0" applyFont="1" applyFill="1" applyBorder="1" applyAlignment="1">
      <alignment horizontal="center" vertical="center" wrapText="1"/>
    </xf>
    <xf numFmtId="10" fontId="1" fillId="0" borderId="12" xfId="3" applyNumberFormat="1" applyFont="1" applyFill="1" applyBorder="1" applyAlignment="1">
      <alignment horizontal="center" vertical="center" wrapText="1"/>
    </xf>
    <xf numFmtId="10" fontId="1" fillId="0" borderId="12" xfId="3" applyNumberFormat="1" applyFont="1" applyBorder="1" applyAlignment="1">
      <alignment horizontal="center" vertical="center" wrapText="1"/>
    </xf>
    <xf numFmtId="0" fontId="1" fillId="0" borderId="15" xfId="0" applyFont="1" applyBorder="1" applyAlignment="1">
      <alignment vertical="center" wrapText="1"/>
    </xf>
    <xf numFmtId="164" fontId="13" fillId="0" borderId="0" xfId="0" applyNumberFormat="1" applyFont="1" applyAlignment="1">
      <alignment vertical="center" wrapText="1"/>
    </xf>
    <xf numFmtId="173" fontId="15" fillId="0" borderId="0" xfId="0" applyNumberFormat="1" applyFont="1" applyAlignment="1">
      <alignment vertical="center" wrapText="1"/>
    </xf>
    <xf numFmtId="10" fontId="1" fillId="2" borderId="12" xfId="3" applyNumberFormat="1" applyFont="1" applyFill="1" applyBorder="1" applyAlignment="1">
      <alignment horizontal="center" vertical="center" wrapText="1"/>
    </xf>
    <xf numFmtId="0" fontId="5" fillId="7" borderId="12" xfId="0" applyFont="1" applyFill="1" applyBorder="1" applyAlignment="1">
      <alignment horizontal="center" vertical="center" wrapText="1"/>
    </xf>
    <xf numFmtId="4" fontId="13" fillId="0" borderId="0" xfId="0" applyNumberFormat="1" applyFont="1" applyAlignment="1">
      <alignment vertical="center" wrapText="1"/>
    </xf>
    <xf numFmtId="174" fontId="13" fillId="0" borderId="0" xfId="1" applyNumberFormat="1" applyFont="1" applyFill="1" applyBorder="1" applyAlignment="1">
      <alignment vertical="center" wrapText="1"/>
    </xf>
    <xf numFmtId="10" fontId="1" fillId="2" borderId="12" xfId="0" applyNumberFormat="1" applyFont="1" applyFill="1" applyBorder="1" applyAlignment="1">
      <alignment horizontal="center" vertical="center" wrapText="1"/>
    </xf>
    <xf numFmtId="164" fontId="5" fillId="6" borderId="12" xfId="0" applyNumberFormat="1" applyFont="1" applyFill="1" applyBorder="1" applyAlignment="1">
      <alignment horizontal="right" vertical="center" wrapText="1"/>
    </xf>
    <xf numFmtId="175" fontId="13" fillId="0" borderId="0" xfId="0" applyNumberFormat="1" applyFont="1" applyAlignment="1">
      <alignment vertical="center" wrapText="1"/>
    </xf>
    <xf numFmtId="176" fontId="13" fillId="0" borderId="0" xfId="0" applyNumberFormat="1" applyFont="1" applyAlignment="1">
      <alignment vertical="center" wrapText="1"/>
    </xf>
    <xf numFmtId="176" fontId="13" fillId="0" borderId="0" xfId="0" applyNumberFormat="1" applyFont="1" applyAlignment="1">
      <alignment horizontal="center" vertical="center" wrapText="1"/>
    </xf>
    <xf numFmtId="164" fontId="5" fillId="3" borderId="12" xfId="0" applyNumberFormat="1" applyFont="1" applyFill="1" applyBorder="1" applyAlignment="1">
      <alignment horizontal="right" vertical="center" wrapText="1"/>
    </xf>
    <xf numFmtId="0" fontId="17" fillId="0" borderId="0" xfId="0" applyFont="1" applyAlignment="1">
      <alignment vertical="center" wrapText="1"/>
    </xf>
    <xf numFmtId="170" fontId="5" fillId="6" borderId="12" xfId="1" applyNumberFormat="1" applyFont="1" applyFill="1" applyBorder="1" applyAlignment="1">
      <alignment horizontal="center" vertical="center" wrapText="1"/>
    </xf>
    <xf numFmtId="0" fontId="15" fillId="0" borderId="12" xfId="0" applyFont="1" applyBorder="1" applyAlignment="1">
      <alignment horizontal="center" vertical="center" wrapText="1"/>
    </xf>
    <xf numFmtId="7" fontId="1" fillId="0" borderId="12" xfId="2" applyNumberFormat="1" applyFont="1" applyBorder="1" applyAlignment="1">
      <alignment horizontal="right" vertical="center" wrapText="1"/>
    </xf>
    <xf numFmtId="1" fontId="1" fillId="0" borderId="12" xfId="0" applyNumberFormat="1" applyFont="1" applyBorder="1" applyAlignment="1">
      <alignment horizontal="center" vertical="center" wrapText="1"/>
    </xf>
    <xf numFmtId="170" fontId="5" fillId="2" borderId="12" xfId="1" applyNumberFormat="1" applyFont="1" applyFill="1" applyBorder="1" applyAlignment="1">
      <alignment horizontal="right" vertical="center" wrapText="1"/>
    </xf>
    <xf numFmtId="170" fontId="5" fillId="3" borderId="12" xfId="2" applyNumberFormat="1" applyFont="1" applyFill="1" applyBorder="1" applyAlignment="1">
      <alignment horizontal="right" vertical="center" wrapText="1"/>
    </xf>
    <xf numFmtId="0" fontId="1" fillId="13" borderId="0" xfId="0" applyFont="1" applyFill="1" applyAlignment="1">
      <alignment wrapText="1"/>
    </xf>
    <xf numFmtId="0" fontId="8" fillId="0" borderId="0" xfId="0" applyFont="1" applyAlignment="1">
      <alignment wrapText="1"/>
    </xf>
    <xf numFmtId="164" fontId="2" fillId="0" borderId="0" xfId="0" applyNumberFormat="1" applyFont="1" applyAlignment="1">
      <alignment vertical="center" wrapText="1"/>
    </xf>
    <xf numFmtId="0" fontId="18" fillId="0" borderId="0" xfId="0" applyFont="1">
      <alignment vertical="center"/>
    </xf>
    <xf numFmtId="0" fontId="18" fillId="0" borderId="0" xfId="0" applyFont="1" applyAlignment="1">
      <alignment vertical="center" wrapText="1"/>
    </xf>
    <xf numFmtId="0" fontId="18" fillId="0" borderId="0" xfId="0" applyFont="1" applyAlignment="1">
      <alignment horizontal="center" vertical="center"/>
    </xf>
    <xf numFmtId="0" fontId="20" fillId="12" borderId="12" xfId="0" applyFont="1" applyFill="1" applyBorder="1" applyAlignment="1">
      <alignment horizontal="center" vertical="center" wrapText="1"/>
    </xf>
    <xf numFmtId="0" fontId="18" fillId="0" borderId="12" xfId="0" applyFont="1" applyBorder="1">
      <alignment vertical="center"/>
    </xf>
    <xf numFmtId="3" fontId="18" fillId="0" borderId="12" xfId="0" applyNumberFormat="1" applyFont="1" applyBorder="1" applyAlignment="1">
      <alignment horizontal="center" vertical="center" wrapText="1"/>
    </xf>
    <xf numFmtId="0" fontId="20" fillId="3" borderId="12" xfId="0" applyFont="1" applyFill="1" applyBorder="1">
      <alignment vertical="center"/>
    </xf>
    <xf numFmtId="3" fontId="20" fillId="3" borderId="12" xfId="0" applyNumberFormat="1" applyFont="1" applyFill="1" applyBorder="1" applyAlignment="1">
      <alignment horizontal="center" vertical="center" wrapText="1"/>
    </xf>
    <xf numFmtId="0" fontId="20" fillId="0" borderId="16" xfId="0" applyFont="1" applyBorder="1" applyAlignment="1">
      <alignment horizontal="center" vertical="center" wrapText="1"/>
    </xf>
    <xf numFmtId="0" fontId="18" fillId="0" borderId="16" xfId="0" applyFont="1" applyBorder="1" applyAlignment="1">
      <alignment horizontal="center" vertical="center" wrapText="1"/>
    </xf>
    <xf numFmtId="0" fontId="20" fillId="0" borderId="12" xfId="0" applyFont="1" applyBorder="1" applyAlignment="1">
      <alignment horizontal="center" vertical="center"/>
    </xf>
    <xf numFmtId="0" fontId="20" fillId="6" borderId="12" xfId="0" applyFont="1" applyFill="1" applyBorder="1" applyAlignment="1">
      <alignment horizontal="center" vertical="center" wrapText="1"/>
    </xf>
    <xf numFmtId="170" fontId="18" fillId="0" borderId="0" xfId="0" applyNumberFormat="1" applyFont="1" applyAlignment="1">
      <alignment vertical="center" wrapText="1"/>
    </xf>
    <xf numFmtId="170" fontId="18" fillId="0" borderId="0" xfId="0" applyNumberFormat="1" applyFont="1" applyAlignment="1">
      <alignment horizontal="center" vertical="center"/>
    </xf>
    <xf numFmtId="170" fontId="18" fillId="0" borderId="0" xfId="0" applyNumberFormat="1" applyFont="1" applyAlignment="1">
      <alignment horizontal="center" vertical="center" wrapText="1"/>
    </xf>
    <xf numFmtId="0" fontId="18" fillId="0" borderId="0" xfId="0" applyFont="1" applyAlignment="1">
      <alignment horizontal="center" vertical="center" wrapText="1"/>
    </xf>
    <xf numFmtId="0" fontId="20" fillId="12" borderId="16" xfId="0" applyFont="1" applyFill="1" applyBorder="1" applyAlignment="1">
      <alignment horizontal="center" vertical="center"/>
    </xf>
    <xf numFmtId="0" fontId="20" fillId="12" borderId="16" xfId="0" applyFont="1" applyFill="1" applyBorder="1" applyAlignment="1">
      <alignment horizontal="center" vertical="center" wrapText="1"/>
    </xf>
    <xf numFmtId="0" fontId="18" fillId="6" borderId="12" xfId="0" applyFont="1" applyFill="1" applyBorder="1" applyAlignment="1">
      <alignment horizontal="center" vertical="center"/>
    </xf>
    <xf numFmtId="0" fontId="18" fillId="0" borderId="12" xfId="0" applyFont="1" applyBorder="1" applyAlignment="1">
      <alignment horizontal="center" vertical="center" wrapText="1"/>
    </xf>
    <xf numFmtId="7" fontId="18" fillId="0" borderId="12" xfId="0" applyNumberFormat="1" applyFont="1" applyBorder="1" applyAlignment="1">
      <alignment horizontal="center" vertical="center" wrapText="1"/>
    </xf>
    <xf numFmtId="0" fontId="20" fillId="3" borderId="12" xfId="0" applyFont="1" applyFill="1" applyBorder="1" applyAlignment="1">
      <alignment horizontal="center" vertical="center" wrapText="1"/>
    </xf>
    <xf numFmtId="7" fontId="20" fillId="3" borderId="12" xfId="0" applyNumberFormat="1" applyFont="1" applyFill="1" applyBorder="1" applyAlignment="1">
      <alignment horizontal="center" vertical="center" wrapText="1"/>
    </xf>
    <xf numFmtId="0" fontId="20" fillId="7" borderId="5" xfId="0" applyFont="1" applyFill="1" applyBorder="1" applyAlignment="1">
      <alignment horizontal="center" vertical="center" wrapText="1"/>
    </xf>
    <xf numFmtId="0" fontId="18" fillId="0" borderId="1" xfId="0" applyFont="1" applyBorder="1" applyAlignment="1">
      <alignment horizontal="center" vertical="center" wrapText="1"/>
    </xf>
    <xf numFmtId="7" fontId="18" fillId="0" borderId="1" xfId="0" applyNumberFormat="1" applyFont="1" applyBorder="1" applyAlignment="1">
      <alignment horizontal="center" vertical="center" wrapText="1"/>
    </xf>
    <xf numFmtId="7" fontId="20" fillId="3" borderId="1" xfId="0" applyNumberFormat="1" applyFont="1" applyFill="1" applyBorder="1" applyAlignment="1">
      <alignment horizontal="center" vertical="center" wrapText="1"/>
    </xf>
    <xf numFmtId="7" fontId="18" fillId="0" borderId="0" xfId="0" applyNumberFormat="1" applyFont="1" applyAlignment="1">
      <alignment vertical="center" wrapText="1"/>
    </xf>
    <xf numFmtId="3" fontId="18" fillId="0" borderId="12" xfId="0" applyNumberFormat="1" applyFont="1" applyBorder="1" applyAlignment="1">
      <alignment horizontal="center" vertical="center"/>
    </xf>
    <xf numFmtId="3" fontId="20" fillId="15" borderId="12" xfId="0" applyNumberFormat="1" applyFont="1" applyFill="1" applyBorder="1" applyAlignment="1">
      <alignment horizontal="center" vertical="center"/>
    </xf>
    <xf numFmtId="3" fontId="20" fillId="15" borderId="12" xfId="0" applyNumberFormat="1" applyFont="1" applyFill="1" applyBorder="1" applyAlignment="1">
      <alignment horizontal="center" vertical="center" wrapText="1"/>
    </xf>
    <xf numFmtId="0" fontId="20" fillId="0" borderId="0" xfId="0" applyFont="1" applyAlignment="1">
      <alignment horizontal="center" vertical="center" wrapText="1"/>
    </xf>
    <xf numFmtId="7" fontId="18" fillId="0" borderId="0" xfId="0" applyNumberFormat="1" applyFont="1">
      <alignment vertical="center"/>
    </xf>
    <xf numFmtId="0" fontId="2" fillId="0" borderId="0" xfId="0" applyFont="1" applyAlignment="1"/>
    <xf numFmtId="0" fontId="2" fillId="0" borderId="0" xfId="0" applyFont="1" applyAlignment="1">
      <alignment wrapText="1"/>
    </xf>
    <xf numFmtId="0" fontId="2" fillId="0" borderId="0" xfId="0" applyFont="1" applyAlignment="1">
      <alignment horizontal="justify" wrapText="1"/>
    </xf>
    <xf numFmtId="0" fontId="23" fillId="0" borderId="0" xfId="0" applyFont="1">
      <alignment vertical="center"/>
    </xf>
    <xf numFmtId="0" fontId="15" fillId="0" borderId="0" xfId="0" applyFont="1">
      <alignment vertical="center"/>
    </xf>
    <xf numFmtId="0" fontId="6" fillId="0" borderId="0" xfId="4" applyFont="1" applyAlignment="1">
      <alignment vertical="center"/>
    </xf>
    <xf numFmtId="0" fontId="24" fillId="0" borderId="0" xfId="4" applyFont="1" applyAlignment="1">
      <alignment vertical="center"/>
    </xf>
    <xf numFmtId="0" fontId="25" fillId="0" borderId="0" xfId="4" applyFont="1" applyAlignment="1">
      <alignment vertical="center"/>
    </xf>
    <xf numFmtId="0" fontId="26" fillId="0" borderId="0" xfId="0" applyFont="1" applyAlignment="1"/>
    <xf numFmtId="0" fontId="16" fillId="0" borderId="0" xfId="0" applyFont="1">
      <alignment vertical="center"/>
    </xf>
    <xf numFmtId="0" fontId="27" fillId="0" borderId="0" xfId="0" applyFont="1" applyAlignment="1"/>
    <xf numFmtId="4" fontId="2" fillId="0" borderId="0" xfId="0" applyNumberFormat="1" applyFont="1" applyAlignment="1"/>
    <xf numFmtId="0" fontId="5" fillId="0" borderId="1" xfId="5"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xf>
    <xf numFmtId="0" fontId="26" fillId="0" borderId="0" xfId="0" applyFont="1" applyAlignment="1">
      <alignment horizontal="center"/>
    </xf>
    <xf numFmtId="0" fontId="2" fillId="0" borderId="0" xfId="0" applyFont="1" applyAlignment="1">
      <alignment horizontal="center"/>
    </xf>
    <xf numFmtId="0" fontId="2" fillId="0" borderId="1" xfId="0" applyFont="1" applyBorder="1" applyAlignment="1">
      <alignment horizontal="left" vertical="center" wrapText="1"/>
    </xf>
    <xf numFmtId="14" fontId="16" fillId="0" borderId="1" xfId="0" applyNumberFormat="1" applyFont="1" applyBorder="1" applyAlignment="1">
      <alignment horizontal="center" vertical="center" wrapText="1"/>
    </xf>
    <xf numFmtId="14" fontId="26" fillId="0" borderId="0" xfId="0" applyNumberFormat="1" applyFont="1" applyAlignment="1">
      <alignment horizontal="center" wrapText="1"/>
    </xf>
    <xf numFmtId="14" fontId="2" fillId="0" borderId="0" xfId="0" applyNumberFormat="1" applyFont="1" applyAlignment="1">
      <alignment horizontal="center" wrapText="1"/>
    </xf>
    <xf numFmtId="177" fontId="16" fillId="3" borderId="1" xfId="2" applyNumberFormat="1" applyFont="1" applyFill="1" applyBorder="1" applyAlignment="1">
      <alignment vertical="center" wrapText="1"/>
    </xf>
    <xf numFmtId="177" fontId="27" fillId="0" borderId="0" xfId="2" applyNumberFormat="1" applyFont="1" applyFill="1" applyBorder="1" applyAlignment="1">
      <alignment wrapText="1"/>
    </xf>
    <xf numFmtId="177" fontId="1" fillId="0" borderId="0" xfId="2" applyNumberFormat="1" applyFont="1" applyFill="1" applyBorder="1" applyAlignment="1">
      <alignment wrapText="1"/>
    </xf>
    <xf numFmtId="177" fontId="27" fillId="0" borderId="0" xfId="2" applyNumberFormat="1" applyFont="1" applyFill="1" applyBorder="1" applyAlignment="1">
      <alignment vertical="center" wrapText="1"/>
    </xf>
    <xf numFmtId="177" fontId="16" fillId="3" borderId="1" xfId="2" applyNumberFormat="1" applyFont="1" applyFill="1" applyBorder="1" applyAlignment="1" applyProtection="1">
      <alignment vertical="center" wrapText="1"/>
    </xf>
    <xf numFmtId="177" fontId="28" fillId="0" borderId="0" xfId="2" applyNumberFormat="1" applyFont="1" applyFill="1" applyBorder="1" applyAlignment="1">
      <alignment vertical="center" wrapText="1"/>
    </xf>
    <xf numFmtId="177" fontId="2" fillId="0" borderId="0" xfId="2" applyNumberFormat="1" applyFont="1" applyFill="1" applyBorder="1" applyAlignment="1" applyProtection="1">
      <alignment wrapText="1"/>
    </xf>
    <xf numFmtId="177" fontId="16" fillId="3" borderId="1" xfId="2" applyNumberFormat="1" applyFont="1" applyFill="1" applyBorder="1" applyAlignment="1" applyProtection="1">
      <alignment horizontal="justify" vertical="center" wrapText="1"/>
    </xf>
    <xf numFmtId="177" fontId="1" fillId="0" borderId="0" xfId="2" applyNumberFormat="1" applyFont="1" applyFill="1" applyBorder="1" applyAlignment="1">
      <alignment horizontal="justify" wrapText="1"/>
    </xf>
    <xf numFmtId="177" fontId="1" fillId="0" borderId="0" xfId="2" applyNumberFormat="1" applyFont="1" applyFill="1" applyBorder="1" applyAlignment="1" applyProtection="1">
      <alignment wrapText="1"/>
    </xf>
    <xf numFmtId="177" fontId="16" fillId="3" borderId="1" xfId="2" applyNumberFormat="1" applyFont="1" applyFill="1" applyBorder="1" applyAlignment="1" applyProtection="1">
      <alignment horizontal="center" vertical="center" wrapText="1"/>
    </xf>
    <xf numFmtId="0" fontId="26" fillId="0" borderId="0" xfId="0" applyFont="1" applyAlignment="1">
      <alignment wrapText="1"/>
    </xf>
    <xf numFmtId="9" fontId="16" fillId="3" borderId="1" xfId="3" applyFont="1" applyFill="1" applyBorder="1" applyAlignment="1" applyProtection="1">
      <alignment vertical="center" wrapText="1"/>
    </xf>
    <xf numFmtId="177" fontId="15" fillId="0" borderId="0" xfId="2" applyNumberFormat="1" applyFont="1" applyFill="1" applyBorder="1" applyAlignment="1">
      <alignment vertical="center" wrapText="1"/>
    </xf>
    <xf numFmtId="10" fontId="16" fillId="0" borderId="1" xfId="3" applyNumberFormat="1" applyFont="1" applyFill="1" applyBorder="1" applyAlignment="1">
      <alignment vertical="center" wrapText="1"/>
    </xf>
    <xf numFmtId="10" fontId="15" fillId="0" borderId="0" xfId="3" applyNumberFormat="1" applyFont="1" applyFill="1" applyBorder="1" applyAlignment="1">
      <alignment wrapText="1"/>
    </xf>
    <xf numFmtId="10" fontId="1" fillId="0" borderId="0" xfId="3" applyNumberFormat="1" applyFont="1" applyFill="1" applyBorder="1" applyAlignment="1">
      <alignment wrapText="1"/>
    </xf>
    <xf numFmtId="0" fontId="2" fillId="0" borderId="0" xfId="4" applyFont="1" applyAlignment="1">
      <alignment horizontal="left" vertical="center" wrapText="1"/>
    </xf>
    <xf numFmtId="0" fontId="16" fillId="0" borderId="0" xfId="4" applyFont="1" applyAlignment="1">
      <alignment horizontal="left" vertical="center" wrapText="1"/>
    </xf>
    <xf numFmtId="177" fontId="27" fillId="0" borderId="0" xfId="2" applyNumberFormat="1" applyFont="1" applyFill="1" applyBorder="1" applyAlignment="1" applyProtection="1">
      <alignment horizontal="justify" vertical="center" wrapText="1"/>
    </xf>
    <xf numFmtId="0" fontId="20" fillId="7" borderId="0" xfId="0" applyFont="1" applyFill="1" applyAlignment="1">
      <alignment horizontal="center" vertical="center" wrapText="1"/>
    </xf>
    <xf numFmtId="0" fontId="18" fillId="3" borderId="22" xfId="0" applyFont="1" applyFill="1" applyBorder="1" applyAlignment="1">
      <alignment horizontal="center" vertical="center" wrapText="1"/>
    </xf>
    <xf numFmtId="0" fontId="18" fillId="3" borderId="24" xfId="0" applyFont="1" applyFill="1" applyBorder="1" applyAlignment="1">
      <alignment horizontal="center" vertical="center" wrapText="1"/>
    </xf>
    <xf numFmtId="0" fontId="20" fillId="7" borderId="5" xfId="0" applyFont="1" applyFill="1" applyBorder="1" applyAlignment="1">
      <alignment horizontal="center" vertical="center" wrapText="1"/>
    </xf>
    <xf numFmtId="0" fontId="20" fillId="7" borderId="4" xfId="0" applyFont="1" applyFill="1" applyBorder="1" applyAlignment="1">
      <alignment horizontal="center" vertical="center" wrapText="1"/>
    </xf>
    <xf numFmtId="7" fontId="18" fillId="3" borderId="21" xfId="0" applyNumberFormat="1" applyFont="1" applyFill="1" applyBorder="1" applyAlignment="1">
      <alignment horizontal="center" vertical="center" wrapText="1"/>
    </xf>
    <xf numFmtId="0" fontId="18" fillId="3" borderId="23" xfId="0" applyFont="1" applyFill="1" applyBorder="1" applyAlignment="1">
      <alignment horizontal="center" vertical="center" wrapText="1"/>
    </xf>
    <xf numFmtId="0" fontId="20" fillId="12" borderId="12" xfId="0" applyFont="1" applyFill="1" applyBorder="1" applyAlignment="1">
      <alignment horizontal="center" vertical="center" wrapText="1"/>
    </xf>
    <xf numFmtId="0" fontId="22" fillId="0" borderId="1" xfId="0" applyFont="1" applyBorder="1" applyAlignment="1">
      <alignment horizontal="justify" vertical="center" wrapText="1"/>
    </xf>
    <xf numFmtId="0" fontId="18" fillId="0" borderId="1" xfId="0" applyFont="1" applyBorder="1" applyAlignment="1">
      <alignment horizontal="justify" vertical="center" wrapText="1"/>
    </xf>
    <xf numFmtId="0" fontId="20" fillId="3" borderId="2" xfId="0" applyFont="1" applyFill="1" applyBorder="1" applyAlignment="1">
      <alignment horizontal="justify" vertical="center"/>
    </xf>
    <xf numFmtId="0" fontId="20" fillId="3" borderId="3" xfId="0" applyFont="1" applyFill="1" applyBorder="1" applyAlignment="1">
      <alignment horizontal="justify" vertical="center"/>
    </xf>
    <xf numFmtId="0" fontId="20" fillId="3" borderId="7" xfId="0" applyFont="1" applyFill="1" applyBorder="1" applyAlignment="1">
      <alignment horizontal="justify" vertical="center"/>
    </xf>
    <xf numFmtId="0" fontId="20" fillId="16" borderId="18" xfId="0" applyFont="1" applyFill="1" applyBorder="1" applyAlignment="1">
      <alignment horizontal="center" vertical="center"/>
    </xf>
    <xf numFmtId="0" fontId="20" fillId="16" borderId="19" xfId="0" applyFont="1" applyFill="1" applyBorder="1" applyAlignment="1">
      <alignment horizontal="center" vertical="center"/>
    </xf>
    <xf numFmtId="0" fontId="20" fillId="16" borderId="20" xfId="0" applyFont="1" applyFill="1" applyBorder="1" applyAlignment="1">
      <alignment horizontal="center" vertical="center"/>
    </xf>
    <xf numFmtId="0" fontId="21" fillId="16" borderId="1" xfId="0" applyFont="1" applyFill="1" applyBorder="1" applyAlignment="1">
      <alignment horizontal="center" vertical="center"/>
    </xf>
    <xf numFmtId="0" fontId="20" fillId="7" borderId="5" xfId="0" applyFont="1" applyFill="1" applyBorder="1" applyAlignment="1">
      <alignment horizontal="justify" vertical="center"/>
    </xf>
    <xf numFmtId="0" fontId="22" fillId="0" borderId="1" xfId="0" applyFont="1" applyBorder="1" applyAlignment="1">
      <alignment horizontal="left" vertical="center" wrapText="1"/>
    </xf>
    <xf numFmtId="0" fontId="18" fillId="0" borderId="12" xfId="0" applyFont="1" applyBorder="1" applyAlignment="1">
      <alignment horizontal="center" vertical="center" wrapText="1"/>
    </xf>
    <xf numFmtId="7" fontId="18" fillId="0" borderId="12" xfId="0" applyNumberFormat="1" applyFont="1" applyBorder="1" applyAlignment="1">
      <alignment horizontal="center" vertical="center" wrapText="1"/>
    </xf>
    <xf numFmtId="0" fontId="20" fillId="3" borderId="12" xfId="0" applyFont="1" applyFill="1" applyBorder="1" applyAlignment="1">
      <alignment horizontal="center" vertical="center"/>
    </xf>
    <xf numFmtId="7" fontId="20" fillId="3" borderId="12" xfId="0" applyNumberFormat="1" applyFont="1" applyFill="1" applyBorder="1" applyAlignment="1">
      <alignment horizontal="center" vertical="center" wrapText="1"/>
    </xf>
    <xf numFmtId="0" fontId="20" fillId="16" borderId="1" xfId="0" applyFont="1" applyFill="1" applyBorder="1" applyAlignment="1">
      <alignment horizontal="center" vertical="center" wrapText="1"/>
    </xf>
    <xf numFmtId="0" fontId="1" fillId="0" borderId="17" xfId="0" applyFont="1" applyBorder="1" applyAlignment="1">
      <alignment horizontal="justify" vertical="center" wrapText="1"/>
    </xf>
    <xf numFmtId="0" fontId="20" fillId="16" borderId="12" xfId="0" applyFont="1" applyFill="1" applyBorder="1" applyAlignment="1">
      <alignment horizontal="center" vertical="center" wrapText="1"/>
    </xf>
    <xf numFmtId="0" fontId="20" fillId="12" borderId="16" xfId="0" applyFont="1" applyFill="1" applyBorder="1" applyAlignment="1">
      <alignment horizontal="center" vertical="center"/>
    </xf>
    <xf numFmtId="0" fontId="20" fillId="12" borderId="16" xfId="0" applyFont="1" applyFill="1" applyBorder="1" applyAlignment="1">
      <alignment horizontal="center" vertical="center" wrapText="1"/>
    </xf>
    <xf numFmtId="0" fontId="19" fillId="14" borderId="12" xfId="0" applyFont="1" applyFill="1" applyBorder="1" applyAlignment="1">
      <alignment horizontal="center" vertical="center" wrapText="1"/>
    </xf>
    <xf numFmtId="0" fontId="5" fillId="15" borderId="17" xfId="0" applyFont="1" applyFill="1" applyBorder="1" applyAlignment="1">
      <alignment horizontal="center" vertical="center"/>
    </xf>
    <xf numFmtId="0" fontId="5" fillId="0" borderId="17" xfId="0" applyFont="1" applyBorder="1" applyAlignment="1">
      <alignment horizontal="center" vertical="center"/>
    </xf>
    <xf numFmtId="0" fontId="20" fillId="15" borderId="12" xfId="0" applyFont="1" applyFill="1" applyBorder="1" applyAlignment="1">
      <alignment horizontal="center" vertical="center" wrapText="1"/>
    </xf>
    <xf numFmtId="0" fontId="5" fillId="2" borderId="13" xfId="0" applyFont="1" applyFill="1" applyBorder="1" applyAlignment="1">
      <alignment horizontal="right" vertical="center" wrapText="1"/>
    </xf>
    <xf numFmtId="0" fontId="5" fillId="2" borderId="14" xfId="0" applyFont="1" applyFill="1" applyBorder="1" applyAlignment="1">
      <alignment horizontal="right" vertical="center" wrapText="1"/>
    </xf>
    <xf numFmtId="0" fontId="5" fillId="2" borderId="15" xfId="0" applyFont="1" applyFill="1" applyBorder="1" applyAlignment="1">
      <alignment horizontal="right" vertical="center" wrapText="1"/>
    </xf>
    <xf numFmtId="0" fontId="1" fillId="0" borderId="13" xfId="0" applyFont="1" applyBorder="1" applyAlignment="1">
      <alignment horizontal="left"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5" fillId="3" borderId="13"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15" xfId="0" applyFont="1" applyFill="1" applyBorder="1" applyAlignment="1">
      <alignment horizontal="right" vertical="center" wrapText="1"/>
    </xf>
    <xf numFmtId="0" fontId="5" fillId="6" borderId="12" xfId="0" applyFont="1" applyFill="1" applyBorder="1" applyAlignment="1">
      <alignment horizontal="center" vertical="center" wrapText="1"/>
    </xf>
    <xf numFmtId="0" fontId="5" fillId="0" borderId="12" xfId="0" applyFont="1" applyBorder="1" applyAlignment="1">
      <alignment horizontal="right" vertical="center" wrapText="1"/>
    </xf>
    <xf numFmtId="49" fontId="13" fillId="0" borderId="0" xfId="0" applyNumberFormat="1" applyFont="1" applyAlignment="1">
      <alignment horizontal="center" vertical="center" wrapText="1"/>
    </xf>
    <xf numFmtId="0" fontId="5" fillId="6" borderId="12" xfId="0" applyFont="1" applyFill="1" applyBorder="1" applyAlignment="1">
      <alignment horizontal="right" vertical="center" wrapText="1"/>
    </xf>
    <xf numFmtId="0" fontId="5" fillId="6" borderId="13" xfId="0" applyFont="1" applyFill="1" applyBorder="1" applyAlignment="1">
      <alignment horizontal="center" vertical="center" wrapText="1"/>
    </xf>
    <xf numFmtId="0" fontId="5" fillId="6" borderId="14" xfId="0" applyFont="1" applyFill="1" applyBorder="1" applyAlignment="1">
      <alignment horizontal="center" vertical="center" wrapText="1"/>
    </xf>
    <xf numFmtId="0" fontId="5" fillId="6" borderId="15" xfId="0" applyFont="1" applyFill="1" applyBorder="1" applyAlignment="1">
      <alignment horizontal="center" vertical="center" wrapText="1"/>
    </xf>
    <xf numFmtId="0" fontId="5" fillId="12" borderId="12" xfId="0" applyFont="1" applyFill="1" applyBorder="1" applyAlignment="1">
      <alignment horizontal="center" vertical="center" wrapText="1"/>
    </xf>
    <xf numFmtId="0" fontId="5" fillId="12" borderId="12" xfId="0" applyFont="1" applyFill="1" applyBorder="1" applyAlignment="1">
      <alignment horizontal="right" vertical="center" wrapText="1"/>
    </xf>
    <xf numFmtId="0" fontId="5" fillId="12" borderId="13" xfId="0" applyFont="1" applyFill="1" applyBorder="1" applyAlignment="1">
      <alignment horizontal="center" vertical="center" wrapText="1"/>
    </xf>
    <xf numFmtId="0" fontId="5" fillId="12" borderId="14" xfId="0" applyFont="1" applyFill="1" applyBorder="1" applyAlignment="1">
      <alignment horizontal="center" vertical="center" wrapText="1"/>
    </xf>
    <xf numFmtId="0" fontId="5" fillId="12" borderId="15" xfId="0" applyFont="1" applyFill="1" applyBorder="1" applyAlignment="1">
      <alignment horizontal="center" vertical="center" wrapText="1"/>
    </xf>
    <xf numFmtId="0" fontId="5" fillId="12" borderId="15" xfId="0" applyFont="1" applyFill="1" applyBorder="1" applyAlignment="1">
      <alignment horizontal="righ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5" fillId="0" borderId="13" xfId="0" applyFont="1" applyBorder="1" applyAlignment="1">
      <alignment horizontal="right" vertical="center" wrapText="1"/>
    </xf>
    <xf numFmtId="0" fontId="5" fillId="0" borderId="14" xfId="0" applyFont="1" applyBorder="1" applyAlignment="1">
      <alignment horizontal="right" vertical="center" wrapText="1"/>
    </xf>
    <xf numFmtId="0" fontId="5" fillId="0" borderId="15" xfId="0" applyFont="1" applyBorder="1" applyAlignment="1">
      <alignment horizontal="right" vertical="center" wrapText="1"/>
    </xf>
    <xf numFmtId="0" fontId="5"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right" vertical="center" wrapText="1"/>
    </xf>
    <xf numFmtId="0" fontId="12" fillId="12" borderId="12" xfId="0" applyFont="1" applyFill="1" applyBorder="1" applyAlignment="1">
      <alignment horizontal="center" vertical="center" wrapText="1"/>
    </xf>
    <xf numFmtId="0" fontId="12" fillId="12" borderId="12" xfId="0" applyFont="1" applyFill="1" applyBorder="1" applyAlignment="1">
      <alignment horizontal="right" vertical="center" wrapText="1"/>
    </xf>
    <xf numFmtId="0" fontId="13" fillId="0" borderId="13" xfId="0" applyFont="1" applyBorder="1" applyAlignment="1">
      <alignment horizontal="left" vertical="center" wrapText="1"/>
    </xf>
    <xf numFmtId="0" fontId="13" fillId="0" borderId="14" xfId="0" applyFont="1" applyBorder="1" applyAlignment="1">
      <alignment horizontal="left" vertical="center" wrapText="1"/>
    </xf>
    <xf numFmtId="0" fontId="13" fillId="0" borderId="15" xfId="0" applyFont="1" applyBorder="1" applyAlignment="1">
      <alignment horizontal="left" vertical="center" wrapText="1"/>
    </xf>
    <xf numFmtId="0" fontId="8" fillId="0" borderId="13" xfId="4" applyFont="1" applyBorder="1" applyAlignment="1">
      <alignment horizontal="left" vertical="center"/>
    </xf>
    <xf numFmtId="0" fontId="8" fillId="0" borderId="14" xfId="4" applyFont="1" applyBorder="1" applyAlignment="1">
      <alignment horizontal="left" vertical="center"/>
    </xf>
    <xf numFmtId="0" fontId="8" fillId="0" borderId="15" xfId="4" applyFont="1" applyBorder="1" applyAlignment="1">
      <alignment horizontal="left" vertical="center"/>
    </xf>
    <xf numFmtId="0" fontId="12" fillId="0" borderId="0" xfId="0" applyFont="1"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right" vertical="center" wrapText="1"/>
    </xf>
    <xf numFmtId="0" fontId="13" fillId="0" borderId="12" xfId="0" applyFont="1" applyBorder="1" applyAlignment="1">
      <alignment horizontal="left" vertical="center" wrapText="1"/>
    </xf>
    <xf numFmtId="0" fontId="12" fillId="0" borderId="12" xfId="0" applyFont="1" applyBorder="1" applyAlignment="1">
      <alignment horizontal="center" vertical="center" wrapText="1"/>
    </xf>
    <xf numFmtId="0" fontId="13" fillId="0" borderId="12" xfId="0" applyFont="1" applyBorder="1" applyAlignment="1">
      <alignment horizontal="center" vertical="center" wrapText="1"/>
    </xf>
    <xf numFmtId="0" fontId="6" fillId="0" borderId="12" xfId="4" applyFont="1" applyBorder="1" applyAlignment="1" applyProtection="1">
      <alignment horizontal="left" vertical="center"/>
      <protection locked="0"/>
    </xf>
    <xf numFmtId="0" fontId="6" fillId="9" borderId="0" xfId="4" applyFont="1" applyFill="1" applyAlignment="1" applyProtection="1">
      <alignment horizontal="center" vertical="center"/>
      <protection locked="0"/>
    </xf>
    <xf numFmtId="0" fontId="6" fillId="9" borderId="0" xfId="4" applyFont="1" applyFill="1" applyAlignment="1" applyProtection="1">
      <alignment horizontal="right" vertical="center"/>
      <protection locked="0"/>
    </xf>
    <xf numFmtId="165" fontId="1" fillId="0" borderId="1" xfId="2" applyNumberFormat="1" applyFont="1" applyFill="1" applyBorder="1" applyAlignment="1">
      <alignment horizontal="center" vertical="center" wrapText="1"/>
    </xf>
    <xf numFmtId="0" fontId="5" fillId="6" borderId="4" xfId="0" applyFont="1" applyFill="1" applyBorder="1" applyAlignment="1">
      <alignment horizontal="center" vertical="center" wrapText="1"/>
    </xf>
    <xf numFmtId="0" fontId="5" fillId="6" borderId="5" xfId="0" applyFont="1" applyFill="1" applyBorder="1" applyAlignment="1">
      <alignment horizontal="center" vertical="center" wrapText="1"/>
    </xf>
    <xf numFmtId="0" fontId="8" fillId="0" borderId="10" xfId="0" applyFont="1" applyBorder="1" applyAlignment="1">
      <alignment horizontal="center" vertical="center" wrapText="1"/>
    </xf>
    <xf numFmtId="0" fontId="8"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4" xfId="0" applyFont="1" applyBorder="1" applyAlignment="1">
      <alignment horizontal="center" vertical="center" wrapText="1"/>
    </xf>
    <xf numFmtId="0" fontId="4" fillId="6" borderId="1" xfId="0" applyFont="1" applyFill="1" applyBorder="1" applyAlignment="1">
      <alignment horizontal="center" vertical="center" wrapText="1"/>
    </xf>
    <xf numFmtId="0" fontId="8" fillId="0" borderId="4"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8" fillId="0" borderId="10" xfId="0" applyFont="1" applyBorder="1" applyAlignment="1">
      <alignment horizontal="left" vertical="center" wrapText="1"/>
    </xf>
    <xf numFmtId="0" fontId="8" fillId="0" borderId="5" xfId="0" applyFont="1" applyBorder="1" applyAlignment="1">
      <alignment horizontal="left" vertical="center" wrapText="1"/>
    </xf>
    <xf numFmtId="0" fontId="8" fillId="0" borderId="4" xfId="0" applyFont="1" applyBorder="1" applyAlignment="1">
      <alignment horizontal="left" vertical="center" wrapText="1"/>
    </xf>
    <xf numFmtId="0" fontId="1" fillId="0" borderId="10" xfId="0" applyFont="1" applyBorder="1" applyAlignment="1">
      <alignment horizontal="left" vertical="center" wrapText="1"/>
    </xf>
    <xf numFmtId="0" fontId="1" fillId="0" borderId="5" xfId="0" applyFont="1" applyBorder="1" applyAlignment="1">
      <alignment horizontal="left" vertical="center" wrapText="1"/>
    </xf>
    <xf numFmtId="0" fontId="1" fillId="0" borderId="4" xfId="0" applyFont="1" applyBorder="1" applyAlignment="1">
      <alignment horizontal="left" vertical="center" wrapText="1"/>
    </xf>
    <xf numFmtId="0" fontId="5" fillId="6" borderId="1" xfId="0" applyFont="1" applyFill="1" applyBorder="1" applyAlignment="1">
      <alignment horizontal="center" vertical="center" wrapText="1"/>
    </xf>
    <xf numFmtId="165" fontId="4" fillId="7" borderId="1" xfId="0" applyNumberFormat="1" applyFont="1" applyFill="1" applyBorder="1" applyAlignment="1">
      <alignment horizontal="right" vertical="center" wrapText="1"/>
    </xf>
    <xf numFmtId="168" fontId="4" fillId="0" borderId="1" xfId="0" applyNumberFormat="1" applyFont="1" applyBorder="1" applyAlignment="1">
      <alignment horizontal="right" vertical="center" wrapText="1"/>
    </xf>
    <xf numFmtId="165" fontId="5" fillId="3" borderId="1" xfId="0" applyNumberFormat="1" applyFont="1" applyFill="1" applyBorder="1" applyAlignment="1">
      <alignment horizontal="right" vertical="center" wrapText="1"/>
    </xf>
    <xf numFmtId="0" fontId="11" fillId="0" borderId="10"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3" fillId="0" borderId="0" xfId="0" applyFont="1" applyAlignment="1">
      <alignment horizontal="center" vertical="center"/>
    </xf>
    <xf numFmtId="0" fontId="3" fillId="0" borderId="11" xfId="0" applyFont="1" applyBorder="1" applyAlignment="1">
      <alignment horizontal="center" vertical="center"/>
    </xf>
    <xf numFmtId="0" fontId="4" fillId="6" borderId="2"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6" borderId="7" xfId="0" applyFont="1" applyFill="1" applyBorder="1" applyAlignment="1">
      <alignment horizontal="center" vertical="center" wrapText="1"/>
    </xf>
    <xf numFmtId="165" fontId="1" fillId="0" borderId="0" xfId="2" applyNumberFormat="1" applyFont="1" applyFill="1" applyBorder="1" applyAlignment="1">
      <alignment horizontal="center" vertical="center" wrapText="1"/>
    </xf>
    <xf numFmtId="0" fontId="5" fillId="8" borderId="1" xfId="0" applyFont="1" applyFill="1" applyBorder="1" applyAlignment="1">
      <alignment horizontal="center" vertical="center" wrapText="1"/>
    </xf>
    <xf numFmtId="165" fontId="1" fillId="0" borderId="5" xfId="2" applyNumberFormat="1" applyFont="1" applyFill="1" applyBorder="1" applyAlignment="1">
      <alignment horizontal="center" vertical="center" wrapText="1"/>
    </xf>
    <xf numFmtId="0" fontId="4" fillId="8"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10" borderId="1" xfId="0" applyFont="1" applyFill="1" applyBorder="1" applyAlignment="1">
      <alignment horizontal="center" vertical="center" wrapText="1"/>
    </xf>
    <xf numFmtId="0" fontId="1" fillId="0" borderId="1" xfId="0" applyFont="1" applyBorder="1" applyAlignment="1">
      <alignment horizontal="center" vertical="center"/>
    </xf>
    <xf numFmtId="0" fontId="4" fillId="9" borderId="10" xfId="0" applyFont="1" applyFill="1" applyBorder="1" applyAlignment="1">
      <alignment horizontal="center" vertical="center" wrapText="1"/>
    </xf>
    <xf numFmtId="0" fontId="4" fillId="9" borderId="5" xfId="0" applyFont="1" applyFill="1" applyBorder="1" applyAlignment="1">
      <alignment horizontal="center" vertical="center" wrapText="1"/>
    </xf>
    <xf numFmtId="0" fontId="4" fillId="9" borderId="4"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6" xfId="0" applyFont="1" applyBorder="1" applyAlignment="1">
      <alignment horizontal="center" vertical="center" wrapText="1"/>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10" xfId="0" applyFont="1" applyBorder="1" applyAlignment="1">
      <alignment horizontal="left" vertical="center"/>
    </xf>
    <xf numFmtId="0" fontId="1" fillId="0" borderId="5" xfId="0" applyFont="1" applyBorder="1" applyAlignment="1">
      <alignment horizontal="left" vertical="center"/>
    </xf>
    <xf numFmtId="165" fontId="1"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3" fontId="8" fillId="0" borderId="1" xfId="0" applyNumberFormat="1" applyFont="1" applyBorder="1" applyAlignment="1">
      <alignment horizontal="center" vertical="center" wrapText="1"/>
    </xf>
    <xf numFmtId="0" fontId="4" fillId="2" borderId="1" xfId="0" applyFont="1" applyFill="1" applyBorder="1" applyAlignment="1">
      <alignment horizontal="left" vertical="center" wrapText="1"/>
    </xf>
    <xf numFmtId="0" fontId="8" fillId="0" borderId="1" xfId="0" applyFont="1" applyBorder="1" applyAlignment="1">
      <alignment horizontal="left" vertical="center" wrapText="1"/>
    </xf>
    <xf numFmtId="0" fontId="3" fillId="0" borderId="0" xfId="0" applyFont="1" applyAlignment="1">
      <alignment horizontal="left" vertical="center"/>
    </xf>
    <xf numFmtId="165" fontId="2" fillId="0" borderId="4" xfId="0" applyNumberFormat="1" applyFont="1" applyBorder="1" applyAlignment="1">
      <alignment horizontal="center" vertical="center"/>
    </xf>
    <xf numFmtId="165" fontId="2" fillId="0" borderId="5" xfId="0" applyNumberFormat="1" applyFont="1" applyBorder="1" applyAlignment="1">
      <alignment horizontal="center" vertical="center"/>
    </xf>
    <xf numFmtId="9" fontId="2" fillId="0" borderId="4" xfId="0" applyNumberFormat="1" applyFont="1" applyBorder="1" applyAlignment="1">
      <alignment horizontal="center" vertical="center"/>
    </xf>
    <xf numFmtId="9" fontId="2" fillId="0" borderId="5" xfId="0" applyNumberFormat="1" applyFont="1" applyBorder="1" applyAlignment="1">
      <alignment horizontal="center" vertical="center"/>
    </xf>
    <xf numFmtId="165" fontId="2" fillId="0" borderId="1" xfId="0" applyNumberFormat="1" applyFont="1" applyBorder="1" applyAlignment="1">
      <alignment horizontal="center" vertical="center"/>
    </xf>
    <xf numFmtId="0" fontId="2" fillId="0" borderId="1" xfId="0" applyFont="1" applyBorder="1" applyAlignment="1">
      <alignment horizontal="center" vertical="center"/>
    </xf>
    <xf numFmtId="165" fontId="2" fillId="0" borderId="4" xfId="0" applyNumberFormat="1" applyFont="1" applyBorder="1" applyAlignment="1">
      <alignment horizontal="center" vertical="center" wrapText="1"/>
    </xf>
    <xf numFmtId="165" fontId="2" fillId="0" borderId="5"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3" fontId="2" fillId="0" borderId="1" xfId="0" applyNumberFormat="1" applyFont="1" applyBorder="1" applyAlignment="1">
      <alignment horizontal="center" vertical="center" wrapText="1"/>
    </xf>
    <xf numFmtId="3" fontId="2" fillId="0" borderId="4" xfId="0" applyNumberFormat="1" applyFont="1" applyBorder="1" applyAlignment="1">
      <alignment horizontal="center" vertical="center" wrapText="1"/>
    </xf>
    <xf numFmtId="166" fontId="2" fillId="0" borderId="4" xfId="0" applyNumberFormat="1" applyFont="1" applyBorder="1" applyAlignment="1">
      <alignment horizontal="center" vertical="center" wrapText="1"/>
    </xf>
    <xf numFmtId="166" fontId="2" fillId="0" borderId="5" xfId="0" applyNumberFormat="1" applyFont="1" applyBorder="1" applyAlignment="1">
      <alignment horizontal="center" vertical="center" wrapText="1"/>
    </xf>
    <xf numFmtId="0" fontId="2" fillId="0" borderId="1"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5" xfId="0" applyFont="1" applyBorder="1" applyAlignment="1">
      <alignment horizontal="justify" vertical="center" wrapText="1"/>
    </xf>
    <xf numFmtId="165" fontId="6" fillId="0" borderId="2" xfId="0" applyNumberFormat="1" applyFont="1" applyBorder="1" applyAlignment="1">
      <alignment horizontal="right" vertical="center" wrapText="1"/>
    </xf>
    <xf numFmtId="165" fontId="6" fillId="0" borderId="3" xfId="0" applyNumberFormat="1" applyFont="1" applyBorder="1" applyAlignment="1">
      <alignment horizontal="right" vertical="center" wrapText="1"/>
    </xf>
    <xf numFmtId="165" fontId="6" fillId="0" borderId="7" xfId="0" applyNumberFormat="1" applyFont="1" applyBorder="1" applyAlignment="1">
      <alignment horizontal="right" vertical="center" wrapText="1"/>
    </xf>
    <xf numFmtId="164" fontId="6" fillId="0" borderId="2" xfId="0" applyNumberFormat="1" applyFont="1" applyBorder="1" applyAlignment="1">
      <alignment horizontal="right" vertical="center"/>
    </xf>
    <xf numFmtId="164" fontId="6" fillId="0" borderId="3" xfId="0" applyNumberFormat="1" applyFont="1" applyBorder="1" applyAlignment="1">
      <alignment horizontal="right" vertical="center"/>
    </xf>
    <xf numFmtId="164" fontId="6" fillId="0" borderId="7" xfId="0" applyNumberFormat="1" applyFont="1" applyBorder="1" applyAlignment="1">
      <alignment horizontal="right" vertical="center"/>
    </xf>
    <xf numFmtId="164" fontId="2" fillId="4" borderId="2" xfId="0" applyNumberFormat="1" applyFont="1" applyFill="1" applyBorder="1" applyAlignment="1">
      <alignment horizontal="right" vertical="center" wrapText="1"/>
    </xf>
    <xf numFmtId="164" fontId="2" fillId="4" borderId="3" xfId="0" applyNumberFormat="1" applyFont="1" applyFill="1" applyBorder="1" applyAlignment="1">
      <alignment horizontal="right" vertical="center" wrapText="1"/>
    </xf>
    <xf numFmtId="164" fontId="2" fillId="4" borderId="7" xfId="0" applyNumberFormat="1" applyFont="1" applyFill="1" applyBorder="1" applyAlignment="1">
      <alignment horizontal="right" vertical="center" wrapText="1"/>
    </xf>
    <xf numFmtId="164" fontId="6" fillId="5" borderId="2" xfId="0" applyNumberFormat="1" applyFont="1" applyFill="1" applyBorder="1" applyAlignment="1">
      <alignment horizontal="right" vertical="center" wrapText="1"/>
    </xf>
    <xf numFmtId="164" fontId="6" fillId="5" borderId="3" xfId="0" applyNumberFormat="1" applyFont="1" applyFill="1" applyBorder="1" applyAlignment="1">
      <alignment horizontal="right" vertical="center" wrapText="1"/>
    </xf>
    <xf numFmtId="164" fontId="6" fillId="5" borderId="7" xfId="0" applyNumberFormat="1" applyFont="1" applyFill="1" applyBorder="1" applyAlignment="1">
      <alignment horizontal="right" vertical="center" wrapText="1"/>
    </xf>
    <xf numFmtId="0" fontId="7"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7" xfId="0" applyFont="1" applyFill="1" applyBorder="1" applyAlignment="1">
      <alignment horizontal="center" vertical="center" wrapText="1"/>
    </xf>
  </cellXfs>
  <cellStyles count="6">
    <cellStyle name="Moeda" xfId="2" builtinId="4"/>
    <cellStyle name="Normal" xfId="0" builtinId="0"/>
    <cellStyle name="Normal 24" xfId="5" xr:uid="{00000000-0005-0000-0000-000032000000}"/>
    <cellStyle name="Normal 3" xfId="4" xr:uid="{00000000-0005-0000-0000-000031000000}"/>
    <cellStyle name="Porcentagem" xfId="3" builtinId="5"/>
    <cellStyle name="Vírgula" xfId="1" builtinId="3"/>
  </cellStyles>
  <dxfs count="0"/>
  <tableStyles count="0" defaultTableStyle="TableStyleMedium2"/>
  <colors>
    <mruColors>
      <color rgb="FFCD89F8"/>
      <color rgb="FFF030AE"/>
      <color rgb="FFFBB1F3"/>
      <color rgb="FFFDD0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ote%204%20-%20SEMSU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AIZ_DADOS"/>
      <sheetName val="LOTE 4_TOTALIZADOR GERAL"/>
      <sheetName val="LOTE 4-A_Servente Insal 30h"/>
      <sheetName val="LOTE 4-B_Servente Insal 44 h"/>
      <sheetName val="LOTE 4-C_Servente 30 h"/>
      <sheetName val="LOTE 4-D_Servente Ext 44 h"/>
      <sheetName val="LOTE 4-E_Limpador Vidros 30 h"/>
      <sheetName val="LOTE 4-F_Encarregado 30 h"/>
      <sheetName val="LOTE 4-G_Jardineiro 44 hs"/>
      <sheetName val="LOTE 4_Uniformes"/>
      <sheetName val="LOTE 4_EPI's"/>
      <sheetName val="LOTE 4_Materiais"/>
      <sheetName val="LOTE 4_Equipamentos"/>
    </sheetNames>
    <sheetDataSet>
      <sheetData sheetId="0"/>
      <sheetData sheetId="1">
        <row r="6">
          <cell r="G6">
            <v>2</v>
          </cell>
          <cell r="K6">
            <v>1</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00000"/>
  </sheetPr>
  <dimension ref="A1:H35"/>
  <sheetViews>
    <sheetView zoomScale="90" zoomScaleNormal="90" workbookViewId="0">
      <selection activeCell="B14" sqref="B14"/>
    </sheetView>
  </sheetViews>
  <sheetFormatPr defaultColWidth="9.140625" defaultRowHeight="15"/>
  <cols>
    <col min="1" max="1" width="54.7109375" style="1" customWidth="1"/>
    <col min="2" max="3" width="17" style="1" customWidth="1"/>
    <col min="4" max="4" width="21.28515625" style="168" customWidth="1"/>
    <col min="5" max="5" width="151.5703125" style="169" customWidth="1"/>
    <col min="6" max="16384" width="9.140625" style="1"/>
  </cols>
  <sheetData>
    <row r="1" spans="1:8" s="165" customFormat="1" ht="15.75">
      <c r="A1" s="170" t="s">
        <v>0</v>
      </c>
      <c r="B1" s="170"/>
      <c r="C1" s="170"/>
      <c r="D1" s="171"/>
      <c r="E1" s="172"/>
    </row>
    <row r="2" spans="1:8" s="165" customFormat="1" ht="15.75" customHeight="1">
      <c r="A2" s="203" t="s">
        <v>1</v>
      </c>
      <c r="B2" s="203"/>
      <c r="C2" s="203"/>
      <c r="D2" s="204"/>
      <c r="E2" s="173"/>
    </row>
    <row r="3" spans="1:8" s="165" customFormat="1">
      <c r="B3" s="2"/>
      <c r="C3" s="2"/>
      <c r="D3" s="174"/>
      <c r="E3" s="175"/>
      <c r="F3" s="176"/>
    </row>
    <row r="4" spans="1:8" s="165" customFormat="1" ht="24" customHeight="1">
      <c r="A4" s="177" t="s">
        <v>2</v>
      </c>
      <c r="B4" s="178" t="s">
        <v>3</v>
      </c>
      <c r="C4" s="178" t="s">
        <v>4</v>
      </c>
      <c r="D4" s="179" t="s">
        <v>5</v>
      </c>
      <c r="E4" s="180"/>
      <c r="F4" s="181"/>
      <c r="G4" s="181"/>
      <c r="H4" s="181"/>
    </row>
    <row r="5" spans="1:8" s="166" customFormat="1" ht="30.95" customHeight="1">
      <c r="A5" s="182" t="s">
        <v>6</v>
      </c>
      <c r="B5" s="6" t="s">
        <v>7</v>
      </c>
      <c r="C5" s="6"/>
      <c r="D5" s="183" t="s">
        <v>8</v>
      </c>
      <c r="E5" s="184"/>
      <c r="F5" s="185"/>
      <c r="G5" s="185"/>
      <c r="H5" s="185"/>
    </row>
    <row r="6" spans="1:8" s="166" customFormat="1" ht="30.95" customHeight="1">
      <c r="A6" s="182" t="s">
        <v>9</v>
      </c>
      <c r="B6" s="6" t="s">
        <v>10</v>
      </c>
      <c r="C6" s="6" t="s">
        <v>11</v>
      </c>
      <c r="D6" s="186">
        <v>1651</v>
      </c>
      <c r="E6" s="187"/>
      <c r="F6" s="188"/>
      <c r="G6" s="188"/>
      <c r="H6" s="188"/>
    </row>
    <row r="7" spans="1:8" s="166" customFormat="1" ht="30.95" customHeight="1">
      <c r="A7" s="182" t="s">
        <v>12</v>
      </c>
      <c r="B7" s="6" t="s">
        <v>13</v>
      </c>
      <c r="C7" s="6" t="s">
        <v>14</v>
      </c>
      <c r="D7" s="186">
        <v>400</v>
      </c>
      <c r="E7" s="187"/>
      <c r="F7" s="188"/>
      <c r="G7" s="188"/>
      <c r="H7" s="188"/>
    </row>
    <row r="8" spans="1:8" s="166" customFormat="1" ht="45.95" customHeight="1">
      <c r="A8" s="182" t="s">
        <v>15</v>
      </c>
      <c r="B8" s="6" t="s">
        <v>16</v>
      </c>
      <c r="C8" s="6" t="s">
        <v>17</v>
      </c>
      <c r="D8" s="186">
        <v>130</v>
      </c>
      <c r="E8" s="189" t="s">
        <v>18</v>
      </c>
      <c r="F8" s="188"/>
      <c r="G8" s="188"/>
      <c r="H8" s="188"/>
    </row>
    <row r="9" spans="1:8" s="166" customFormat="1" ht="30.95" customHeight="1">
      <c r="A9" s="182" t="s">
        <v>19</v>
      </c>
      <c r="B9" s="6" t="s">
        <v>20</v>
      </c>
      <c r="C9" s="6"/>
      <c r="D9" s="190">
        <f>(135.91)</f>
        <v>135.91</v>
      </c>
      <c r="E9" s="191" t="s">
        <v>21</v>
      </c>
      <c r="F9" s="192"/>
      <c r="G9" s="192"/>
      <c r="H9" s="192"/>
    </row>
    <row r="10" spans="1:8" s="166" customFormat="1" ht="30.95" customHeight="1">
      <c r="A10" s="182" t="s">
        <v>22</v>
      </c>
      <c r="B10" s="6" t="s">
        <v>20</v>
      </c>
      <c r="C10" s="6"/>
      <c r="D10" s="186">
        <f>(203.98)</f>
        <v>203.98</v>
      </c>
      <c r="E10" s="191" t="s">
        <v>21</v>
      </c>
      <c r="F10" s="188"/>
      <c r="G10" s="188"/>
      <c r="H10" s="188"/>
    </row>
    <row r="11" spans="1:8" s="166" customFormat="1" ht="30.95" customHeight="1">
      <c r="A11" s="182" t="s">
        <v>23</v>
      </c>
      <c r="B11" s="6" t="s">
        <v>20</v>
      </c>
      <c r="C11" s="6"/>
      <c r="D11" s="186">
        <f>(339.91)</f>
        <v>339.91</v>
      </c>
      <c r="E11" s="191" t="s">
        <v>21</v>
      </c>
      <c r="F11" s="188"/>
      <c r="G11" s="188"/>
      <c r="H11" s="188"/>
    </row>
    <row r="12" spans="1:8" s="166" customFormat="1" ht="30.95" customHeight="1">
      <c r="A12" s="182" t="s">
        <v>24</v>
      </c>
      <c r="B12" s="6" t="s">
        <v>20</v>
      </c>
      <c r="C12" s="6"/>
      <c r="D12" s="186">
        <f>(475.93)</f>
        <v>475.93</v>
      </c>
      <c r="E12" s="191" t="s">
        <v>21</v>
      </c>
      <c r="F12" s="188"/>
      <c r="G12" s="188"/>
      <c r="H12" s="188"/>
    </row>
    <row r="13" spans="1:8" s="166" customFormat="1" ht="30.95" customHeight="1">
      <c r="A13" s="182" t="s">
        <v>25</v>
      </c>
      <c r="B13" s="6" t="s">
        <v>20</v>
      </c>
      <c r="C13" s="6"/>
      <c r="D13" s="186">
        <f>(381.6)</f>
        <v>381.6</v>
      </c>
      <c r="E13" s="191" t="s">
        <v>21</v>
      </c>
      <c r="F13" s="188"/>
      <c r="G13" s="188"/>
      <c r="H13" s="188"/>
    </row>
    <row r="14" spans="1:8" s="166" customFormat="1" ht="30.95" customHeight="1">
      <c r="A14" s="182" t="s">
        <v>26</v>
      </c>
      <c r="B14" s="6" t="s">
        <v>20</v>
      </c>
      <c r="C14" s="6"/>
      <c r="D14" s="190">
        <f>(135.91)</f>
        <v>135.91</v>
      </c>
      <c r="E14" s="191" t="s">
        <v>21</v>
      </c>
      <c r="F14" s="188"/>
      <c r="G14" s="188"/>
      <c r="H14" s="188"/>
    </row>
    <row r="15" spans="1:8" s="166" customFormat="1" ht="30.95" customHeight="1">
      <c r="A15" s="182" t="s">
        <v>19</v>
      </c>
      <c r="B15" s="6" t="s">
        <v>20</v>
      </c>
      <c r="C15" s="6"/>
      <c r="D15" s="190">
        <f>(135.91/44)*30</f>
        <v>92.67</v>
      </c>
      <c r="E15" s="191" t="s">
        <v>27</v>
      </c>
      <c r="F15" s="192"/>
      <c r="G15" s="192"/>
      <c r="H15" s="192"/>
    </row>
    <row r="16" spans="1:8" s="166" customFormat="1" ht="30.95" customHeight="1">
      <c r="A16" s="182" t="s">
        <v>22</v>
      </c>
      <c r="B16" s="6" t="s">
        <v>20</v>
      </c>
      <c r="C16" s="6"/>
      <c r="D16" s="186">
        <f>(203.98/44)*30</f>
        <v>139.08000000000001</v>
      </c>
      <c r="E16" s="191" t="s">
        <v>27</v>
      </c>
      <c r="F16" s="188"/>
      <c r="G16" s="188"/>
      <c r="H16" s="188"/>
    </row>
    <row r="17" spans="1:8" s="166" customFormat="1" ht="30.95" customHeight="1">
      <c r="A17" s="182" t="s">
        <v>23</v>
      </c>
      <c r="B17" s="6" t="s">
        <v>20</v>
      </c>
      <c r="C17" s="6"/>
      <c r="D17" s="186">
        <f>(339.91/44)*30</f>
        <v>231.76</v>
      </c>
      <c r="E17" s="191" t="s">
        <v>27</v>
      </c>
      <c r="F17" s="188"/>
      <c r="G17" s="188"/>
      <c r="H17" s="188"/>
    </row>
    <row r="18" spans="1:8" s="166" customFormat="1" ht="30.95" customHeight="1">
      <c r="A18" s="182" t="s">
        <v>24</v>
      </c>
      <c r="B18" s="6" t="s">
        <v>20</v>
      </c>
      <c r="C18" s="6"/>
      <c r="D18" s="186">
        <f>(475.93/44)*30</f>
        <v>324.5</v>
      </c>
      <c r="E18" s="191" t="s">
        <v>27</v>
      </c>
      <c r="F18" s="188"/>
      <c r="G18" s="188"/>
      <c r="H18" s="188"/>
    </row>
    <row r="19" spans="1:8" s="166" customFormat="1" ht="30.95" customHeight="1">
      <c r="A19" s="182" t="s">
        <v>25</v>
      </c>
      <c r="B19" s="6" t="s">
        <v>20</v>
      </c>
      <c r="C19" s="6"/>
      <c r="D19" s="186">
        <f>(381.6/44)*30</f>
        <v>260.18</v>
      </c>
      <c r="E19" s="191" t="s">
        <v>27</v>
      </c>
      <c r="F19" s="188"/>
      <c r="G19" s="188"/>
      <c r="H19" s="188"/>
    </row>
    <row r="20" spans="1:8" s="166" customFormat="1" ht="30.95" customHeight="1">
      <c r="A20" s="182" t="s">
        <v>26</v>
      </c>
      <c r="B20" s="6" t="s">
        <v>20</v>
      </c>
      <c r="C20" s="6"/>
      <c r="D20" s="190">
        <f>(135.91/44)*30</f>
        <v>92.67</v>
      </c>
      <c r="E20" s="191" t="s">
        <v>27</v>
      </c>
      <c r="F20" s="188"/>
      <c r="G20" s="188"/>
      <c r="H20" s="188"/>
    </row>
    <row r="21" spans="1:8" s="166" customFormat="1" ht="45.95" customHeight="1">
      <c r="A21" s="8" t="s">
        <v>28</v>
      </c>
      <c r="B21" s="6" t="s">
        <v>29</v>
      </c>
      <c r="C21" s="6"/>
      <c r="D21" s="193">
        <f>112</f>
        <v>112</v>
      </c>
      <c r="E21" s="205" t="s">
        <v>30</v>
      </c>
      <c r="F21" s="188"/>
      <c r="G21" s="188"/>
      <c r="H21" s="188"/>
    </row>
    <row r="22" spans="1:8" s="167" customFormat="1" ht="45.95" customHeight="1">
      <c r="A22" s="8" t="s">
        <v>31</v>
      </c>
      <c r="B22" s="6" t="s">
        <v>29</v>
      </c>
      <c r="C22" s="6"/>
      <c r="D22" s="193">
        <f>112*50%</f>
        <v>56</v>
      </c>
      <c r="E22" s="205"/>
      <c r="F22" s="194"/>
      <c r="G22" s="194"/>
      <c r="H22" s="194"/>
    </row>
    <row r="23" spans="1:8" s="167" customFormat="1" ht="45.95" customHeight="1">
      <c r="A23" s="8" t="s">
        <v>32</v>
      </c>
      <c r="B23" s="6" t="s">
        <v>29</v>
      </c>
      <c r="C23" s="6"/>
      <c r="D23" s="193">
        <f>100</f>
        <v>100</v>
      </c>
      <c r="E23" s="205"/>
      <c r="F23" s="194"/>
      <c r="G23" s="194"/>
      <c r="H23" s="194"/>
    </row>
    <row r="24" spans="1:8" s="166" customFormat="1" ht="30.95" customHeight="1">
      <c r="A24" s="182" t="s">
        <v>33</v>
      </c>
      <c r="B24" s="6" t="s">
        <v>34</v>
      </c>
      <c r="C24" s="6"/>
      <c r="D24" s="190">
        <v>14.66</v>
      </c>
      <c r="E24" s="187"/>
      <c r="F24" s="192"/>
      <c r="G24" s="192"/>
      <c r="H24" s="192"/>
    </row>
    <row r="25" spans="1:8" s="166" customFormat="1" ht="30.95" customHeight="1">
      <c r="A25" s="182" t="s">
        <v>35</v>
      </c>
      <c r="B25" s="6" t="s">
        <v>36</v>
      </c>
      <c r="C25" s="6"/>
      <c r="D25" s="190">
        <v>6.4</v>
      </c>
      <c r="E25" s="187"/>
      <c r="F25" s="195"/>
      <c r="G25" s="195"/>
      <c r="H25" s="195"/>
    </row>
    <row r="26" spans="1:8" s="166" customFormat="1" ht="30.95" customHeight="1">
      <c r="A26" s="182" t="s">
        <v>37</v>
      </c>
      <c r="B26" s="6" t="s">
        <v>38</v>
      </c>
      <c r="C26" s="6"/>
      <c r="D26" s="196" t="s">
        <v>39</v>
      </c>
      <c r="E26" s="187"/>
      <c r="F26" s="195"/>
      <c r="G26" s="195"/>
      <c r="H26" s="195"/>
    </row>
    <row r="28" spans="1:8" ht="12.75">
      <c r="A28" s="177" t="s">
        <v>2</v>
      </c>
      <c r="B28" s="178" t="s">
        <v>40</v>
      </c>
      <c r="C28" s="178"/>
      <c r="D28" s="179" t="s">
        <v>5</v>
      </c>
    </row>
    <row r="29" spans="1:8" s="166" customFormat="1" ht="30.95" customHeight="1">
      <c r="A29" s="182" t="s">
        <v>41</v>
      </c>
      <c r="B29" s="6">
        <v>2026</v>
      </c>
      <c r="C29" s="6"/>
      <c r="D29" s="190">
        <v>1651</v>
      </c>
      <c r="E29" s="197"/>
    </row>
    <row r="30" spans="1:8" s="166" customFormat="1" ht="30.95" customHeight="1">
      <c r="A30" s="182" t="s">
        <v>42</v>
      </c>
      <c r="B30" s="6">
        <v>2026</v>
      </c>
      <c r="C30" s="6"/>
      <c r="D30" s="198">
        <v>0.2</v>
      </c>
      <c r="E30" s="197"/>
    </row>
    <row r="31" spans="1:8" s="166" customFormat="1" ht="30.95" customHeight="1">
      <c r="A31" s="182" t="s">
        <v>43</v>
      </c>
      <c r="B31" s="6">
        <v>2026</v>
      </c>
      <c r="C31" s="6"/>
      <c r="D31" s="186">
        <v>3</v>
      </c>
      <c r="E31" s="199" t="s">
        <v>44</v>
      </c>
      <c r="F31" s="188"/>
      <c r="G31" s="188"/>
      <c r="H31" s="188"/>
    </row>
    <row r="32" spans="1:8" s="166" customFormat="1" ht="30.95" customHeight="1">
      <c r="A32" s="182" t="s">
        <v>45</v>
      </c>
      <c r="B32" s="6"/>
      <c r="C32" s="6"/>
      <c r="D32" s="200">
        <v>0.03</v>
      </c>
      <c r="E32" s="201"/>
      <c r="F32" s="202"/>
      <c r="G32" s="202"/>
      <c r="H32" s="202"/>
    </row>
    <row r="33" spans="1:5" s="166" customFormat="1" ht="30.95" customHeight="1">
      <c r="A33" s="182" t="s">
        <v>46</v>
      </c>
      <c r="B33" s="6"/>
      <c r="C33" s="6"/>
      <c r="D33" s="6">
        <v>22</v>
      </c>
      <c r="E33" s="197"/>
    </row>
    <row r="34" spans="1:5" s="166" customFormat="1" ht="30.95" customHeight="1">
      <c r="A34" s="182" t="s">
        <v>47</v>
      </c>
      <c r="B34" s="6"/>
      <c r="C34" s="6"/>
      <c r="D34" s="6">
        <v>2</v>
      </c>
      <c r="E34" s="197"/>
    </row>
    <row r="35" spans="1:5" s="166" customFormat="1" ht="30.95" customHeight="1">
      <c r="A35" s="182" t="s">
        <v>48</v>
      </c>
      <c r="B35" s="6"/>
      <c r="C35" s="6"/>
      <c r="D35" s="6">
        <v>4</v>
      </c>
      <c r="E35" s="197"/>
    </row>
  </sheetData>
  <mergeCells count="2">
    <mergeCell ref="A2:D2"/>
    <mergeCell ref="E21:E23"/>
  </mergeCells>
  <pageMargins left="0.75" right="0.75" top="1" bottom="1" header="0.5" footer="0.5"/>
  <pageSetup paperSize="9" orientation="portrait"/>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sheetPr>
  <dimension ref="A1:M51"/>
  <sheetViews>
    <sheetView view="pageBreakPreview" topLeftCell="A27" zoomScaleNormal="100" workbookViewId="0">
      <selection activeCell="G51" sqref="G51"/>
    </sheetView>
  </sheetViews>
  <sheetFormatPr defaultColWidth="9.140625" defaultRowHeight="12"/>
  <cols>
    <col min="1" max="1" width="14.7109375" style="132" customWidth="1"/>
    <col min="2" max="7" width="13.7109375" style="133" customWidth="1"/>
    <col min="8" max="8" width="13.7109375" style="134" customWidth="1"/>
    <col min="9" max="13" width="13.7109375" style="132" customWidth="1"/>
    <col min="14" max="16384" width="9.140625" style="132"/>
  </cols>
  <sheetData>
    <row r="1" spans="1:13" ht="21" customHeight="1">
      <c r="A1" s="234" t="s">
        <v>49</v>
      </c>
      <c r="B1" s="234"/>
      <c r="C1" s="234"/>
      <c r="D1" s="234"/>
      <c r="E1" s="234"/>
      <c r="F1" s="234"/>
      <c r="G1" s="234"/>
      <c r="H1" s="234"/>
      <c r="I1" s="234"/>
      <c r="J1" s="234"/>
      <c r="K1" s="234"/>
      <c r="L1" s="234"/>
      <c r="M1" s="234"/>
    </row>
    <row r="2" spans="1:13" ht="21" customHeight="1">
      <c r="A2" s="234" t="s">
        <v>50</v>
      </c>
      <c r="B2" s="234"/>
      <c r="C2" s="234"/>
      <c r="D2" s="234"/>
      <c r="E2" s="234"/>
      <c r="F2" s="234"/>
      <c r="G2" s="234"/>
      <c r="H2" s="234"/>
      <c r="I2" s="234"/>
      <c r="J2" s="234"/>
      <c r="K2" s="234"/>
      <c r="L2" s="234"/>
      <c r="M2" s="234"/>
    </row>
    <row r="3" spans="1:13" ht="18" customHeight="1">
      <c r="A3" s="213" t="s">
        <v>51</v>
      </c>
      <c r="B3" s="213" t="s">
        <v>52</v>
      </c>
      <c r="C3" s="213"/>
      <c r="D3" s="213"/>
      <c r="E3" s="213"/>
      <c r="F3" s="213"/>
      <c r="G3" s="213"/>
      <c r="H3" s="213" t="s">
        <v>53</v>
      </c>
      <c r="I3" s="213" t="s">
        <v>54</v>
      </c>
      <c r="J3" s="213" t="s">
        <v>54</v>
      </c>
      <c r="K3" s="213" t="s">
        <v>55</v>
      </c>
      <c r="L3" s="213" t="s">
        <v>56</v>
      </c>
      <c r="M3" s="237" t="s">
        <v>57</v>
      </c>
    </row>
    <row r="4" spans="1:13" ht="24" customHeight="1">
      <c r="A4" s="213"/>
      <c r="B4" s="135" t="s">
        <v>58</v>
      </c>
      <c r="C4" s="135" t="s">
        <v>58</v>
      </c>
      <c r="D4" s="135" t="s">
        <v>59</v>
      </c>
      <c r="E4" s="135" t="s">
        <v>59</v>
      </c>
      <c r="F4" s="135" t="s">
        <v>60</v>
      </c>
      <c r="G4" s="135" t="s">
        <v>60</v>
      </c>
      <c r="H4" s="213"/>
      <c r="I4" s="213"/>
      <c r="J4" s="213"/>
      <c r="K4" s="213"/>
      <c r="L4" s="213"/>
      <c r="M4" s="237"/>
    </row>
    <row r="5" spans="1:13" ht="18.95" customHeight="1">
      <c r="A5" s="136" t="s">
        <v>49</v>
      </c>
      <c r="B5" s="137">
        <f>18-3</f>
        <v>15</v>
      </c>
      <c r="C5" s="137">
        <v>3</v>
      </c>
      <c r="D5" s="137">
        <f>5</f>
        <v>5</v>
      </c>
      <c r="E5" s="137">
        <v>0</v>
      </c>
      <c r="F5" s="137">
        <f>9-1</f>
        <v>8</v>
      </c>
      <c r="G5" s="137">
        <v>1</v>
      </c>
      <c r="H5" s="137">
        <v>0</v>
      </c>
      <c r="I5" s="137">
        <v>1</v>
      </c>
      <c r="J5" s="137">
        <v>0</v>
      </c>
      <c r="K5" s="137">
        <v>1</v>
      </c>
      <c r="L5" s="160">
        <f>SUM(B5:K5)</f>
        <v>34</v>
      </c>
      <c r="M5" s="161">
        <v>30</v>
      </c>
    </row>
    <row r="6" spans="1:13" ht="18.95" customHeight="1">
      <c r="A6" s="138" t="s">
        <v>61</v>
      </c>
      <c r="B6" s="139">
        <f t="shared" ref="B6:L6" si="0">SUM(B5)</f>
        <v>15</v>
      </c>
      <c r="C6" s="139">
        <f t="shared" si="0"/>
        <v>3</v>
      </c>
      <c r="D6" s="139">
        <f t="shared" si="0"/>
        <v>5</v>
      </c>
      <c r="E6" s="139">
        <f t="shared" si="0"/>
        <v>0</v>
      </c>
      <c r="F6" s="139">
        <f t="shared" si="0"/>
        <v>8</v>
      </c>
      <c r="G6" s="139">
        <f t="shared" si="0"/>
        <v>1</v>
      </c>
      <c r="H6" s="139">
        <f t="shared" si="0"/>
        <v>0</v>
      </c>
      <c r="I6" s="139">
        <f t="shared" si="0"/>
        <v>1</v>
      </c>
      <c r="J6" s="139">
        <f t="shared" si="0"/>
        <v>0</v>
      </c>
      <c r="K6" s="139">
        <f t="shared" si="0"/>
        <v>1</v>
      </c>
      <c r="L6" s="139">
        <f t="shared" si="0"/>
        <v>34</v>
      </c>
      <c r="M6" s="162">
        <f>SUM(M5:M5)</f>
        <v>30</v>
      </c>
    </row>
    <row r="7" spans="1:13" ht="29.1" customHeight="1">
      <c r="A7" s="140" t="s">
        <v>62</v>
      </c>
      <c r="B7" s="141" t="s">
        <v>63</v>
      </c>
      <c r="C7" s="141" t="s">
        <v>64</v>
      </c>
      <c r="D7" s="141" t="s">
        <v>63</v>
      </c>
      <c r="E7" s="141" t="s">
        <v>64</v>
      </c>
      <c r="F7" s="141" t="s">
        <v>63</v>
      </c>
      <c r="G7" s="141" t="s">
        <v>64</v>
      </c>
      <c r="H7" s="141" t="s">
        <v>63</v>
      </c>
      <c r="I7" s="141" t="s">
        <v>63</v>
      </c>
      <c r="J7" s="151" t="s">
        <v>64</v>
      </c>
      <c r="K7" s="141" t="s">
        <v>63</v>
      </c>
      <c r="L7" s="134"/>
    </row>
    <row r="8" spans="1:13" ht="33" customHeight="1">
      <c r="A8" s="142" t="s">
        <v>65</v>
      </c>
      <c r="B8" s="143" t="s">
        <v>66</v>
      </c>
      <c r="C8" s="143" t="s">
        <v>67</v>
      </c>
      <c r="D8" s="143" t="s">
        <v>68</v>
      </c>
      <c r="E8" s="143" t="s">
        <v>69</v>
      </c>
      <c r="F8" s="143" t="s">
        <v>70</v>
      </c>
      <c r="G8" s="143" t="s">
        <v>71</v>
      </c>
      <c r="H8" s="143" t="s">
        <v>69</v>
      </c>
      <c r="I8" s="143" t="s">
        <v>72</v>
      </c>
      <c r="J8" s="143" t="s">
        <v>69</v>
      </c>
      <c r="K8" s="143" t="s">
        <v>73</v>
      </c>
      <c r="L8" s="163"/>
    </row>
    <row r="9" spans="1:13" ht="17.100000000000001" customHeight="1">
      <c r="B9" s="144"/>
      <c r="C9" s="144"/>
      <c r="D9" s="144"/>
      <c r="E9" s="144"/>
      <c r="F9" s="144"/>
      <c r="G9" s="144"/>
      <c r="H9" s="145"/>
    </row>
    <row r="10" spans="1:13" ht="12.75">
      <c r="A10" s="235" t="s">
        <v>74</v>
      </c>
      <c r="B10" s="235"/>
      <c r="C10" s="235"/>
      <c r="D10" s="235"/>
      <c r="E10" s="235"/>
      <c r="F10" s="235"/>
      <c r="G10" s="235"/>
      <c r="H10" s="235"/>
      <c r="I10" s="235"/>
      <c r="J10" s="235"/>
      <c r="K10" s="235"/>
      <c r="L10" s="235"/>
      <c r="M10" s="235"/>
    </row>
    <row r="11" spans="1:13" ht="21.95" customHeight="1">
      <c r="A11" s="236" t="s">
        <v>75</v>
      </c>
      <c r="B11" s="236"/>
      <c r="C11" s="236"/>
      <c r="D11" s="236"/>
      <c r="E11" s="236"/>
      <c r="F11" s="236"/>
      <c r="G11" s="236"/>
      <c r="H11" s="236"/>
      <c r="I11" s="236"/>
      <c r="J11" s="236"/>
      <c r="K11" s="236"/>
      <c r="L11" s="236"/>
      <c r="M11" s="236"/>
    </row>
    <row r="12" spans="1:13" ht="18" customHeight="1">
      <c r="A12" s="230" t="s">
        <v>76</v>
      </c>
      <c r="B12" s="230"/>
      <c r="C12" s="230"/>
      <c r="D12" s="230"/>
      <c r="E12" s="230"/>
      <c r="F12" s="230"/>
      <c r="G12" s="230"/>
      <c r="H12" s="230"/>
      <c r="I12" s="230"/>
      <c r="J12" s="230"/>
      <c r="K12" s="230"/>
      <c r="L12" s="230"/>
      <c r="M12" s="230"/>
    </row>
    <row r="13" spans="1:13" ht="30" customHeight="1">
      <c r="A13" s="230" t="s">
        <v>77</v>
      </c>
      <c r="B13" s="230"/>
      <c r="C13" s="230"/>
      <c r="D13" s="230"/>
      <c r="E13" s="230"/>
      <c r="F13" s="230"/>
      <c r="G13" s="230"/>
      <c r="H13" s="230"/>
      <c r="I13" s="230"/>
      <c r="J13" s="230"/>
      <c r="K13" s="230"/>
      <c r="L13" s="230"/>
      <c r="M13" s="230"/>
    </row>
    <row r="14" spans="1:13">
      <c r="B14" s="144"/>
      <c r="C14" s="146"/>
      <c r="D14" s="147"/>
      <c r="E14" s="144"/>
      <c r="F14" s="144"/>
      <c r="G14" s="144"/>
      <c r="H14" s="145"/>
    </row>
    <row r="15" spans="1:13" ht="20.100000000000001" customHeight="1">
      <c r="A15" s="231" t="str">
        <f>A1</f>
        <v>SEMAS</v>
      </c>
      <c r="B15" s="231"/>
      <c r="C15" s="231"/>
      <c r="D15" s="231"/>
      <c r="E15" s="231"/>
      <c r="F15" s="231"/>
      <c r="G15" s="231"/>
      <c r="H15" s="231"/>
      <c r="I15" s="231"/>
      <c r="J15" s="231"/>
    </row>
    <row r="16" spans="1:13" ht="21.95" customHeight="1">
      <c r="A16" s="231" t="s">
        <v>78</v>
      </c>
      <c r="B16" s="231"/>
      <c r="C16" s="231"/>
      <c r="D16" s="231"/>
      <c r="E16" s="231"/>
      <c r="F16" s="231"/>
      <c r="G16" s="231"/>
      <c r="H16" s="231"/>
      <c r="I16" s="231"/>
      <c r="J16" s="231"/>
    </row>
    <row r="17" spans="1:10" ht="33" customHeight="1">
      <c r="A17" s="148" t="s">
        <v>79</v>
      </c>
      <c r="B17" s="232" t="s">
        <v>80</v>
      </c>
      <c r="C17" s="232"/>
      <c r="D17" s="232"/>
      <c r="E17" s="149" t="s">
        <v>81</v>
      </c>
      <c r="F17" s="149" t="s">
        <v>82</v>
      </c>
      <c r="G17" s="149" t="s">
        <v>83</v>
      </c>
      <c r="H17" s="149" t="s">
        <v>84</v>
      </c>
      <c r="I17" s="233" t="s">
        <v>85</v>
      </c>
      <c r="J17" s="233"/>
    </row>
    <row r="18" spans="1:10" ht="24.95" customHeight="1">
      <c r="A18" s="150" t="str">
        <f>B8</f>
        <v>2 - A</v>
      </c>
      <c r="B18" s="225" t="str">
        <f>'SEMAS 1-A_Servente Insal 30h'!A136</f>
        <v>Servente Interno: 30 h + Insalubridade</v>
      </c>
      <c r="C18" s="225"/>
      <c r="D18" s="225"/>
      <c r="E18" s="152">
        <f>'SEMAS 1-A_Servente Insal 30h'!B136</f>
        <v>4454.58</v>
      </c>
      <c r="F18" s="151">
        <f>'SEMAS 1-A_Servente Insal 30h'!E136</f>
        <v>15</v>
      </c>
      <c r="G18" s="152">
        <f t="shared" ref="G18:G24" si="1">E18*F18</f>
        <v>66818.7</v>
      </c>
      <c r="H18" s="151">
        <v>12</v>
      </c>
      <c r="I18" s="226">
        <f t="shared" ref="I18:I24" si="2">H18*G18</f>
        <v>801824.4</v>
      </c>
      <c r="J18" s="226"/>
    </row>
    <row r="19" spans="1:10" ht="24.95" customHeight="1">
      <c r="A19" s="150" t="str">
        <f>C8</f>
        <v>2 - B</v>
      </c>
      <c r="B19" s="225" t="str">
        <f>'SEMAS 2-B_Servente Insal 40h'!A136</f>
        <v>Servente Interno: 40 h + Insalubridade</v>
      </c>
      <c r="C19" s="225"/>
      <c r="D19" s="225"/>
      <c r="E19" s="152">
        <f>'SEMAS 2-B_Servente Insal 40h'!B136</f>
        <v>5497.59</v>
      </c>
      <c r="F19" s="137">
        <f>'SEMAS 2-B_Servente Insal 40h'!F15</f>
        <v>3</v>
      </c>
      <c r="G19" s="152">
        <f t="shared" si="1"/>
        <v>16492.77</v>
      </c>
      <c r="H19" s="151">
        <v>12</v>
      </c>
      <c r="I19" s="226">
        <f t="shared" si="2"/>
        <v>197913.24</v>
      </c>
      <c r="J19" s="226"/>
    </row>
    <row r="20" spans="1:10" ht="24.95" customHeight="1">
      <c r="A20" s="150" t="str">
        <f>D8</f>
        <v>2 - C</v>
      </c>
      <c r="B20" s="225" t="str">
        <f>'SEMAS 2-C_Servente 30 h'!A136</f>
        <v>Servente Interno: 30 h</v>
      </c>
      <c r="C20" s="225"/>
      <c r="D20" s="225"/>
      <c r="E20" s="152">
        <f>'SEMAS 2-C_Servente 30 h'!B136</f>
        <v>3662.78</v>
      </c>
      <c r="F20" s="151">
        <f>'SEMAS 2-C_Servente 30 h'!E136</f>
        <v>5</v>
      </c>
      <c r="G20" s="152">
        <f t="shared" si="1"/>
        <v>18313.900000000001</v>
      </c>
      <c r="H20" s="151">
        <v>12</v>
      </c>
      <c r="I20" s="226">
        <f t="shared" si="2"/>
        <v>219766.8</v>
      </c>
      <c r="J20" s="226"/>
    </row>
    <row r="21" spans="1:10" ht="24.95" customHeight="1">
      <c r="A21" s="150" t="str">
        <f>F8</f>
        <v>2 - D</v>
      </c>
      <c r="B21" s="225" t="str">
        <f>'SEMAS 2-D_Servente Ext 30 h'!A136</f>
        <v>Servente Externo: 30 h</v>
      </c>
      <c r="C21" s="225"/>
      <c r="D21" s="225"/>
      <c r="E21" s="152">
        <f>'SEMAS 2-D_Servente Ext 30 h'!B136</f>
        <v>3788.66</v>
      </c>
      <c r="F21" s="151">
        <f>'SEMAS 2-D_Servente Ext 30 h'!E136</f>
        <v>8</v>
      </c>
      <c r="G21" s="152">
        <f t="shared" si="1"/>
        <v>30309.279999999999</v>
      </c>
      <c r="H21" s="151">
        <v>12</v>
      </c>
      <c r="I21" s="226">
        <f t="shared" si="2"/>
        <v>363711.36</v>
      </c>
      <c r="J21" s="226"/>
    </row>
    <row r="22" spans="1:10" ht="24.95" customHeight="1">
      <c r="A22" s="150" t="str">
        <f>G8</f>
        <v>2 - E</v>
      </c>
      <c r="B22" s="225" t="str">
        <f>'SEMAS 2-E_Servente Ext 40 h'!A136</f>
        <v>Servente Externo: 40 h</v>
      </c>
      <c r="C22" s="225"/>
      <c r="D22" s="225"/>
      <c r="E22" s="152">
        <f>'SEMAS 2-E_Servente Ext 40 h'!B136</f>
        <v>4831.6099999999997</v>
      </c>
      <c r="F22" s="151">
        <f>'SEMAS 2-F_Encarregado 30 h'!E136</f>
        <v>1</v>
      </c>
      <c r="G22" s="152">
        <f t="shared" si="1"/>
        <v>4831.6099999999997</v>
      </c>
      <c r="H22" s="151">
        <v>12</v>
      </c>
      <c r="I22" s="226">
        <f t="shared" si="2"/>
        <v>57979.32</v>
      </c>
      <c r="J22" s="226"/>
    </row>
    <row r="23" spans="1:10" ht="24.95" customHeight="1">
      <c r="A23" s="150" t="str">
        <f>I8</f>
        <v>2 - F</v>
      </c>
      <c r="B23" s="225" t="str">
        <f>'SEMAS 2-F_Encarregado 30 h'!A136</f>
        <v>Encarregado de limpeza: 30 h</v>
      </c>
      <c r="C23" s="225"/>
      <c r="D23" s="225"/>
      <c r="E23" s="152">
        <f>'SEMAS 2-F_Encarregado 30 h'!B136</f>
        <v>4132.2700000000004</v>
      </c>
      <c r="F23" s="151">
        <f>'SEMAS 2-F_Encarregado 30 h'!E136</f>
        <v>1</v>
      </c>
      <c r="G23" s="152">
        <f t="shared" si="1"/>
        <v>4132.2700000000004</v>
      </c>
      <c r="H23" s="151">
        <v>12</v>
      </c>
      <c r="I23" s="226">
        <f t="shared" si="2"/>
        <v>49587.24</v>
      </c>
      <c r="J23" s="226"/>
    </row>
    <row r="24" spans="1:10" ht="24.95" customHeight="1">
      <c r="A24" s="150" t="str">
        <f>K8</f>
        <v>2 - G</v>
      </c>
      <c r="B24" s="225" t="str">
        <f>'SEMAS 2-G_Jardineiro 30 hs'!A136</f>
        <v>Jardineiro: 30 h</v>
      </c>
      <c r="C24" s="225"/>
      <c r="D24" s="225"/>
      <c r="E24" s="152">
        <f>'SEMAS 2-G_Jardineiro 30 hs'!B136</f>
        <v>4412.5600000000004</v>
      </c>
      <c r="F24" s="151">
        <f>'SEMAS 2-G_Jardineiro 30 hs'!E136</f>
        <v>1</v>
      </c>
      <c r="G24" s="152">
        <f t="shared" si="1"/>
        <v>4412.5600000000004</v>
      </c>
      <c r="H24" s="151">
        <v>12</v>
      </c>
      <c r="I24" s="226">
        <f t="shared" si="2"/>
        <v>52950.720000000001</v>
      </c>
      <c r="J24" s="226"/>
    </row>
    <row r="25" spans="1:10" ht="24.95" customHeight="1">
      <c r="A25" s="227" t="s">
        <v>86</v>
      </c>
      <c r="B25" s="227"/>
      <c r="C25" s="227"/>
      <c r="D25" s="227"/>
      <c r="E25" s="138"/>
      <c r="F25" s="153">
        <f t="shared" ref="F25:I25" si="3">SUM(F18:F24)</f>
        <v>34</v>
      </c>
      <c r="G25" s="154">
        <f t="shared" si="3"/>
        <v>145311.09</v>
      </c>
      <c r="H25" s="153"/>
      <c r="I25" s="228">
        <f t="shared" si="3"/>
        <v>1743733.08</v>
      </c>
      <c r="J25" s="228"/>
    </row>
    <row r="36" spans="1:11">
      <c r="A36" s="229" t="s">
        <v>49</v>
      </c>
      <c r="B36" s="229"/>
      <c r="C36" s="229"/>
      <c r="D36" s="229"/>
      <c r="E36" s="229"/>
      <c r="F36" s="229"/>
      <c r="G36" s="229"/>
      <c r="H36" s="229"/>
    </row>
    <row r="37" spans="1:11">
      <c r="A37" s="222" t="s">
        <v>87</v>
      </c>
      <c r="B37" s="222"/>
      <c r="C37" s="222"/>
      <c r="D37" s="222"/>
      <c r="E37" s="222"/>
      <c r="F37" s="222"/>
      <c r="G37" s="222"/>
      <c r="H37" s="222"/>
    </row>
    <row r="38" spans="1:11">
      <c r="A38" s="223" t="s">
        <v>88</v>
      </c>
      <c r="B38" s="223"/>
      <c r="C38" s="223"/>
      <c r="D38" s="155" t="s">
        <v>89</v>
      </c>
      <c r="E38" s="155" t="s">
        <v>81</v>
      </c>
      <c r="F38" s="155" t="s">
        <v>90</v>
      </c>
      <c r="G38" s="155" t="s">
        <v>91</v>
      </c>
      <c r="H38" s="155" t="s">
        <v>61</v>
      </c>
    </row>
    <row r="39" spans="1:11">
      <c r="A39" s="214" t="s">
        <v>92</v>
      </c>
      <c r="B39" s="214"/>
      <c r="C39" s="214"/>
      <c r="D39" s="156">
        <v>1</v>
      </c>
      <c r="E39" s="157">
        <v>555.92999999999995</v>
      </c>
      <c r="F39" s="157">
        <f t="shared" ref="F39:F44" si="4">D39*E39</f>
        <v>555.92999999999995</v>
      </c>
      <c r="G39" s="156">
        <v>12</v>
      </c>
      <c r="H39" s="157">
        <f t="shared" ref="H39:H44" si="5">F39*G39</f>
        <v>6671.16</v>
      </c>
    </row>
    <row r="40" spans="1:11" ht="26.1" customHeight="1">
      <c r="A40" s="224" t="s">
        <v>93</v>
      </c>
      <c r="B40" s="224"/>
      <c r="C40" s="224"/>
      <c r="D40" s="156">
        <v>1</v>
      </c>
      <c r="E40" s="157">
        <v>555.92999999999995</v>
      </c>
      <c r="F40" s="157">
        <f t="shared" si="4"/>
        <v>555.92999999999995</v>
      </c>
      <c r="G40" s="156">
        <v>12</v>
      </c>
      <c r="H40" s="157">
        <f t="shared" si="5"/>
        <v>6671.16</v>
      </c>
    </row>
    <row r="41" spans="1:11">
      <c r="A41" s="214" t="s">
        <v>94</v>
      </c>
      <c r="B41" s="214"/>
      <c r="C41" s="214"/>
      <c r="D41" s="156">
        <v>18</v>
      </c>
      <c r="E41" s="157">
        <v>194.3</v>
      </c>
      <c r="F41" s="157">
        <f t="shared" si="4"/>
        <v>3497.4</v>
      </c>
      <c r="G41" s="156">
        <v>12</v>
      </c>
      <c r="H41" s="157">
        <f t="shared" si="5"/>
        <v>41968.800000000003</v>
      </c>
    </row>
    <row r="42" spans="1:11">
      <c r="A42" s="214" t="s">
        <v>95</v>
      </c>
      <c r="B42" s="214"/>
      <c r="C42" s="214"/>
      <c r="D42" s="156">
        <v>34</v>
      </c>
      <c r="E42" s="157">
        <v>280.67</v>
      </c>
      <c r="F42" s="157">
        <f t="shared" si="4"/>
        <v>9542.7800000000007</v>
      </c>
      <c r="G42" s="156">
        <v>12</v>
      </c>
      <c r="H42" s="157">
        <f t="shared" si="5"/>
        <v>114513.36</v>
      </c>
      <c r="K42" s="164"/>
    </row>
    <row r="43" spans="1:11">
      <c r="A43" s="214" t="s">
        <v>96</v>
      </c>
      <c r="B43" s="214"/>
      <c r="C43" s="214"/>
      <c r="D43" s="156">
        <v>52</v>
      </c>
      <c r="E43" s="157">
        <v>86.36</v>
      </c>
      <c r="F43" s="157">
        <f t="shared" si="4"/>
        <v>4490.72</v>
      </c>
      <c r="G43" s="156">
        <v>12</v>
      </c>
      <c r="H43" s="157">
        <f t="shared" si="5"/>
        <v>53888.639999999999</v>
      </c>
      <c r="K43" s="164"/>
    </row>
    <row r="44" spans="1:11" ht="51" customHeight="1">
      <c r="A44" s="215" t="s">
        <v>97</v>
      </c>
      <c r="B44" s="215"/>
      <c r="C44" s="215"/>
      <c r="D44" s="156">
        <v>1</v>
      </c>
      <c r="E44" s="157">
        <v>269.87</v>
      </c>
      <c r="F44" s="157">
        <f t="shared" si="4"/>
        <v>269.87</v>
      </c>
      <c r="G44" s="156">
        <v>12</v>
      </c>
      <c r="H44" s="157">
        <f t="shared" si="5"/>
        <v>3238.44</v>
      </c>
    </row>
    <row r="45" spans="1:11">
      <c r="A45" s="216" t="s">
        <v>98</v>
      </c>
      <c r="B45" s="217"/>
      <c r="C45" s="217"/>
      <c r="D45" s="217"/>
      <c r="E45" s="217"/>
      <c r="F45" s="217"/>
      <c r="G45" s="218"/>
      <c r="H45" s="158">
        <f>SUM(H39:H44)</f>
        <v>226951.56</v>
      </c>
    </row>
    <row r="47" spans="1:11">
      <c r="A47" s="219" t="s">
        <v>99</v>
      </c>
      <c r="B47" s="220"/>
      <c r="C47" s="220"/>
      <c r="D47" s="220"/>
      <c r="E47" s="221"/>
    </row>
    <row r="48" spans="1:11">
      <c r="A48" s="209" t="s">
        <v>100</v>
      </c>
      <c r="B48" s="206" t="s">
        <v>101</v>
      </c>
      <c r="C48" s="209" t="s">
        <v>102</v>
      </c>
      <c r="D48" s="206" t="s">
        <v>103</v>
      </c>
      <c r="E48" s="209" t="s">
        <v>104</v>
      </c>
    </row>
    <row r="49" spans="1:7" ht="27" customHeight="1">
      <c r="A49" s="210"/>
      <c r="B49" s="206"/>
      <c r="C49" s="210"/>
      <c r="D49" s="206"/>
      <c r="E49" s="210"/>
    </row>
    <row r="50" spans="1:7">
      <c r="A50" s="211">
        <f>I25</f>
        <v>1743733.08</v>
      </c>
      <c r="B50" s="207" t="s">
        <v>101</v>
      </c>
      <c r="C50" s="211">
        <f>H45</f>
        <v>226951.56</v>
      </c>
      <c r="D50" s="207" t="s">
        <v>103</v>
      </c>
      <c r="E50" s="211">
        <f>A50+C50</f>
        <v>1970684.64</v>
      </c>
    </row>
    <row r="51" spans="1:7">
      <c r="A51" s="212"/>
      <c r="B51" s="208"/>
      <c r="C51" s="212"/>
      <c r="D51" s="208"/>
      <c r="E51" s="212"/>
      <c r="G51" s="159">
        <f>E50/12</f>
        <v>164223.72</v>
      </c>
    </row>
  </sheetData>
  <mergeCells count="55">
    <mergeCell ref="B17:D17"/>
    <mergeCell ref="I17:J17"/>
    <mergeCell ref="A1:M1"/>
    <mergeCell ref="A2:M2"/>
    <mergeCell ref="B3:G3"/>
    <mergeCell ref="A10:M10"/>
    <mergeCell ref="A11:M11"/>
    <mergeCell ref="A3:A4"/>
    <mergeCell ref="I3:I4"/>
    <mergeCell ref="J3:J4"/>
    <mergeCell ref="K3:K4"/>
    <mergeCell ref="L3:L4"/>
    <mergeCell ref="M3:M4"/>
    <mergeCell ref="I18:J18"/>
    <mergeCell ref="B19:D19"/>
    <mergeCell ref="I19:J19"/>
    <mergeCell ref="B20:D20"/>
    <mergeCell ref="I20:J20"/>
    <mergeCell ref="I24:J24"/>
    <mergeCell ref="A25:D25"/>
    <mergeCell ref="I25:J25"/>
    <mergeCell ref="A36:H36"/>
    <mergeCell ref="B21:D21"/>
    <mergeCell ref="I21:J21"/>
    <mergeCell ref="B22:D22"/>
    <mergeCell ref="I22:J22"/>
    <mergeCell ref="B23:D23"/>
    <mergeCell ref="I23:J23"/>
    <mergeCell ref="A42:C42"/>
    <mergeCell ref="A43:C43"/>
    <mergeCell ref="A44:C44"/>
    <mergeCell ref="A45:G45"/>
    <mergeCell ref="A47:E47"/>
    <mergeCell ref="A48:A49"/>
    <mergeCell ref="A50:A51"/>
    <mergeCell ref="B48:B49"/>
    <mergeCell ref="B50:B51"/>
    <mergeCell ref="C48:C49"/>
    <mergeCell ref="C50:C51"/>
    <mergeCell ref="D48:D49"/>
    <mergeCell ref="D50:D51"/>
    <mergeCell ref="E48:E49"/>
    <mergeCell ref="E50:E51"/>
    <mergeCell ref="H3:H4"/>
    <mergeCell ref="A37:H37"/>
    <mergeCell ref="A38:C38"/>
    <mergeCell ref="A39:C39"/>
    <mergeCell ref="A40:C40"/>
    <mergeCell ref="A41:C41"/>
    <mergeCell ref="B24:D24"/>
    <mergeCell ref="B18:D18"/>
    <mergeCell ref="A12:M12"/>
    <mergeCell ref="A13:M13"/>
    <mergeCell ref="A15:J15"/>
    <mergeCell ref="A16:J16"/>
  </mergeCells>
  <pageMargins left="0.55416666666666703" right="0.35763888888888901" top="0.80277777777777803" bottom="0.60555555555555596" header="0.5" footer="0.5"/>
  <pageSetup paperSize="9"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59999389629810485"/>
  </sheetPr>
  <dimension ref="A1:K138"/>
  <sheetViews>
    <sheetView view="pageBreakPreview" topLeftCell="A67" zoomScale="110" zoomScaleNormal="115" workbookViewId="0">
      <selection activeCell="E87" sqref="E87"/>
    </sheetView>
  </sheetViews>
  <sheetFormatPr defaultColWidth="2.5703125" defaultRowHeight="12.75"/>
  <cols>
    <col min="1" max="1" width="12.85546875" style="67" customWidth="1"/>
    <col min="2" max="2" width="24.5703125" style="56" customWidth="1"/>
    <col min="3" max="3" width="24.28515625" style="56" customWidth="1"/>
    <col min="4" max="4" width="15.7109375" style="56" customWidth="1"/>
    <col min="5" max="5" width="15.140625" style="56" customWidth="1"/>
    <col min="6" max="6" width="30.140625" style="68" customWidth="1"/>
    <col min="7" max="7" width="21.5703125" style="61" customWidth="1"/>
    <col min="8" max="8" width="85.28515625" style="61" customWidth="1"/>
    <col min="9" max="9" width="18.28515625" style="61" customWidth="1"/>
    <col min="10" max="10" width="25.7109375" style="61" customWidth="1"/>
    <col min="11" max="16384" width="2.5703125" style="61"/>
  </cols>
  <sheetData>
    <row r="1" spans="1:11" s="60" customFormat="1" ht="23.1" customHeight="1">
      <c r="A1" s="247" t="s">
        <v>105</v>
      </c>
      <c r="B1" s="247"/>
      <c r="C1" s="247"/>
      <c r="D1" s="247"/>
      <c r="E1" s="247"/>
      <c r="F1" s="248"/>
      <c r="G1" s="67"/>
      <c r="H1" s="67"/>
    </row>
    <row r="2" spans="1:11" ht="21" customHeight="1">
      <c r="A2" s="247" t="s">
        <v>106</v>
      </c>
      <c r="B2" s="247"/>
      <c r="C2" s="247"/>
      <c r="D2" s="247"/>
      <c r="E2" s="247"/>
      <c r="F2" s="248"/>
      <c r="G2" s="70"/>
      <c r="H2" s="70"/>
    </row>
    <row r="3" spans="1:11" s="62" customFormat="1" ht="15">
      <c r="A3" s="283" t="s">
        <v>107</v>
      </c>
      <c r="B3" s="283"/>
      <c r="C3" s="283"/>
      <c r="D3" s="283"/>
      <c r="E3" s="283"/>
      <c r="F3" s="248"/>
      <c r="G3" s="71"/>
      <c r="H3" s="71"/>
      <c r="I3" s="71"/>
      <c r="J3" s="71"/>
      <c r="K3" s="71"/>
    </row>
    <row r="4" spans="1:11" s="62" customFormat="1" ht="15">
      <c r="A4" s="283" t="s">
        <v>108</v>
      </c>
      <c r="B4" s="283"/>
      <c r="C4" s="283"/>
      <c r="D4" s="283"/>
      <c r="E4" s="283"/>
      <c r="F4" s="248"/>
      <c r="G4" s="71"/>
      <c r="H4" s="72"/>
      <c r="I4" s="71"/>
      <c r="J4" s="71"/>
      <c r="K4" s="71"/>
    </row>
    <row r="5" spans="1:11" s="62" customFormat="1" ht="15">
      <c r="A5" s="283" t="s">
        <v>109</v>
      </c>
      <c r="B5" s="283"/>
      <c r="C5" s="283"/>
      <c r="D5" s="283"/>
      <c r="E5" s="283"/>
      <c r="F5" s="248"/>
      <c r="G5" s="71"/>
      <c r="H5" s="71"/>
      <c r="I5" s="71"/>
      <c r="J5" s="71"/>
      <c r="K5" s="71"/>
    </row>
    <row r="6" spans="1:11" s="62" customFormat="1" ht="15">
      <c r="A6" s="284"/>
      <c r="B6" s="284"/>
      <c r="C6" s="284"/>
      <c r="D6" s="284"/>
      <c r="E6" s="284"/>
      <c r="F6" s="285"/>
      <c r="G6" s="71"/>
      <c r="H6" s="71"/>
      <c r="I6" s="71"/>
      <c r="J6" s="71"/>
      <c r="K6" s="71"/>
    </row>
    <row r="7" spans="1:11">
      <c r="A7" s="269" t="s">
        <v>110</v>
      </c>
      <c r="B7" s="269"/>
      <c r="C7" s="269"/>
      <c r="D7" s="269"/>
      <c r="E7" s="269"/>
      <c r="F7" s="270"/>
      <c r="G7" s="60"/>
      <c r="H7" s="60"/>
    </row>
    <row r="8" spans="1:11" ht="18" customHeight="1">
      <c r="A8" s="73" t="s">
        <v>111</v>
      </c>
      <c r="B8" s="280" t="s">
        <v>112</v>
      </c>
      <c r="C8" s="280"/>
      <c r="D8" s="280"/>
      <c r="E8" s="280"/>
      <c r="F8" s="74" t="s">
        <v>113</v>
      </c>
    </row>
    <row r="9" spans="1:11" ht="18" customHeight="1">
      <c r="A9" s="73" t="s">
        <v>111</v>
      </c>
      <c r="B9" s="280" t="s">
        <v>114</v>
      </c>
      <c r="C9" s="280"/>
      <c r="D9" s="280"/>
      <c r="E9" s="280"/>
      <c r="F9" s="75" t="s">
        <v>115</v>
      </c>
    </row>
    <row r="10" spans="1:11" ht="18" customHeight="1">
      <c r="A10" s="73" t="s">
        <v>111</v>
      </c>
      <c r="B10" s="280" t="s">
        <v>116</v>
      </c>
      <c r="C10" s="280"/>
      <c r="D10" s="280"/>
      <c r="E10" s="280"/>
      <c r="F10" s="74" t="s">
        <v>117</v>
      </c>
    </row>
    <row r="11" spans="1:11" ht="18" customHeight="1">
      <c r="A11" s="73" t="s">
        <v>111</v>
      </c>
      <c r="B11" s="280" t="s">
        <v>118</v>
      </c>
      <c r="C11" s="280"/>
      <c r="D11" s="280"/>
      <c r="E11" s="280"/>
      <c r="F11" s="76">
        <v>12</v>
      </c>
    </row>
    <row r="12" spans="1:11" customFormat="1" ht="15">
      <c r="A12" s="277"/>
      <c r="B12" s="278"/>
      <c r="C12" s="278"/>
      <c r="D12" s="278"/>
      <c r="E12" s="278"/>
      <c r="F12" s="279"/>
      <c r="G12" s="61"/>
      <c r="H12" s="61"/>
    </row>
    <row r="13" spans="1:11" s="60" customFormat="1">
      <c r="A13" s="269" t="s">
        <v>119</v>
      </c>
      <c r="B13" s="269"/>
      <c r="C13" s="269"/>
      <c r="D13" s="269"/>
      <c r="E13" s="269"/>
      <c r="F13" s="270"/>
    </row>
    <row r="14" spans="1:11">
      <c r="A14" s="281" t="s">
        <v>120</v>
      </c>
      <c r="B14" s="281"/>
      <c r="C14" s="281"/>
      <c r="D14" s="281" t="s">
        <v>121</v>
      </c>
      <c r="E14" s="281"/>
      <c r="F14" s="77" t="s">
        <v>122</v>
      </c>
      <c r="H14" s="60"/>
    </row>
    <row r="15" spans="1:11">
      <c r="A15" s="281" t="s">
        <v>123</v>
      </c>
      <c r="B15" s="281"/>
      <c r="C15" s="281"/>
      <c r="D15" s="282" t="s">
        <v>80</v>
      </c>
      <c r="E15" s="282"/>
      <c r="F15" s="78">
        <f>'SEMAS TOTALIZADOR GERAL'!B6</f>
        <v>15</v>
      </c>
      <c r="H15" s="60"/>
    </row>
    <row r="16" spans="1:11" customFormat="1" ht="15">
      <c r="A16" s="277"/>
      <c r="B16" s="278"/>
      <c r="C16" s="278"/>
      <c r="D16" s="278"/>
      <c r="E16" s="278"/>
      <c r="F16" s="279"/>
      <c r="G16" s="61"/>
      <c r="H16" s="60"/>
    </row>
    <row r="17" spans="1:9" s="60" customFormat="1">
      <c r="A17" s="269" t="s">
        <v>124</v>
      </c>
      <c r="B17" s="269"/>
      <c r="C17" s="269"/>
      <c r="D17" s="269"/>
      <c r="E17" s="269"/>
      <c r="F17" s="270"/>
    </row>
    <row r="18" spans="1:9">
      <c r="A18" s="269" t="s">
        <v>125</v>
      </c>
      <c r="B18" s="269"/>
      <c r="C18" s="269"/>
      <c r="D18" s="269"/>
      <c r="E18" s="269"/>
      <c r="F18" s="270"/>
      <c r="G18" s="60"/>
      <c r="H18" s="60"/>
    </row>
    <row r="19" spans="1:9">
      <c r="A19" s="73">
        <v>1</v>
      </c>
      <c r="B19" s="271" t="s">
        <v>126</v>
      </c>
      <c r="C19" s="272"/>
      <c r="D19" s="272"/>
      <c r="E19" s="273"/>
      <c r="F19" s="79" t="s">
        <v>127</v>
      </c>
    </row>
    <row r="20" spans="1:9" ht="15">
      <c r="A20" s="80">
        <v>2</v>
      </c>
      <c r="B20" s="274" t="s">
        <v>128</v>
      </c>
      <c r="C20" s="275"/>
      <c r="D20" s="275"/>
      <c r="E20" s="276"/>
      <c r="F20" s="81" t="s">
        <v>129</v>
      </c>
      <c r="G20" s="82"/>
      <c r="H20" s="83"/>
      <c r="I20" s="83"/>
    </row>
    <row r="21" spans="1:9">
      <c r="A21" s="73">
        <v>3</v>
      </c>
      <c r="B21" s="271" t="s">
        <v>130</v>
      </c>
      <c r="C21" s="272"/>
      <c r="D21" s="272"/>
      <c r="E21" s="273"/>
      <c r="F21" s="84">
        <f>'RAIZ DOS DADOS'!D6</f>
        <v>1651</v>
      </c>
    </row>
    <row r="22" spans="1:9">
      <c r="A22" s="73">
        <v>4</v>
      </c>
      <c r="B22" s="271" t="s">
        <v>131</v>
      </c>
      <c r="C22" s="272"/>
      <c r="D22" s="272"/>
      <c r="E22" s="273"/>
      <c r="F22" s="79" t="s">
        <v>52</v>
      </c>
    </row>
    <row r="23" spans="1:9">
      <c r="A23" s="73">
        <v>5</v>
      </c>
      <c r="B23" s="271" t="s">
        <v>132</v>
      </c>
      <c r="C23" s="272"/>
      <c r="D23" s="272"/>
      <c r="E23" s="273"/>
      <c r="F23" s="79" t="s">
        <v>133</v>
      </c>
    </row>
    <row r="24" spans="1:9">
      <c r="A24" s="277"/>
      <c r="B24" s="278"/>
      <c r="C24" s="278"/>
      <c r="D24" s="278"/>
      <c r="E24" s="278"/>
      <c r="F24" s="279"/>
    </row>
    <row r="25" spans="1:9">
      <c r="A25" s="256" t="s">
        <v>134</v>
      </c>
      <c r="B25" s="257"/>
      <c r="C25" s="257"/>
      <c r="D25" s="257"/>
      <c r="E25" s="257"/>
      <c r="F25" s="259"/>
    </row>
    <row r="26" spans="1:9">
      <c r="A26" s="85">
        <v>1</v>
      </c>
      <c r="B26" s="256" t="s">
        <v>135</v>
      </c>
      <c r="C26" s="257"/>
      <c r="D26" s="258"/>
      <c r="E26" s="85"/>
      <c r="F26" s="86" t="s">
        <v>136</v>
      </c>
    </row>
    <row r="27" spans="1:9">
      <c r="A27" s="85" t="s">
        <v>137</v>
      </c>
      <c r="B27" s="241" t="s">
        <v>138</v>
      </c>
      <c r="C27" s="242"/>
      <c r="D27" s="243"/>
      <c r="E27" s="87" t="s">
        <v>63</v>
      </c>
      <c r="F27" s="88">
        <f>(F21/44)*30</f>
        <v>1125.68</v>
      </c>
      <c r="H27" s="89"/>
    </row>
    <row r="28" spans="1:9">
      <c r="A28" s="85" t="s">
        <v>139</v>
      </c>
      <c r="B28" s="241" t="s">
        <v>140</v>
      </c>
      <c r="C28" s="242"/>
      <c r="D28" s="243"/>
      <c r="E28" s="87"/>
      <c r="F28" s="88"/>
    </row>
    <row r="29" spans="1:9">
      <c r="A29" s="85" t="s">
        <v>141</v>
      </c>
      <c r="B29" s="241" t="s">
        <v>142</v>
      </c>
      <c r="C29" s="242"/>
      <c r="D29" s="243"/>
      <c r="E29" s="90">
        <f>'RAIZ DOS DADOS'!D30</f>
        <v>0.2</v>
      </c>
      <c r="F29" s="88">
        <f>E29*'RAIZ DOS DADOS'!D29</f>
        <v>330.2</v>
      </c>
    </row>
    <row r="30" spans="1:9">
      <c r="A30" s="85" t="s">
        <v>143</v>
      </c>
      <c r="B30" s="241" t="s">
        <v>144</v>
      </c>
      <c r="C30" s="242"/>
      <c r="D30" s="243"/>
      <c r="E30" s="87"/>
      <c r="F30" s="88"/>
    </row>
    <row r="31" spans="1:9">
      <c r="A31" s="85" t="s">
        <v>145</v>
      </c>
      <c r="B31" s="241" t="s">
        <v>146</v>
      </c>
      <c r="C31" s="242"/>
      <c r="D31" s="243"/>
      <c r="E31" s="87"/>
      <c r="F31" s="88"/>
    </row>
    <row r="32" spans="1:9">
      <c r="A32" s="85" t="s">
        <v>147</v>
      </c>
      <c r="B32" s="241" t="s">
        <v>148</v>
      </c>
      <c r="C32" s="242"/>
      <c r="D32" s="243"/>
      <c r="E32" s="87"/>
      <c r="F32" s="88"/>
    </row>
    <row r="33" spans="1:8">
      <c r="A33" s="238" t="s">
        <v>61</v>
      </c>
      <c r="B33" s="239"/>
      <c r="C33" s="239"/>
      <c r="D33" s="240"/>
      <c r="E33" s="91"/>
      <c r="F33" s="92">
        <f>SUM(F27:F32)</f>
        <v>1455.88</v>
      </c>
    </row>
    <row r="34" spans="1:8">
      <c r="A34" s="266"/>
      <c r="B34" s="267"/>
      <c r="C34" s="267"/>
      <c r="D34" s="267"/>
      <c r="E34" s="267"/>
      <c r="F34" s="268"/>
    </row>
    <row r="35" spans="1:8">
      <c r="A35" s="254" t="s">
        <v>149</v>
      </c>
      <c r="B35" s="254"/>
      <c r="C35" s="254"/>
      <c r="D35" s="254"/>
      <c r="E35" s="254"/>
      <c r="F35" s="255"/>
    </row>
    <row r="36" spans="1:8">
      <c r="A36" s="254" t="s">
        <v>150</v>
      </c>
      <c r="B36" s="254"/>
      <c r="C36" s="254"/>
      <c r="D36" s="254"/>
      <c r="E36" s="254"/>
      <c r="F36" s="255"/>
      <c r="H36" s="93"/>
    </row>
    <row r="37" spans="1:8">
      <c r="A37" s="85" t="s">
        <v>151</v>
      </c>
      <c r="B37" s="256" t="s">
        <v>152</v>
      </c>
      <c r="C37" s="257"/>
      <c r="D37" s="258"/>
      <c r="E37" s="85" t="s">
        <v>153</v>
      </c>
      <c r="F37" s="86" t="s">
        <v>136</v>
      </c>
    </row>
    <row r="38" spans="1:8">
      <c r="A38" s="85" t="s">
        <v>137</v>
      </c>
      <c r="B38" s="241" t="s">
        <v>154</v>
      </c>
      <c r="C38" s="242"/>
      <c r="D38" s="243"/>
      <c r="E38" s="94">
        <f>1/12</f>
        <v>8.3299999999999999E-2</v>
      </c>
      <c r="F38" s="88">
        <f>F33*E38</f>
        <v>121.27</v>
      </c>
    </row>
    <row r="39" spans="1:8">
      <c r="A39" s="85" t="s">
        <v>139</v>
      </c>
      <c r="B39" s="241" t="s">
        <v>155</v>
      </c>
      <c r="C39" s="242"/>
      <c r="D39" s="243"/>
      <c r="E39" s="94">
        <f>(1/12)+(1/3)/12</f>
        <v>0.1111</v>
      </c>
      <c r="F39" s="88">
        <f>F33*E39</f>
        <v>161.75</v>
      </c>
    </row>
    <row r="40" spans="1:8">
      <c r="A40" s="263" t="s">
        <v>61</v>
      </c>
      <c r="B40" s="264"/>
      <c r="C40" s="264"/>
      <c r="D40" s="265"/>
      <c r="E40" s="95">
        <f>SUM(E38:E39)</f>
        <v>0.19439999999999999</v>
      </c>
      <c r="F40" s="96">
        <f>SUM(F38:F39)</f>
        <v>283.02</v>
      </c>
    </row>
    <row r="41" spans="1:8">
      <c r="A41" s="85" t="s">
        <v>141</v>
      </c>
      <c r="B41" s="241" t="s">
        <v>156</v>
      </c>
      <c r="C41" s="242"/>
      <c r="D41" s="243"/>
      <c r="E41" s="94">
        <f>E40*E53</f>
        <v>7.7399999999999997E-2</v>
      </c>
      <c r="F41" s="96">
        <f>E41*F33</f>
        <v>112.69</v>
      </c>
    </row>
    <row r="42" spans="1:8">
      <c r="A42" s="238" t="s">
        <v>61</v>
      </c>
      <c r="B42" s="239"/>
      <c r="C42" s="239"/>
      <c r="D42" s="240"/>
      <c r="E42" s="97">
        <f>SUM(E40:E41)</f>
        <v>0.27179999999999999</v>
      </c>
      <c r="F42" s="92">
        <f>SUM(F40:F41)</f>
        <v>395.71</v>
      </c>
      <c r="H42" s="93"/>
    </row>
    <row r="43" spans="1:8">
      <c r="A43" s="254" t="s">
        <v>157</v>
      </c>
      <c r="B43" s="254"/>
      <c r="C43" s="254"/>
      <c r="D43" s="254"/>
      <c r="E43" s="254"/>
      <c r="F43" s="255"/>
    </row>
    <row r="44" spans="1:8">
      <c r="A44" s="85" t="s">
        <v>158</v>
      </c>
      <c r="B44" s="256" t="s">
        <v>159</v>
      </c>
      <c r="C44" s="257"/>
      <c r="D44" s="258"/>
      <c r="E44" s="85" t="s">
        <v>153</v>
      </c>
      <c r="F44" s="86" t="s">
        <v>136</v>
      </c>
    </row>
    <row r="45" spans="1:8">
      <c r="A45" s="85" t="s">
        <v>137</v>
      </c>
      <c r="B45" s="241" t="s">
        <v>160</v>
      </c>
      <c r="C45" s="242"/>
      <c r="D45" s="243"/>
      <c r="E45" s="94">
        <v>0.2</v>
      </c>
      <c r="F45" s="88">
        <f t="shared" ref="F45:F52" si="0">E45*F$33</f>
        <v>291.18</v>
      </c>
    </row>
    <row r="46" spans="1:8">
      <c r="A46" s="85" t="s">
        <v>139</v>
      </c>
      <c r="B46" s="241" t="s">
        <v>161</v>
      </c>
      <c r="C46" s="242"/>
      <c r="D46" s="243"/>
      <c r="E46" s="94">
        <v>2.5000000000000001E-2</v>
      </c>
      <c r="F46" s="88">
        <f t="shared" si="0"/>
        <v>36.4</v>
      </c>
      <c r="G46" s="63"/>
      <c r="H46" s="98"/>
    </row>
    <row r="47" spans="1:8">
      <c r="A47" s="85" t="s">
        <v>141</v>
      </c>
      <c r="B47" s="241" t="s">
        <v>162</v>
      </c>
      <c r="C47" s="242"/>
      <c r="D47" s="243"/>
      <c r="E47" s="99">
        <f>(2*3)/100</f>
        <v>0.06</v>
      </c>
      <c r="F47" s="88">
        <f t="shared" si="0"/>
        <v>87.35</v>
      </c>
      <c r="G47" s="100"/>
      <c r="H47" s="100"/>
    </row>
    <row r="48" spans="1:8">
      <c r="A48" s="85" t="s">
        <v>143</v>
      </c>
      <c r="B48" s="241" t="s">
        <v>163</v>
      </c>
      <c r="C48" s="242"/>
      <c r="D48" s="243"/>
      <c r="E48" s="94">
        <v>1.4999999999999999E-2</v>
      </c>
      <c r="F48" s="88">
        <f t="shared" si="0"/>
        <v>21.84</v>
      </c>
    </row>
    <row r="49" spans="1:8">
      <c r="A49" s="85" t="s">
        <v>145</v>
      </c>
      <c r="B49" s="241" t="s">
        <v>164</v>
      </c>
      <c r="C49" s="242"/>
      <c r="D49" s="243"/>
      <c r="E49" s="94">
        <v>0.01</v>
      </c>
      <c r="F49" s="88">
        <f t="shared" si="0"/>
        <v>14.56</v>
      </c>
    </row>
    <row r="50" spans="1:8">
      <c r="A50" s="85" t="s">
        <v>147</v>
      </c>
      <c r="B50" s="241" t="s">
        <v>165</v>
      </c>
      <c r="C50" s="242"/>
      <c r="D50" s="243"/>
      <c r="E50" s="94">
        <v>6.0000000000000001E-3</v>
      </c>
      <c r="F50" s="88">
        <f t="shared" si="0"/>
        <v>8.74</v>
      </c>
    </row>
    <row r="51" spans="1:8">
      <c r="A51" s="85" t="s">
        <v>166</v>
      </c>
      <c r="B51" s="241" t="s">
        <v>167</v>
      </c>
      <c r="C51" s="242"/>
      <c r="D51" s="243"/>
      <c r="E51" s="94">
        <v>2E-3</v>
      </c>
      <c r="F51" s="88">
        <f t="shared" si="0"/>
        <v>2.91</v>
      </c>
    </row>
    <row r="52" spans="1:8">
      <c r="A52" s="85" t="s">
        <v>168</v>
      </c>
      <c r="B52" s="241" t="s">
        <v>169</v>
      </c>
      <c r="C52" s="242"/>
      <c r="D52" s="243"/>
      <c r="E52" s="94">
        <v>0.08</v>
      </c>
      <c r="F52" s="88">
        <f t="shared" si="0"/>
        <v>116.47</v>
      </c>
    </row>
    <row r="53" spans="1:8">
      <c r="A53" s="238" t="s">
        <v>170</v>
      </c>
      <c r="B53" s="239"/>
      <c r="C53" s="239"/>
      <c r="D53" s="240"/>
      <c r="E53" s="97">
        <f>SUM(E45:E52)</f>
        <v>0.39800000000000002</v>
      </c>
      <c r="F53" s="92">
        <f>SUM(F45:F52)</f>
        <v>579.45000000000005</v>
      </c>
    </row>
    <row r="54" spans="1:8">
      <c r="A54" s="256" t="s">
        <v>171</v>
      </c>
      <c r="B54" s="257"/>
      <c r="C54" s="257"/>
      <c r="D54" s="257"/>
      <c r="E54" s="257"/>
      <c r="F54" s="259"/>
    </row>
    <row r="55" spans="1:8">
      <c r="A55" s="85" t="s">
        <v>172</v>
      </c>
      <c r="B55" s="256" t="s">
        <v>173</v>
      </c>
      <c r="C55" s="257"/>
      <c r="D55" s="258"/>
      <c r="E55" s="85"/>
      <c r="F55" s="86" t="s">
        <v>136</v>
      </c>
    </row>
    <row r="56" spans="1:8">
      <c r="A56" s="85" t="s">
        <v>137</v>
      </c>
      <c r="B56" s="241" t="s">
        <v>174</v>
      </c>
      <c r="C56" s="242"/>
      <c r="D56" s="243"/>
      <c r="E56" s="87"/>
      <c r="F56" s="88">
        <f>((E57*E58)*E59)-(6%*F27)</f>
        <v>64.459999999999994</v>
      </c>
      <c r="H56" s="70"/>
    </row>
    <row r="57" spans="1:8">
      <c r="A57" s="85"/>
      <c r="B57" s="241" t="s">
        <v>175</v>
      </c>
      <c r="C57" s="242"/>
      <c r="D57" s="243"/>
      <c r="E57" s="101">
        <f>'RAIZ DOS DADOS'!D31</f>
        <v>3</v>
      </c>
      <c r="F57" s="79" t="s">
        <v>69</v>
      </c>
      <c r="H57" s="70"/>
    </row>
    <row r="58" spans="1:8">
      <c r="A58" s="85"/>
      <c r="B58" s="241" t="s">
        <v>176</v>
      </c>
      <c r="C58" s="242"/>
      <c r="D58" s="243"/>
      <c r="E58" s="102">
        <f>'RAIZ DOS DADOS'!D34</f>
        <v>2</v>
      </c>
      <c r="F58" s="79" t="s">
        <v>69</v>
      </c>
      <c r="H58" s="70"/>
    </row>
    <row r="59" spans="1:8">
      <c r="A59" s="85"/>
      <c r="B59" s="241" t="s">
        <v>177</v>
      </c>
      <c r="C59" s="242"/>
      <c r="D59" s="243"/>
      <c r="E59" s="102">
        <f>'RAIZ DOS DADOS'!D33</f>
        <v>22</v>
      </c>
      <c r="F59" s="79" t="s">
        <v>69</v>
      </c>
      <c r="H59" s="70"/>
    </row>
    <row r="60" spans="1:8">
      <c r="A60" s="85" t="s">
        <v>139</v>
      </c>
      <c r="B60" s="241" t="s">
        <v>178</v>
      </c>
      <c r="C60" s="242"/>
      <c r="D60" s="243"/>
      <c r="E60" s="87"/>
      <c r="F60" s="88">
        <f>'RAIZ DOS DADOS'!D7</f>
        <v>400</v>
      </c>
      <c r="H60" s="70"/>
    </row>
    <row r="61" spans="1:8">
      <c r="A61" s="85" t="s">
        <v>141</v>
      </c>
      <c r="B61" s="241" t="s">
        <v>33</v>
      </c>
      <c r="C61" s="242"/>
      <c r="D61" s="243"/>
      <c r="E61" s="87"/>
      <c r="F61" s="88">
        <f>'RAIZ DOS DADOS'!D24</f>
        <v>14.66</v>
      </c>
      <c r="H61" s="70"/>
    </row>
    <row r="62" spans="1:8">
      <c r="A62" s="85" t="s">
        <v>143</v>
      </c>
      <c r="B62" s="241" t="s">
        <v>179</v>
      </c>
      <c r="C62" s="242"/>
      <c r="D62" s="243"/>
      <c r="E62" s="87"/>
      <c r="F62" s="88">
        <f>'RAIZ DOS DADOS'!D25</f>
        <v>6.4</v>
      </c>
      <c r="H62" s="70"/>
    </row>
    <row r="63" spans="1:8">
      <c r="A63" s="85" t="s">
        <v>145</v>
      </c>
      <c r="B63" s="260" t="s">
        <v>180</v>
      </c>
      <c r="C63" s="261"/>
      <c r="D63" s="262"/>
      <c r="E63" s="103"/>
      <c r="F63" s="104">
        <v>0</v>
      </c>
      <c r="H63" s="105"/>
    </row>
    <row r="64" spans="1:8">
      <c r="A64" s="85" t="s">
        <v>147</v>
      </c>
      <c r="B64" s="260" t="s">
        <v>181</v>
      </c>
      <c r="C64" s="261"/>
      <c r="D64" s="262"/>
      <c r="E64" s="103"/>
      <c r="F64" s="104">
        <f>'RAIZ DOS DADOS'!D8</f>
        <v>130</v>
      </c>
      <c r="H64" s="105"/>
    </row>
    <row r="65" spans="1:10" s="63" customFormat="1">
      <c r="A65" s="238" t="s">
        <v>61</v>
      </c>
      <c r="B65" s="239"/>
      <c r="C65" s="239"/>
      <c r="D65" s="240"/>
      <c r="E65" s="106"/>
      <c r="F65" s="92">
        <f>SUM(F56:F64)</f>
        <v>615.52</v>
      </c>
      <c r="G65" s="61"/>
      <c r="H65" s="61"/>
    </row>
    <row r="66" spans="1:10">
      <c r="A66" s="256" t="s">
        <v>182</v>
      </c>
      <c r="B66" s="257"/>
      <c r="C66" s="257"/>
      <c r="D66" s="257"/>
      <c r="E66" s="257"/>
      <c r="F66" s="259"/>
    </row>
    <row r="67" spans="1:10">
      <c r="A67" s="85">
        <v>2</v>
      </c>
      <c r="B67" s="256" t="s">
        <v>183</v>
      </c>
      <c r="C67" s="257"/>
      <c r="D67" s="258"/>
      <c r="E67" s="85"/>
      <c r="F67" s="86" t="s">
        <v>136</v>
      </c>
    </row>
    <row r="68" spans="1:10">
      <c r="A68" s="85" t="s">
        <v>151</v>
      </c>
      <c r="B68" s="241" t="s">
        <v>152</v>
      </c>
      <c r="C68" s="242"/>
      <c r="D68" s="243"/>
      <c r="E68" s="107"/>
      <c r="F68" s="88">
        <f>F40</f>
        <v>283.02</v>
      </c>
      <c r="G68" s="64"/>
      <c r="H68" s="64"/>
    </row>
    <row r="69" spans="1:10">
      <c r="A69" s="85" t="s">
        <v>158</v>
      </c>
      <c r="B69" s="241" t="s">
        <v>184</v>
      </c>
      <c r="C69" s="242"/>
      <c r="D69" s="243"/>
      <c r="E69" s="108"/>
      <c r="F69" s="88">
        <f>F53+F41</f>
        <v>692.14</v>
      </c>
      <c r="G69" s="64"/>
      <c r="H69" s="64"/>
    </row>
    <row r="70" spans="1:10">
      <c r="A70" s="85" t="s">
        <v>172</v>
      </c>
      <c r="B70" s="241" t="s">
        <v>173</v>
      </c>
      <c r="C70" s="242"/>
      <c r="D70" s="243"/>
      <c r="E70" s="109"/>
      <c r="F70" s="88">
        <f>F65</f>
        <v>615.52</v>
      </c>
      <c r="G70" s="64"/>
      <c r="H70" s="64"/>
    </row>
    <row r="71" spans="1:10">
      <c r="A71" s="238" t="s">
        <v>61</v>
      </c>
      <c r="B71" s="239"/>
      <c r="C71" s="239"/>
      <c r="D71" s="240"/>
      <c r="E71" s="91"/>
      <c r="F71" s="92">
        <f>SUM(F68:F70)</f>
        <v>1590.68</v>
      </c>
      <c r="J71" s="118"/>
    </row>
    <row r="73" spans="1:10">
      <c r="A73" s="254" t="s">
        <v>185</v>
      </c>
      <c r="B73" s="254"/>
      <c r="C73" s="254"/>
      <c r="D73" s="254"/>
      <c r="E73" s="254"/>
      <c r="F73" s="255"/>
    </row>
    <row r="74" spans="1:10">
      <c r="A74" s="85">
        <v>3</v>
      </c>
      <c r="B74" s="256" t="s">
        <v>186</v>
      </c>
      <c r="C74" s="257"/>
      <c r="D74" s="258"/>
      <c r="E74" s="85" t="s">
        <v>153</v>
      </c>
      <c r="F74" s="86" t="s">
        <v>136</v>
      </c>
    </row>
    <row r="75" spans="1:10">
      <c r="A75" s="85" t="s">
        <v>137</v>
      </c>
      <c r="B75" s="241" t="s">
        <v>187</v>
      </c>
      <c r="C75" s="242"/>
      <c r="D75" s="243"/>
      <c r="E75" s="107">
        <f>(1/12)*5%</f>
        <v>4.1999999999999997E-3</v>
      </c>
      <c r="F75" s="88">
        <f>E75*F33</f>
        <v>6.11</v>
      </c>
    </row>
    <row r="76" spans="1:10">
      <c r="A76" s="85" t="s">
        <v>139</v>
      </c>
      <c r="B76" s="241" t="s">
        <v>188</v>
      </c>
      <c r="C76" s="242"/>
      <c r="D76" s="243"/>
      <c r="E76" s="107">
        <f>E75*E52</f>
        <v>2.9999999999999997E-4</v>
      </c>
      <c r="F76" s="88">
        <f>E76*F33</f>
        <v>0.44</v>
      </c>
      <c r="G76" s="110"/>
    </row>
    <row r="77" spans="1:10">
      <c r="A77" s="85" t="s">
        <v>141</v>
      </c>
      <c r="B77" s="241" t="s">
        <v>189</v>
      </c>
      <c r="C77" s="242"/>
      <c r="D77" s="243"/>
      <c r="E77" s="107">
        <f>((8%*(40%)*90%)*(1+5/56+5/56+(1/3*5/56)))</f>
        <v>3.4799999999999998E-2</v>
      </c>
      <c r="F77" s="88">
        <f>E77*(F33+F40)</f>
        <v>60.51</v>
      </c>
      <c r="G77" s="110"/>
      <c r="H77" s="111"/>
    </row>
    <row r="78" spans="1:10">
      <c r="A78" s="85" t="s">
        <v>143</v>
      </c>
      <c r="B78" s="241" t="s">
        <v>190</v>
      </c>
      <c r="C78" s="242"/>
      <c r="D78" s="243"/>
      <c r="E78" s="107">
        <f>((7/30)/12)</f>
        <v>1.9400000000000001E-2</v>
      </c>
      <c r="F78" s="88">
        <f>E78*F33</f>
        <v>28.24</v>
      </c>
      <c r="G78" s="64"/>
      <c r="H78" s="64"/>
    </row>
    <row r="79" spans="1:10">
      <c r="A79" s="85" t="s">
        <v>145</v>
      </c>
      <c r="B79" s="241" t="s">
        <v>191</v>
      </c>
      <c r="C79" s="242"/>
      <c r="D79" s="243"/>
      <c r="E79" s="107">
        <f>E78*E53</f>
        <v>7.7000000000000002E-3</v>
      </c>
      <c r="F79" s="88">
        <f>E79*F33</f>
        <v>11.21</v>
      </c>
    </row>
    <row r="80" spans="1:10">
      <c r="A80" s="85" t="s">
        <v>147</v>
      </c>
      <c r="B80" s="241" t="s">
        <v>192</v>
      </c>
      <c r="C80" s="242"/>
      <c r="D80" s="243"/>
      <c r="E80" s="107">
        <f>(40%*8%*E78)</f>
        <v>5.9999999999999995E-4</v>
      </c>
      <c r="F80" s="88">
        <f>E80*F33</f>
        <v>0.87</v>
      </c>
    </row>
    <row r="81" spans="1:10">
      <c r="A81" s="238" t="s">
        <v>61</v>
      </c>
      <c r="B81" s="239"/>
      <c r="C81" s="239"/>
      <c r="D81" s="240"/>
      <c r="E81" s="112"/>
      <c r="F81" s="92">
        <f>SUM(F75:F80)</f>
        <v>107.38</v>
      </c>
      <c r="J81" s="118"/>
    </row>
    <row r="82" spans="1:10" s="64" customFormat="1">
      <c r="A82" s="67"/>
      <c r="B82" s="56"/>
      <c r="C82" s="56"/>
      <c r="D82" s="56"/>
      <c r="E82" s="56"/>
      <c r="F82" s="68"/>
      <c r="G82" s="61"/>
      <c r="H82" s="61"/>
    </row>
    <row r="83" spans="1:10" s="64" customFormat="1">
      <c r="A83" s="256" t="s">
        <v>193</v>
      </c>
      <c r="B83" s="257"/>
      <c r="C83" s="257"/>
      <c r="D83" s="257"/>
      <c r="E83" s="257"/>
      <c r="F83" s="259"/>
      <c r="G83" s="61"/>
      <c r="H83" s="61"/>
    </row>
    <row r="84" spans="1:10">
      <c r="A84" s="256" t="s">
        <v>194</v>
      </c>
      <c r="B84" s="257"/>
      <c r="C84" s="257"/>
      <c r="D84" s="257"/>
      <c r="E84" s="257"/>
      <c r="F84" s="259"/>
    </row>
    <row r="85" spans="1:10">
      <c r="A85" s="85" t="s">
        <v>195</v>
      </c>
      <c r="B85" s="256" t="s">
        <v>196</v>
      </c>
      <c r="C85" s="257"/>
      <c r="D85" s="258"/>
      <c r="E85" s="85" t="s">
        <v>153</v>
      </c>
      <c r="F85" s="86" t="s">
        <v>136</v>
      </c>
    </row>
    <row r="86" spans="1:10">
      <c r="A86" s="85" t="s">
        <v>137</v>
      </c>
      <c r="B86" s="241" t="s">
        <v>197</v>
      </c>
      <c r="C86" s="242"/>
      <c r="D86" s="243"/>
      <c r="E86" s="107">
        <f>(1/12)</f>
        <v>8.3299999999999999E-2</v>
      </c>
      <c r="F86" s="88">
        <f t="shared" ref="F86:F91" si="1">E86*F$33</f>
        <v>121.27</v>
      </c>
    </row>
    <row r="87" spans="1:10">
      <c r="A87" s="85" t="s">
        <v>139</v>
      </c>
      <c r="B87" s="241" t="s">
        <v>196</v>
      </c>
      <c r="C87" s="242"/>
      <c r="D87" s="243"/>
      <c r="E87" s="107">
        <f>(1/30)/12</f>
        <v>2.8E-3</v>
      </c>
      <c r="F87" s="88">
        <f t="shared" si="1"/>
        <v>4.08</v>
      </c>
    </row>
    <row r="88" spans="1:10">
      <c r="A88" s="85" t="s">
        <v>141</v>
      </c>
      <c r="B88" s="241" t="s">
        <v>198</v>
      </c>
      <c r="C88" s="242"/>
      <c r="D88" s="243"/>
      <c r="E88" s="107">
        <f>((5/30)/12)*1.5%</f>
        <v>2.0000000000000001E-4</v>
      </c>
      <c r="F88" s="88">
        <f t="shared" si="1"/>
        <v>0.28999999999999998</v>
      </c>
    </row>
    <row r="89" spans="1:10">
      <c r="A89" s="85" t="s">
        <v>143</v>
      </c>
      <c r="B89" s="241" t="s">
        <v>199</v>
      </c>
      <c r="C89" s="242"/>
      <c r="D89" s="243"/>
      <c r="E89" s="107">
        <f>((15/365)*8%)</f>
        <v>3.3E-3</v>
      </c>
      <c r="F89" s="88">
        <f t="shared" si="1"/>
        <v>4.8</v>
      </c>
    </row>
    <row r="90" spans="1:10">
      <c r="A90" s="85" t="s">
        <v>145</v>
      </c>
      <c r="B90" s="241" t="s">
        <v>200</v>
      </c>
      <c r="C90" s="242"/>
      <c r="D90" s="243"/>
      <c r="E90" s="107">
        <f>(11.11%*2%*(4/12))</f>
        <v>6.9999999999999999E-4</v>
      </c>
      <c r="F90" s="88">
        <f t="shared" si="1"/>
        <v>1.02</v>
      </c>
    </row>
    <row r="91" spans="1:10">
      <c r="A91" s="85" t="s">
        <v>147</v>
      </c>
      <c r="B91" s="241" t="s">
        <v>201</v>
      </c>
      <c r="C91" s="242"/>
      <c r="D91" s="243"/>
      <c r="E91" s="107"/>
      <c r="F91" s="88">
        <f t="shared" si="1"/>
        <v>0</v>
      </c>
    </row>
    <row r="92" spans="1:10" s="64" customFormat="1">
      <c r="A92" s="238" t="s">
        <v>170</v>
      </c>
      <c r="B92" s="239"/>
      <c r="C92" s="239"/>
      <c r="D92" s="240"/>
      <c r="E92" s="112"/>
      <c r="F92" s="92">
        <f>SUM(F86:F91)</f>
        <v>131.46</v>
      </c>
      <c r="G92" s="61"/>
      <c r="H92" s="61"/>
      <c r="J92" s="118"/>
    </row>
    <row r="93" spans="1:10">
      <c r="A93" s="256" t="s">
        <v>202</v>
      </c>
      <c r="B93" s="257"/>
      <c r="C93" s="257"/>
      <c r="D93" s="257"/>
      <c r="E93" s="257"/>
      <c r="F93" s="259"/>
    </row>
    <row r="94" spans="1:10">
      <c r="A94" s="85" t="s">
        <v>203</v>
      </c>
      <c r="B94" s="256" t="s">
        <v>204</v>
      </c>
      <c r="C94" s="257"/>
      <c r="D94" s="258"/>
      <c r="E94" s="85"/>
      <c r="F94" s="86" t="s">
        <v>136</v>
      </c>
    </row>
    <row r="95" spans="1:10">
      <c r="A95" s="85" t="s">
        <v>137</v>
      </c>
      <c r="B95" s="241" t="s">
        <v>205</v>
      </c>
      <c r="C95" s="242"/>
      <c r="D95" s="243"/>
      <c r="E95" s="87"/>
      <c r="F95" s="88">
        <v>0</v>
      </c>
    </row>
    <row r="96" spans="1:10">
      <c r="A96" s="238" t="s">
        <v>61</v>
      </c>
      <c r="B96" s="239"/>
      <c r="C96" s="239"/>
      <c r="D96" s="240"/>
      <c r="E96" s="91"/>
      <c r="F96" s="92">
        <f>SUM(F95:F95)</f>
        <v>0</v>
      </c>
    </row>
    <row r="97" spans="1:10">
      <c r="A97" s="256" t="s">
        <v>206</v>
      </c>
      <c r="B97" s="257"/>
      <c r="C97" s="257"/>
      <c r="D97" s="257"/>
      <c r="E97" s="257"/>
      <c r="F97" s="259"/>
    </row>
    <row r="98" spans="1:10">
      <c r="A98" s="85">
        <v>4</v>
      </c>
      <c r="B98" s="256" t="s">
        <v>207</v>
      </c>
      <c r="C98" s="257"/>
      <c r="D98" s="258"/>
      <c r="E98" s="85"/>
      <c r="F98" s="86" t="s">
        <v>136</v>
      </c>
    </row>
    <row r="99" spans="1:10">
      <c r="A99" s="85" t="s">
        <v>195</v>
      </c>
      <c r="B99" s="241" t="s">
        <v>196</v>
      </c>
      <c r="C99" s="242"/>
      <c r="D99" s="243"/>
      <c r="E99" s="87"/>
      <c r="F99" s="88">
        <f>F92</f>
        <v>131.46</v>
      </c>
    </row>
    <row r="100" spans="1:10">
      <c r="A100" s="85" t="s">
        <v>203</v>
      </c>
      <c r="B100" s="241" t="s">
        <v>204</v>
      </c>
      <c r="C100" s="242"/>
      <c r="D100" s="243"/>
      <c r="E100" s="87"/>
      <c r="F100" s="88">
        <f>F96</f>
        <v>0</v>
      </c>
    </row>
    <row r="101" spans="1:10">
      <c r="A101" s="238" t="s">
        <v>61</v>
      </c>
      <c r="B101" s="239"/>
      <c r="C101" s="239"/>
      <c r="D101" s="240"/>
      <c r="E101" s="91"/>
      <c r="F101" s="92">
        <f>SUM(F99:F100)</f>
        <v>131.46</v>
      </c>
      <c r="J101" s="118"/>
    </row>
    <row r="103" spans="1:10">
      <c r="A103" s="256" t="s">
        <v>208</v>
      </c>
      <c r="B103" s="257"/>
      <c r="C103" s="257"/>
      <c r="D103" s="257"/>
      <c r="E103" s="257"/>
      <c r="F103" s="259"/>
    </row>
    <row r="104" spans="1:10">
      <c r="A104" s="85">
        <v>5</v>
      </c>
      <c r="B104" s="256" t="s">
        <v>209</v>
      </c>
      <c r="C104" s="257"/>
      <c r="D104" s="257"/>
      <c r="E104" s="258"/>
      <c r="F104" s="86" t="s">
        <v>136</v>
      </c>
    </row>
    <row r="105" spans="1:10">
      <c r="A105" s="113" t="s">
        <v>137</v>
      </c>
      <c r="B105" s="241" t="s">
        <v>210</v>
      </c>
      <c r="C105" s="242"/>
      <c r="D105" s="242"/>
      <c r="E105" s="243"/>
      <c r="F105" s="88">
        <f>'SEMAS 2_Uniformes'!K17</f>
        <v>47.46</v>
      </c>
      <c r="H105" s="114"/>
    </row>
    <row r="106" spans="1:10">
      <c r="A106" s="85" t="s">
        <v>139</v>
      </c>
      <c r="B106" s="241" t="s">
        <v>211</v>
      </c>
      <c r="C106" s="242"/>
      <c r="D106" s="242"/>
      <c r="E106" s="243"/>
      <c r="F106" s="88">
        <f>'SEMAS 2_EPI''s'!K17</f>
        <v>31.73</v>
      </c>
    </row>
    <row r="107" spans="1:10">
      <c r="A107" s="85" t="s">
        <v>141</v>
      </c>
      <c r="B107" s="241" t="s">
        <v>212</v>
      </c>
      <c r="C107" s="242"/>
      <c r="D107" s="242"/>
      <c r="E107" s="243"/>
      <c r="F107" s="88">
        <f>'SEMAS 2_Materiais'!K26</f>
        <v>8.86</v>
      </c>
    </row>
    <row r="108" spans="1:10">
      <c r="A108" s="85" t="s">
        <v>143</v>
      </c>
      <c r="B108" s="241" t="s">
        <v>213</v>
      </c>
      <c r="C108" s="242"/>
      <c r="D108" s="242"/>
      <c r="E108" s="243"/>
      <c r="F108" s="88">
        <f>'SEMAS 2_Equipamentos'!M30</f>
        <v>33.15</v>
      </c>
      <c r="H108" s="114"/>
    </row>
    <row r="109" spans="1:10">
      <c r="A109" s="238" t="s">
        <v>170</v>
      </c>
      <c r="B109" s="239"/>
      <c r="C109" s="239"/>
      <c r="D109" s="239"/>
      <c r="E109" s="240"/>
      <c r="F109" s="92">
        <f>SUM(F105:F108)</f>
        <v>121.2</v>
      </c>
      <c r="J109" s="118"/>
    </row>
    <row r="111" spans="1:10">
      <c r="A111" s="254" t="s">
        <v>214</v>
      </c>
      <c r="B111" s="254"/>
      <c r="C111" s="254"/>
      <c r="D111" s="254"/>
      <c r="E111" s="254"/>
      <c r="F111" s="255"/>
    </row>
    <row r="112" spans="1:10">
      <c r="A112" s="85">
        <v>6</v>
      </c>
      <c r="B112" s="256" t="s">
        <v>215</v>
      </c>
      <c r="C112" s="257"/>
      <c r="D112" s="258"/>
      <c r="E112" s="85" t="s">
        <v>153</v>
      </c>
      <c r="F112" s="86" t="s">
        <v>136</v>
      </c>
    </row>
    <row r="113" spans="1:10">
      <c r="A113" s="85" t="s">
        <v>137</v>
      </c>
      <c r="B113" s="241" t="s">
        <v>216</v>
      </c>
      <c r="C113" s="242"/>
      <c r="D113" s="243"/>
      <c r="E113" s="107">
        <v>0.05</v>
      </c>
      <c r="F113" s="88">
        <f>E113*F130</f>
        <v>170.33</v>
      </c>
    </row>
    <row r="114" spans="1:10">
      <c r="A114" s="85" t="s">
        <v>139</v>
      </c>
      <c r="B114" s="241" t="s">
        <v>217</v>
      </c>
      <c r="C114" s="242"/>
      <c r="D114" s="243"/>
      <c r="E114" s="107">
        <v>6.7900000000000002E-2</v>
      </c>
      <c r="F114" s="88">
        <f>E114*(F130+F113)</f>
        <v>242.87</v>
      </c>
    </row>
    <row r="115" spans="1:10">
      <c r="A115" s="85" t="s">
        <v>141</v>
      </c>
      <c r="B115" s="241" t="s">
        <v>218</v>
      </c>
      <c r="C115" s="242"/>
      <c r="D115" s="243"/>
      <c r="E115" s="107">
        <f>SUM(E116:E120)</f>
        <v>0.14249999999999999</v>
      </c>
      <c r="F115" s="88"/>
    </row>
    <row r="116" spans="1:10">
      <c r="A116" s="85"/>
      <c r="B116" s="241" t="s">
        <v>219</v>
      </c>
      <c r="C116" s="242"/>
      <c r="D116" s="243"/>
      <c r="E116" s="107"/>
      <c r="F116" s="88"/>
      <c r="H116" s="115"/>
    </row>
    <row r="117" spans="1:10">
      <c r="A117" s="85"/>
      <c r="B117" s="241" t="s">
        <v>220</v>
      </c>
      <c r="C117" s="242"/>
      <c r="D117" s="243"/>
      <c r="E117" s="107">
        <v>1.6500000000000001E-2</v>
      </c>
      <c r="F117" s="88">
        <f>E117*((F130+F113+F114)/(1-$E$115))</f>
        <v>73.5</v>
      </c>
      <c r="H117" s="249"/>
      <c r="J117" s="119"/>
    </row>
    <row r="118" spans="1:10">
      <c r="A118" s="85"/>
      <c r="B118" s="241" t="s">
        <v>221</v>
      </c>
      <c r="C118" s="242"/>
      <c r="D118" s="243"/>
      <c r="E118" s="107">
        <v>7.5999999999999998E-2</v>
      </c>
      <c r="F118" s="88">
        <f>E118*(($F$130+$F$113+$F$114)/(1-$E$115))</f>
        <v>338.55</v>
      </c>
      <c r="H118" s="249"/>
      <c r="J118" s="119"/>
    </row>
    <row r="119" spans="1:10" s="65" customFormat="1">
      <c r="A119" s="85"/>
      <c r="B119" s="241" t="s">
        <v>222</v>
      </c>
      <c r="C119" s="242"/>
      <c r="D119" s="243"/>
      <c r="E119" s="107"/>
      <c r="F119" s="88"/>
      <c r="H119" s="249"/>
      <c r="J119" s="120"/>
    </row>
    <row r="120" spans="1:10">
      <c r="A120" s="85"/>
      <c r="B120" s="241" t="s">
        <v>223</v>
      </c>
      <c r="C120" s="242"/>
      <c r="D120" s="243"/>
      <c r="E120" s="107">
        <v>0.05</v>
      </c>
      <c r="F120" s="88">
        <f>E120*(($F$130+$F$113+$F$114)/(1-$E$115))</f>
        <v>222.73</v>
      </c>
      <c r="H120" s="249"/>
      <c r="J120" s="119"/>
    </row>
    <row r="121" spans="1:10">
      <c r="A121" s="238" t="s">
        <v>170</v>
      </c>
      <c r="B121" s="239"/>
      <c r="C121" s="239"/>
      <c r="D121" s="240"/>
      <c r="E121" s="116"/>
      <c r="F121" s="92">
        <f>SUM(F113:F120)</f>
        <v>1047.98</v>
      </c>
      <c r="J121" s="118"/>
    </row>
    <row r="123" spans="1:10">
      <c r="A123" s="247" t="s">
        <v>224</v>
      </c>
      <c r="B123" s="247"/>
      <c r="C123" s="247"/>
      <c r="D123" s="247"/>
      <c r="E123" s="247"/>
      <c r="F123" s="250"/>
    </row>
    <row r="124" spans="1:10">
      <c r="A124" s="69"/>
      <c r="B124" s="251" t="s">
        <v>225</v>
      </c>
      <c r="C124" s="252"/>
      <c r="D124" s="252"/>
      <c r="E124" s="253"/>
      <c r="F124" s="117" t="s">
        <v>136</v>
      </c>
    </row>
    <row r="125" spans="1:10">
      <c r="A125" s="85" t="s">
        <v>137</v>
      </c>
      <c r="B125" s="241" t="s">
        <v>134</v>
      </c>
      <c r="C125" s="242"/>
      <c r="D125" s="242"/>
      <c r="E125" s="243"/>
      <c r="F125" s="88">
        <f>F33</f>
        <v>1455.88</v>
      </c>
      <c r="H125" s="110"/>
    </row>
    <row r="126" spans="1:10">
      <c r="A126" s="85" t="s">
        <v>139</v>
      </c>
      <c r="B126" s="241" t="s">
        <v>149</v>
      </c>
      <c r="C126" s="242"/>
      <c r="D126" s="242"/>
      <c r="E126" s="243"/>
      <c r="F126" s="88">
        <f>F71</f>
        <v>1590.68</v>
      </c>
    </row>
    <row r="127" spans="1:10">
      <c r="A127" s="85" t="s">
        <v>141</v>
      </c>
      <c r="B127" s="241" t="s">
        <v>185</v>
      </c>
      <c r="C127" s="242"/>
      <c r="D127" s="242"/>
      <c r="E127" s="243"/>
      <c r="F127" s="88">
        <f>F81</f>
        <v>107.38</v>
      </c>
    </row>
    <row r="128" spans="1:10">
      <c r="A128" s="85" t="s">
        <v>143</v>
      </c>
      <c r="B128" s="241" t="s">
        <v>193</v>
      </c>
      <c r="C128" s="242"/>
      <c r="D128" s="242"/>
      <c r="E128" s="243"/>
      <c r="F128" s="88">
        <f>F101</f>
        <v>131.46</v>
      </c>
      <c r="H128" s="110"/>
    </row>
    <row r="129" spans="1:10">
      <c r="A129" s="85" t="s">
        <v>145</v>
      </c>
      <c r="B129" s="241" t="s">
        <v>208</v>
      </c>
      <c r="C129" s="242"/>
      <c r="D129" s="242"/>
      <c r="E129" s="243"/>
      <c r="F129" s="88">
        <f>F109</f>
        <v>121.2</v>
      </c>
      <c r="H129" s="110"/>
    </row>
    <row r="130" spans="1:10">
      <c r="A130" s="238" t="s">
        <v>226</v>
      </c>
      <c r="B130" s="239"/>
      <c r="C130" s="239"/>
      <c r="D130" s="239"/>
      <c r="E130" s="240"/>
      <c r="F130" s="92">
        <f>SUM(F125:F129)</f>
        <v>3406.6</v>
      </c>
      <c r="I130" s="114"/>
      <c r="J130" s="114"/>
    </row>
    <row r="131" spans="1:10">
      <c r="A131" s="85" t="s">
        <v>147</v>
      </c>
      <c r="B131" s="241" t="s">
        <v>227</v>
      </c>
      <c r="C131" s="242"/>
      <c r="D131" s="242"/>
      <c r="E131" s="243"/>
      <c r="F131" s="88">
        <f>F121</f>
        <v>1047.98</v>
      </c>
    </row>
    <row r="132" spans="1:10">
      <c r="A132" s="244" t="s">
        <v>228</v>
      </c>
      <c r="B132" s="245"/>
      <c r="C132" s="245"/>
      <c r="D132" s="245"/>
      <c r="E132" s="246"/>
      <c r="F132" s="121">
        <f>SUM(F130:F131)</f>
        <v>4454.58</v>
      </c>
      <c r="H132" s="110"/>
    </row>
    <row r="134" spans="1:10" s="66" customFormat="1">
      <c r="A134" s="247" t="s">
        <v>229</v>
      </c>
      <c r="B134" s="247"/>
      <c r="C134" s="247"/>
      <c r="D134" s="247"/>
      <c r="E134" s="247"/>
      <c r="F134" s="247"/>
      <c r="G134" s="122"/>
      <c r="H134" s="122"/>
      <c r="I134" s="122"/>
    </row>
    <row r="135" spans="1:10" s="66" customFormat="1" ht="38.25">
      <c r="A135" s="69" t="s">
        <v>230</v>
      </c>
      <c r="B135" s="69" t="s">
        <v>231</v>
      </c>
      <c r="C135" s="69" t="s">
        <v>232</v>
      </c>
      <c r="D135" s="69" t="s">
        <v>233</v>
      </c>
      <c r="E135" s="69" t="s">
        <v>234</v>
      </c>
      <c r="F135" s="123" t="s">
        <v>235</v>
      </c>
    </row>
    <row r="136" spans="1:10" s="66" customFormat="1" ht="45" customHeight="1">
      <c r="A136" s="124" t="str">
        <f>A15</f>
        <v>Servente Interno: 30 h + Insalubridade</v>
      </c>
      <c r="B136" s="125">
        <f>F132</f>
        <v>4454.58</v>
      </c>
      <c r="C136" s="126">
        <v>1</v>
      </c>
      <c r="D136" s="125">
        <f>B136*C136</f>
        <v>4454.58</v>
      </c>
      <c r="E136" s="87">
        <f>F15</f>
        <v>15</v>
      </c>
      <c r="F136" s="125">
        <f>D136*E136</f>
        <v>66818.7</v>
      </c>
    </row>
    <row r="137" spans="1:10" s="66" customFormat="1" ht="21" customHeight="1">
      <c r="A137" s="238" t="s">
        <v>236</v>
      </c>
      <c r="B137" s="239"/>
      <c r="C137" s="239"/>
      <c r="D137" s="239"/>
      <c r="E137" s="240"/>
      <c r="F137" s="127">
        <f>SUM(F136)</f>
        <v>66818.7</v>
      </c>
    </row>
    <row r="138" spans="1:10" s="66" customFormat="1" ht="21" customHeight="1">
      <c r="A138" s="244" t="s">
        <v>237</v>
      </c>
      <c r="B138" s="245"/>
      <c r="C138" s="245"/>
      <c r="D138" s="245"/>
      <c r="E138" s="246"/>
      <c r="F138" s="128">
        <f>F137*F11</f>
        <v>801824.4</v>
      </c>
    </row>
  </sheetData>
  <mergeCells count="134">
    <mergeCell ref="A1:E1"/>
    <mergeCell ref="A2:E2"/>
    <mergeCell ref="A3:E3"/>
    <mergeCell ref="A4:E4"/>
    <mergeCell ref="A5:E5"/>
    <mergeCell ref="A6:F6"/>
    <mergeCell ref="A7:F7"/>
    <mergeCell ref="B8:E8"/>
    <mergeCell ref="B9:E9"/>
    <mergeCell ref="B10:E10"/>
    <mergeCell ref="B11:E11"/>
    <mergeCell ref="A12:F12"/>
    <mergeCell ref="A13:F13"/>
    <mergeCell ref="A14:C14"/>
    <mergeCell ref="D14:E14"/>
    <mergeCell ref="A15:C15"/>
    <mergeCell ref="D15:E15"/>
    <mergeCell ref="A16:F16"/>
    <mergeCell ref="A17:F17"/>
    <mergeCell ref="A18:F18"/>
    <mergeCell ref="B19:E19"/>
    <mergeCell ref="B20:E20"/>
    <mergeCell ref="B21:E21"/>
    <mergeCell ref="B22:E22"/>
    <mergeCell ref="B23:E23"/>
    <mergeCell ref="A24:F24"/>
    <mergeCell ref="A25:F25"/>
    <mergeCell ref="B26:D26"/>
    <mergeCell ref="B27:D27"/>
    <mergeCell ref="B28:D28"/>
    <mergeCell ref="B29:D29"/>
    <mergeCell ref="B30:D30"/>
    <mergeCell ref="B31:D31"/>
    <mergeCell ref="B32:D32"/>
    <mergeCell ref="A33:D33"/>
    <mergeCell ref="A34:F34"/>
    <mergeCell ref="A35:F35"/>
    <mergeCell ref="A36:F36"/>
    <mergeCell ref="B37:D37"/>
    <mergeCell ref="B38:D38"/>
    <mergeCell ref="B39:D39"/>
    <mergeCell ref="A40:D40"/>
    <mergeCell ref="B41:D41"/>
    <mergeCell ref="A42:D42"/>
    <mergeCell ref="A43:F43"/>
    <mergeCell ref="B44:D44"/>
    <mergeCell ref="B45:D45"/>
    <mergeCell ref="B46:D46"/>
    <mergeCell ref="B47:D47"/>
    <mergeCell ref="B48:D48"/>
    <mergeCell ref="B49:D49"/>
    <mergeCell ref="B50:D50"/>
    <mergeCell ref="B51:D51"/>
    <mergeCell ref="B52:D52"/>
    <mergeCell ref="A53:D53"/>
    <mergeCell ref="A54:F54"/>
    <mergeCell ref="B55:D55"/>
    <mergeCell ref="B56:D56"/>
    <mergeCell ref="B57:D57"/>
    <mergeCell ref="B58:D58"/>
    <mergeCell ref="B59:D59"/>
    <mergeCell ref="B60:D60"/>
    <mergeCell ref="B61:D61"/>
    <mergeCell ref="B62:D62"/>
    <mergeCell ref="B63:D63"/>
    <mergeCell ref="B64:D64"/>
    <mergeCell ref="A65:D65"/>
    <mergeCell ref="A66:F66"/>
    <mergeCell ref="B67:D67"/>
    <mergeCell ref="B68:D68"/>
    <mergeCell ref="B69:D69"/>
    <mergeCell ref="B70:D70"/>
    <mergeCell ref="A71:D71"/>
    <mergeCell ref="A73:F73"/>
    <mergeCell ref="B74:D74"/>
    <mergeCell ref="B75:D75"/>
    <mergeCell ref="B76:D76"/>
    <mergeCell ref="B77:D77"/>
    <mergeCell ref="B78:D78"/>
    <mergeCell ref="B79:D79"/>
    <mergeCell ref="B80:D80"/>
    <mergeCell ref="A81:D81"/>
    <mergeCell ref="A83:F83"/>
    <mergeCell ref="A84:F84"/>
    <mergeCell ref="B85:D85"/>
    <mergeCell ref="B86:D86"/>
    <mergeCell ref="B87:D87"/>
    <mergeCell ref="B88:D88"/>
    <mergeCell ref="B89:D89"/>
    <mergeCell ref="B90:D90"/>
    <mergeCell ref="B91:D91"/>
    <mergeCell ref="A92:D92"/>
    <mergeCell ref="A93:F93"/>
    <mergeCell ref="B94:D94"/>
    <mergeCell ref="B95:D95"/>
    <mergeCell ref="A96:D96"/>
    <mergeCell ref="A97:F97"/>
    <mergeCell ref="B98:D98"/>
    <mergeCell ref="B99:D99"/>
    <mergeCell ref="B118:D118"/>
    <mergeCell ref="B119:D119"/>
    <mergeCell ref="B100:D100"/>
    <mergeCell ref="A101:D101"/>
    <mergeCell ref="A103:F103"/>
    <mergeCell ref="B104:E104"/>
    <mergeCell ref="B105:E105"/>
    <mergeCell ref="B106:E106"/>
    <mergeCell ref="B107:E107"/>
    <mergeCell ref="B108:E108"/>
    <mergeCell ref="A109:E109"/>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s>
  <pageMargins left="0.55416666666666703" right="0.35763888888888901" top="0.60555555555555596" bottom="0.40902777777777799" header="0.5" footer="0.5"/>
  <pageSetup paperSize="9"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030AE"/>
  </sheetPr>
  <dimension ref="A1:K138"/>
  <sheetViews>
    <sheetView view="pageBreakPreview" topLeftCell="A68" zoomScale="110" zoomScaleNormal="115" workbookViewId="0">
      <selection activeCell="F90" sqref="F90"/>
    </sheetView>
  </sheetViews>
  <sheetFormatPr defaultColWidth="2.5703125" defaultRowHeight="12.75"/>
  <cols>
    <col min="1" max="1" width="12.85546875" style="67" customWidth="1"/>
    <col min="2" max="2" width="24.5703125" style="56" customWidth="1"/>
    <col min="3" max="3" width="24.28515625" style="56" customWidth="1"/>
    <col min="4" max="4" width="15.7109375" style="56" customWidth="1"/>
    <col min="5" max="5" width="15.140625" style="56" customWidth="1"/>
    <col min="6" max="6" width="30.140625" style="68" customWidth="1"/>
    <col min="7" max="7" width="21.5703125" style="61" customWidth="1"/>
    <col min="8" max="8" width="85.28515625" style="61" customWidth="1"/>
    <col min="9" max="9" width="18.28515625" style="61" customWidth="1"/>
    <col min="10" max="10" width="25.7109375" style="61" customWidth="1"/>
    <col min="11" max="16384" width="2.5703125" style="61"/>
  </cols>
  <sheetData>
    <row r="1" spans="1:11" s="60" customFormat="1" ht="23.1" customHeight="1">
      <c r="A1" s="247" t="s">
        <v>105</v>
      </c>
      <c r="B1" s="247"/>
      <c r="C1" s="247"/>
      <c r="D1" s="247"/>
      <c r="E1" s="247"/>
      <c r="F1" s="248"/>
      <c r="G1" s="67"/>
      <c r="H1" s="67"/>
    </row>
    <row r="2" spans="1:11" ht="21" customHeight="1">
      <c r="A2" s="247" t="s">
        <v>238</v>
      </c>
      <c r="B2" s="247"/>
      <c r="C2" s="247"/>
      <c r="D2" s="247"/>
      <c r="E2" s="247"/>
      <c r="F2" s="248"/>
      <c r="G2" s="70"/>
      <c r="H2" s="70"/>
    </row>
    <row r="3" spans="1:11" s="62" customFormat="1" ht="15">
      <c r="A3" s="283" t="s">
        <v>107</v>
      </c>
      <c r="B3" s="283"/>
      <c r="C3" s="283"/>
      <c r="D3" s="283"/>
      <c r="E3" s="283"/>
      <c r="F3" s="248"/>
      <c r="G3" s="71"/>
      <c r="H3" s="71"/>
      <c r="I3" s="71"/>
      <c r="J3" s="71"/>
      <c r="K3" s="71"/>
    </row>
    <row r="4" spans="1:11" s="62" customFormat="1" ht="15">
      <c r="A4" s="283" t="s">
        <v>108</v>
      </c>
      <c r="B4" s="283"/>
      <c r="C4" s="283"/>
      <c r="D4" s="283"/>
      <c r="E4" s="283"/>
      <c r="F4" s="248"/>
      <c r="G4" s="71"/>
      <c r="H4" s="72"/>
      <c r="I4" s="71"/>
      <c r="J4" s="71"/>
      <c r="K4" s="71"/>
    </row>
    <row r="5" spans="1:11" s="62" customFormat="1" ht="15">
      <c r="A5" s="283" t="s">
        <v>109</v>
      </c>
      <c r="B5" s="283"/>
      <c r="C5" s="283"/>
      <c r="D5" s="283"/>
      <c r="E5" s="283"/>
      <c r="F5" s="248"/>
      <c r="G5" s="71"/>
      <c r="H5" s="71"/>
      <c r="I5" s="71"/>
      <c r="J5" s="71"/>
      <c r="K5" s="71"/>
    </row>
    <row r="6" spans="1:11" s="62" customFormat="1" ht="15">
      <c r="A6" s="284"/>
      <c r="B6" s="284"/>
      <c r="C6" s="284"/>
      <c r="D6" s="284"/>
      <c r="E6" s="284"/>
      <c r="F6" s="285"/>
      <c r="G6" s="71"/>
      <c r="H6" s="71"/>
      <c r="I6" s="71"/>
      <c r="J6" s="71"/>
      <c r="K6" s="71"/>
    </row>
    <row r="7" spans="1:11">
      <c r="A7" s="269" t="s">
        <v>110</v>
      </c>
      <c r="B7" s="269"/>
      <c r="C7" s="269"/>
      <c r="D7" s="269"/>
      <c r="E7" s="269"/>
      <c r="F7" s="270"/>
      <c r="G7" s="60"/>
      <c r="H7" s="60"/>
    </row>
    <row r="8" spans="1:11" ht="18" customHeight="1">
      <c r="A8" s="73" t="s">
        <v>111</v>
      </c>
      <c r="B8" s="280" t="s">
        <v>112</v>
      </c>
      <c r="C8" s="280"/>
      <c r="D8" s="280"/>
      <c r="E8" s="280"/>
      <c r="F8" s="74" t="s">
        <v>113</v>
      </c>
    </row>
    <row r="9" spans="1:11" ht="18" customHeight="1">
      <c r="A9" s="73" t="s">
        <v>111</v>
      </c>
      <c r="B9" s="280" t="s">
        <v>114</v>
      </c>
      <c r="C9" s="280"/>
      <c r="D9" s="280"/>
      <c r="E9" s="280"/>
      <c r="F9" s="75" t="s">
        <v>115</v>
      </c>
    </row>
    <row r="10" spans="1:11" ht="18" customHeight="1">
      <c r="A10" s="73" t="s">
        <v>111</v>
      </c>
      <c r="B10" s="280" t="s">
        <v>116</v>
      </c>
      <c r="C10" s="280"/>
      <c r="D10" s="280"/>
      <c r="E10" s="280"/>
      <c r="F10" s="74" t="s">
        <v>117</v>
      </c>
    </row>
    <row r="11" spans="1:11" ht="18" customHeight="1">
      <c r="A11" s="73" t="s">
        <v>111</v>
      </c>
      <c r="B11" s="280" t="s">
        <v>118</v>
      </c>
      <c r="C11" s="280"/>
      <c r="D11" s="280"/>
      <c r="E11" s="280"/>
      <c r="F11" s="76">
        <v>12</v>
      </c>
    </row>
    <row r="12" spans="1:11" customFormat="1" ht="15">
      <c r="A12" s="277"/>
      <c r="B12" s="278"/>
      <c r="C12" s="278"/>
      <c r="D12" s="278"/>
      <c r="E12" s="278"/>
      <c r="F12" s="279"/>
      <c r="G12" s="61"/>
      <c r="H12" s="61"/>
    </row>
    <row r="13" spans="1:11" s="60" customFormat="1">
      <c r="A13" s="269" t="s">
        <v>119</v>
      </c>
      <c r="B13" s="269"/>
      <c r="C13" s="269"/>
      <c r="D13" s="269"/>
      <c r="E13" s="269"/>
      <c r="F13" s="270"/>
    </row>
    <row r="14" spans="1:11">
      <c r="A14" s="281" t="s">
        <v>120</v>
      </c>
      <c r="B14" s="281"/>
      <c r="C14" s="281"/>
      <c r="D14" s="281" t="s">
        <v>121</v>
      </c>
      <c r="E14" s="281"/>
      <c r="F14" s="77" t="s">
        <v>122</v>
      </c>
      <c r="H14" s="60"/>
    </row>
    <row r="15" spans="1:11">
      <c r="A15" s="281" t="s">
        <v>239</v>
      </c>
      <c r="B15" s="281"/>
      <c r="C15" s="281"/>
      <c r="D15" s="282" t="s">
        <v>80</v>
      </c>
      <c r="E15" s="282"/>
      <c r="F15" s="78">
        <f>'SEMAS TOTALIZADOR GERAL'!C6</f>
        <v>3</v>
      </c>
      <c r="H15" s="60"/>
    </row>
    <row r="16" spans="1:11" customFormat="1" ht="15">
      <c r="A16" s="277"/>
      <c r="B16" s="278"/>
      <c r="C16" s="278"/>
      <c r="D16" s="278"/>
      <c r="E16" s="278"/>
      <c r="F16" s="279"/>
      <c r="G16" s="61"/>
      <c r="H16" s="60"/>
    </row>
    <row r="17" spans="1:9" s="60" customFormat="1">
      <c r="A17" s="269" t="s">
        <v>124</v>
      </c>
      <c r="B17" s="269"/>
      <c r="C17" s="269"/>
      <c r="D17" s="269"/>
      <c r="E17" s="269"/>
      <c r="F17" s="270"/>
    </row>
    <row r="18" spans="1:9">
      <c r="A18" s="269" t="s">
        <v>125</v>
      </c>
      <c r="B18" s="269"/>
      <c r="C18" s="269"/>
      <c r="D18" s="269"/>
      <c r="E18" s="269"/>
      <c r="F18" s="270"/>
      <c r="G18" s="60"/>
      <c r="H18" s="60"/>
    </row>
    <row r="19" spans="1:9">
      <c r="A19" s="73">
        <v>1</v>
      </c>
      <c r="B19" s="271" t="s">
        <v>126</v>
      </c>
      <c r="C19" s="272"/>
      <c r="D19" s="272"/>
      <c r="E19" s="273"/>
      <c r="F19" s="79" t="s">
        <v>127</v>
      </c>
    </row>
    <row r="20" spans="1:9" ht="15">
      <c r="A20" s="80">
        <v>2</v>
      </c>
      <c r="B20" s="274" t="s">
        <v>128</v>
      </c>
      <c r="C20" s="275"/>
      <c r="D20" s="275"/>
      <c r="E20" s="276"/>
      <c r="F20" s="81" t="s">
        <v>129</v>
      </c>
      <c r="G20" s="82"/>
      <c r="H20" s="83"/>
      <c r="I20" s="83"/>
    </row>
    <row r="21" spans="1:9">
      <c r="A21" s="73">
        <v>3</v>
      </c>
      <c r="B21" s="271" t="s">
        <v>130</v>
      </c>
      <c r="C21" s="272"/>
      <c r="D21" s="272"/>
      <c r="E21" s="273"/>
      <c r="F21" s="84">
        <f>'RAIZ DOS DADOS'!D6</f>
        <v>1651</v>
      </c>
    </row>
    <row r="22" spans="1:9">
      <c r="A22" s="73">
        <v>4</v>
      </c>
      <c r="B22" s="271" t="s">
        <v>131</v>
      </c>
      <c r="C22" s="272"/>
      <c r="D22" s="272"/>
      <c r="E22" s="273"/>
      <c r="F22" s="79" t="s">
        <v>52</v>
      </c>
    </row>
    <row r="23" spans="1:9">
      <c r="A23" s="73">
        <v>5</v>
      </c>
      <c r="B23" s="271" t="s">
        <v>132</v>
      </c>
      <c r="C23" s="272"/>
      <c r="D23" s="272"/>
      <c r="E23" s="273"/>
      <c r="F23" s="79" t="s">
        <v>133</v>
      </c>
    </row>
    <row r="24" spans="1:9">
      <c r="A24" s="277"/>
      <c r="B24" s="278"/>
      <c r="C24" s="278"/>
      <c r="D24" s="278"/>
      <c r="E24" s="278"/>
      <c r="F24" s="279"/>
    </row>
    <row r="25" spans="1:9">
      <c r="A25" s="256" t="s">
        <v>134</v>
      </c>
      <c r="B25" s="257"/>
      <c r="C25" s="257"/>
      <c r="D25" s="257"/>
      <c r="E25" s="257"/>
      <c r="F25" s="259"/>
    </row>
    <row r="26" spans="1:9">
      <c r="A26" s="85">
        <v>1</v>
      </c>
      <c r="B26" s="256" t="s">
        <v>135</v>
      </c>
      <c r="C26" s="257"/>
      <c r="D26" s="258"/>
      <c r="E26" s="85"/>
      <c r="F26" s="86" t="s">
        <v>136</v>
      </c>
    </row>
    <row r="27" spans="1:9">
      <c r="A27" s="85" t="s">
        <v>137</v>
      </c>
      <c r="B27" s="241" t="s">
        <v>138</v>
      </c>
      <c r="C27" s="242"/>
      <c r="D27" s="243"/>
      <c r="E27" s="87" t="s">
        <v>64</v>
      </c>
      <c r="F27" s="88">
        <f>(F21/44)*40</f>
        <v>1500.91</v>
      </c>
      <c r="H27" s="89"/>
    </row>
    <row r="28" spans="1:9">
      <c r="A28" s="85" t="s">
        <v>139</v>
      </c>
      <c r="B28" s="241" t="s">
        <v>140</v>
      </c>
      <c r="C28" s="242"/>
      <c r="D28" s="243"/>
      <c r="E28" s="87"/>
      <c r="F28" s="88"/>
    </row>
    <row r="29" spans="1:9">
      <c r="A29" s="85" t="s">
        <v>141</v>
      </c>
      <c r="B29" s="241" t="s">
        <v>142</v>
      </c>
      <c r="C29" s="242"/>
      <c r="D29" s="243"/>
      <c r="E29" s="90">
        <f>'RAIZ DOS DADOS'!D30</f>
        <v>0.2</v>
      </c>
      <c r="F29" s="88">
        <f>E29*'RAIZ DOS DADOS'!D29</f>
        <v>330.2</v>
      </c>
    </row>
    <row r="30" spans="1:9">
      <c r="A30" s="85" t="s">
        <v>143</v>
      </c>
      <c r="B30" s="241" t="s">
        <v>144</v>
      </c>
      <c r="C30" s="242"/>
      <c r="D30" s="243"/>
      <c r="E30" s="87"/>
      <c r="F30" s="88"/>
    </row>
    <row r="31" spans="1:9">
      <c r="A31" s="85" t="s">
        <v>145</v>
      </c>
      <c r="B31" s="241" t="s">
        <v>146</v>
      </c>
      <c r="C31" s="242"/>
      <c r="D31" s="243"/>
      <c r="E31" s="87"/>
      <c r="F31" s="88"/>
    </row>
    <row r="32" spans="1:9">
      <c r="A32" s="85" t="s">
        <v>147</v>
      </c>
      <c r="B32" s="241" t="s">
        <v>148</v>
      </c>
      <c r="C32" s="242"/>
      <c r="D32" s="243"/>
      <c r="E32" s="87"/>
      <c r="F32" s="88"/>
    </row>
    <row r="33" spans="1:8">
      <c r="A33" s="238" t="s">
        <v>61</v>
      </c>
      <c r="B33" s="239"/>
      <c r="C33" s="239"/>
      <c r="D33" s="240"/>
      <c r="E33" s="91"/>
      <c r="F33" s="92">
        <f>SUM(F27:F32)</f>
        <v>1831.11</v>
      </c>
    </row>
    <row r="34" spans="1:8">
      <c r="A34" s="266"/>
      <c r="B34" s="267"/>
      <c r="C34" s="267"/>
      <c r="D34" s="267"/>
      <c r="E34" s="267"/>
      <c r="F34" s="268"/>
    </row>
    <row r="35" spans="1:8">
      <c r="A35" s="254" t="s">
        <v>149</v>
      </c>
      <c r="B35" s="254"/>
      <c r="C35" s="254"/>
      <c r="D35" s="254"/>
      <c r="E35" s="254"/>
      <c r="F35" s="255"/>
    </row>
    <row r="36" spans="1:8">
      <c r="A36" s="254" t="s">
        <v>150</v>
      </c>
      <c r="B36" s="254"/>
      <c r="C36" s="254"/>
      <c r="D36" s="254"/>
      <c r="E36" s="254"/>
      <c r="F36" s="255"/>
      <c r="H36" s="93"/>
    </row>
    <row r="37" spans="1:8">
      <c r="A37" s="85" t="s">
        <v>151</v>
      </c>
      <c r="B37" s="256" t="s">
        <v>152</v>
      </c>
      <c r="C37" s="257"/>
      <c r="D37" s="258"/>
      <c r="E37" s="85" t="s">
        <v>153</v>
      </c>
      <c r="F37" s="86" t="s">
        <v>136</v>
      </c>
    </row>
    <row r="38" spans="1:8">
      <c r="A38" s="85" t="s">
        <v>137</v>
      </c>
      <c r="B38" s="241" t="s">
        <v>154</v>
      </c>
      <c r="C38" s="242"/>
      <c r="D38" s="243"/>
      <c r="E38" s="94">
        <f>1/12</f>
        <v>8.3299999999999999E-2</v>
      </c>
      <c r="F38" s="88">
        <f>F33*E38</f>
        <v>152.53</v>
      </c>
    </row>
    <row r="39" spans="1:8">
      <c r="A39" s="85" t="s">
        <v>139</v>
      </c>
      <c r="B39" s="241" t="s">
        <v>155</v>
      </c>
      <c r="C39" s="242"/>
      <c r="D39" s="243"/>
      <c r="E39" s="94">
        <f>(1/12)+(1/3)/12</f>
        <v>0.1111</v>
      </c>
      <c r="F39" s="88">
        <f>F33*E39</f>
        <v>203.44</v>
      </c>
    </row>
    <row r="40" spans="1:8">
      <c r="A40" s="263" t="s">
        <v>61</v>
      </c>
      <c r="B40" s="264"/>
      <c r="C40" s="264"/>
      <c r="D40" s="265"/>
      <c r="E40" s="95">
        <f>SUM(E38:E39)</f>
        <v>0.19439999999999999</v>
      </c>
      <c r="F40" s="96">
        <f>SUM(F38:F39)</f>
        <v>355.97</v>
      </c>
    </row>
    <row r="41" spans="1:8">
      <c r="A41" s="85" t="s">
        <v>141</v>
      </c>
      <c r="B41" s="241" t="s">
        <v>156</v>
      </c>
      <c r="C41" s="242"/>
      <c r="D41" s="243"/>
      <c r="E41" s="94">
        <f>E40*E53</f>
        <v>7.7399999999999997E-2</v>
      </c>
      <c r="F41" s="96">
        <f>E41*F33</f>
        <v>141.72999999999999</v>
      </c>
    </row>
    <row r="42" spans="1:8">
      <c r="A42" s="238" t="s">
        <v>61</v>
      </c>
      <c r="B42" s="239"/>
      <c r="C42" s="239"/>
      <c r="D42" s="240"/>
      <c r="E42" s="97">
        <f>SUM(E40:E41)</f>
        <v>0.27179999999999999</v>
      </c>
      <c r="F42" s="92">
        <f>SUM(F40:F41)</f>
        <v>497.7</v>
      </c>
      <c r="H42" s="93"/>
    </row>
    <row r="43" spans="1:8">
      <c r="A43" s="254" t="s">
        <v>157</v>
      </c>
      <c r="B43" s="254"/>
      <c r="C43" s="254"/>
      <c r="D43" s="254"/>
      <c r="E43" s="254"/>
      <c r="F43" s="255"/>
    </row>
    <row r="44" spans="1:8">
      <c r="A44" s="85" t="s">
        <v>158</v>
      </c>
      <c r="B44" s="256" t="s">
        <v>159</v>
      </c>
      <c r="C44" s="257"/>
      <c r="D44" s="258"/>
      <c r="E44" s="85" t="s">
        <v>153</v>
      </c>
      <c r="F44" s="86" t="s">
        <v>136</v>
      </c>
    </row>
    <row r="45" spans="1:8">
      <c r="A45" s="85" t="s">
        <v>137</v>
      </c>
      <c r="B45" s="241" t="s">
        <v>160</v>
      </c>
      <c r="C45" s="242"/>
      <c r="D45" s="243"/>
      <c r="E45" s="94">
        <v>0.2</v>
      </c>
      <c r="F45" s="88">
        <f t="shared" ref="F45:F52" si="0">E45*F$33</f>
        <v>366.22</v>
      </c>
    </row>
    <row r="46" spans="1:8">
      <c r="A46" s="85" t="s">
        <v>139</v>
      </c>
      <c r="B46" s="241" t="s">
        <v>161</v>
      </c>
      <c r="C46" s="242"/>
      <c r="D46" s="243"/>
      <c r="E46" s="94">
        <v>2.5000000000000001E-2</v>
      </c>
      <c r="F46" s="88">
        <f t="shared" si="0"/>
        <v>45.78</v>
      </c>
      <c r="G46" s="63"/>
      <c r="H46" s="98"/>
    </row>
    <row r="47" spans="1:8">
      <c r="A47" s="85" t="s">
        <v>141</v>
      </c>
      <c r="B47" s="241" t="s">
        <v>162</v>
      </c>
      <c r="C47" s="242"/>
      <c r="D47" s="243"/>
      <c r="E47" s="99">
        <f>(2*3)/100</f>
        <v>0.06</v>
      </c>
      <c r="F47" s="88">
        <f t="shared" si="0"/>
        <v>109.87</v>
      </c>
      <c r="G47" s="100"/>
      <c r="H47" s="100"/>
    </row>
    <row r="48" spans="1:8">
      <c r="A48" s="85" t="s">
        <v>143</v>
      </c>
      <c r="B48" s="241" t="s">
        <v>163</v>
      </c>
      <c r="C48" s="242"/>
      <c r="D48" s="243"/>
      <c r="E48" s="94">
        <v>1.4999999999999999E-2</v>
      </c>
      <c r="F48" s="88">
        <f t="shared" si="0"/>
        <v>27.47</v>
      </c>
    </row>
    <row r="49" spans="1:8">
      <c r="A49" s="85" t="s">
        <v>145</v>
      </c>
      <c r="B49" s="241" t="s">
        <v>164</v>
      </c>
      <c r="C49" s="242"/>
      <c r="D49" s="243"/>
      <c r="E49" s="94">
        <v>0.01</v>
      </c>
      <c r="F49" s="88">
        <f t="shared" si="0"/>
        <v>18.309999999999999</v>
      </c>
    </row>
    <row r="50" spans="1:8">
      <c r="A50" s="85" t="s">
        <v>147</v>
      </c>
      <c r="B50" s="241" t="s">
        <v>165</v>
      </c>
      <c r="C50" s="242"/>
      <c r="D50" s="243"/>
      <c r="E50" s="94">
        <v>6.0000000000000001E-3</v>
      </c>
      <c r="F50" s="88">
        <f t="shared" si="0"/>
        <v>10.99</v>
      </c>
    </row>
    <row r="51" spans="1:8">
      <c r="A51" s="85" t="s">
        <v>166</v>
      </c>
      <c r="B51" s="241" t="s">
        <v>167</v>
      </c>
      <c r="C51" s="242"/>
      <c r="D51" s="243"/>
      <c r="E51" s="94">
        <v>2E-3</v>
      </c>
      <c r="F51" s="88">
        <f t="shared" si="0"/>
        <v>3.66</v>
      </c>
    </row>
    <row r="52" spans="1:8">
      <c r="A52" s="85" t="s">
        <v>168</v>
      </c>
      <c r="B52" s="241" t="s">
        <v>169</v>
      </c>
      <c r="C52" s="242"/>
      <c r="D52" s="243"/>
      <c r="E52" s="94">
        <v>0.08</v>
      </c>
      <c r="F52" s="88">
        <f t="shared" si="0"/>
        <v>146.49</v>
      </c>
    </row>
    <row r="53" spans="1:8">
      <c r="A53" s="238" t="s">
        <v>170</v>
      </c>
      <c r="B53" s="239"/>
      <c r="C53" s="239"/>
      <c r="D53" s="240"/>
      <c r="E53" s="97">
        <f>SUM(E45:E52)</f>
        <v>0.39800000000000002</v>
      </c>
      <c r="F53" s="92">
        <f>SUM(F45:F52)</f>
        <v>728.79</v>
      </c>
    </row>
    <row r="54" spans="1:8">
      <c r="A54" s="256" t="s">
        <v>171</v>
      </c>
      <c r="B54" s="257"/>
      <c r="C54" s="257"/>
      <c r="D54" s="257"/>
      <c r="E54" s="257"/>
      <c r="F54" s="259"/>
    </row>
    <row r="55" spans="1:8">
      <c r="A55" s="85" t="s">
        <v>172</v>
      </c>
      <c r="B55" s="256" t="s">
        <v>173</v>
      </c>
      <c r="C55" s="257"/>
      <c r="D55" s="258"/>
      <c r="E55" s="85"/>
      <c r="F55" s="86" t="s">
        <v>136</v>
      </c>
    </row>
    <row r="56" spans="1:8">
      <c r="A56" s="85" t="s">
        <v>137</v>
      </c>
      <c r="B56" s="241" t="s">
        <v>174</v>
      </c>
      <c r="C56" s="242"/>
      <c r="D56" s="243"/>
      <c r="E56" s="87"/>
      <c r="F56" s="88">
        <f>((E57*E58)*E59)-(6%*F27)</f>
        <v>173.95</v>
      </c>
      <c r="H56" s="70"/>
    </row>
    <row r="57" spans="1:8">
      <c r="A57" s="85"/>
      <c r="B57" s="241" t="s">
        <v>175</v>
      </c>
      <c r="C57" s="242"/>
      <c r="D57" s="243"/>
      <c r="E57" s="101">
        <f>'RAIZ DOS DADOS'!D31</f>
        <v>3</v>
      </c>
      <c r="F57" s="79" t="s">
        <v>69</v>
      </c>
      <c r="H57" s="70"/>
    </row>
    <row r="58" spans="1:8">
      <c r="A58" s="85"/>
      <c r="B58" s="241" t="s">
        <v>176</v>
      </c>
      <c r="C58" s="242"/>
      <c r="D58" s="243"/>
      <c r="E58" s="102">
        <v>4</v>
      </c>
      <c r="F58" s="79" t="s">
        <v>69</v>
      </c>
      <c r="H58" s="70"/>
    </row>
    <row r="59" spans="1:8">
      <c r="A59" s="85"/>
      <c r="B59" s="241" t="s">
        <v>177</v>
      </c>
      <c r="C59" s="242"/>
      <c r="D59" s="243"/>
      <c r="E59" s="102">
        <f>'RAIZ DOS DADOS'!D33</f>
        <v>22</v>
      </c>
      <c r="F59" s="79" t="s">
        <v>69</v>
      </c>
      <c r="H59" s="70"/>
    </row>
    <row r="60" spans="1:8">
      <c r="A60" s="85" t="s">
        <v>139</v>
      </c>
      <c r="B60" s="241" t="s">
        <v>178</v>
      </c>
      <c r="C60" s="242"/>
      <c r="D60" s="243"/>
      <c r="E60" s="87"/>
      <c r="F60" s="88">
        <f>'RAIZ DOS DADOS'!D7</f>
        <v>400</v>
      </c>
      <c r="H60" s="70"/>
    </row>
    <row r="61" spans="1:8">
      <c r="A61" s="85" t="s">
        <v>141</v>
      </c>
      <c r="B61" s="241" t="s">
        <v>33</v>
      </c>
      <c r="C61" s="242"/>
      <c r="D61" s="243"/>
      <c r="E61" s="87"/>
      <c r="F61" s="88">
        <f>'RAIZ DOS DADOS'!D24</f>
        <v>14.66</v>
      </c>
      <c r="H61" s="70"/>
    </row>
    <row r="62" spans="1:8">
      <c r="A62" s="85" t="s">
        <v>143</v>
      </c>
      <c r="B62" s="241" t="s">
        <v>179</v>
      </c>
      <c r="C62" s="242"/>
      <c r="D62" s="243"/>
      <c r="E62" s="87"/>
      <c r="F62" s="88">
        <f>'RAIZ DOS DADOS'!D25</f>
        <v>6.4</v>
      </c>
      <c r="H62" s="70"/>
    </row>
    <row r="63" spans="1:8">
      <c r="A63" s="85" t="s">
        <v>145</v>
      </c>
      <c r="B63" s="260" t="s">
        <v>180</v>
      </c>
      <c r="C63" s="261"/>
      <c r="D63" s="262"/>
      <c r="E63" s="103"/>
      <c r="F63" s="104">
        <v>0</v>
      </c>
      <c r="H63" s="105"/>
    </row>
    <row r="64" spans="1:8">
      <c r="A64" s="85" t="s">
        <v>147</v>
      </c>
      <c r="B64" s="260" t="s">
        <v>181</v>
      </c>
      <c r="C64" s="261"/>
      <c r="D64" s="262"/>
      <c r="E64" s="103"/>
      <c r="F64" s="104">
        <f>'RAIZ DOS DADOS'!D8</f>
        <v>130</v>
      </c>
      <c r="H64" s="105"/>
    </row>
    <row r="65" spans="1:10" s="63" customFormat="1">
      <c r="A65" s="238" t="s">
        <v>61</v>
      </c>
      <c r="B65" s="239"/>
      <c r="C65" s="239"/>
      <c r="D65" s="240"/>
      <c r="E65" s="106"/>
      <c r="F65" s="92">
        <f>SUM(F56:F64)</f>
        <v>725.01</v>
      </c>
      <c r="G65" s="61"/>
      <c r="H65" s="61"/>
    </row>
    <row r="66" spans="1:10">
      <c r="A66" s="256" t="s">
        <v>182</v>
      </c>
      <c r="B66" s="257"/>
      <c r="C66" s="257"/>
      <c r="D66" s="257"/>
      <c r="E66" s="257"/>
      <c r="F66" s="259"/>
    </row>
    <row r="67" spans="1:10">
      <c r="A67" s="85">
        <v>2</v>
      </c>
      <c r="B67" s="256" t="s">
        <v>183</v>
      </c>
      <c r="C67" s="257"/>
      <c r="D67" s="258"/>
      <c r="E67" s="85"/>
      <c r="F67" s="86" t="s">
        <v>136</v>
      </c>
    </row>
    <row r="68" spans="1:10">
      <c r="A68" s="85" t="s">
        <v>151</v>
      </c>
      <c r="B68" s="241" t="s">
        <v>152</v>
      </c>
      <c r="C68" s="242"/>
      <c r="D68" s="243"/>
      <c r="E68" s="107"/>
      <c r="F68" s="88">
        <f>F40</f>
        <v>355.97</v>
      </c>
      <c r="G68" s="64"/>
      <c r="H68" s="64"/>
    </row>
    <row r="69" spans="1:10">
      <c r="A69" s="85" t="s">
        <v>158</v>
      </c>
      <c r="B69" s="241" t="s">
        <v>184</v>
      </c>
      <c r="C69" s="242"/>
      <c r="D69" s="243"/>
      <c r="E69" s="108"/>
      <c r="F69" s="88">
        <f>F53+F41</f>
        <v>870.52</v>
      </c>
      <c r="G69" s="64"/>
      <c r="H69" s="64"/>
    </row>
    <row r="70" spans="1:10">
      <c r="A70" s="85" t="s">
        <v>172</v>
      </c>
      <c r="B70" s="241" t="s">
        <v>173</v>
      </c>
      <c r="C70" s="242"/>
      <c r="D70" s="243"/>
      <c r="E70" s="109"/>
      <c r="F70" s="88">
        <f>F65</f>
        <v>725.01</v>
      </c>
      <c r="G70" s="64"/>
      <c r="H70" s="64"/>
    </row>
    <row r="71" spans="1:10">
      <c r="A71" s="238" t="s">
        <v>61</v>
      </c>
      <c r="B71" s="239"/>
      <c r="C71" s="239"/>
      <c r="D71" s="240"/>
      <c r="E71" s="91"/>
      <c r="F71" s="92">
        <f>SUM(F68:F70)</f>
        <v>1951.5</v>
      </c>
      <c r="J71" s="118"/>
    </row>
    <row r="73" spans="1:10">
      <c r="A73" s="254" t="s">
        <v>185</v>
      </c>
      <c r="B73" s="254"/>
      <c r="C73" s="254"/>
      <c r="D73" s="254"/>
      <c r="E73" s="254"/>
      <c r="F73" s="255"/>
    </row>
    <row r="74" spans="1:10">
      <c r="A74" s="85">
        <v>3</v>
      </c>
      <c r="B74" s="256" t="s">
        <v>186</v>
      </c>
      <c r="C74" s="257"/>
      <c r="D74" s="258"/>
      <c r="E74" s="85" t="s">
        <v>153</v>
      </c>
      <c r="F74" s="86" t="s">
        <v>136</v>
      </c>
    </row>
    <row r="75" spans="1:10">
      <c r="A75" s="85" t="s">
        <v>137</v>
      </c>
      <c r="B75" s="241" t="s">
        <v>187</v>
      </c>
      <c r="C75" s="242"/>
      <c r="D75" s="243"/>
      <c r="E75" s="107">
        <f>(1/12)*5%</f>
        <v>4.1999999999999997E-3</v>
      </c>
      <c r="F75" s="88">
        <f>E75*F33</f>
        <v>7.69</v>
      </c>
    </row>
    <row r="76" spans="1:10">
      <c r="A76" s="85" t="s">
        <v>139</v>
      </c>
      <c r="B76" s="241" t="s">
        <v>188</v>
      </c>
      <c r="C76" s="242"/>
      <c r="D76" s="243"/>
      <c r="E76" s="107">
        <f>E75*E52</f>
        <v>2.9999999999999997E-4</v>
      </c>
      <c r="F76" s="88">
        <f>E76*F33</f>
        <v>0.55000000000000004</v>
      </c>
      <c r="G76" s="110"/>
    </row>
    <row r="77" spans="1:10">
      <c r="A77" s="85" t="s">
        <v>141</v>
      </c>
      <c r="B77" s="241" t="s">
        <v>189</v>
      </c>
      <c r="C77" s="242"/>
      <c r="D77" s="243"/>
      <c r="E77" s="107">
        <f>((8%*(40%)*90%)*(1+5/56+5/56+(1/3*5/56)))</f>
        <v>3.4799999999999998E-2</v>
      </c>
      <c r="F77" s="88">
        <f>E77*(F33+F40)</f>
        <v>76.11</v>
      </c>
      <c r="G77" s="110"/>
      <c r="H77" s="111"/>
    </row>
    <row r="78" spans="1:10">
      <c r="A78" s="85" t="s">
        <v>143</v>
      </c>
      <c r="B78" s="241" t="s">
        <v>190</v>
      </c>
      <c r="C78" s="242"/>
      <c r="D78" s="243"/>
      <c r="E78" s="107">
        <f>((7/30)/12)</f>
        <v>1.9400000000000001E-2</v>
      </c>
      <c r="F78" s="88">
        <f>E78*F33</f>
        <v>35.520000000000003</v>
      </c>
      <c r="G78" s="64"/>
      <c r="H78" s="64"/>
    </row>
    <row r="79" spans="1:10">
      <c r="A79" s="85" t="s">
        <v>145</v>
      </c>
      <c r="B79" s="241" t="s">
        <v>191</v>
      </c>
      <c r="C79" s="242"/>
      <c r="D79" s="243"/>
      <c r="E79" s="107">
        <f>E78*E53</f>
        <v>7.7000000000000002E-3</v>
      </c>
      <c r="F79" s="88">
        <f>E79*F33</f>
        <v>14.1</v>
      </c>
    </row>
    <row r="80" spans="1:10">
      <c r="A80" s="85" t="s">
        <v>147</v>
      </c>
      <c r="B80" s="241" t="s">
        <v>192</v>
      </c>
      <c r="C80" s="242"/>
      <c r="D80" s="243"/>
      <c r="E80" s="107">
        <f>(40%*8%*E78)</f>
        <v>5.9999999999999995E-4</v>
      </c>
      <c r="F80" s="88">
        <f>E80*F33</f>
        <v>1.1000000000000001</v>
      </c>
    </row>
    <row r="81" spans="1:10">
      <c r="A81" s="238" t="s">
        <v>61</v>
      </c>
      <c r="B81" s="239"/>
      <c r="C81" s="239"/>
      <c r="D81" s="240"/>
      <c r="E81" s="112"/>
      <c r="F81" s="92">
        <f>SUM(F75:F80)</f>
        <v>135.07</v>
      </c>
      <c r="J81" s="118"/>
    </row>
    <row r="82" spans="1:10" s="64" customFormat="1">
      <c r="A82" s="67"/>
      <c r="B82" s="56"/>
      <c r="C82" s="56"/>
      <c r="D82" s="56"/>
      <c r="E82" s="56"/>
      <c r="F82" s="68"/>
      <c r="G82" s="61"/>
      <c r="H82" s="61"/>
    </row>
    <row r="83" spans="1:10" s="64" customFormat="1">
      <c r="A83" s="256" t="s">
        <v>193</v>
      </c>
      <c r="B83" s="257"/>
      <c r="C83" s="257"/>
      <c r="D83" s="257"/>
      <c r="E83" s="257"/>
      <c r="F83" s="259"/>
      <c r="G83" s="61"/>
      <c r="H83" s="61"/>
    </row>
    <row r="84" spans="1:10">
      <c r="A84" s="256" t="s">
        <v>194</v>
      </c>
      <c r="B84" s="257"/>
      <c r="C84" s="257"/>
      <c r="D84" s="257"/>
      <c r="E84" s="257"/>
      <c r="F84" s="259"/>
    </row>
    <row r="85" spans="1:10">
      <c r="A85" s="85" t="s">
        <v>195</v>
      </c>
      <c r="B85" s="256" t="s">
        <v>196</v>
      </c>
      <c r="C85" s="257"/>
      <c r="D85" s="258"/>
      <c r="E85" s="85" t="s">
        <v>153</v>
      </c>
      <c r="F85" s="86" t="s">
        <v>136</v>
      </c>
    </row>
    <row r="86" spans="1:10">
      <c r="A86" s="85" t="s">
        <v>137</v>
      </c>
      <c r="B86" s="241" t="s">
        <v>197</v>
      </c>
      <c r="C86" s="242"/>
      <c r="D86" s="243"/>
      <c r="E86" s="107">
        <f>(1/12)</f>
        <v>8.3299999999999999E-2</v>
      </c>
      <c r="F86" s="88">
        <f t="shared" ref="F86:F91" si="1">E86*F$33</f>
        <v>152.53</v>
      </c>
    </row>
    <row r="87" spans="1:10">
      <c r="A87" s="85" t="s">
        <v>139</v>
      </c>
      <c r="B87" s="241" t="s">
        <v>196</v>
      </c>
      <c r="C87" s="242"/>
      <c r="D87" s="243"/>
      <c r="E87" s="107">
        <f>(1/30)/12</f>
        <v>2.8E-3</v>
      </c>
      <c r="F87" s="88">
        <f t="shared" si="1"/>
        <v>5.13</v>
      </c>
    </row>
    <row r="88" spans="1:10">
      <c r="A88" s="85" t="s">
        <v>141</v>
      </c>
      <c r="B88" s="241" t="s">
        <v>198</v>
      </c>
      <c r="C88" s="242"/>
      <c r="D88" s="243"/>
      <c r="E88" s="107">
        <f>((5/30)/12)*1.5%</f>
        <v>2.0000000000000001E-4</v>
      </c>
      <c r="F88" s="88">
        <f t="shared" si="1"/>
        <v>0.37</v>
      </c>
    </row>
    <row r="89" spans="1:10">
      <c r="A89" s="85" t="s">
        <v>143</v>
      </c>
      <c r="B89" s="241" t="s">
        <v>199</v>
      </c>
      <c r="C89" s="242"/>
      <c r="D89" s="243"/>
      <c r="E89" s="107">
        <f>((15/365)*8%)</f>
        <v>3.3E-3</v>
      </c>
      <c r="F89" s="88">
        <f t="shared" si="1"/>
        <v>6.04</v>
      </c>
    </row>
    <row r="90" spans="1:10">
      <c r="A90" s="85" t="s">
        <v>145</v>
      </c>
      <c r="B90" s="241" t="s">
        <v>200</v>
      </c>
      <c r="C90" s="242"/>
      <c r="D90" s="243"/>
      <c r="E90" s="107">
        <f>(11.11%*2%*(4/12))</f>
        <v>6.9999999999999999E-4</v>
      </c>
      <c r="F90" s="88">
        <f t="shared" si="1"/>
        <v>1.28</v>
      </c>
    </row>
    <row r="91" spans="1:10">
      <c r="A91" s="85" t="s">
        <v>147</v>
      </c>
      <c r="B91" s="241" t="s">
        <v>201</v>
      </c>
      <c r="C91" s="242"/>
      <c r="D91" s="243"/>
      <c r="E91" s="107"/>
      <c r="F91" s="88">
        <f t="shared" si="1"/>
        <v>0</v>
      </c>
    </row>
    <row r="92" spans="1:10" s="64" customFormat="1">
      <c r="A92" s="238" t="s">
        <v>170</v>
      </c>
      <c r="B92" s="239"/>
      <c r="C92" s="239"/>
      <c r="D92" s="240"/>
      <c r="E92" s="112"/>
      <c r="F92" s="92">
        <f>SUM(F86:F91)</f>
        <v>165.35</v>
      </c>
      <c r="G92" s="61"/>
      <c r="H92" s="61"/>
      <c r="J92" s="118"/>
    </row>
    <row r="93" spans="1:10">
      <c r="A93" s="256" t="s">
        <v>202</v>
      </c>
      <c r="B93" s="257"/>
      <c r="C93" s="257"/>
      <c r="D93" s="257"/>
      <c r="E93" s="257"/>
      <c r="F93" s="259"/>
    </row>
    <row r="94" spans="1:10">
      <c r="A94" s="85" t="s">
        <v>203</v>
      </c>
      <c r="B94" s="256" t="s">
        <v>204</v>
      </c>
      <c r="C94" s="257"/>
      <c r="D94" s="258"/>
      <c r="E94" s="85"/>
      <c r="F94" s="86" t="s">
        <v>136</v>
      </c>
    </row>
    <row r="95" spans="1:10">
      <c r="A95" s="85" t="s">
        <v>137</v>
      </c>
      <c r="B95" s="241" t="s">
        <v>205</v>
      </c>
      <c r="C95" s="242"/>
      <c r="D95" s="243"/>
      <c r="E95" s="87"/>
      <c r="F95" s="88">
        <v>0</v>
      </c>
    </row>
    <row r="96" spans="1:10">
      <c r="A96" s="238" t="s">
        <v>61</v>
      </c>
      <c r="B96" s="239"/>
      <c r="C96" s="239"/>
      <c r="D96" s="240"/>
      <c r="E96" s="91"/>
      <c r="F96" s="92">
        <f>SUM(F95:F95)</f>
        <v>0</v>
      </c>
    </row>
    <row r="97" spans="1:10">
      <c r="A97" s="256" t="s">
        <v>206</v>
      </c>
      <c r="B97" s="257"/>
      <c r="C97" s="257"/>
      <c r="D97" s="257"/>
      <c r="E97" s="257"/>
      <c r="F97" s="259"/>
    </row>
    <row r="98" spans="1:10">
      <c r="A98" s="85">
        <v>4</v>
      </c>
      <c r="B98" s="256" t="s">
        <v>207</v>
      </c>
      <c r="C98" s="257"/>
      <c r="D98" s="258"/>
      <c r="E98" s="85"/>
      <c r="F98" s="86" t="s">
        <v>136</v>
      </c>
    </row>
    <row r="99" spans="1:10">
      <c r="A99" s="85" t="s">
        <v>195</v>
      </c>
      <c r="B99" s="241" t="s">
        <v>196</v>
      </c>
      <c r="C99" s="242"/>
      <c r="D99" s="243"/>
      <c r="E99" s="87"/>
      <c r="F99" s="88">
        <f>F92</f>
        <v>165.35</v>
      </c>
    </row>
    <row r="100" spans="1:10">
      <c r="A100" s="85" t="s">
        <v>203</v>
      </c>
      <c r="B100" s="241" t="s">
        <v>204</v>
      </c>
      <c r="C100" s="242"/>
      <c r="D100" s="243"/>
      <c r="E100" s="87"/>
      <c r="F100" s="88">
        <f>F96</f>
        <v>0</v>
      </c>
    </row>
    <row r="101" spans="1:10">
      <c r="A101" s="238" t="s">
        <v>61</v>
      </c>
      <c r="B101" s="239"/>
      <c r="C101" s="239"/>
      <c r="D101" s="240"/>
      <c r="E101" s="91"/>
      <c r="F101" s="92">
        <f>SUM(F99:F100)</f>
        <v>165.35</v>
      </c>
      <c r="J101" s="118"/>
    </row>
    <row r="103" spans="1:10">
      <c r="A103" s="256" t="s">
        <v>208</v>
      </c>
      <c r="B103" s="257"/>
      <c r="C103" s="257"/>
      <c r="D103" s="257"/>
      <c r="E103" s="257"/>
      <c r="F103" s="259"/>
    </row>
    <row r="104" spans="1:10">
      <c r="A104" s="85">
        <v>5</v>
      </c>
      <c r="B104" s="256" t="s">
        <v>209</v>
      </c>
      <c r="C104" s="257"/>
      <c r="D104" s="257"/>
      <c r="E104" s="258"/>
      <c r="F104" s="86" t="s">
        <v>136</v>
      </c>
    </row>
    <row r="105" spans="1:10">
      <c r="A105" s="113" t="s">
        <v>137</v>
      </c>
      <c r="B105" s="241" t="s">
        <v>210</v>
      </c>
      <c r="C105" s="242"/>
      <c r="D105" s="242"/>
      <c r="E105" s="243"/>
      <c r="F105" s="88">
        <f>'SEMAS 2_Uniformes'!K17</f>
        <v>47.46</v>
      </c>
      <c r="H105" s="114"/>
    </row>
    <row r="106" spans="1:10">
      <c r="A106" s="85" t="s">
        <v>139</v>
      </c>
      <c r="B106" s="241" t="s">
        <v>211</v>
      </c>
      <c r="C106" s="242"/>
      <c r="D106" s="242"/>
      <c r="E106" s="243"/>
      <c r="F106" s="88">
        <f>'SEMAS 2_EPI''s'!K17</f>
        <v>31.73</v>
      </c>
    </row>
    <row r="107" spans="1:10">
      <c r="A107" s="85" t="s">
        <v>141</v>
      </c>
      <c r="B107" s="241" t="s">
        <v>212</v>
      </c>
      <c r="C107" s="242"/>
      <c r="D107" s="242"/>
      <c r="E107" s="243"/>
      <c r="F107" s="88">
        <f>'SEMAS 2_Materiais'!K26</f>
        <v>8.86</v>
      </c>
    </row>
    <row r="108" spans="1:10">
      <c r="A108" s="85" t="s">
        <v>143</v>
      </c>
      <c r="B108" s="241" t="s">
        <v>213</v>
      </c>
      <c r="C108" s="242"/>
      <c r="D108" s="242"/>
      <c r="E108" s="243"/>
      <c r="F108" s="88">
        <f>'SEMAS 2_Equipamentos'!M30</f>
        <v>33.15</v>
      </c>
      <c r="H108" s="114"/>
    </row>
    <row r="109" spans="1:10">
      <c r="A109" s="238" t="s">
        <v>170</v>
      </c>
      <c r="B109" s="239"/>
      <c r="C109" s="239"/>
      <c r="D109" s="239"/>
      <c r="E109" s="240"/>
      <c r="F109" s="92">
        <f>SUM(F105:F108)</f>
        <v>121.2</v>
      </c>
      <c r="J109" s="118"/>
    </row>
    <row r="111" spans="1:10">
      <c r="A111" s="254" t="s">
        <v>214</v>
      </c>
      <c r="B111" s="254"/>
      <c r="C111" s="254"/>
      <c r="D111" s="254"/>
      <c r="E111" s="254"/>
      <c r="F111" s="255"/>
    </row>
    <row r="112" spans="1:10">
      <c r="A112" s="85">
        <v>6</v>
      </c>
      <c r="B112" s="256" t="s">
        <v>215</v>
      </c>
      <c r="C112" s="257"/>
      <c r="D112" s="258"/>
      <c r="E112" s="85" t="s">
        <v>153</v>
      </c>
      <c r="F112" s="86" t="s">
        <v>136</v>
      </c>
    </row>
    <row r="113" spans="1:10">
      <c r="A113" s="85" t="s">
        <v>137</v>
      </c>
      <c r="B113" s="241" t="s">
        <v>216</v>
      </c>
      <c r="C113" s="242"/>
      <c r="D113" s="243"/>
      <c r="E113" s="107">
        <v>0.05</v>
      </c>
      <c r="F113" s="88">
        <f>E113*F130</f>
        <v>210.21</v>
      </c>
    </row>
    <row r="114" spans="1:10">
      <c r="A114" s="85" t="s">
        <v>139</v>
      </c>
      <c r="B114" s="241" t="s">
        <v>217</v>
      </c>
      <c r="C114" s="242"/>
      <c r="D114" s="243"/>
      <c r="E114" s="107">
        <v>6.7900000000000002E-2</v>
      </c>
      <c r="F114" s="88">
        <f>E114*(F130+F113)</f>
        <v>299.74</v>
      </c>
    </row>
    <row r="115" spans="1:10">
      <c r="A115" s="85" t="s">
        <v>141</v>
      </c>
      <c r="B115" s="241" t="s">
        <v>218</v>
      </c>
      <c r="C115" s="242"/>
      <c r="D115" s="243"/>
      <c r="E115" s="107">
        <f>SUM(E116:E120)</f>
        <v>0.14249999999999999</v>
      </c>
      <c r="F115" s="88"/>
    </row>
    <row r="116" spans="1:10">
      <c r="A116" s="85"/>
      <c r="B116" s="241" t="s">
        <v>219</v>
      </c>
      <c r="C116" s="242"/>
      <c r="D116" s="243"/>
      <c r="E116" s="107"/>
      <c r="F116" s="88"/>
      <c r="H116" s="115"/>
    </row>
    <row r="117" spans="1:10">
      <c r="A117" s="85"/>
      <c r="B117" s="241" t="s">
        <v>220</v>
      </c>
      <c r="C117" s="242"/>
      <c r="D117" s="243"/>
      <c r="E117" s="107">
        <v>1.6500000000000001E-2</v>
      </c>
      <c r="F117" s="88">
        <f>E117*((F130+F113+F114)/(1-$E$115))</f>
        <v>90.71</v>
      </c>
      <c r="H117" s="249"/>
      <c r="J117" s="119"/>
    </row>
    <row r="118" spans="1:10">
      <c r="A118" s="85"/>
      <c r="B118" s="241" t="s">
        <v>221</v>
      </c>
      <c r="C118" s="242"/>
      <c r="D118" s="243"/>
      <c r="E118" s="107">
        <v>7.5999999999999998E-2</v>
      </c>
      <c r="F118" s="88">
        <f>E118*(($F$130+$F$113+$F$114)/(1-$E$115))</f>
        <v>417.82</v>
      </c>
      <c r="H118" s="249"/>
      <c r="J118" s="119"/>
    </row>
    <row r="119" spans="1:10" s="65" customFormat="1">
      <c r="A119" s="85"/>
      <c r="B119" s="241" t="s">
        <v>222</v>
      </c>
      <c r="C119" s="242"/>
      <c r="D119" s="243"/>
      <c r="E119" s="107"/>
      <c r="F119" s="88"/>
      <c r="H119" s="249"/>
      <c r="J119" s="120"/>
    </row>
    <row r="120" spans="1:10">
      <c r="A120" s="85"/>
      <c r="B120" s="241" t="s">
        <v>223</v>
      </c>
      <c r="C120" s="242"/>
      <c r="D120" s="243"/>
      <c r="E120" s="107">
        <v>0.05</v>
      </c>
      <c r="F120" s="88">
        <f>E120*(($F$130+$F$113+$F$114)/(1-$E$115))</f>
        <v>274.88</v>
      </c>
      <c r="H120" s="249"/>
      <c r="J120" s="119"/>
    </row>
    <row r="121" spans="1:10">
      <c r="A121" s="238" t="s">
        <v>170</v>
      </c>
      <c r="B121" s="239"/>
      <c r="C121" s="239"/>
      <c r="D121" s="240"/>
      <c r="E121" s="116"/>
      <c r="F121" s="92">
        <f>SUM(F113:F120)</f>
        <v>1293.3599999999999</v>
      </c>
      <c r="J121" s="118"/>
    </row>
    <row r="123" spans="1:10">
      <c r="A123" s="247" t="s">
        <v>224</v>
      </c>
      <c r="B123" s="247"/>
      <c r="C123" s="247"/>
      <c r="D123" s="247"/>
      <c r="E123" s="247"/>
      <c r="F123" s="250"/>
    </row>
    <row r="124" spans="1:10">
      <c r="A124" s="69"/>
      <c r="B124" s="251" t="s">
        <v>225</v>
      </c>
      <c r="C124" s="252"/>
      <c r="D124" s="252"/>
      <c r="E124" s="253"/>
      <c r="F124" s="117" t="s">
        <v>136</v>
      </c>
    </row>
    <row r="125" spans="1:10">
      <c r="A125" s="85" t="s">
        <v>137</v>
      </c>
      <c r="B125" s="241" t="s">
        <v>134</v>
      </c>
      <c r="C125" s="242"/>
      <c r="D125" s="242"/>
      <c r="E125" s="243"/>
      <c r="F125" s="88">
        <f>F33</f>
        <v>1831.11</v>
      </c>
      <c r="H125" s="110"/>
    </row>
    <row r="126" spans="1:10">
      <c r="A126" s="85" t="s">
        <v>139</v>
      </c>
      <c r="B126" s="241" t="s">
        <v>149</v>
      </c>
      <c r="C126" s="242"/>
      <c r="D126" s="242"/>
      <c r="E126" s="243"/>
      <c r="F126" s="88">
        <f>F71</f>
        <v>1951.5</v>
      </c>
    </row>
    <row r="127" spans="1:10">
      <c r="A127" s="85" t="s">
        <v>141</v>
      </c>
      <c r="B127" s="241" t="s">
        <v>185</v>
      </c>
      <c r="C127" s="242"/>
      <c r="D127" s="242"/>
      <c r="E127" s="243"/>
      <c r="F127" s="88">
        <f>F81</f>
        <v>135.07</v>
      </c>
    </row>
    <row r="128" spans="1:10">
      <c r="A128" s="85" t="s">
        <v>143</v>
      </c>
      <c r="B128" s="241" t="s">
        <v>193</v>
      </c>
      <c r="C128" s="242"/>
      <c r="D128" s="242"/>
      <c r="E128" s="243"/>
      <c r="F128" s="88">
        <f>F101</f>
        <v>165.35</v>
      </c>
      <c r="H128" s="110"/>
    </row>
    <row r="129" spans="1:10">
      <c r="A129" s="85" t="s">
        <v>145</v>
      </c>
      <c r="B129" s="241" t="s">
        <v>208</v>
      </c>
      <c r="C129" s="242"/>
      <c r="D129" s="242"/>
      <c r="E129" s="243"/>
      <c r="F129" s="88">
        <f>F109</f>
        <v>121.2</v>
      </c>
      <c r="H129" s="110"/>
    </row>
    <row r="130" spans="1:10">
      <c r="A130" s="238" t="s">
        <v>226</v>
      </c>
      <c r="B130" s="239"/>
      <c r="C130" s="239"/>
      <c r="D130" s="239"/>
      <c r="E130" s="240"/>
      <c r="F130" s="92">
        <f>SUM(F125:F129)</f>
        <v>4204.2299999999996</v>
      </c>
      <c r="I130" s="114"/>
      <c r="J130" s="114"/>
    </row>
    <row r="131" spans="1:10">
      <c r="A131" s="85" t="s">
        <v>147</v>
      </c>
      <c r="B131" s="241" t="s">
        <v>227</v>
      </c>
      <c r="C131" s="242"/>
      <c r="D131" s="242"/>
      <c r="E131" s="243"/>
      <c r="F131" s="88">
        <f>F121</f>
        <v>1293.3599999999999</v>
      </c>
    </row>
    <row r="132" spans="1:10">
      <c r="A132" s="244" t="s">
        <v>228</v>
      </c>
      <c r="B132" s="245"/>
      <c r="C132" s="245"/>
      <c r="D132" s="245"/>
      <c r="E132" s="246"/>
      <c r="F132" s="121">
        <f>SUM(F130:F131)</f>
        <v>5497.59</v>
      </c>
      <c r="H132" s="110"/>
    </row>
    <row r="134" spans="1:10" s="66" customFormat="1">
      <c r="A134" s="247" t="s">
        <v>229</v>
      </c>
      <c r="B134" s="247"/>
      <c r="C134" s="247"/>
      <c r="D134" s="247"/>
      <c r="E134" s="247"/>
      <c r="F134" s="247"/>
      <c r="G134" s="122"/>
      <c r="H134" s="122"/>
      <c r="I134" s="122"/>
    </row>
    <row r="135" spans="1:10" s="66" customFormat="1" ht="38.25">
      <c r="A135" s="69" t="s">
        <v>230</v>
      </c>
      <c r="B135" s="69" t="s">
        <v>231</v>
      </c>
      <c r="C135" s="69" t="s">
        <v>232</v>
      </c>
      <c r="D135" s="69" t="s">
        <v>233</v>
      </c>
      <c r="E135" s="69" t="s">
        <v>234</v>
      </c>
      <c r="F135" s="123" t="s">
        <v>235</v>
      </c>
    </row>
    <row r="136" spans="1:10" s="66" customFormat="1" ht="45" customHeight="1">
      <c r="A136" s="124" t="str">
        <f>A15</f>
        <v>Servente Interno: 40 h + Insalubridade</v>
      </c>
      <c r="B136" s="125">
        <f>F132</f>
        <v>5497.59</v>
      </c>
      <c r="C136" s="126">
        <v>1</v>
      </c>
      <c r="D136" s="125">
        <f>B136*C136</f>
        <v>5497.59</v>
      </c>
      <c r="E136" s="87">
        <f>F15</f>
        <v>3</v>
      </c>
      <c r="F136" s="125">
        <f>D136*E136</f>
        <v>16492.77</v>
      </c>
    </row>
    <row r="137" spans="1:10" s="66" customFormat="1" ht="21" customHeight="1">
      <c r="A137" s="238" t="s">
        <v>236</v>
      </c>
      <c r="B137" s="239"/>
      <c r="C137" s="239"/>
      <c r="D137" s="239"/>
      <c r="E137" s="240"/>
      <c r="F137" s="127">
        <f>SUM(F136)</f>
        <v>16492.77</v>
      </c>
    </row>
    <row r="138" spans="1:10" s="66" customFormat="1" ht="21" customHeight="1">
      <c r="A138" s="244" t="s">
        <v>237</v>
      </c>
      <c r="B138" s="245"/>
      <c r="C138" s="245"/>
      <c r="D138" s="245"/>
      <c r="E138" s="246"/>
      <c r="F138" s="128">
        <f>F137*F11</f>
        <v>197913.24</v>
      </c>
    </row>
  </sheetData>
  <mergeCells count="134">
    <mergeCell ref="A1:E1"/>
    <mergeCell ref="A2:E2"/>
    <mergeCell ref="A3:E3"/>
    <mergeCell ref="A4:E4"/>
    <mergeCell ref="A5:E5"/>
    <mergeCell ref="A6:F6"/>
    <mergeCell ref="A7:F7"/>
    <mergeCell ref="B8:E8"/>
    <mergeCell ref="B9:E9"/>
    <mergeCell ref="B10:E10"/>
    <mergeCell ref="B11:E11"/>
    <mergeCell ref="A12:F12"/>
    <mergeCell ref="A13:F13"/>
    <mergeCell ref="A14:C14"/>
    <mergeCell ref="D14:E14"/>
    <mergeCell ref="A15:C15"/>
    <mergeCell ref="D15:E15"/>
    <mergeCell ref="A16:F16"/>
    <mergeCell ref="A17:F17"/>
    <mergeCell ref="A18:F18"/>
    <mergeCell ref="B19:E19"/>
    <mergeCell ref="B20:E20"/>
    <mergeCell ref="B21:E21"/>
    <mergeCell ref="B22:E22"/>
    <mergeCell ref="B23:E23"/>
    <mergeCell ref="A24:F24"/>
    <mergeCell ref="A25:F25"/>
    <mergeCell ref="B26:D26"/>
    <mergeCell ref="B27:D27"/>
    <mergeCell ref="B28:D28"/>
    <mergeCell ref="B29:D29"/>
    <mergeCell ref="B30:D30"/>
    <mergeCell ref="B31:D31"/>
    <mergeCell ref="B32:D32"/>
    <mergeCell ref="A33:D33"/>
    <mergeCell ref="A34:F34"/>
    <mergeCell ref="A35:F35"/>
    <mergeCell ref="A36:F36"/>
    <mergeCell ref="B37:D37"/>
    <mergeCell ref="B38:D38"/>
    <mergeCell ref="B39:D39"/>
    <mergeCell ref="A40:D40"/>
    <mergeCell ref="B41:D41"/>
    <mergeCell ref="A42:D42"/>
    <mergeCell ref="A43:F43"/>
    <mergeCell ref="B44:D44"/>
    <mergeCell ref="B45:D45"/>
    <mergeCell ref="B46:D46"/>
    <mergeCell ref="B47:D47"/>
    <mergeCell ref="B48:D48"/>
    <mergeCell ref="B49:D49"/>
    <mergeCell ref="B50:D50"/>
    <mergeCell ref="B51:D51"/>
    <mergeCell ref="B52:D52"/>
    <mergeCell ref="A53:D53"/>
    <mergeCell ref="A54:F54"/>
    <mergeCell ref="B55:D55"/>
    <mergeCell ref="B56:D56"/>
    <mergeCell ref="B57:D57"/>
    <mergeCell ref="B58:D58"/>
    <mergeCell ref="B59:D59"/>
    <mergeCell ref="B60:D60"/>
    <mergeCell ref="B61:D61"/>
    <mergeCell ref="B62:D62"/>
    <mergeCell ref="B63:D63"/>
    <mergeCell ref="B64:D64"/>
    <mergeCell ref="A65:D65"/>
    <mergeCell ref="A66:F66"/>
    <mergeCell ref="B67:D67"/>
    <mergeCell ref="B68:D68"/>
    <mergeCell ref="B69:D69"/>
    <mergeCell ref="B70:D70"/>
    <mergeCell ref="A71:D71"/>
    <mergeCell ref="A73:F73"/>
    <mergeCell ref="B74:D74"/>
    <mergeCell ref="B75:D75"/>
    <mergeCell ref="B76:D76"/>
    <mergeCell ref="B77:D77"/>
    <mergeCell ref="B78:D78"/>
    <mergeCell ref="B79:D79"/>
    <mergeCell ref="B80:D80"/>
    <mergeCell ref="A81:D81"/>
    <mergeCell ref="A83:F83"/>
    <mergeCell ref="A84:F84"/>
    <mergeCell ref="B85:D85"/>
    <mergeCell ref="B86:D86"/>
    <mergeCell ref="B87:D87"/>
    <mergeCell ref="B88:D88"/>
    <mergeCell ref="B89:D89"/>
    <mergeCell ref="B90:D90"/>
    <mergeCell ref="B91:D91"/>
    <mergeCell ref="A92:D92"/>
    <mergeCell ref="A93:F93"/>
    <mergeCell ref="B94:D94"/>
    <mergeCell ref="B95:D95"/>
    <mergeCell ref="A96:D96"/>
    <mergeCell ref="A97:F97"/>
    <mergeCell ref="B98:D98"/>
    <mergeCell ref="B99:D99"/>
    <mergeCell ref="B118:D118"/>
    <mergeCell ref="B119:D119"/>
    <mergeCell ref="B100:D100"/>
    <mergeCell ref="A101:D101"/>
    <mergeCell ref="A103:F103"/>
    <mergeCell ref="B104:E104"/>
    <mergeCell ref="B105:E105"/>
    <mergeCell ref="B106:E106"/>
    <mergeCell ref="B107:E107"/>
    <mergeCell ref="B108:E108"/>
    <mergeCell ref="A109:E109"/>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s>
  <pageMargins left="0.55416666666666703" right="0.35763888888888901" top="0.60555555555555596" bottom="0.40902777777777799" header="0.5" footer="0.5"/>
  <pageSetup paperSize="9" scale="7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59999389629810485"/>
  </sheetPr>
  <dimension ref="A1:K138"/>
  <sheetViews>
    <sheetView view="pageBreakPreview" topLeftCell="A73" zoomScale="110" zoomScaleNormal="115" workbookViewId="0">
      <selection activeCell="E87" sqref="E87"/>
    </sheetView>
  </sheetViews>
  <sheetFormatPr defaultColWidth="2.5703125" defaultRowHeight="12.75"/>
  <cols>
    <col min="1" max="1" width="12.85546875" style="67" customWidth="1"/>
    <col min="2" max="2" width="24.5703125" style="56" customWidth="1"/>
    <col min="3" max="3" width="24.28515625" style="56" customWidth="1"/>
    <col min="4" max="4" width="15.7109375" style="56" customWidth="1"/>
    <col min="5" max="5" width="15.140625" style="56" customWidth="1"/>
    <col min="6" max="6" width="30.140625" style="68" customWidth="1"/>
    <col min="7" max="7" width="21.5703125" style="61" customWidth="1"/>
    <col min="8" max="8" width="85.28515625" style="61" customWidth="1"/>
    <col min="9" max="9" width="18.28515625" style="61" customWidth="1"/>
    <col min="10" max="10" width="25.7109375" style="61" customWidth="1"/>
    <col min="11" max="16384" width="2.5703125" style="61"/>
  </cols>
  <sheetData>
    <row r="1" spans="1:11" s="60" customFormat="1" ht="23.1" customHeight="1">
      <c r="A1" s="247" t="s">
        <v>105</v>
      </c>
      <c r="B1" s="247"/>
      <c r="C1" s="247"/>
      <c r="D1" s="247"/>
      <c r="E1" s="247"/>
      <c r="F1" s="248"/>
      <c r="G1" s="67"/>
      <c r="H1" s="67"/>
    </row>
    <row r="2" spans="1:11" ht="21" customHeight="1">
      <c r="A2" s="247" t="s">
        <v>240</v>
      </c>
      <c r="B2" s="247"/>
      <c r="C2" s="247"/>
      <c r="D2" s="247"/>
      <c r="E2" s="247"/>
      <c r="F2" s="248"/>
      <c r="G2" s="70"/>
      <c r="H2" s="70"/>
    </row>
    <row r="3" spans="1:11" s="62" customFormat="1" ht="15">
      <c r="A3" s="283" t="s">
        <v>107</v>
      </c>
      <c r="B3" s="283"/>
      <c r="C3" s="283"/>
      <c r="D3" s="283"/>
      <c r="E3" s="283"/>
      <c r="F3" s="248"/>
      <c r="G3" s="71"/>
      <c r="H3" s="71"/>
      <c r="I3" s="71"/>
      <c r="J3" s="71"/>
      <c r="K3" s="71"/>
    </row>
    <row r="4" spans="1:11" s="62" customFormat="1" ht="15">
      <c r="A4" s="283" t="s">
        <v>108</v>
      </c>
      <c r="B4" s="283"/>
      <c r="C4" s="283"/>
      <c r="D4" s="283"/>
      <c r="E4" s="283"/>
      <c r="F4" s="248"/>
      <c r="G4" s="71"/>
      <c r="H4" s="72"/>
      <c r="I4" s="71"/>
      <c r="J4" s="71"/>
      <c r="K4" s="71"/>
    </row>
    <row r="5" spans="1:11" s="62" customFormat="1" ht="15">
      <c r="A5" s="283" t="s">
        <v>109</v>
      </c>
      <c r="B5" s="283"/>
      <c r="C5" s="283"/>
      <c r="D5" s="283"/>
      <c r="E5" s="283"/>
      <c r="F5" s="248"/>
      <c r="G5" s="71"/>
      <c r="H5" s="71"/>
      <c r="I5" s="71"/>
      <c r="J5" s="71"/>
      <c r="K5" s="71"/>
    </row>
    <row r="6" spans="1:11" s="62" customFormat="1" ht="15">
      <c r="A6" s="284"/>
      <c r="B6" s="284"/>
      <c r="C6" s="284"/>
      <c r="D6" s="284"/>
      <c r="E6" s="284"/>
      <c r="F6" s="285"/>
      <c r="G6" s="71"/>
      <c r="H6" s="71"/>
      <c r="I6" s="71"/>
      <c r="J6" s="71"/>
      <c r="K6" s="71"/>
    </row>
    <row r="7" spans="1:11">
      <c r="A7" s="269" t="s">
        <v>110</v>
      </c>
      <c r="B7" s="269"/>
      <c r="C7" s="269"/>
      <c r="D7" s="269"/>
      <c r="E7" s="269"/>
      <c r="F7" s="270"/>
      <c r="G7" s="60"/>
      <c r="H7" s="60"/>
    </row>
    <row r="8" spans="1:11" ht="18" customHeight="1">
      <c r="A8" s="73" t="s">
        <v>111</v>
      </c>
      <c r="B8" s="280" t="s">
        <v>112</v>
      </c>
      <c r="C8" s="280"/>
      <c r="D8" s="280"/>
      <c r="E8" s="280"/>
      <c r="F8" s="74" t="s">
        <v>113</v>
      </c>
    </row>
    <row r="9" spans="1:11" ht="18" customHeight="1">
      <c r="A9" s="73" t="s">
        <v>111</v>
      </c>
      <c r="B9" s="280" t="s">
        <v>114</v>
      </c>
      <c r="C9" s="280"/>
      <c r="D9" s="280"/>
      <c r="E9" s="280"/>
      <c r="F9" s="75" t="s">
        <v>115</v>
      </c>
    </row>
    <row r="10" spans="1:11" ht="18" customHeight="1">
      <c r="A10" s="73" t="s">
        <v>111</v>
      </c>
      <c r="B10" s="280" t="s">
        <v>116</v>
      </c>
      <c r="C10" s="280"/>
      <c r="D10" s="280"/>
      <c r="E10" s="280"/>
      <c r="F10" s="74" t="s">
        <v>117</v>
      </c>
    </row>
    <row r="11" spans="1:11" ht="18" customHeight="1">
      <c r="A11" s="73" t="s">
        <v>111</v>
      </c>
      <c r="B11" s="280" t="s">
        <v>118</v>
      </c>
      <c r="C11" s="280"/>
      <c r="D11" s="280"/>
      <c r="E11" s="280"/>
      <c r="F11" s="76">
        <v>12</v>
      </c>
    </row>
    <row r="12" spans="1:11" customFormat="1" ht="15">
      <c r="A12" s="277"/>
      <c r="B12" s="278"/>
      <c r="C12" s="278"/>
      <c r="D12" s="278"/>
      <c r="E12" s="278"/>
      <c r="F12" s="279"/>
      <c r="G12" s="61"/>
      <c r="H12" s="61"/>
    </row>
    <row r="13" spans="1:11" s="60" customFormat="1">
      <c r="A13" s="269" t="s">
        <v>119</v>
      </c>
      <c r="B13" s="269"/>
      <c r="C13" s="269"/>
      <c r="D13" s="269"/>
      <c r="E13" s="269"/>
      <c r="F13" s="270"/>
    </row>
    <row r="14" spans="1:11">
      <c r="A14" s="281" t="s">
        <v>120</v>
      </c>
      <c r="B14" s="281"/>
      <c r="C14" s="281"/>
      <c r="D14" s="281" t="s">
        <v>121</v>
      </c>
      <c r="E14" s="281"/>
      <c r="F14" s="77" t="s">
        <v>122</v>
      </c>
      <c r="H14" s="60"/>
    </row>
    <row r="15" spans="1:11">
      <c r="A15" s="281" t="s">
        <v>241</v>
      </c>
      <c r="B15" s="281"/>
      <c r="C15" s="281"/>
      <c r="D15" s="282" t="s">
        <v>80</v>
      </c>
      <c r="E15" s="282"/>
      <c r="F15" s="78">
        <f>'SEMAS TOTALIZADOR GERAL'!D6</f>
        <v>5</v>
      </c>
      <c r="H15" s="60"/>
    </row>
    <row r="16" spans="1:11" customFormat="1" ht="15">
      <c r="A16" s="277"/>
      <c r="B16" s="278"/>
      <c r="C16" s="278"/>
      <c r="D16" s="278"/>
      <c r="E16" s="278"/>
      <c r="F16" s="279"/>
      <c r="G16" s="61"/>
      <c r="H16" s="60"/>
    </row>
    <row r="17" spans="1:9" s="60" customFormat="1">
      <c r="A17" s="269" t="s">
        <v>124</v>
      </c>
      <c r="B17" s="269"/>
      <c r="C17" s="269"/>
      <c r="D17" s="269"/>
      <c r="E17" s="269"/>
      <c r="F17" s="270"/>
    </row>
    <row r="18" spans="1:9">
      <c r="A18" s="269" t="s">
        <v>125</v>
      </c>
      <c r="B18" s="269"/>
      <c r="C18" s="269"/>
      <c r="D18" s="269"/>
      <c r="E18" s="269"/>
      <c r="F18" s="270"/>
      <c r="G18" s="60"/>
      <c r="H18" s="60"/>
    </row>
    <row r="19" spans="1:9">
      <c r="A19" s="73">
        <v>1</v>
      </c>
      <c r="B19" s="271" t="s">
        <v>126</v>
      </c>
      <c r="C19" s="272"/>
      <c r="D19" s="272"/>
      <c r="E19" s="273"/>
      <c r="F19" s="79" t="s">
        <v>127</v>
      </c>
    </row>
    <row r="20" spans="1:9" ht="15">
      <c r="A20" s="80">
        <v>2</v>
      </c>
      <c r="B20" s="274" t="s">
        <v>128</v>
      </c>
      <c r="C20" s="275"/>
      <c r="D20" s="275"/>
      <c r="E20" s="276"/>
      <c r="F20" s="81" t="s">
        <v>129</v>
      </c>
      <c r="G20" s="82"/>
      <c r="H20" s="83"/>
      <c r="I20" s="83"/>
    </row>
    <row r="21" spans="1:9">
      <c r="A21" s="73">
        <v>3</v>
      </c>
      <c r="B21" s="271" t="s">
        <v>130</v>
      </c>
      <c r="C21" s="272"/>
      <c r="D21" s="272"/>
      <c r="E21" s="273"/>
      <c r="F21" s="84">
        <f>'RAIZ DOS DADOS'!D6</f>
        <v>1651</v>
      </c>
    </row>
    <row r="22" spans="1:9">
      <c r="A22" s="73">
        <v>4</v>
      </c>
      <c r="B22" s="271" t="s">
        <v>131</v>
      </c>
      <c r="C22" s="272"/>
      <c r="D22" s="272"/>
      <c r="E22" s="273"/>
      <c r="F22" s="79" t="s">
        <v>52</v>
      </c>
    </row>
    <row r="23" spans="1:9">
      <c r="A23" s="73">
        <v>5</v>
      </c>
      <c r="B23" s="271" t="s">
        <v>132</v>
      </c>
      <c r="C23" s="272"/>
      <c r="D23" s="272"/>
      <c r="E23" s="273"/>
      <c r="F23" s="79" t="s">
        <v>133</v>
      </c>
    </row>
    <row r="24" spans="1:9">
      <c r="A24" s="277"/>
      <c r="B24" s="278"/>
      <c r="C24" s="278"/>
      <c r="D24" s="278"/>
      <c r="E24" s="278"/>
      <c r="F24" s="279"/>
    </row>
    <row r="25" spans="1:9">
      <c r="A25" s="256" t="s">
        <v>134</v>
      </c>
      <c r="B25" s="257"/>
      <c r="C25" s="257"/>
      <c r="D25" s="257"/>
      <c r="E25" s="257"/>
      <c r="F25" s="259"/>
    </row>
    <row r="26" spans="1:9">
      <c r="A26" s="85">
        <v>1</v>
      </c>
      <c r="B26" s="256" t="s">
        <v>135</v>
      </c>
      <c r="C26" s="257"/>
      <c r="D26" s="258"/>
      <c r="E26" s="85"/>
      <c r="F26" s="86" t="s">
        <v>136</v>
      </c>
    </row>
    <row r="27" spans="1:9">
      <c r="A27" s="85" t="s">
        <v>137</v>
      </c>
      <c r="B27" s="241" t="s">
        <v>138</v>
      </c>
      <c r="C27" s="242"/>
      <c r="D27" s="243"/>
      <c r="E27" s="87" t="s">
        <v>63</v>
      </c>
      <c r="F27" s="88">
        <f>(F21/44)*30</f>
        <v>1125.68</v>
      </c>
      <c r="H27" s="89"/>
    </row>
    <row r="28" spans="1:9">
      <c r="A28" s="85" t="s">
        <v>139</v>
      </c>
      <c r="B28" s="241" t="s">
        <v>140</v>
      </c>
      <c r="C28" s="242"/>
      <c r="D28" s="243"/>
      <c r="E28" s="87"/>
      <c r="F28" s="88"/>
    </row>
    <row r="29" spans="1:9">
      <c r="A29" s="85" t="s">
        <v>141</v>
      </c>
      <c r="B29" s="241" t="s">
        <v>142</v>
      </c>
      <c r="C29" s="242"/>
      <c r="D29" s="243"/>
      <c r="E29" s="90"/>
      <c r="F29" s="88"/>
    </row>
    <row r="30" spans="1:9">
      <c r="A30" s="85" t="s">
        <v>143</v>
      </c>
      <c r="B30" s="241" t="s">
        <v>144</v>
      </c>
      <c r="C30" s="242"/>
      <c r="D30" s="243"/>
      <c r="E30" s="87"/>
      <c r="F30" s="88"/>
    </row>
    <row r="31" spans="1:9">
      <c r="A31" s="85" t="s">
        <v>145</v>
      </c>
      <c r="B31" s="241" t="s">
        <v>146</v>
      </c>
      <c r="C31" s="242"/>
      <c r="D31" s="243"/>
      <c r="E31" s="87"/>
      <c r="F31" s="88"/>
    </row>
    <row r="32" spans="1:9">
      <c r="A32" s="85" t="s">
        <v>147</v>
      </c>
      <c r="B32" s="241" t="s">
        <v>148</v>
      </c>
      <c r="C32" s="242"/>
      <c r="D32" s="243"/>
      <c r="E32" s="87"/>
      <c r="F32" s="88"/>
    </row>
    <row r="33" spans="1:8">
      <c r="A33" s="238" t="s">
        <v>61</v>
      </c>
      <c r="B33" s="239"/>
      <c r="C33" s="239"/>
      <c r="D33" s="240"/>
      <c r="E33" s="91"/>
      <c r="F33" s="92">
        <f>SUM(F27:F32)</f>
        <v>1125.68</v>
      </c>
    </row>
    <row r="34" spans="1:8">
      <c r="A34" s="266"/>
      <c r="B34" s="267"/>
      <c r="C34" s="267"/>
      <c r="D34" s="267"/>
      <c r="E34" s="267"/>
      <c r="F34" s="268"/>
    </row>
    <row r="35" spans="1:8">
      <c r="A35" s="254" t="s">
        <v>149</v>
      </c>
      <c r="B35" s="254"/>
      <c r="C35" s="254"/>
      <c r="D35" s="254"/>
      <c r="E35" s="254"/>
      <c r="F35" s="255"/>
    </row>
    <row r="36" spans="1:8">
      <c r="A36" s="254" t="s">
        <v>150</v>
      </c>
      <c r="B36" s="254"/>
      <c r="C36" s="254"/>
      <c r="D36" s="254"/>
      <c r="E36" s="254"/>
      <c r="F36" s="255"/>
      <c r="H36" s="93"/>
    </row>
    <row r="37" spans="1:8">
      <c r="A37" s="85" t="s">
        <v>151</v>
      </c>
      <c r="B37" s="256" t="s">
        <v>152</v>
      </c>
      <c r="C37" s="257"/>
      <c r="D37" s="258"/>
      <c r="E37" s="85" t="s">
        <v>153</v>
      </c>
      <c r="F37" s="86" t="s">
        <v>136</v>
      </c>
    </row>
    <row r="38" spans="1:8">
      <c r="A38" s="85" t="s">
        <v>137</v>
      </c>
      <c r="B38" s="241" t="s">
        <v>154</v>
      </c>
      <c r="C38" s="242"/>
      <c r="D38" s="243"/>
      <c r="E38" s="94">
        <f>1/12</f>
        <v>8.3299999999999999E-2</v>
      </c>
      <c r="F38" s="88">
        <f>F33*E38</f>
        <v>93.77</v>
      </c>
    </row>
    <row r="39" spans="1:8">
      <c r="A39" s="85" t="s">
        <v>139</v>
      </c>
      <c r="B39" s="241" t="s">
        <v>155</v>
      </c>
      <c r="C39" s="242"/>
      <c r="D39" s="243"/>
      <c r="E39" s="94">
        <f>(1/12)+(1/3)/12</f>
        <v>0.1111</v>
      </c>
      <c r="F39" s="88">
        <f>F33*E39</f>
        <v>125.06</v>
      </c>
    </row>
    <row r="40" spans="1:8">
      <c r="A40" s="263" t="s">
        <v>61</v>
      </c>
      <c r="B40" s="264"/>
      <c r="C40" s="264"/>
      <c r="D40" s="265"/>
      <c r="E40" s="95">
        <f>SUM(E38:E39)</f>
        <v>0.19439999999999999</v>
      </c>
      <c r="F40" s="96">
        <f>SUM(F38:F39)</f>
        <v>218.83</v>
      </c>
    </row>
    <row r="41" spans="1:8">
      <c r="A41" s="85" t="s">
        <v>141</v>
      </c>
      <c r="B41" s="241" t="s">
        <v>156</v>
      </c>
      <c r="C41" s="242"/>
      <c r="D41" s="243"/>
      <c r="E41" s="94">
        <f>E40*E53</f>
        <v>7.7399999999999997E-2</v>
      </c>
      <c r="F41" s="96">
        <f>E41*F33</f>
        <v>87.13</v>
      </c>
    </row>
    <row r="42" spans="1:8">
      <c r="A42" s="238" t="s">
        <v>61</v>
      </c>
      <c r="B42" s="239"/>
      <c r="C42" s="239"/>
      <c r="D42" s="240"/>
      <c r="E42" s="97">
        <f>SUM(E40:E41)</f>
        <v>0.27179999999999999</v>
      </c>
      <c r="F42" s="92">
        <f>SUM(F40:F41)</f>
        <v>305.95999999999998</v>
      </c>
      <c r="H42" s="93"/>
    </row>
    <row r="43" spans="1:8">
      <c r="A43" s="254" t="s">
        <v>157</v>
      </c>
      <c r="B43" s="254"/>
      <c r="C43" s="254"/>
      <c r="D43" s="254"/>
      <c r="E43" s="254"/>
      <c r="F43" s="255"/>
    </row>
    <row r="44" spans="1:8">
      <c r="A44" s="85" t="s">
        <v>158</v>
      </c>
      <c r="B44" s="256" t="s">
        <v>159</v>
      </c>
      <c r="C44" s="257"/>
      <c r="D44" s="258"/>
      <c r="E44" s="85" t="s">
        <v>153</v>
      </c>
      <c r="F44" s="86" t="s">
        <v>136</v>
      </c>
    </row>
    <row r="45" spans="1:8">
      <c r="A45" s="85" t="s">
        <v>137</v>
      </c>
      <c r="B45" s="241" t="s">
        <v>160</v>
      </c>
      <c r="C45" s="242"/>
      <c r="D45" s="243"/>
      <c r="E45" s="94">
        <v>0.2</v>
      </c>
      <c r="F45" s="88">
        <f t="shared" ref="F45:F52" si="0">E45*F$33</f>
        <v>225.14</v>
      </c>
    </row>
    <row r="46" spans="1:8">
      <c r="A46" s="85" t="s">
        <v>139</v>
      </c>
      <c r="B46" s="241" t="s">
        <v>161</v>
      </c>
      <c r="C46" s="242"/>
      <c r="D46" s="243"/>
      <c r="E46" s="94">
        <v>2.5000000000000001E-2</v>
      </c>
      <c r="F46" s="88">
        <f t="shared" si="0"/>
        <v>28.14</v>
      </c>
      <c r="G46" s="63"/>
      <c r="H46" s="98"/>
    </row>
    <row r="47" spans="1:8">
      <c r="A47" s="85" t="s">
        <v>141</v>
      </c>
      <c r="B47" s="241" t="s">
        <v>162</v>
      </c>
      <c r="C47" s="242"/>
      <c r="D47" s="243"/>
      <c r="E47" s="99">
        <f>(2*3)/100</f>
        <v>0.06</v>
      </c>
      <c r="F47" s="88">
        <f t="shared" si="0"/>
        <v>67.540000000000006</v>
      </c>
      <c r="G47" s="100"/>
      <c r="H47" s="100"/>
    </row>
    <row r="48" spans="1:8">
      <c r="A48" s="85" t="s">
        <v>143</v>
      </c>
      <c r="B48" s="241" t="s">
        <v>163</v>
      </c>
      <c r="C48" s="242"/>
      <c r="D48" s="243"/>
      <c r="E48" s="94">
        <v>1.4999999999999999E-2</v>
      </c>
      <c r="F48" s="88">
        <f t="shared" si="0"/>
        <v>16.89</v>
      </c>
    </row>
    <row r="49" spans="1:8">
      <c r="A49" s="85" t="s">
        <v>145</v>
      </c>
      <c r="B49" s="241" t="s">
        <v>164</v>
      </c>
      <c r="C49" s="242"/>
      <c r="D49" s="243"/>
      <c r="E49" s="94">
        <v>0.01</v>
      </c>
      <c r="F49" s="88">
        <f t="shared" si="0"/>
        <v>11.26</v>
      </c>
    </row>
    <row r="50" spans="1:8">
      <c r="A50" s="85" t="s">
        <v>147</v>
      </c>
      <c r="B50" s="241" t="s">
        <v>165</v>
      </c>
      <c r="C50" s="242"/>
      <c r="D50" s="243"/>
      <c r="E50" s="94">
        <v>6.0000000000000001E-3</v>
      </c>
      <c r="F50" s="88">
        <f t="shared" si="0"/>
        <v>6.75</v>
      </c>
    </row>
    <row r="51" spans="1:8">
      <c r="A51" s="85" t="s">
        <v>166</v>
      </c>
      <c r="B51" s="241" t="s">
        <v>167</v>
      </c>
      <c r="C51" s="242"/>
      <c r="D51" s="243"/>
      <c r="E51" s="94">
        <v>2E-3</v>
      </c>
      <c r="F51" s="88">
        <f t="shared" si="0"/>
        <v>2.25</v>
      </c>
    </row>
    <row r="52" spans="1:8">
      <c r="A52" s="85" t="s">
        <v>168</v>
      </c>
      <c r="B52" s="241" t="s">
        <v>169</v>
      </c>
      <c r="C52" s="242"/>
      <c r="D52" s="243"/>
      <c r="E52" s="94">
        <v>0.08</v>
      </c>
      <c r="F52" s="88">
        <f t="shared" si="0"/>
        <v>90.05</v>
      </c>
    </row>
    <row r="53" spans="1:8">
      <c r="A53" s="238" t="s">
        <v>170</v>
      </c>
      <c r="B53" s="239"/>
      <c r="C53" s="239"/>
      <c r="D53" s="240"/>
      <c r="E53" s="97">
        <f>SUM(E45:E52)</f>
        <v>0.39800000000000002</v>
      </c>
      <c r="F53" s="92">
        <f>SUM(F45:F52)</f>
        <v>448.02</v>
      </c>
    </row>
    <row r="54" spans="1:8">
      <c r="A54" s="256" t="s">
        <v>171</v>
      </c>
      <c r="B54" s="257"/>
      <c r="C54" s="257"/>
      <c r="D54" s="257"/>
      <c r="E54" s="257"/>
      <c r="F54" s="259"/>
    </row>
    <row r="55" spans="1:8">
      <c r="A55" s="85" t="s">
        <v>172</v>
      </c>
      <c r="B55" s="256" t="s">
        <v>173</v>
      </c>
      <c r="C55" s="257"/>
      <c r="D55" s="258"/>
      <c r="E55" s="85"/>
      <c r="F55" s="86" t="s">
        <v>136</v>
      </c>
    </row>
    <row r="56" spans="1:8">
      <c r="A56" s="85" t="s">
        <v>137</v>
      </c>
      <c r="B56" s="241" t="s">
        <v>174</v>
      </c>
      <c r="C56" s="242"/>
      <c r="D56" s="243"/>
      <c r="E56" s="87"/>
      <c r="F56" s="88">
        <f>((E57*E58)*E59)-(6%*F27)</f>
        <v>64.459999999999994</v>
      </c>
      <c r="H56" s="70"/>
    </row>
    <row r="57" spans="1:8">
      <c r="A57" s="85"/>
      <c r="B57" s="241" t="s">
        <v>175</v>
      </c>
      <c r="C57" s="242"/>
      <c r="D57" s="243"/>
      <c r="E57" s="101">
        <f>'RAIZ DOS DADOS'!D31</f>
        <v>3</v>
      </c>
      <c r="F57" s="79" t="s">
        <v>69</v>
      </c>
      <c r="H57" s="131"/>
    </row>
    <row r="58" spans="1:8">
      <c r="A58" s="85"/>
      <c r="B58" s="241" t="s">
        <v>176</v>
      </c>
      <c r="C58" s="242"/>
      <c r="D58" s="243"/>
      <c r="E58" s="102">
        <v>2</v>
      </c>
      <c r="F58" s="79" t="s">
        <v>69</v>
      </c>
      <c r="H58" s="70"/>
    </row>
    <row r="59" spans="1:8">
      <c r="A59" s="85"/>
      <c r="B59" s="241" t="s">
        <v>177</v>
      </c>
      <c r="C59" s="242"/>
      <c r="D59" s="243"/>
      <c r="E59" s="102">
        <f>'RAIZ DOS DADOS'!D33</f>
        <v>22</v>
      </c>
      <c r="F59" s="79" t="s">
        <v>69</v>
      </c>
      <c r="H59" s="70"/>
    </row>
    <row r="60" spans="1:8">
      <c r="A60" s="85" t="s">
        <v>139</v>
      </c>
      <c r="B60" s="241" t="s">
        <v>178</v>
      </c>
      <c r="C60" s="242"/>
      <c r="D60" s="243"/>
      <c r="E60" s="87"/>
      <c r="F60" s="88">
        <f>'RAIZ DOS DADOS'!D7</f>
        <v>400</v>
      </c>
      <c r="H60" s="70"/>
    </row>
    <row r="61" spans="1:8">
      <c r="A61" s="85" t="s">
        <v>141</v>
      </c>
      <c r="B61" s="241" t="s">
        <v>33</v>
      </c>
      <c r="C61" s="242"/>
      <c r="D61" s="243"/>
      <c r="E61" s="87"/>
      <c r="F61" s="88">
        <f>'RAIZ DOS DADOS'!D24</f>
        <v>14.66</v>
      </c>
      <c r="H61" s="70"/>
    </row>
    <row r="62" spans="1:8">
      <c r="A62" s="85" t="s">
        <v>143</v>
      </c>
      <c r="B62" s="241" t="s">
        <v>179</v>
      </c>
      <c r="C62" s="242"/>
      <c r="D62" s="243"/>
      <c r="E62" s="87"/>
      <c r="F62" s="88">
        <f>'RAIZ DOS DADOS'!D25</f>
        <v>6.4</v>
      </c>
      <c r="H62" s="70"/>
    </row>
    <row r="63" spans="1:8">
      <c r="A63" s="85" t="s">
        <v>145</v>
      </c>
      <c r="B63" s="260" t="s">
        <v>180</v>
      </c>
      <c r="C63" s="261"/>
      <c r="D63" s="262"/>
      <c r="E63" s="103"/>
      <c r="F63" s="104">
        <v>0</v>
      </c>
      <c r="H63" s="105"/>
    </row>
    <row r="64" spans="1:8">
      <c r="A64" s="85" t="s">
        <v>147</v>
      </c>
      <c r="B64" s="260" t="s">
        <v>181</v>
      </c>
      <c r="C64" s="261"/>
      <c r="D64" s="262"/>
      <c r="E64" s="103"/>
      <c r="F64" s="104">
        <f>'RAIZ DOS DADOS'!D8</f>
        <v>130</v>
      </c>
      <c r="H64" s="105"/>
    </row>
    <row r="65" spans="1:10" s="63" customFormat="1">
      <c r="A65" s="238" t="s">
        <v>61</v>
      </c>
      <c r="B65" s="239"/>
      <c r="C65" s="239"/>
      <c r="D65" s="240"/>
      <c r="E65" s="106"/>
      <c r="F65" s="92">
        <f>SUM(F56:F64)</f>
        <v>615.52</v>
      </c>
      <c r="G65" s="61"/>
      <c r="H65" s="61"/>
    </row>
    <row r="66" spans="1:10">
      <c r="A66" s="256" t="s">
        <v>182</v>
      </c>
      <c r="B66" s="257"/>
      <c r="C66" s="257"/>
      <c r="D66" s="257"/>
      <c r="E66" s="257"/>
      <c r="F66" s="259"/>
    </row>
    <row r="67" spans="1:10">
      <c r="A67" s="85">
        <v>2</v>
      </c>
      <c r="B67" s="256" t="s">
        <v>183</v>
      </c>
      <c r="C67" s="257"/>
      <c r="D67" s="258"/>
      <c r="E67" s="85"/>
      <c r="F67" s="86" t="s">
        <v>136</v>
      </c>
    </row>
    <row r="68" spans="1:10">
      <c r="A68" s="85" t="s">
        <v>151</v>
      </c>
      <c r="B68" s="241" t="s">
        <v>152</v>
      </c>
      <c r="C68" s="242"/>
      <c r="D68" s="243"/>
      <c r="E68" s="107"/>
      <c r="F68" s="88">
        <f>F40</f>
        <v>218.83</v>
      </c>
      <c r="G68" s="64"/>
      <c r="H68" s="64"/>
    </row>
    <row r="69" spans="1:10">
      <c r="A69" s="85" t="s">
        <v>158</v>
      </c>
      <c r="B69" s="241" t="s">
        <v>184</v>
      </c>
      <c r="C69" s="242"/>
      <c r="D69" s="243"/>
      <c r="E69" s="108"/>
      <c r="F69" s="88">
        <f>F53+F41</f>
        <v>535.15</v>
      </c>
      <c r="G69" s="64"/>
      <c r="H69" s="64"/>
    </row>
    <row r="70" spans="1:10">
      <c r="A70" s="85" t="s">
        <v>172</v>
      </c>
      <c r="B70" s="241" t="s">
        <v>173</v>
      </c>
      <c r="C70" s="242"/>
      <c r="D70" s="243"/>
      <c r="E70" s="109"/>
      <c r="F70" s="88">
        <f>F65</f>
        <v>615.52</v>
      </c>
      <c r="G70" s="64"/>
      <c r="H70" s="64"/>
    </row>
    <row r="71" spans="1:10">
      <c r="A71" s="238" t="s">
        <v>61</v>
      </c>
      <c r="B71" s="239"/>
      <c r="C71" s="239"/>
      <c r="D71" s="240"/>
      <c r="E71" s="91"/>
      <c r="F71" s="92">
        <f>SUM(F68:F70)</f>
        <v>1369.5</v>
      </c>
      <c r="J71" s="118"/>
    </row>
    <row r="73" spans="1:10">
      <c r="A73" s="254" t="s">
        <v>185</v>
      </c>
      <c r="B73" s="254"/>
      <c r="C73" s="254"/>
      <c r="D73" s="254"/>
      <c r="E73" s="254"/>
      <c r="F73" s="255"/>
    </row>
    <row r="74" spans="1:10">
      <c r="A74" s="85">
        <v>3</v>
      </c>
      <c r="B74" s="256" t="s">
        <v>186</v>
      </c>
      <c r="C74" s="257"/>
      <c r="D74" s="258"/>
      <c r="E74" s="85" t="s">
        <v>153</v>
      </c>
      <c r="F74" s="86" t="s">
        <v>136</v>
      </c>
    </row>
    <row r="75" spans="1:10">
      <c r="A75" s="85" t="s">
        <v>137</v>
      </c>
      <c r="B75" s="241" t="s">
        <v>187</v>
      </c>
      <c r="C75" s="242"/>
      <c r="D75" s="243"/>
      <c r="E75" s="107">
        <f>(1/12)*5%</f>
        <v>4.1999999999999997E-3</v>
      </c>
      <c r="F75" s="88">
        <f>E75*F33</f>
        <v>4.7300000000000004</v>
      </c>
    </row>
    <row r="76" spans="1:10">
      <c r="A76" s="85" t="s">
        <v>139</v>
      </c>
      <c r="B76" s="241" t="s">
        <v>188</v>
      </c>
      <c r="C76" s="242"/>
      <c r="D76" s="243"/>
      <c r="E76" s="107">
        <f>E75*E52</f>
        <v>2.9999999999999997E-4</v>
      </c>
      <c r="F76" s="88">
        <f>E76*F33</f>
        <v>0.34</v>
      </c>
      <c r="G76" s="110"/>
    </row>
    <row r="77" spans="1:10">
      <c r="A77" s="85" t="s">
        <v>141</v>
      </c>
      <c r="B77" s="241" t="s">
        <v>189</v>
      </c>
      <c r="C77" s="242"/>
      <c r="D77" s="243"/>
      <c r="E77" s="107">
        <f>((8%*(40%)*90%)*(1+5/56+5/56+(1/3*5/56)))</f>
        <v>3.4799999999999998E-2</v>
      </c>
      <c r="F77" s="88">
        <f>E77*(F33+F40)</f>
        <v>46.79</v>
      </c>
      <c r="G77" s="110"/>
      <c r="H77" s="111"/>
    </row>
    <row r="78" spans="1:10">
      <c r="A78" s="85" t="s">
        <v>143</v>
      </c>
      <c r="B78" s="241" t="s">
        <v>190</v>
      </c>
      <c r="C78" s="242"/>
      <c r="D78" s="243"/>
      <c r="E78" s="107">
        <f>((7/30)/12)</f>
        <v>1.9400000000000001E-2</v>
      </c>
      <c r="F78" s="88">
        <f>E78*F33</f>
        <v>21.84</v>
      </c>
      <c r="G78" s="64"/>
      <c r="H78" s="64"/>
    </row>
    <row r="79" spans="1:10">
      <c r="A79" s="85" t="s">
        <v>145</v>
      </c>
      <c r="B79" s="241" t="s">
        <v>191</v>
      </c>
      <c r="C79" s="242"/>
      <c r="D79" s="243"/>
      <c r="E79" s="107">
        <f>E78*E53</f>
        <v>7.7000000000000002E-3</v>
      </c>
      <c r="F79" s="88">
        <f>E79*F33</f>
        <v>8.67</v>
      </c>
    </row>
    <row r="80" spans="1:10">
      <c r="A80" s="85" t="s">
        <v>147</v>
      </c>
      <c r="B80" s="241" t="s">
        <v>192</v>
      </c>
      <c r="C80" s="242"/>
      <c r="D80" s="243"/>
      <c r="E80" s="107">
        <f>(40%*8%*E78)</f>
        <v>5.9999999999999995E-4</v>
      </c>
      <c r="F80" s="88">
        <f>E80*F33</f>
        <v>0.68</v>
      </c>
    </row>
    <row r="81" spans="1:10">
      <c r="A81" s="238" t="s">
        <v>61</v>
      </c>
      <c r="B81" s="239"/>
      <c r="C81" s="239"/>
      <c r="D81" s="240"/>
      <c r="E81" s="112"/>
      <c r="F81" s="92">
        <f>SUM(F75:F80)</f>
        <v>83.05</v>
      </c>
      <c r="J81" s="118"/>
    </row>
    <row r="82" spans="1:10" s="64" customFormat="1">
      <c r="A82" s="67"/>
      <c r="B82" s="56"/>
      <c r="C82" s="56"/>
      <c r="D82" s="56"/>
      <c r="E82" s="56"/>
      <c r="F82" s="68"/>
      <c r="G82" s="61"/>
      <c r="H82" s="61"/>
    </row>
    <row r="83" spans="1:10" s="64" customFormat="1">
      <c r="A83" s="256" t="s">
        <v>193</v>
      </c>
      <c r="B83" s="257"/>
      <c r="C83" s="257"/>
      <c r="D83" s="257"/>
      <c r="E83" s="257"/>
      <c r="F83" s="259"/>
      <c r="G83" s="61"/>
      <c r="H83" s="61"/>
    </row>
    <row r="84" spans="1:10">
      <c r="A84" s="256" t="s">
        <v>194</v>
      </c>
      <c r="B84" s="257"/>
      <c r="C84" s="257"/>
      <c r="D84" s="257"/>
      <c r="E84" s="257"/>
      <c r="F84" s="259"/>
    </row>
    <row r="85" spans="1:10">
      <c r="A85" s="85" t="s">
        <v>195</v>
      </c>
      <c r="B85" s="256" t="s">
        <v>196</v>
      </c>
      <c r="C85" s="257"/>
      <c r="D85" s="258"/>
      <c r="E85" s="85" t="s">
        <v>153</v>
      </c>
      <c r="F85" s="86" t="s">
        <v>136</v>
      </c>
    </row>
    <row r="86" spans="1:10">
      <c r="A86" s="85" t="s">
        <v>137</v>
      </c>
      <c r="B86" s="241" t="s">
        <v>197</v>
      </c>
      <c r="C86" s="242"/>
      <c r="D86" s="243"/>
      <c r="E86" s="107">
        <f>(1/12)</f>
        <v>8.3299999999999999E-2</v>
      </c>
      <c r="F86" s="88">
        <f t="shared" ref="F86:F91" si="1">E86*F$33</f>
        <v>93.77</v>
      </c>
    </row>
    <row r="87" spans="1:10">
      <c r="A87" s="85" t="s">
        <v>139</v>
      </c>
      <c r="B87" s="241" t="s">
        <v>196</v>
      </c>
      <c r="C87" s="242"/>
      <c r="D87" s="243"/>
      <c r="E87" s="107">
        <f>(1/30)/12</f>
        <v>2.8E-3</v>
      </c>
      <c r="F87" s="88">
        <f t="shared" si="1"/>
        <v>3.15</v>
      </c>
    </row>
    <row r="88" spans="1:10">
      <c r="A88" s="85" t="s">
        <v>141</v>
      </c>
      <c r="B88" s="241" t="s">
        <v>198</v>
      </c>
      <c r="C88" s="242"/>
      <c r="D88" s="243"/>
      <c r="E88" s="107">
        <f>((5/30)/12)*1.5%</f>
        <v>2.0000000000000001E-4</v>
      </c>
      <c r="F88" s="88">
        <f t="shared" si="1"/>
        <v>0.23</v>
      </c>
    </row>
    <row r="89" spans="1:10">
      <c r="A89" s="85" t="s">
        <v>143</v>
      </c>
      <c r="B89" s="241" t="s">
        <v>199</v>
      </c>
      <c r="C89" s="242"/>
      <c r="D89" s="243"/>
      <c r="E89" s="107">
        <f>((15/365)*8%)</f>
        <v>3.3E-3</v>
      </c>
      <c r="F89" s="88">
        <f t="shared" si="1"/>
        <v>3.71</v>
      </c>
    </row>
    <row r="90" spans="1:10">
      <c r="A90" s="85" t="s">
        <v>145</v>
      </c>
      <c r="B90" s="241" t="s">
        <v>200</v>
      </c>
      <c r="C90" s="242"/>
      <c r="D90" s="243"/>
      <c r="E90" s="107">
        <f>(11.11%*2%*(4/12))</f>
        <v>6.9999999999999999E-4</v>
      </c>
      <c r="F90" s="88">
        <f t="shared" si="1"/>
        <v>0.79</v>
      </c>
    </row>
    <row r="91" spans="1:10">
      <c r="A91" s="85" t="s">
        <v>147</v>
      </c>
      <c r="B91" s="241" t="s">
        <v>201</v>
      </c>
      <c r="C91" s="242"/>
      <c r="D91" s="243"/>
      <c r="E91" s="107"/>
      <c r="F91" s="88">
        <f t="shared" si="1"/>
        <v>0</v>
      </c>
    </row>
    <row r="92" spans="1:10" s="64" customFormat="1">
      <c r="A92" s="238" t="s">
        <v>170</v>
      </c>
      <c r="B92" s="239"/>
      <c r="C92" s="239"/>
      <c r="D92" s="240"/>
      <c r="E92" s="112"/>
      <c r="F92" s="92">
        <f>SUM(F86:F91)</f>
        <v>101.65</v>
      </c>
      <c r="G92" s="61"/>
      <c r="H92" s="61"/>
      <c r="J92" s="118"/>
    </row>
    <row r="93" spans="1:10">
      <c r="A93" s="256" t="s">
        <v>202</v>
      </c>
      <c r="B93" s="257"/>
      <c r="C93" s="257"/>
      <c r="D93" s="257"/>
      <c r="E93" s="257"/>
      <c r="F93" s="259"/>
    </row>
    <row r="94" spans="1:10">
      <c r="A94" s="85" t="s">
        <v>203</v>
      </c>
      <c r="B94" s="256" t="s">
        <v>204</v>
      </c>
      <c r="C94" s="257"/>
      <c r="D94" s="258"/>
      <c r="E94" s="85"/>
      <c r="F94" s="86" t="s">
        <v>136</v>
      </c>
    </row>
    <row r="95" spans="1:10">
      <c r="A95" s="85" t="s">
        <v>137</v>
      </c>
      <c r="B95" s="241" t="s">
        <v>205</v>
      </c>
      <c r="C95" s="242"/>
      <c r="D95" s="243"/>
      <c r="E95" s="87"/>
      <c r="F95" s="88">
        <v>0</v>
      </c>
    </row>
    <row r="96" spans="1:10">
      <c r="A96" s="238" t="s">
        <v>61</v>
      </c>
      <c r="B96" s="239"/>
      <c r="C96" s="239"/>
      <c r="D96" s="240"/>
      <c r="E96" s="91"/>
      <c r="F96" s="92">
        <f>SUM(F95:F95)</f>
        <v>0</v>
      </c>
    </row>
    <row r="97" spans="1:10">
      <c r="A97" s="256" t="s">
        <v>206</v>
      </c>
      <c r="B97" s="257"/>
      <c r="C97" s="257"/>
      <c r="D97" s="257"/>
      <c r="E97" s="257"/>
      <c r="F97" s="259"/>
    </row>
    <row r="98" spans="1:10">
      <c r="A98" s="85">
        <v>4</v>
      </c>
      <c r="B98" s="256" t="s">
        <v>207</v>
      </c>
      <c r="C98" s="257"/>
      <c r="D98" s="258"/>
      <c r="E98" s="85"/>
      <c r="F98" s="86" t="s">
        <v>136</v>
      </c>
    </row>
    <row r="99" spans="1:10">
      <c r="A99" s="85" t="s">
        <v>195</v>
      </c>
      <c r="B99" s="241" t="s">
        <v>196</v>
      </c>
      <c r="C99" s="242"/>
      <c r="D99" s="243"/>
      <c r="E99" s="87"/>
      <c r="F99" s="88">
        <f>F92</f>
        <v>101.65</v>
      </c>
    </row>
    <row r="100" spans="1:10">
      <c r="A100" s="85" t="s">
        <v>203</v>
      </c>
      <c r="B100" s="241" t="s">
        <v>204</v>
      </c>
      <c r="C100" s="242"/>
      <c r="D100" s="243"/>
      <c r="E100" s="87"/>
      <c r="F100" s="88">
        <f>F96</f>
        <v>0</v>
      </c>
    </row>
    <row r="101" spans="1:10">
      <c r="A101" s="238" t="s">
        <v>61</v>
      </c>
      <c r="B101" s="239"/>
      <c r="C101" s="239"/>
      <c r="D101" s="240"/>
      <c r="E101" s="91"/>
      <c r="F101" s="92">
        <f>SUM(F99:F100)</f>
        <v>101.65</v>
      </c>
      <c r="J101" s="118"/>
    </row>
    <row r="103" spans="1:10">
      <c r="A103" s="256" t="s">
        <v>208</v>
      </c>
      <c r="B103" s="257"/>
      <c r="C103" s="257"/>
      <c r="D103" s="257"/>
      <c r="E103" s="257"/>
      <c r="F103" s="259"/>
    </row>
    <row r="104" spans="1:10">
      <c r="A104" s="85">
        <v>5</v>
      </c>
      <c r="B104" s="256" t="s">
        <v>209</v>
      </c>
      <c r="C104" s="257"/>
      <c r="D104" s="257"/>
      <c r="E104" s="258"/>
      <c r="F104" s="86" t="s">
        <v>136</v>
      </c>
    </row>
    <row r="105" spans="1:10">
      <c r="A105" s="113" t="s">
        <v>137</v>
      </c>
      <c r="B105" s="241" t="s">
        <v>210</v>
      </c>
      <c r="C105" s="242"/>
      <c r="D105" s="242"/>
      <c r="E105" s="243"/>
      <c r="F105" s="88">
        <f>'SEMAS 2_Uniformes'!K17</f>
        <v>47.46</v>
      </c>
      <c r="H105" s="114"/>
    </row>
    <row r="106" spans="1:10">
      <c r="A106" s="85" t="s">
        <v>139</v>
      </c>
      <c r="B106" s="241" t="s">
        <v>211</v>
      </c>
      <c r="C106" s="242"/>
      <c r="D106" s="242"/>
      <c r="E106" s="243"/>
      <c r="F106" s="88">
        <f>'SEMAS 2_EPI''s'!K17</f>
        <v>31.73</v>
      </c>
    </row>
    <row r="107" spans="1:10">
      <c r="A107" s="85" t="s">
        <v>141</v>
      </c>
      <c r="B107" s="241" t="s">
        <v>212</v>
      </c>
      <c r="C107" s="242"/>
      <c r="D107" s="242"/>
      <c r="E107" s="243"/>
      <c r="F107" s="88">
        <f>'SEMAS 2_Materiais'!K26</f>
        <v>8.86</v>
      </c>
    </row>
    <row r="108" spans="1:10">
      <c r="A108" s="85" t="s">
        <v>143</v>
      </c>
      <c r="B108" s="241" t="s">
        <v>213</v>
      </c>
      <c r="C108" s="242"/>
      <c r="D108" s="242"/>
      <c r="E108" s="243"/>
      <c r="F108" s="88">
        <f>'SEMAS 2_Equipamentos'!M30</f>
        <v>33.15</v>
      </c>
      <c r="H108" s="114"/>
    </row>
    <row r="109" spans="1:10">
      <c r="A109" s="238" t="s">
        <v>170</v>
      </c>
      <c r="B109" s="239"/>
      <c r="C109" s="239"/>
      <c r="D109" s="239"/>
      <c r="E109" s="240"/>
      <c r="F109" s="92">
        <f>SUM(F105:F108)</f>
        <v>121.2</v>
      </c>
      <c r="J109" s="118"/>
    </row>
    <row r="111" spans="1:10">
      <c r="A111" s="254" t="s">
        <v>214</v>
      </c>
      <c r="B111" s="254"/>
      <c r="C111" s="254"/>
      <c r="D111" s="254"/>
      <c r="E111" s="254"/>
      <c r="F111" s="255"/>
    </row>
    <row r="112" spans="1:10">
      <c r="A112" s="85">
        <v>6</v>
      </c>
      <c r="B112" s="256" t="s">
        <v>215</v>
      </c>
      <c r="C112" s="257"/>
      <c r="D112" s="258"/>
      <c r="E112" s="85" t="s">
        <v>153</v>
      </c>
      <c r="F112" s="86" t="s">
        <v>136</v>
      </c>
    </row>
    <row r="113" spans="1:10">
      <c r="A113" s="85" t="s">
        <v>137</v>
      </c>
      <c r="B113" s="241" t="s">
        <v>216</v>
      </c>
      <c r="C113" s="242"/>
      <c r="D113" s="243"/>
      <c r="E113" s="107">
        <v>0.05</v>
      </c>
      <c r="F113" s="88">
        <f>E113*F130</f>
        <v>140.05000000000001</v>
      </c>
    </row>
    <row r="114" spans="1:10">
      <c r="A114" s="85" t="s">
        <v>139</v>
      </c>
      <c r="B114" s="241" t="s">
        <v>217</v>
      </c>
      <c r="C114" s="242"/>
      <c r="D114" s="243"/>
      <c r="E114" s="107">
        <v>6.7900000000000002E-2</v>
      </c>
      <c r="F114" s="88">
        <f>E114*(F130+F113)</f>
        <v>199.7</v>
      </c>
    </row>
    <row r="115" spans="1:10">
      <c r="A115" s="85" t="s">
        <v>141</v>
      </c>
      <c r="B115" s="241" t="s">
        <v>218</v>
      </c>
      <c r="C115" s="242"/>
      <c r="D115" s="243"/>
      <c r="E115" s="107">
        <f>SUM(E116:E120)</f>
        <v>0.14249999999999999</v>
      </c>
      <c r="F115" s="88"/>
    </row>
    <row r="116" spans="1:10">
      <c r="A116" s="85"/>
      <c r="B116" s="241" t="s">
        <v>219</v>
      </c>
      <c r="C116" s="242"/>
      <c r="D116" s="243"/>
      <c r="E116" s="107"/>
      <c r="F116" s="88"/>
      <c r="H116" s="115"/>
    </row>
    <row r="117" spans="1:10">
      <c r="A117" s="85"/>
      <c r="B117" s="241" t="s">
        <v>220</v>
      </c>
      <c r="C117" s="242"/>
      <c r="D117" s="243"/>
      <c r="E117" s="107">
        <v>1.6500000000000001E-2</v>
      </c>
      <c r="F117" s="88">
        <f>E117*((F130+F113+F114)/(1-$E$115))</f>
        <v>60.44</v>
      </c>
      <c r="H117" s="249"/>
      <c r="J117" s="119"/>
    </row>
    <row r="118" spans="1:10">
      <c r="A118" s="85"/>
      <c r="B118" s="241" t="s">
        <v>221</v>
      </c>
      <c r="C118" s="242"/>
      <c r="D118" s="243"/>
      <c r="E118" s="107">
        <v>7.5999999999999998E-2</v>
      </c>
      <c r="F118" s="88">
        <f>E118*(($F$130+$F$113+$F$114)/(1-$E$115))</f>
        <v>278.37</v>
      </c>
      <c r="H118" s="249"/>
      <c r="J118" s="119"/>
    </row>
    <row r="119" spans="1:10" s="65" customFormat="1">
      <c r="A119" s="85"/>
      <c r="B119" s="241" t="s">
        <v>222</v>
      </c>
      <c r="C119" s="242"/>
      <c r="D119" s="243"/>
      <c r="E119" s="107"/>
      <c r="F119" s="88"/>
      <c r="H119" s="249"/>
      <c r="J119" s="120"/>
    </row>
    <row r="120" spans="1:10">
      <c r="A120" s="85"/>
      <c r="B120" s="241" t="s">
        <v>223</v>
      </c>
      <c r="C120" s="242"/>
      <c r="D120" s="243"/>
      <c r="E120" s="107">
        <v>0.05</v>
      </c>
      <c r="F120" s="88">
        <f>E120*(($F$130+$F$113+$F$114)/(1-$E$115))</f>
        <v>183.14</v>
      </c>
      <c r="H120" s="249"/>
      <c r="J120" s="119"/>
    </row>
    <row r="121" spans="1:10">
      <c r="A121" s="238" t="s">
        <v>170</v>
      </c>
      <c r="B121" s="239"/>
      <c r="C121" s="239"/>
      <c r="D121" s="240"/>
      <c r="E121" s="116"/>
      <c r="F121" s="92">
        <f>SUM(F113:F120)</f>
        <v>861.7</v>
      </c>
      <c r="J121" s="118"/>
    </row>
    <row r="123" spans="1:10">
      <c r="A123" s="247" t="s">
        <v>224</v>
      </c>
      <c r="B123" s="247"/>
      <c r="C123" s="247"/>
      <c r="D123" s="247"/>
      <c r="E123" s="247"/>
      <c r="F123" s="250"/>
    </row>
    <row r="124" spans="1:10">
      <c r="A124" s="69"/>
      <c r="B124" s="251" t="s">
        <v>225</v>
      </c>
      <c r="C124" s="252"/>
      <c r="D124" s="252"/>
      <c r="E124" s="253"/>
      <c r="F124" s="117" t="s">
        <v>136</v>
      </c>
    </row>
    <row r="125" spans="1:10">
      <c r="A125" s="85" t="s">
        <v>137</v>
      </c>
      <c r="B125" s="241" t="s">
        <v>134</v>
      </c>
      <c r="C125" s="242"/>
      <c r="D125" s="242"/>
      <c r="E125" s="243"/>
      <c r="F125" s="88">
        <f>F33</f>
        <v>1125.68</v>
      </c>
      <c r="H125" s="110"/>
    </row>
    <row r="126" spans="1:10">
      <c r="A126" s="85" t="s">
        <v>139</v>
      </c>
      <c r="B126" s="241" t="s">
        <v>149</v>
      </c>
      <c r="C126" s="242"/>
      <c r="D126" s="242"/>
      <c r="E126" s="243"/>
      <c r="F126" s="88">
        <f>F71</f>
        <v>1369.5</v>
      </c>
    </row>
    <row r="127" spans="1:10">
      <c r="A127" s="85" t="s">
        <v>141</v>
      </c>
      <c r="B127" s="241" t="s">
        <v>185</v>
      </c>
      <c r="C127" s="242"/>
      <c r="D127" s="242"/>
      <c r="E127" s="243"/>
      <c r="F127" s="88">
        <f>F81</f>
        <v>83.05</v>
      </c>
    </row>
    <row r="128" spans="1:10">
      <c r="A128" s="85" t="s">
        <v>143</v>
      </c>
      <c r="B128" s="241" t="s">
        <v>193</v>
      </c>
      <c r="C128" s="242"/>
      <c r="D128" s="242"/>
      <c r="E128" s="243"/>
      <c r="F128" s="88">
        <f>F101</f>
        <v>101.65</v>
      </c>
      <c r="H128" s="110"/>
    </row>
    <row r="129" spans="1:10">
      <c r="A129" s="85" t="s">
        <v>145</v>
      </c>
      <c r="B129" s="241" t="s">
        <v>208</v>
      </c>
      <c r="C129" s="242"/>
      <c r="D129" s="242"/>
      <c r="E129" s="243"/>
      <c r="F129" s="88">
        <f>F109</f>
        <v>121.2</v>
      </c>
      <c r="H129" s="110"/>
    </row>
    <row r="130" spans="1:10">
      <c r="A130" s="238" t="s">
        <v>226</v>
      </c>
      <c r="B130" s="239"/>
      <c r="C130" s="239"/>
      <c r="D130" s="239"/>
      <c r="E130" s="240"/>
      <c r="F130" s="92">
        <f>SUM(F125:F129)</f>
        <v>2801.08</v>
      </c>
      <c r="I130" s="114"/>
      <c r="J130" s="114"/>
    </row>
    <row r="131" spans="1:10">
      <c r="A131" s="85" t="s">
        <v>147</v>
      </c>
      <c r="B131" s="241" t="s">
        <v>227</v>
      </c>
      <c r="C131" s="242"/>
      <c r="D131" s="242"/>
      <c r="E131" s="243"/>
      <c r="F131" s="88">
        <f>F121</f>
        <v>861.7</v>
      </c>
    </row>
    <row r="132" spans="1:10">
      <c r="A132" s="244" t="s">
        <v>228</v>
      </c>
      <c r="B132" s="245"/>
      <c r="C132" s="245"/>
      <c r="D132" s="245"/>
      <c r="E132" s="246"/>
      <c r="F132" s="121">
        <f>SUM(F130:F131)</f>
        <v>3662.78</v>
      </c>
      <c r="H132" s="110"/>
    </row>
    <row r="134" spans="1:10" s="66" customFormat="1">
      <c r="A134" s="247" t="s">
        <v>229</v>
      </c>
      <c r="B134" s="247"/>
      <c r="C134" s="247"/>
      <c r="D134" s="247"/>
      <c r="E134" s="247"/>
      <c r="F134" s="247"/>
      <c r="G134" s="122"/>
      <c r="H134" s="122"/>
      <c r="I134" s="122"/>
    </row>
    <row r="135" spans="1:10" s="66" customFormat="1" ht="38.25">
      <c r="A135" s="69" t="s">
        <v>230</v>
      </c>
      <c r="B135" s="69" t="s">
        <v>231</v>
      </c>
      <c r="C135" s="69" t="s">
        <v>232</v>
      </c>
      <c r="D135" s="69" t="s">
        <v>233</v>
      </c>
      <c r="E135" s="69" t="s">
        <v>234</v>
      </c>
      <c r="F135" s="123" t="s">
        <v>235</v>
      </c>
    </row>
    <row r="136" spans="1:10" s="66" customFormat="1" ht="45" customHeight="1">
      <c r="A136" s="124" t="str">
        <f>A15</f>
        <v>Servente Interno: 30 h</v>
      </c>
      <c r="B136" s="125">
        <f>F132</f>
        <v>3662.78</v>
      </c>
      <c r="C136" s="126">
        <v>1</v>
      </c>
      <c r="D136" s="125">
        <f>B136*C136</f>
        <v>3662.78</v>
      </c>
      <c r="E136" s="87">
        <f>F15</f>
        <v>5</v>
      </c>
      <c r="F136" s="125">
        <f>D136*E136</f>
        <v>18313.900000000001</v>
      </c>
    </row>
    <row r="137" spans="1:10" s="66" customFormat="1" ht="21" customHeight="1">
      <c r="A137" s="238" t="s">
        <v>236</v>
      </c>
      <c r="B137" s="239"/>
      <c r="C137" s="239"/>
      <c r="D137" s="239"/>
      <c r="E137" s="240"/>
      <c r="F137" s="127">
        <f>SUM(F136)</f>
        <v>18313.900000000001</v>
      </c>
    </row>
    <row r="138" spans="1:10" s="66" customFormat="1" ht="21" customHeight="1">
      <c r="A138" s="244" t="s">
        <v>237</v>
      </c>
      <c r="B138" s="245"/>
      <c r="C138" s="245"/>
      <c r="D138" s="245"/>
      <c r="E138" s="246"/>
      <c r="F138" s="128">
        <f>F137*F11</f>
        <v>219766.8</v>
      </c>
    </row>
  </sheetData>
  <mergeCells count="134">
    <mergeCell ref="A1:E1"/>
    <mergeCell ref="A2:E2"/>
    <mergeCell ref="A3:E3"/>
    <mergeCell ref="A4:E4"/>
    <mergeCell ref="A5:E5"/>
    <mergeCell ref="A6:F6"/>
    <mergeCell ref="A7:F7"/>
    <mergeCell ref="B8:E8"/>
    <mergeCell ref="B9:E9"/>
    <mergeCell ref="B10:E10"/>
    <mergeCell ref="B11:E11"/>
    <mergeCell ref="A12:F12"/>
    <mergeCell ref="A13:F13"/>
    <mergeCell ref="A14:C14"/>
    <mergeCell ref="D14:E14"/>
    <mergeCell ref="A15:C15"/>
    <mergeCell ref="D15:E15"/>
    <mergeCell ref="A16:F16"/>
    <mergeCell ref="A17:F17"/>
    <mergeCell ref="A18:F18"/>
    <mergeCell ref="B19:E19"/>
    <mergeCell ref="B20:E20"/>
    <mergeCell ref="B21:E21"/>
    <mergeCell ref="B22:E22"/>
    <mergeCell ref="B23:E23"/>
    <mergeCell ref="A24:F24"/>
    <mergeCell ref="A25:F25"/>
    <mergeCell ref="B26:D26"/>
    <mergeCell ref="B27:D27"/>
    <mergeCell ref="B28:D28"/>
    <mergeCell ref="B29:D29"/>
    <mergeCell ref="B30:D30"/>
    <mergeCell ref="B31:D31"/>
    <mergeCell ref="B32:D32"/>
    <mergeCell ref="A33:D33"/>
    <mergeCell ref="A34:F34"/>
    <mergeCell ref="A35:F35"/>
    <mergeCell ref="A36:F36"/>
    <mergeCell ref="B37:D37"/>
    <mergeCell ref="B38:D38"/>
    <mergeCell ref="B39:D39"/>
    <mergeCell ref="A40:D40"/>
    <mergeCell ref="B41:D41"/>
    <mergeCell ref="A42:D42"/>
    <mergeCell ref="A43:F43"/>
    <mergeCell ref="B44:D44"/>
    <mergeCell ref="B45:D45"/>
    <mergeCell ref="B46:D46"/>
    <mergeCell ref="B47:D47"/>
    <mergeCell ref="B48:D48"/>
    <mergeCell ref="B49:D49"/>
    <mergeCell ref="B50:D50"/>
    <mergeCell ref="B51:D51"/>
    <mergeCell ref="B52:D52"/>
    <mergeCell ref="A53:D53"/>
    <mergeCell ref="A54:F54"/>
    <mergeCell ref="B55:D55"/>
    <mergeCell ref="B56:D56"/>
    <mergeCell ref="B57:D57"/>
    <mergeCell ref="B58:D58"/>
    <mergeCell ref="B59:D59"/>
    <mergeCell ref="B60:D60"/>
    <mergeCell ref="B61:D61"/>
    <mergeCell ref="B62:D62"/>
    <mergeCell ref="B63:D63"/>
    <mergeCell ref="B64:D64"/>
    <mergeCell ref="A65:D65"/>
    <mergeCell ref="A66:F66"/>
    <mergeCell ref="B67:D67"/>
    <mergeCell ref="B68:D68"/>
    <mergeCell ref="B69:D69"/>
    <mergeCell ref="B70:D70"/>
    <mergeCell ref="A71:D71"/>
    <mergeCell ref="A73:F73"/>
    <mergeCell ref="B74:D74"/>
    <mergeCell ref="B75:D75"/>
    <mergeCell ref="B76:D76"/>
    <mergeCell ref="B77:D77"/>
    <mergeCell ref="B78:D78"/>
    <mergeCell ref="B79:D79"/>
    <mergeCell ref="B80:D80"/>
    <mergeCell ref="A81:D81"/>
    <mergeCell ref="A83:F83"/>
    <mergeCell ref="A84:F84"/>
    <mergeCell ref="B85:D85"/>
    <mergeCell ref="B86:D86"/>
    <mergeCell ref="B87:D87"/>
    <mergeCell ref="B88:D88"/>
    <mergeCell ref="B89:D89"/>
    <mergeCell ref="B90:D90"/>
    <mergeCell ref="B91:D91"/>
    <mergeCell ref="A92:D92"/>
    <mergeCell ref="A93:F93"/>
    <mergeCell ref="B94:D94"/>
    <mergeCell ref="B95:D95"/>
    <mergeCell ref="A96:D96"/>
    <mergeCell ref="A97:F97"/>
    <mergeCell ref="B98:D98"/>
    <mergeCell ref="B99:D99"/>
    <mergeCell ref="B118:D118"/>
    <mergeCell ref="B119:D119"/>
    <mergeCell ref="B100:D100"/>
    <mergeCell ref="A101:D101"/>
    <mergeCell ref="A103:F103"/>
    <mergeCell ref="B104:E104"/>
    <mergeCell ref="B105:E105"/>
    <mergeCell ref="B106:E106"/>
    <mergeCell ref="B107:E107"/>
    <mergeCell ref="B108:E108"/>
    <mergeCell ref="A109:E109"/>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s>
  <pageMargins left="0.55416666666666703" right="0.35763888888888901" top="0.60555555555555596" bottom="0.40902777777777799" header="0.5" footer="0.5"/>
  <pageSetup paperSize="9" scale="7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59999389629810485"/>
  </sheetPr>
  <dimension ref="A1:K138"/>
  <sheetViews>
    <sheetView view="pageBreakPreview" topLeftCell="A62" zoomScale="110" zoomScaleNormal="115" workbookViewId="0">
      <selection activeCell="E87" sqref="E87"/>
    </sheetView>
  </sheetViews>
  <sheetFormatPr defaultColWidth="2.5703125" defaultRowHeight="12.75"/>
  <cols>
    <col min="1" max="1" width="12.85546875" style="67" customWidth="1"/>
    <col min="2" max="2" width="24.5703125" style="56" customWidth="1"/>
    <col min="3" max="3" width="24.28515625" style="56" customWidth="1"/>
    <col min="4" max="4" width="15.7109375" style="56" customWidth="1"/>
    <col min="5" max="5" width="15.140625" style="56" customWidth="1"/>
    <col min="6" max="6" width="30.140625" style="68" customWidth="1"/>
    <col min="7" max="7" width="21.5703125" style="61" customWidth="1"/>
    <col min="8" max="8" width="85.28515625" style="61" customWidth="1"/>
    <col min="9" max="9" width="18.28515625" style="61" customWidth="1"/>
    <col min="10" max="10" width="25.7109375" style="61" customWidth="1"/>
    <col min="11" max="16384" width="2.5703125" style="61"/>
  </cols>
  <sheetData>
    <row r="1" spans="1:11" s="60" customFormat="1" ht="23.1" customHeight="1">
      <c r="A1" s="247" t="s">
        <v>105</v>
      </c>
      <c r="B1" s="247"/>
      <c r="C1" s="247"/>
      <c r="D1" s="247"/>
      <c r="E1" s="247"/>
      <c r="F1" s="248"/>
      <c r="G1" s="67"/>
      <c r="H1" s="67"/>
    </row>
    <row r="2" spans="1:11" ht="21" customHeight="1">
      <c r="A2" s="247" t="s">
        <v>240</v>
      </c>
      <c r="B2" s="247"/>
      <c r="C2" s="247"/>
      <c r="D2" s="247"/>
      <c r="E2" s="247"/>
      <c r="F2" s="248"/>
      <c r="G2" s="70"/>
      <c r="H2" s="70"/>
    </row>
    <row r="3" spans="1:11" s="62" customFormat="1" ht="15">
      <c r="A3" s="283" t="s">
        <v>107</v>
      </c>
      <c r="B3" s="283"/>
      <c r="C3" s="283"/>
      <c r="D3" s="283"/>
      <c r="E3" s="283"/>
      <c r="F3" s="248"/>
      <c r="G3" s="71"/>
      <c r="H3" s="71"/>
      <c r="I3" s="71"/>
      <c r="J3" s="71"/>
      <c r="K3" s="71"/>
    </row>
    <row r="4" spans="1:11" s="62" customFormat="1" ht="15">
      <c r="A4" s="283" t="s">
        <v>108</v>
      </c>
      <c r="B4" s="283"/>
      <c r="C4" s="283"/>
      <c r="D4" s="283"/>
      <c r="E4" s="283"/>
      <c r="F4" s="248"/>
      <c r="G4" s="71"/>
      <c r="H4" s="72"/>
      <c r="I4" s="71"/>
      <c r="J4" s="71"/>
      <c r="K4" s="71"/>
    </row>
    <row r="5" spans="1:11" s="62" customFormat="1" ht="15">
      <c r="A5" s="283" t="s">
        <v>109</v>
      </c>
      <c r="B5" s="283"/>
      <c r="C5" s="283"/>
      <c r="D5" s="283"/>
      <c r="E5" s="283"/>
      <c r="F5" s="248"/>
      <c r="G5" s="71"/>
      <c r="H5" s="71"/>
      <c r="I5" s="71"/>
      <c r="J5" s="71"/>
      <c r="K5" s="71"/>
    </row>
    <row r="6" spans="1:11" s="62" customFormat="1" ht="15">
      <c r="A6" s="284"/>
      <c r="B6" s="284"/>
      <c r="C6" s="284"/>
      <c r="D6" s="284"/>
      <c r="E6" s="284"/>
      <c r="F6" s="285"/>
      <c r="G6" s="71"/>
      <c r="H6" s="71"/>
      <c r="I6" s="71"/>
      <c r="J6" s="71"/>
      <c r="K6" s="71"/>
    </row>
    <row r="7" spans="1:11">
      <c r="A7" s="269" t="s">
        <v>110</v>
      </c>
      <c r="B7" s="269"/>
      <c r="C7" s="269"/>
      <c r="D7" s="269"/>
      <c r="E7" s="269"/>
      <c r="F7" s="270"/>
      <c r="G7" s="60"/>
      <c r="H7" s="60"/>
    </row>
    <row r="8" spans="1:11" ht="18" customHeight="1">
      <c r="A8" s="73" t="s">
        <v>111</v>
      </c>
      <c r="B8" s="280" t="s">
        <v>112</v>
      </c>
      <c r="C8" s="280"/>
      <c r="D8" s="280"/>
      <c r="E8" s="280"/>
      <c r="F8" s="74" t="s">
        <v>113</v>
      </c>
    </row>
    <row r="9" spans="1:11" ht="18" customHeight="1">
      <c r="A9" s="73" t="s">
        <v>111</v>
      </c>
      <c r="B9" s="280" t="s">
        <v>114</v>
      </c>
      <c r="C9" s="280"/>
      <c r="D9" s="280"/>
      <c r="E9" s="280"/>
      <c r="F9" s="75" t="s">
        <v>115</v>
      </c>
    </row>
    <row r="10" spans="1:11" ht="18" customHeight="1">
      <c r="A10" s="73" t="s">
        <v>111</v>
      </c>
      <c r="B10" s="280" t="s">
        <v>116</v>
      </c>
      <c r="C10" s="280"/>
      <c r="D10" s="280"/>
      <c r="E10" s="280"/>
      <c r="F10" s="74" t="s">
        <v>117</v>
      </c>
    </row>
    <row r="11" spans="1:11" ht="18" customHeight="1">
      <c r="A11" s="73" t="s">
        <v>111</v>
      </c>
      <c r="B11" s="280" t="s">
        <v>118</v>
      </c>
      <c r="C11" s="280"/>
      <c r="D11" s="280"/>
      <c r="E11" s="280"/>
      <c r="F11" s="76">
        <v>12</v>
      </c>
    </row>
    <row r="12" spans="1:11" customFormat="1" ht="15">
      <c r="A12" s="277"/>
      <c r="B12" s="278"/>
      <c r="C12" s="278"/>
      <c r="D12" s="278"/>
      <c r="E12" s="278"/>
      <c r="F12" s="279"/>
      <c r="G12" s="61"/>
      <c r="H12" s="61"/>
    </row>
    <row r="13" spans="1:11" s="60" customFormat="1">
      <c r="A13" s="269" t="s">
        <v>119</v>
      </c>
      <c r="B13" s="269"/>
      <c r="C13" s="269"/>
      <c r="D13" s="269"/>
      <c r="E13" s="269"/>
      <c r="F13" s="270"/>
    </row>
    <row r="14" spans="1:11">
      <c r="A14" s="281" t="s">
        <v>120</v>
      </c>
      <c r="B14" s="281"/>
      <c r="C14" s="281"/>
      <c r="D14" s="281" t="s">
        <v>121</v>
      </c>
      <c r="E14" s="281"/>
      <c r="F14" s="77" t="s">
        <v>122</v>
      </c>
      <c r="H14" s="60"/>
    </row>
    <row r="15" spans="1:11">
      <c r="A15" s="281" t="s">
        <v>242</v>
      </c>
      <c r="B15" s="281"/>
      <c r="C15" s="281"/>
      <c r="D15" s="282" t="s">
        <v>80</v>
      </c>
      <c r="E15" s="282"/>
      <c r="F15" s="78">
        <f>'SEMAS TOTALIZADOR GERAL'!F6</f>
        <v>8</v>
      </c>
      <c r="H15" s="60"/>
    </row>
    <row r="16" spans="1:11" customFormat="1" ht="15">
      <c r="A16" s="277"/>
      <c r="B16" s="278"/>
      <c r="C16" s="278"/>
      <c r="D16" s="278"/>
      <c r="E16" s="278"/>
      <c r="F16" s="279"/>
      <c r="G16" s="61"/>
      <c r="H16" s="60"/>
    </row>
    <row r="17" spans="1:9" s="60" customFormat="1">
      <c r="A17" s="269" t="s">
        <v>124</v>
      </c>
      <c r="B17" s="269"/>
      <c r="C17" s="269"/>
      <c r="D17" s="269"/>
      <c r="E17" s="269"/>
      <c r="F17" s="270"/>
    </row>
    <row r="18" spans="1:9">
      <c r="A18" s="269" t="s">
        <v>125</v>
      </c>
      <c r="B18" s="269"/>
      <c r="C18" s="269"/>
      <c r="D18" s="269"/>
      <c r="E18" s="269"/>
      <c r="F18" s="270"/>
      <c r="G18" s="60"/>
      <c r="H18" s="60"/>
    </row>
    <row r="19" spans="1:9">
      <c r="A19" s="73">
        <v>1</v>
      </c>
      <c r="B19" s="271" t="s">
        <v>126</v>
      </c>
      <c r="C19" s="272"/>
      <c r="D19" s="272"/>
      <c r="E19" s="273"/>
      <c r="F19" s="79" t="s">
        <v>127</v>
      </c>
    </row>
    <row r="20" spans="1:9" ht="15">
      <c r="A20" s="80">
        <v>2</v>
      </c>
      <c r="B20" s="274" t="s">
        <v>128</v>
      </c>
      <c r="C20" s="275"/>
      <c r="D20" s="275"/>
      <c r="E20" s="276"/>
      <c r="F20" s="81" t="s">
        <v>129</v>
      </c>
      <c r="G20" s="82"/>
      <c r="H20" s="83"/>
      <c r="I20" s="83"/>
    </row>
    <row r="21" spans="1:9">
      <c r="A21" s="73">
        <v>3</v>
      </c>
      <c r="B21" s="271" t="s">
        <v>130</v>
      </c>
      <c r="C21" s="272"/>
      <c r="D21" s="272"/>
      <c r="E21" s="273"/>
      <c r="F21" s="84">
        <f>'RAIZ DOS DADOS'!D6</f>
        <v>1651</v>
      </c>
    </row>
    <row r="22" spans="1:9">
      <c r="A22" s="73">
        <v>4</v>
      </c>
      <c r="B22" s="271" t="s">
        <v>131</v>
      </c>
      <c r="C22" s="272"/>
      <c r="D22" s="272"/>
      <c r="E22" s="273"/>
      <c r="F22" s="79" t="s">
        <v>52</v>
      </c>
    </row>
    <row r="23" spans="1:9">
      <c r="A23" s="73">
        <v>5</v>
      </c>
      <c r="B23" s="271" t="s">
        <v>132</v>
      </c>
      <c r="C23" s="272"/>
      <c r="D23" s="272"/>
      <c r="E23" s="273"/>
      <c r="F23" s="79" t="s">
        <v>133</v>
      </c>
    </row>
    <row r="24" spans="1:9">
      <c r="A24" s="277"/>
      <c r="B24" s="278"/>
      <c r="C24" s="278"/>
      <c r="D24" s="278"/>
      <c r="E24" s="278"/>
      <c r="F24" s="279"/>
    </row>
    <row r="25" spans="1:9">
      <c r="A25" s="256" t="s">
        <v>134</v>
      </c>
      <c r="B25" s="257"/>
      <c r="C25" s="257"/>
      <c r="D25" s="257"/>
      <c r="E25" s="257"/>
      <c r="F25" s="259"/>
    </row>
    <row r="26" spans="1:9">
      <c r="A26" s="85">
        <v>1</v>
      </c>
      <c r="B26" s="256" t="s">
        <v>135</v>
      </c>
      <c r="C26" s="257"/>
      <c r="D26" s="258"/>
      <c r="E26" s="85"/>
      <c r="F26" s="86" t="s">
        <v>136</v>
      </c>
    </row>
    <row r="27" spans="1:9">
      <c r="A27" s="85" t="s">
        <v>137</v>
      </c>
      <c r="B27" s="241" t="s">
        <v>138</v>
      </c>
      <c r="C27" s="242"/>
      <c r="D27" s="243"/>
      <c r="E27" s="87" t="s">
        <v>63</v>
      </c>
      <c r="F27" s="88">
        <f>(F21/44)*30</f>
        <v>1125.68</v>
      </c>
      <c r="H27" s="89"/>
    </row>
    <row r="28" spans="1:9">
      <c r="A28" s="85" t="s">
        <v>139</v>
      </c>
      <c r="B28" s="241" t="s">
        <v>140</v>
      </c>
      <c r="C28" s="242"/>
      <c r="D28" s="243"/>
      <c r="E28" s="87"/>
      <c r="F28" s="88"/>
    </row>
    <row r="29" spans="1:9">
      <c r="A29" s="85" t="s">
        <v>141</v>
      </c>
      <c r="B29" s="241" t="s">
        <v>142</v>
      </c>
      <c r="C29" s="242"/>
      <c r="D29" s="243"/>
      <c r="E29" s="90"/>
      <c r="F29" s="88"/>
    </row>
    <row r="30" spans="1:9">
      <c r="A30" s="85" t="s">
        <v>143</v>
      </c>
      <c r="B30" s="241" t="s">
        <v>144</v>
      </c>
      <c r="C30" s="242"/>
      <c r="D30" s="243"/>
      <c r="E30" s="87"/>
      <c r="F30" s="88"/>
    </row>
    <row r="31" spans="1:9">
      <c r="A31" s="85" t="s">
        <v>145</v>
      </c>
      <c r="B31" s="241" t="s">
        <v>146</v>
      </c>
      <c r="C31" s="242"/>
      <c r="D31" s="243"/>
      <c r="E31" s="87"/>
      <c r="F31" s="88"/>
    </row>
    <row r="32" spans="1:9">
      <c r="A32" s="85" t="s">
        <v>147</v>
      </c>
      <c r="B32" s="241" t="s">
        <v>148</v>
      </c>
      <c r="C32" s="242"/>
      <c r="D32" s="243"/>
      <c r="E32" s="87"/>
      <c r="F32" s="88"/>
    </row>
    <row r="33" spans="1:8">
      <c r="A33" s="238" t="s">
        <v>61</v>
      </c>
      <c r="B33" s="239"/>
      <c r="C33" s="239"/>
      <c r="D33" s="240"/>
      <c r="E33" s="91"/>
      <c r="F33" s="92">
        <f>SUM(F27:F32)</f>
        <v>1125.68</v>
      </c>
    </row>
    <row r="34" spans="1:8">
      <c r="A34" s="266"/>
      <c r="B34" s="267"/>
      <c r="C34" s="267"/>
      <c r="D34" s="267"/>
      <c r="E34" s="267"/>
      <c r="F34" s="268"/>
    </row>
    <row r="35" spans="1:8">
      <c r="A35" s="254" t="s">
        <v>149</v>
      </c>
      <c r="B35" s="254"/>
      <c r="C35" s="254"/>
      <c r="D35" s="254"/>
      <c r="E35" s="254"/>
      <c r="F35" s="255"/>
    </row>
    <row r="36" spans="1:8">
      <c r="A36" s="254" t="s">
        <v>150</v>
      </c>
      <c r="B36" s="254"/>
      <c r="C36" s="254"/>
      <c r="D36" s="254"/>
      <c r="E36" s="254"/>
      <c r="F36" s="255"/>
      <c r="H36" s="93"/>
    </row>
    <row r="37" spans="1:8">
      <c r="A37" s="85" t="s">
        <v>151</v>
      </c>
      <c r="B37" s="256" t="s">
        <v>152</v>
      </c>
      <c r="C37" s="257"/>
      <c r="D37" s="258"/>
      <c r="E37" s="85" t="s">
        <v>153</v>
      </c>
      <c r="F37" s="86" t="s">
        <v>136</v>
      </c>
    </row>
    <row r="38" spans="1:8">
      <c r="A38" s="85" t="s">
        <v>137</v>
      </c>
      <c r="B38" s="241" t="s">
        <v>154</v>
      </c>
      <c r="C38" s="242"/>
      <c r="D38" s="243"/>
      <c r="E38" s="94">
        <f>1/12</f>
        <v>8.3299999999999999E-2</v>
      </c>
      <c r="F38" s="88">
        <f>F33*E38</f>
        <v>93.77</v>
      </c>
    </row>
    <row r="39" spans="1:8">
      <c r="A39" s="85" t="s">
        <v>139</v>
      </c>
      <c r="B39" s="241" t="s">
        <v>155</v>
      </c>
      <c r="C39" s="242"/>
      <c r="D39" s="243"/>
      <c r="E39" s="94">
        <f>(1/12)+(1/3)/12</f>
        <v>0.1111</v>
      </c>
      <c r="F39" s="88">
        <f>F33*E39</f>
        <v>125.06</v>
      </c>
    </row>
    <row r="40" spans="1:8">
      <c r="A40" s="263" t="s">
        <v>61</v>
      </c>
      <c r="B40" s="264"/>
      <c r="C40" s="264"/>
      <c r="D40" s="265"/>
      <c r="E40" s="95">
        <f>SUM(E38:E39)</f>
        <v>0.19439999999999999</v>
      </c>
      <c r="F40" s="96">
        <f>SUM(F38:F39)</f>
        <v>218.83</v>
      </c>
    </row>
    <row r="41" spans="1:8">
      <c r="A41" s="85" t="s">
        <v>141</v>
      </c>
      <c r="B41" s="241" t="s">
        <v>156</v>
      </c>
      <c r="C41" s="242"/>
      <c r="D41" s="243"/>
      <c r="E41" s="94">
        <f>E40*E53</f>
        <v>7.7399999999999997E-2</v>
      </c>
      <c r="F41" s="96">
        <f>E41*F33</f>
        <v>87.13</v>
      </c>
    </row>
    <row r="42" spans="1:8">
      <c r="A42" s="238" t="s">
        <v>61</v>
      </c>
      <c r="B42" s="239"/>
      <c r="C42" s="239"/>
      <c r="D42" s="240"/>
      <c r="E42" s="97">
        <f>SUM(E40:E41)</f>
        <v>0.27179999999999999</v>
      </c>
      <c r="F42" s="92">
        <f>SUM(F40:F41)</f>
        <v>305.95999999999998</v>
      </c>
      <c r="H42" s="93"/>
    </row>
    <row r="43" spans="1:8">
      <c r="A43" s="254" t="s">
        <v>157</v>
      </c>
      <c r="B43" s="254"/>
      <c r="C43" s="254"/>
      <c r="D43" s="254"/>
      <c r="E43" s="254"/>
      <c r="F43" s="255"/>
    </row>
    <row r="44" spans="1:8">
      <c r="A44" s="85" t="s">
        <v>158</v>
      </c>
      <c r="B44" s="256" t="s">
        <v>159</v>
      </c>
      <c r="C44" s="257"/>
      <c r="D44" s="258"/>
      <c r="E44" s="85" t="s">
        <v>153</v>
      </c>
      <c r="F44" s="86" t="s">
        <v>136</v>
      </c>
    </row>
    <row r="45" spans="1:8">
      <c r="A45" s="85" t="s">
        <v>137</v>
      </c>
      <c r="B45" s="241" t="s">
        <v>160</v>
      </c>
      <c r="C45" s="242"/>
      <c r="D45" s="243"/>
      <c r="E45" s="94">
        <v>0.2</v>
      </c>
      <c r="F45" s="88">
        <f t="shared" ref="F45:F52" si="0">E45*F$33</f>
        <v>225.14</v>
      </c>
    </row>
    <row r="46" spans="1:8">
      <c r="A46" s="85" t="s">
        <v>139</v>
      </c>
      <c r="B46" s="241" t="s">
        <v>161</v>
      </c>
      <c r="C46" s="242"/>
      <c r="D46" s="243"/>
      <c r="E46" s="94">
        <v>2.5000000000000001E-2</v>
      </c>
      <c r="F46" s="88">
        <f t="shared" si="0"/>
        <v>28.14</v>
      </c>
      <c r="G46" s="63"/>
      <c r="H46" s="98"/>
    </row>
    <row r="47" spans="1:8">
      <c r="A47" s="85" t="s">
        <v>141</v>
      </c>
      <c r="B47" s="241" t="s">
        <v>162</v>
      </c>
      <c r="C47" s="242"/>
      <c r="D47" s="243"/>
      <c r="E47" s="99">
        <f>(2*3)/100</f>
        <v>0.06</v>
      </c>
      <c r="F47" s="88">
        <f t="shared" si="0"/>
        <v>67.540000000000006</v>
      </c>
      <c r="G47" s="100"/>
      <c r="H47" s="100"/>
    </row>
    <row r="48" spans="1:8">
      <c r="A48" s="85" t="s">
        <v>143</v>
      </c>
      <c r="B48" s="241" t="s">
        <v>163</v>
      </c>
      <c r="C48" s="242"/>
      <c r="D48" s="243"/>
      <c r="E48" s="94">
        <v>1.4999999999999999E-2</v>
      </c>
      <c r="F48" s="88">
        <f t="shared" si="0"/>
        <v>16.89</v>
      </c>
    </row>
    <row r="49" spans="1:8">
      <c r="A49" s="85" t="s">
        <v>145</v>
      </c>
      <c r="B49" s="241" t="s">
        <v>164</v>
      </c>
      <c r="C49" s="242"/>
      <c r="D49" s="243"/>
      <c r="E49" s="94">
        <v>0.01</v>
      </c>
      <c r="F49" s="88">
        <f t="shared" si="0"/>
        <v>11.26</v>
      </c>
    </row>
    <row r="50" spans="1:8">
      <c r="A50" s="85" t="s">
        <v>147</v>
      </c>
      <c r="B50" s="241" t="s">
        <v>165</v>
      </c>
      <c r="C50" s="242"/>
      <c r="D50" s="243"/>
      <c r="E50" s="94">
        <v>6.0000000000000001E-3</v>
      </c>
      <c r="F50" s="88">
        <f t="shared" si="0"/>
        <v>6.75</v>
      </c>
    </row>
    <row r="51" spans="1:8">
      <c r="A51" s="85" t="s">
        <v>166</v>
      </c>
      <c r="B51" s="241" t="s">
        <v>167</v>
      </c>
      <c r="C51" s="242"/>
      <c r="D51" s="243"/>
      <c r="E51" s="94">
        <v>2E-3</v>
      </c>
      <c r="F51" s="88">
        <f t="shared" si="0"/>
        <v>2.25</v>
      </c>
    </row>
    <row r="52" spans="1:8">
      <c r="A52" s="85" t="s">
        <v>168</v>
      </c>
      <c r="B52" s="241" t="s">
        <v>169</v>
      </c>
      <c r="C52" s="242"/>
      <c r="D52" s="243"/>
      <c r="E52" s="94">
        <v>0.08</v>
      </c>
      <c r="F52" s="88">
        <f t="shared" si="0"/>
        <v>90.05</v>
      </c>
    </row>
    <row r="53" spans="1:8">
      <c r="A53" s="238" t="s">
        <v>170</v>
      </c>
      <c r="B53" s="239"/>
      <c r="C53" s="239"/>
      <c r="D53" s="240"/>
      <c r="E53" s="97">
        <f>SUM(E45:E52)</f>
        <v>0.39800000000000002</v>
      </c>
      <c r="F53" s="92">
        <f>SUM(F45:F52)</f>
        <v>448.02</v>
      </c>
    </row>
    <row r="54" spans="1:8">
      <c r="A54" s="256" t="s">
        <v>171</v>
      </c>
      <c r="B54" s="257"/>
      <c r="C54" s="257"/>
      <c r="D54" s="257"/>
      <c r="E54" s="257"/>
      <c r="F54" s="259"/>
    </row>
    <row r="55" spans="1:8">
      <c r="A55" s="85" t="s">
        <v>172</v>
      </c>
      <c r="B55" s="256" t="s">
        <v>173</v>
      </c>
      <c r="C55" s="257"/>
      <c r="D55" s="258"/>
      <c r="E55" s="85"/>
      <c r="F55" s="86" t="s">
        <v>136</v>
      </c>
    </row>
    <row r="56" spans="1:8">
      <c r="A56" s="85" t="s">
        <v>137</v>
      </c>
      <c r="B56" s="241" t="s">
        <v>174</v>
      </c>
      <c r="C56" s="242"/>
      <c r="D56" s="243"/>
      <c r="E56" s="87"/>
      <c r="F56" s="88">
        <f>((E57*E58)*E59)-(6%*F27)</f>
        <v>64.459999999999994</v>
      </c>
      <c r="H56" s="70"/>
    </row>
    <row r="57" spans="1:8">
      <c r="A57" s="85"/>
      <c r="B57" s="241" t="s">
        <v>175</v>
      </c>
      <c r="C57" s="242"/>
      <c r="D57" s="243"/>
      <c r="E57" s="101">
        <f>'RAIZ DOS DADOS'!D31</f>
        <v>3</v>
      </c>
      <c r="F57" s="79" t="s">
        <v>69</v>
      </c>
      <c r="H57" s="131"/>
    </row>
    <row r="58" spans="1:8">
      <c r="A58" s="85"/>
      <c r="B58" s="241" t="s">
        <v>176</v>
      </c>
      <c r="C58" s="242"/>
      <c r="D58" s="243"/>
      <c r="E58" s="102">
        <v>2</v>
      </c>
      <c r="F58" s="79" t="s">
        <v>69</v>
      </c>
      <c r="H58" s="70"/>
    </row>
    <row r="59" spans="1:8">
      <c r="A59" s="85"/>
      <c r="B59" s="241" t="s">
        <v>177</v>
      </c>
      <c r="C59" s="242"/>
      <c r="D59" s="243"/>
      <c r="E59" s="102">
        <f>'RAIZ DOS DADOS'!D33</f>
        <v>22</v>
      </c>
      <c r="F59" s="79" t="s">
        <v>69</v>
      </c>
      <c r="H59" s="70"/>
    </row>
    <row r="60" spans="1:8">
      <c r="A60" s="85" t="s">
        <v>139</v>
      </c>
      <c r="B60" s="241" t="s">
        <v>178</v>
      </c>
      <c r="C60" s="242"/>
      <c r="D60" s="243"/>
      <c r="E60" s="87"/>
      <c r="F60" s="88">
        <f>'RAIZ DOS DADOS'!D7</f>
        <v>400</v>
      </c>
      <c r="H60" s="70"/>
    </row>
    <row r="61" spans="1:8">
      <c r="A61" s="85" t="s">
        <v>141</v>
      </c>
      <c r="B61" s="241" t="s">
        <v>33</v>
      </c>
      <c r="C61" s="242"/>
      <c r="D61" s="243"/>
      <c r="E61" s="87"/>
      <c r="F61" s="88">
        <f>'RAIZ DOS DADOS'!D24</f>
        <v>14.66</v>
      </c>
      <c r="H61" s="70"/>
    </row>
    <row r="62" spans="1:8">
      <c r="A62" s="85" t="s">
        <v>143</v>
      </c>
      <c r="B62" s="241" t="s">
        <v>179</v>
      </c>
      <c r="C62" s="242"/>
      <c r="D62" s="243"/>
      <c r="E62" s="87"/>
      <c r="F62" s="88">
        <f>'RAIZ DOS DADOS'!D25</f>
        <v>6.4</v>
      </c>
      <c r="H62" s="70"/>
    </row>
    <row r="63" spans="1:8">
      <c r="A63" s="85" t="s">
        <v>145</v>
      </c>
      <c r="B63" s="260" t="s">
        <v>180</v>
      </c>
      <c r="C63" s="261"/>
      <c r="D63" s="262"/>
      <c r="E63" s="103"/>
      <c r="F63" s="104">
        <v>0</v>
      </c>
      <c r="H63" s="105"/>
    </row>
    <row r="64" spans="1:8">
      <c r="A64" s="85" t="s">
        <v>147</v>
      </c>
      <c r="B64" s="260" t="s">
        <v>181</v>
      </c>
      <c r="C64" s="261"/>
      <c r="D64" s="262"/>
      <c r="E64" s="103"/>
      <c r="F64" s="104">
        <f>'RAIZ DOS DADOS'!D8</f>
        <v>130</v>
      </c>
      <c r="H64" s="105"/>
    </row>
    <row r="65" spans="1:10" s="63" customFormat="1">
      <c r="A65" s="238" t="s">
        <v>61</v>
      </c>
      <c r="B65" s="239"/>
      <c r="C65" s="239"/>
      <c r="D65" s="240"/>
      <c r="E65" s="106"/>
      <c r="F65" s="92">
        <f>SUM(F56:F64)</f>
        <v>615.52</v>
      </c>
      <c r="G65" s="61"/>
      <c r="H65" s="61"/>
    </row>
    <row r="66" spans="1:10">
      <c r="A66" s="256" t="s">
        <v>182</v>
      </c>
      <c r="B66" s="257"/>
      <c r="C66" s="257"/>
      <c r="D66" s="257"/>
      <c r="E66" s="257"/>
      <c r="F66" s="259"/>
    </row>
    <row r="67" spans="1:10">
      <c r="A67" s="85">
        <v>2</v>
      </c>
      <c r="B67" s="256" t="s">
        <v>183</v>
      </c>
      <c r="C67" s="257"/>
      <c r="D67" s="258"/>
      <c r="E67" s="85"/>
      <c r="F67" s="86" t="s">
        <v>136</v>
      </c>
    </row>
    <row r="68" spans="1:10">
      <c r="A68" s="85" t="s">
        <v>151</v>
      </c>
      <c r="B68" s="241" t="s">
        <v>152</v>
      </c>
      <c r="C68" s="242"/>
      <c r="D68" s="243"/>
      <c r="E68" s="107"/>
      <c r="F68" s="88">
        <f>F40</f>
        <v>218.83</v>
      </c>
      <c r="G68" s="64"/>
      <c r="H68" s="64"/>
    </row>
    <row r="69" spans="1:10">
      <c r="A69" s="85" t="s">
        <v>158</v>
      </c>
      <c r="B69" s="241" t="s">
        <v>184</v>
      </c>
      <c r="C69" s="242"/>
      <c r="D69" s="243"/>
      <c r="E69" s="108"/>
      <c r="F69" s="88">
        <f>F53+F41</f>
        <v>535.15</v>
      </c>
      <c r="G69" s="64"/>
      <c r="H69" s="64"/>
    </row>
    <row r="70" spans="1:10">
      <c r="A70" s="85" t="s">
        <v>172</v>
      </c>
      <c r="B70" s="241" t="s">
        <v>173</v>
      </c>
      <c r="C70" s="242"/>
      <c r="D70" s="243"/>
      <c r="E70" s="109"/>
      <c r="F70" s="88">
        <f>F65</f>
        <v>615.52</v>
      </c>
      <c r="G70" s="64"/>
      <c r="H70" s="64"/>
    </row>
    <row r="71" spans="1:10">
      <c r="A71" s="238" t="s">
        <v>61</v>
      </c>
      <c r="B71" s="239"/>
      <c r="C71" s="239"/>
      <c r="D71" s="240"/>
      <c r="E71" s="91"/>
      <c r="F71" s="92">
        <f>SUM(F68:F70)</f>
        <v>1369.5</v>
      </c>
      <c r="J71" s="118"/>
    </row>
    <row r="73" spans="1:10">
      <c r="A73" s="254" t="s">
        <v>185</v>
      </c>
      <c r="B73" s="254"/>
      <c r="C73" s="254"/>
      <c r="D73" s="254"/>
      <c r="E73" s="254"/>
      <c r="F73" s="255"/>
    </row>
    <row r="74" spans="1:10">
      <c r="A74" s="85">
        <v>3</v>
      </c>
      <c r="B74" s="256" t="s">
        <v>186</v>
      </c>
      <c r="C74" s="257"/>
      <c r="D74" s="258"/>
      <c r="E74" s="85" t="s">
        <v>153</v>
      </c>
      <c r="F74" s="86" t="s">
        <v>136</v>
      </c>
    </row>
    <row r="75" spans="1:10">
      <c r="A75" s="85" t="s">
        <v>137</v>
      </c>
      <c r="B75" s="241" t="s">
        <v>187</v>
      </c>
      <c r="C75" s="242"/>
      <c r="D75" s="243"/>
      <c r="E75" s="107">
        <f>(1/12)*5%</f>
        <v>4.1999999999999997E-3</v>
      </c>
      <c r="F75" s="88">
        <f>E75*F33</f>
        <v>4.7300000000000004</v>
      </c>
    </row>
    <row r="76" spans="1:10">
      <c r="A76" s="85" t="s">
        <v>139</v>
      </c>
      <c r="B76" s="241" t="s">
        <v>188</v>
      </c>
      <c r="C76" s="242"/>
      <c r="D76" s="243"/>
      <c r="E76" s="107">
        <f>E75*E52</f>
        <v>2.9999999999999997E-4</v>
      </c>
      <c r="F76" s="88">
        <f>E76*F33</f>
        <v>0.34</v>
      </c>
      <c r="G76" s="110"/>
    </row>
    <row r="77" spans="1:10">
      <c r="A77" s="85" t="s">
        <v>141</v>
      </c>
      <c r="B77" s="241" t="s">
        <v>189</v>
      </c>
      <c r="C77" s="242"/>
      <c r="D77" s="243"/>
      <c r="E77" s="107">
        <f>((8%*(40%)*90%)*(1+5/56+5/56+(1/3*5/56)))</f>
        <v>3.4799999999999998E-2</v>
      </c>
      <c r="F77" s="88">
        <f>E77*(F33+F40)</f>
        <v>46.79</v>
      </c>
      <c r="G77" s="110"/>
      <c r="H77" s="111"/>
    </row>
    <row r="78" spans="1:10">
      <c r="A78" s="85" t="s">
        <v>143</v>
      </c>
      <c r="B78" s="241" t="s">
        <v>190</v>
      </c>
      <c r="C78" s="242"/>
      <c r="D78" s="243"/>
      <c r="E78" s="107">
        <f>((7/30)/12)</f>
        <v>1.9400000000000001E-2</v>
      </c>
      <c r="F78" s="88">
        <f>E78*F33</f>
        <v>21.84</v>
      </c>
      <c r="G78" s="64"/>
      <c r="H78" s="64"/>
    </row>
    <row r="79" spans="1:10">
      <c r="A79" s="85" t="s">
        <v>145</v>
      </c>
      <c r="B79" s="241" t="s">
        <v>191</v>
      </c>
      <c r="C79" s="242"/>
      <c r="D79" s="243"/>
      <c r="E79" s="107">
        <f>E78*E53</f>
        <v>7.7000000000000002E-3</v>
      </c>
      <c r="F79" s="88">
        <f>E79*F33</f>
        <v>8.67</v>
      </c>
    </row>
    <row r="80" spans="1:10">
      <c r="A80" s="85" t="s">
        <v>147</v>
      </c>
      <c r="B80" s="241" t="s">
        <v>192</v>
      </c>
      <c r="C80" s="242"/>
      <c r="D80" s="243"/>
      <c r="E80" s="107">
        <f>(40%*8%*E78)</f>
        <v>5.9999999999999995E-4</v>
      </c>
      <c r="F80" s="88">
        <f>E80*F33</f>
        <v>0.68</v>
      </c>
    </row>
    <row r="81" spans="1:10">
      <c r="A81" s="238" t="s">
        <v>61</v>
      </c>
      <c r="B81" s="239"/>
      <c r="C81" s="239"/>
      <c r="D81" s="240"/>
      <c r="E81" s="112"/>
      <c r="F81" s="92">
        <f>SUM(F75:F80)</f>
        <v>83.05</v>
      </c>
      <c r="J81" s="118"/>
    </row>
    <row r="82" spans="1:10" s="64" customFormat="1">
      <c r="A82" s="67"/>
      <c r="B82" s="56"/>
      <c r="C82" s="56"/>
      <c r="D82" s="56"/>
      <c r="E82" s="56"/>
      <c r="F82" s="68"/>
      <c r="G82" s="61"/>
      <c r="H82" s="61"/>
    </row>
    <row r="83" spans="1:10" s="64" customFormat="1">
      <c r="A83" s="256" t="s">
        <v>193</v>
      </c>
      <c r="B83" s="257"/>
      <c r="C83" s="257"/>
      <c r="D83" s="257"/>
      <c r="E83" s="257"/>
      <c r="F83" s="259"/>
      <c r="G83" s="61"/>
      <c r="H83" s="61"/>
    </row>
    <row r="84" spans="1:10">
      <c r="A84" s="256" t="s">
        <v>194</v>
      </c>
      <c r="B84" s="257"/>
      <c r="C84" s="257"/>
      <c r="D84" s="257"/>
      <c r="E84" s="257"/>
      <c r="F84" s="259"/>
    </row>
    <row r="85" spans="1:10">
      <c r="A85" s="85" t="s">
        <v>195</v>
      </c>
      <c r="B85" s="256" t="s">
        <v>196</v>
      </c>
      <c r="C85" s="257"/>
      <c r="D85" s="258"/>
      <c r="E85" s="85" t="s">
        <v>153</v>
      </c>
      <c r="F85" s="86" t="s">
        <v>136</v>
      </c>
    </row>
    <row r="86" spans="1:10">
      <c r="A86" s="85" t="s">
        <v>137</v>
      </c>
      <c r="B86" s="241" t="s">
        <v>197</v>
      </c>
      <c r="C86" s="242"/>
      <c r="D86" s="243"/>
      <c r="E86" s="107">
        <f>(1/12)</f>
        <v>8.3299999999999999E-2</v>
      </c>
      <c r="F86" s="88">
        <f t="shared" ref="F86:F91" si="1">E86*F$33</f>
        <v>93.77</v>
      </c>
    </row>
    <row r="87" spans="1:10">
      <c r="A87" s="85" t="s">
        <v>139</v>
      </c>
      <c r="B87" s="241" t="s">
        <v>196</v>
      </c>
      <c r="C87" s="242"/>
      <c r="D87" s="243"/>
      <c r="E87" s="107">
        <f>(1/30)/12</f>
        <v>2.8E-3</v>
      </c>
      <c r="F87" s="88">
        <f t="shared" si="1"/>
        <v>3.15</v>
      </c>
    </row>
    <row r="88" spans="1:10">
      <c r="A88" s="85" t="s">
        <v>141</v>
      </c>
      <c r="B88" s="241" t="s">
        <v>198</v>
      </c>
      <c r="C88" s="242"/>
      <c r="D88" s="243"/>
      <c r="E88" s="107">
        <f>((5/30)/12)*1.5%</f>
        <v>2.0000000000000001E-4</v>
      </c>
      <c r="F88" s="88">
        <f t="shared" si="1"/>
        <v>0.23</v>
      </c>
    </row>
    <row r="89" spans="1:10">
      <c r="A89" s="85" t="s">
        <v>143</v>
      </c>
      <c r="B89" s="241" t="s">
        <v>199</v>
      </c>
      <c r="C89" s="242"/>
      <c r="D89" s="243"/>
      <c r="E89" s="107">
        <f>((15/365)*8%)</f>
        <v>3.3E-3</v>
      </c>
      <c r="F89" s="88">
        <f t="shared" si="1"/>
        <v>3.71</v>
      </c>
    </row>
    <row r="90" spans="1:10">
      <c r="A90" s="85" t="s">
        <v>145</v>
      </c>
      <c r="B90" s="241" t="s">
        <v>200</v>
      </c>
      <c r="C90" s="242"/>
      <c r="D90" s="243"/>
      <c r="E90" s="107">
        <f>(11.11%*2%*(4/12))</f>
        <v>6.9999999999999999E-4</v>
      </c>
      <c r="F90" s="88">
        <f t="shared" si="1"/>
        <v>0.79</v>
      </c>
    </row>
    <row r="91" spans="1:10">
      <c r="A91" s="85" t="s">
        <v>147</v>
      </c>
      <c r="B91" s="241" t="s">
        <v>201</v>
      </c>
      <c r="C91" s="242"/>
      <c r="D91" s="243"/>
      <c r="E91" s="107"/>
      <c r="F91" s="88">
        <f t="shared" si="1"/>
        <v>0</v>
      </c>
    </row>
    <row r="92" spans="1:10" s="64" customFormat="1">
      <c r="A92" s="238" t="s">
        <v>170</v>
      </c>
      <c r="B92" s="239"/>
      <c r="C92" s="239"/>
      <c r="D92" s="240"/>
      <c r="E92" s="112"/>
      <c r="F92" s="92">
        <f>SUM(F86:F91)</f>
        <v>101.65</v>
      </c>
      <c r="G92" s="61"/>
      <c r="H92" s="61"/>
      <c r="J92" s="118"/>
    </row>
    <row r="93" spans="1:10">
      <c r="A93" s="256" t="s">
        <v>202</v>
      </c>
      <c r="B93" s="257"/>
      <c r="C93" s="257"/>
      <c r="D93" s="257"/>
      <c r="E93" s="257"/>
      <c r="F93" s="259"/>
    </row>
    <row r="94" spans="1:10">
      <c r="A94" s="85" t="s">
        <v>203</v>
      </c>
      <c r="B94" s="256" t="s">
        <v>204</v>
      </c>
      <c r="C94" s="257"/>
      <c r="D94" s="258"/>
      <c r="E94" s="85"/>
      <c r="F94" s="86" t="s">
        <v>136</v>
      </c>
    </row>
    <row r="95" spans="1:10">
      <c r="A95" s="85" t="s">
        <v>137</v>
      </c>
      <c r="B95" s="241" t="s">
        <v>205</v>
      </c>
      <c r="C95" s="242"/>
      <c r="D95" s="243"/>
      <c r="E95" s="87"/>
      <c r="F95" s="88">
        <v>0</v>
      </c>
    </row>
    <row r="96" spans="1:10">
      <c r="A96" s="238" t="s">
        <v>61</v>
      </c>
      <c r="B96" s="239"/>
      <c r="C96" s="239"/>
      <c r="D96" s="240"/>
      <c r="E96" s="91"/>
      <c r="F96" s="92">
        <f>SUM(F95:F95)</f>
        <v>0</v>
      </c>
    </row>
    <row r="97" spans="1:10">
      <c r="A97" s="256" t="s">
        <v>206</v>
      </c>
      <c r="B97" s="257"/>
      <c r="C97" s="257"/>
      <c r="D97" s="257"/>
      <c r="E97" s="257"/>
      <c r="F97" s="259"/>
    </row>
    <row r="98" spans="1:10">
      <c r="A98" s="85">
        <v>4</v>
      </c>
      <c r="B98" s="256" t="s">
        <v>207</v>
      </c>
      <c r="C98" s="257"/>
      <c r="D98" s="258"/>
      <c r="E98" s="85"/>
      <c r="F98" s="86" t="s">
        <v>136</v>
      </c>
    </row>
    <row r="99" spans="1:10">
      <c r="A99" s="85" t="s">
        <v>195</v>
      </c>
      <c r="B99" s="241" t="s">
        <v>196</v>
      </c>
      <c r="C99" s="242"/>
      <c r="D99" s="243"/>
      <c r="E99" s="87"/>
      <c r="F99" s="88">
        <f>F92</f>
        <v>101.65</v>
      </c>
    </row>
    <row r="100" spans="1:10">
      <c r="A100" s="85" t="s">
        <v>203</v>
      </c>
      <c r="B100" s="241" t="s">
        <v>204</v>
      </c>
      <c r="C100" s="242"/>
      <c r="D100" s="243"/>
      <c r="E100" s="87"/>
      <c r="F100" s="88">
        <f>F96</f>
        <v>0</v>
      </c>
    </row>
    <row r="101" spans="1:10">
      <c r="A101" s="238" t="s">
        <v>61</v>
      </c>
      <c r="B101" s="239"/>
      <c r="C101" s="239"/>
      <c r="D101" s="240"/>
      <c r="E101" s="91"/>
      <c r="F101" s="92">
        <f>SUM(F99:F100)</f>
        <v>101.65</v>
      </c>
      <c r="J101" s="118"/>
    </row>
    <row r="103" spans="1:10">
      <c r="A103" s="256" t="s">
        <v>208</v>
      </c>
      <c r="B103" s="257"/>
      <c r="C103" s="257"/>
      <c r="D103" s="257"/>
      <c r="E103" s="257"/>
      <c r="F103" s="259"/>
    </row>
    <row r="104" spans="1:10">
      <c r="A104" s="85">
        <v>5</v>
      </c>
      <c r="B104" s="256" t="s">
        <v>209</v>
      </c>
      <c r="C104" s="257"/>
      <c r="D104" s="257"/>
      <c r="E104" s="258"/>
      <c r="F104" s="86" t="s">
        <v>136</v>
      </c>
    </row>
    <row r="105" spans="1:10">
      <c r="A105" s="113" t="s">
        <v>137</v>
      </c>
      <c r="B105" s="241" t="s">
        <v>210</v>
      </c>
      <c r="C105" s="242"/>
      <c r="D105" s="242"/>
      <c r="E105" s="243"/>
      <c r="F105" s="88">
        <f>'SEMAS 2_Uniformes'!K66</f>
        <v>65.89</v>
      </c>
      <c r="H105" s="114"/>
    </row>
    <row r="106" spans="1:10">
      <c r="A106" s="85" t="s">
        <v>139</v>
      </c>
      <c r="B106" s="241" t="s">
        <v>211</v>
      </c>
      <c r="C106" s="242"/>
      <c r="D106" s="242"/>
      <c r="E106" s="243"/>
      <c r="F106" s="88">
        <f>'SEMAS 2_EPI''s'!K65</f>
        <v>109.56</v>
      </c>
    </row>
    <row r="107" spans="1:10">
      <c r="A107" s="85" t="s">
        <v>141</v>
      </c>
      <c r="B107" s="241" t="s">
        <v>212</v>
      </c>
      <c r="C107" s="242"/>
      <c r="D107" s="242"/>
      <c r="E107" s="243"/>
      <c r="F107" s="88">
        <f>'SEMAS 2_Materiais'!K26</f>
        <v>8.86</v>
      </c>
    </row>
    <row r="108" spans="1:10">
      <c r="A108" s="85" t="s">
        <v>143</v>
      </c>
      <c r="B108" s="241" t="s">
        <v>213</v>
      </c>
      <c r="C108" s="242"/>
      <c r="D108" s="242"/>
      <c r="E108" s="243"/>
      <c r="F108" s="88">
        <f>'SEMAS 2_Equipamentos'!M30</f>
        <v>33.15</v>
      </c>
      <c r="H108" s="114"/>
    </row>
    <row r="109" spans="1:10">
      <c r="A109" s="238" t="s">
        <v>170</v>
      </c>
      <c r="B109" s="239"/>
      <c r="C109" s="239"/>
      <c r="D109" s="239"/>
      <c r="E109" s="240"/>
      <c r="F109" s="92">
        <f>SUM(F105:F108)</f>
        <v>217.46</v>
      </c>
      <c r="J109" s="118"/>
    </row>
    <row r="111" spans="1:10">
      <c r="A111" s="254" t="s">
        <v>214</v>
      </c>
      <c r="B111" s="254"/>
      <c r="C111" s="254"/>
      <c r="D111" s="254"/>
      <c r="E111" s="254"/>
      <c r="F111" s="255"/>
    </row>
    <row r="112" spans="1:10">
      <c r="A112" s="85">
        <v>6</v>
      </c>
      <c r="B112" s="256" t="s">
        <v>215</v>
      </c>
      <c r="C112" s="257"/>
      <c r="D112" s="258"/>
      <c r="E112" s="85" t="s">
        <v>153</v>
      </c>
      <c r="F112" s="86" t="s">
        <v>136</v>
      </c>
    </row>
    <row r="113" spans="1:10">
      <c r="A113" s="85" t="s">
        <v>137</v>
      </c>
      <c r="B113" s="241" t="s">
        <v>216</v>
      </c>
      <c r="C113" s="242"/>
      <c r="D113" s="243"/>
      <c r="E113" s="107">
        <v>0.05</v>
      </c>
      <c r="F113" s="88">
        <f>E113*F130</f>
        <v>144.87</v>
      </c>
    </row>
    <row r="114" spans="1:10">
      <c r="A114" s="85" t="s">
        <v>139</v>
      </c>
      <c r="B114" s="241" t="s">
        <v>217</v>
      </c>
      <c r="C114" s="242"/>
      <c r="D114" s="243"/>
      <c r="E114" s="107">
        <v>6.7900000000000002E-2</v>
      </c>
      <c r="F114" s="88">
        <f>E114*(F130+F113)</f>
        <v>206.57</v>
      </c>
    </row>
    <row r="115" spans="1:10">
      <c r="A115" s="85" t="s">
        <v>141</v>
      </c>
      <c r="B115" s="241" t="s">
        <v>218</v>
      </c>
      <c r="C115" s="242"/>
      <c r="D115" s="243"/>
      <c r="E115" s="107">
        <f>SUM(E116:E120)</f>
        <v>0.14249999999999999</v>
      </c>
      <c r="F115" s="88"/>
    </row>
    <row r="116" spans="1:10">
      <c r="A116" s="85"/>
      <c r="B116" s="241" t="s">
        <v>219</v>
      </c>
      <c r="C116" s="242"/>
      <c r="D116" s="243"/>
      <c r="E116" s="107"/>
      <c r="F116" s="88"/>
      <c r="H116" s="115"/>
    </row>
    <row r="117" spans="1:10">
      <c r="A117" s="85"/>
      <c r="B117" s="241" t="s">
        <v>220</v>
      </c>
      <c r="C117" s="242"/>
      <c r="D117" s="243"/>
      <c r="E117" s="107">
        <v>1.6500000000000001E-2</v>
      </c>
      <c r="F117" s="88">
        <f>E117*((F130+F113+F114)/(1-$E$115))</f>
        <v>62.51</v>
      </c>
      <c r="H117" s="249"/>
      <c r="J117" s="119"/>
    </row>
    <row r="118" spans="1:10">
      <c r="A118" s="85"/>
      <c r="B118" s="241" t="s">
        <v>221</v>
      </c>
      <c r="C118" s="242"/>
      <c r="D118" s="243"/>
      <c r="E118" s="107">
        <v>7.5999999999999998E-2</v>
      </c>
      <c r="F118" s="88">
        <f>E118*(($F$130+$F$113+$F$114)/(1-$E$115))</f>
        <v>287.94</v>
      </c>
      <c r="H118" s="249"/>
      <c r="J118" s="119"/>
    </row>
    <row r="119" spans="1:10" s="65" customFormat="1">
      <c r="A119" s="85"/>
      <c r="B119" s="241" t="s">
        <v>222</v>
      </c>
      <c r="C119" s="242"/>
      <c r="D119" s="243"/>
      <c r="E119" s="107"/>
      <c r="F119" s="88"/>
      <c r="H119" s="249"/>
      <c r="J119" s="120"/>
    </row>
    <row r="120" spans="1:10">
      <c r="A120" s="85"/>
      <c r="B120" s="241" t="s">
        <v>223</v>
      </c>
      <c r="C120" s="242"/>
      <c r="D120" s="243"/>
      <c r="E120" s="107">
        <v>0.05</v>
      </c>
      <c r="F120" s="88">
        <f>E120*(($F$130+$F$113+$F$114)/(1-$E$115))</f>
        <v>189.43</v>
      </c>
      <c r="H120" s="249"/>
      <c r="J120" s="119"/>
    </row>
    <row r="121" spans="1:10">
      <c r="A121" s="238" t="s">
        <v>170</v>
      </c>
      <c r="B121" s="239"/>
      <c r="C121" s="239"/>
      <c r="D121" s="240"/>
      <c r="E121" s="116"/>
      <c r="F121" s="92">
        <f>SUM(F113:F120)</f>
        <v>891.32</v>
      </c>
      <c r="J121" s="118"/>
    </row>
    <row r="123" spans="1:10">
      <c r="A123" s="247" t="s">
        <v>224</v>
      </c>
      <c r="B123" s="247"/>
      <c r="C123" s="247"/>
      <c r="D123" s="247"/>
      <c r="E123" s="247"/>
      <c r="F123" s="250"/>
    </row>
    <row r="124" spans="1:10">
      <c r="A124" s="69"/>
      <c r="B124" s="251" t="s">
        <v>225</v>
      </c>
      <c r="C124" s="252"/>
      <c r="D124" s="252"/>
      <c r="E124" s="253"/>
      <c r="F124" s="117" t="s">
        <v>136</v>
      </c>
    </row>
    <row r="125" spans="1:10">
      <c r="A125" s="85" t="s">
        <v>137</v>
      </c>
      <c r="B125" s="241" t="s">
        <v>134</v>
      </c>
      <c r="C125" s="242"/>
      <c r="D125" s="242"/>
      <c r="E125" s="243"/>
      <c r="F125" s="88">
        <f>F33</f>
        <v>1125.68</v>
      </c>
      <c r="H125" s="110"/>
    </row>
    <row r="126" spans="1:10">
      <c r="A126" s="85" t="s">
        <v>139</v>
      </c>
      <c r="B126" s="241" t="s">
        <v>149</v>
      </c>
      <c r="C126" s="242"/>
      <c r="D126" s="242"/>
      <c r="E126" s="243"/>
      <c r="F126" s="88">
        <f>F71</f>
        <v>1369.5</v>
      </c>
    </row>
    <row r="127" spans="1:10">
      <c r="A127" s="85" t="s">
        <v>141</v>
      </c>
      <c r="B127" s="241" t="s">
        <v>185</v>
      </c>
      <c r="C127" s="242"/>
      <c r="D127" s="242"/>
      <c r="E127" s="243"/>
      <c r="F127" s="88">
        <f>F81</f>
        <v>83.05</v>
      </c>
    </row>
    <row r="128" spans="1:10">
      <c r="A128" s="85" t="s">
        <v>143</v>
      </c>
      <c r="B128" s="241" t="s">
        <v>193</v>
      </c>
      <c r="C128" s="242"/>
      <c r="D128" s="242"/>
      <c r="E128" s="243"/>
      <c r="F128" s="88">
        <f>F101</f>
        <v>101.65</v>
      </c>
      <c r="H128" s="110"/>
    </row>
    <row r="129" spans="1:10">
      <c r="A129" s="85" t="s">
        <v>145</v>
      </c>
      <c r="B129" s="241" t="s">
        <v>208</v>
      </c>
      <c r="C129" s="242"/>
      <c r="D129" s="242"/>
      <c r="E129" s="243"/>
      <c r="F129" s="88">
        <f>F109</f>
        <v>217.46</v>
      </c>
      <c r="H129" s="110"/>
    </row>
    <row r="130" spans="1:10">
      <c r="A130" s="238" t="s">
        <v>226</v>
      </c>
      <c r="B130" s="239"/>
      <c r="C130" s="239"/>
      <c r="D130" s="239"/>
      <c r="E130" s="240"/>
      <c r="F130" s="92">
        <f>SUM(F125:F129)</f>
        <v>2897.34</v>
      </c>
      <c r="I130" s="114"/>
      <c r="J130" s="114"/>
    </row>
    <row r="131" spans="1:10">
      <c r="A131" s="85" t="s">
        <v>147</v>
      </c>
      <c r="B131" s="241" t="s">
        <v>227</v>
      </c>
      <c r="C131" s="242"/>
      <c r="D131" s="242"/>
      <c r="E131" s="243"/>
      <c r="F131" s="88">
        <f>F121</f>
        <v>891.32</v>
      </c>
    </row>
    <row r="132" spans="1:10">
      <c r="A132" s="244" t="s">
        <v>228</v>
      </c>
      <c r="B132" s="245"/>
      <c r="C132" s="245"/>
      <c r="D132" s="245"/>
      <c r="E132" s="246"/>
      <c r="F132" s="121">
        <f>SUM(F130:F131)</f>
        <v>3788.66</v>
      </c>
      <c r="H132" s="110"/>
    </row>
    <row r="134" spans="1:10" s="66" customFormat="1">
      <c r="A134" s="247" t="s">
        <v>229</v>
      </c>
      <c r="B134" s="247"/>
      <c r="C134" s="247"/>
      <c r="D134" s="247"/>
      <c r="E134" s="247"/>
      <c r="F134" s="247"/>
      <c r="G134" s="122"/>
      <c r="H134" s="122"/>
      <c r="I134" s="122"/>
    </row>
    <row r="135" spans="1:10" s="66" customFormat="1" ht="38.25">
      <c r="A135" s="69" t="s">
        <v>230</v>
      </c>
      <c r="B135" s="69" t="s">
        <v>231</v>
      </c>
      <c r="C135" s="69" t="s">
        <v>232</v>
      </c>
      <c r="D135" s="69" t="s">
        <v>233</v>
      </c>
      <c r="E135" s="69" t="s">
        <v>234</v>
      </c>
      <c r="F135" s="123" t="s">
        <v>235</v>
      </c>
    </row>
    <row r="136" spans="1:10" s="66" customFormat="1" ht="45" customHeight="1">
      <c r="A136" s="124" t="str">
        <f>A15</f>
        <v>Servente Externo: 30 h</v>
      </c>
      <c r="B136" s="125">
        <f>F132</f>
        <v>3788.66</v>
      </c>
      <c r="C136" s="126">
        <v>1</v>
      </c>
      <c r="D136" s="125">
        <f>B136*C136</f>
        <v>3788.66</v>
      </c>
      <c r="E136" s="87">
        <f>F15</f>
        <v>8</v>
      </c>
      <c r="F136" s="125">
        <f>D136*E136</f>
        <v>30309.279999999999</v>
      </c>
    </row>
    <row r="137" spans="1:10" s="66" customFormat="1" ht="21" customHeight="1">
      <c r="A137" s="238" t="s">
        <v>236</v>
      </c>
      <c r="B137" s="239"/>
      <c r="C137" s="239"/>
      <c r="D137" s="239"/>
      <c r="E137" s="240"/>
      <c r="F137" s="127">
        <f>SUM(F136)</f>
        <v>30309.279999999999</v>
      </c>
    </row>
    <row r="138" spans="1:10" s="66" customFormat="1" ht="21" customHeight="1">
      <c r="A138" s="244" t="s">
        <v>237</v>
      </c>
      <c r="B138" s="245"/>
      <c r="C138" s="245"/>
      <c r="D138" s="245"/>
      <c r="E138" s="246"/>
      <c r="F138" s="128">
        <f>F137*F11</f>
        <v>363711.36</v>
      </c>
    </row>
  </sheetData>
  <mergeCells count="134">
    <mergeCell ref="A1:E1"/>
    <mergeCell ref="A2:E2"/>
    <mergeCell ref="A3:E3"/>
    <mergeCell ref="A4:E4"/>
    <mergeCell ref="A5:E5"/>
    <mergeCell ref="A6:F6"/>
    <mergeCell ref="A7:F7"/>
    <mergeCell ref="B8:E8"/>
    <mergeCell ref="B9:E9"/>
    <mergeCell ref="B10:E10"/>
    <mergeCell ref="B11:E11"/>
    <mergeCell ref="A12:F12"/>
    <mergeCell ref="A13:F13"/>
    <mergeCell ref="A14:C14"/>
    <mergeCell ref="D14:E14"/>
    <mergeCell ref="A15:C15"/>
    <mergeCell ref="D15:E15"/>
    <mergeCell ref="A16:F16"/>
    <mergeCell ref="A17:F17"/>
    <mergeCell ref="A18:F18"/>
    <mergeCell ref="B19:E19"/>
    <mergeCell ref="B20:E20"/>
    <mergeCell ref="B21:E21"/>
    <mergeCell ref="B22:E22"/>
    <mergeCell ref="B23:E23"/>
    <mergeCell ref="A24:F24"/>
    <mergeCell ref="A25:F25"/>
    <mergeCell ref="B26:D26"/>
    <mergeCell ref="B27:D27"/>
    <mergeCell ref="B28:D28"/>
    <mergeCell ref="B29:D29"/>
    <mergeCell ref="B30:D30"/>
    <mergeCell ref="B31:D31"/>
    <mergeCell ref="B32:D32"/>
    <mergeCell ref="A33:D33"/>
    <mergeCell ref="A34:F34"/>
    <mergeCell ref="A35:F35"/>
    <mergeCell ref="A36:F36"/>
    <mergeCell ref="B37:D37"/>
    <mergeCell ref="B38:D38"/>
    <mergeCell ref="B39:D39"/>
    <mergeCell ref="A40:D40"/>
    <mergeCell ref="B41:D41"/>
    <mergeCell ref="A42:D42"/>
    <mergeCell ref="A43:F43"/>
    <mergeCell ref="B44:D44"/>
    <mergeCell ref="B45:D45"/>
    <mergeCell ref="B46:D46"/>
    <mergeCell ref="B47:D47"/>
    <mergeCell ref="B48:D48"/>
    <mergeCell ref="B49:D49"/>
    <mergeCell ref="B50:D50"/>
    <mergeCell ref="B51:D51"/>
    <mergeCell ref="B52:D52"/>
    <mergeCell ref="A53:D53"/>
    <mergeCell ref="A54:F54"/>
    <mergeCell ref="B55:D55"/>
    <mergeCell ref="B56:D56"/>
    <mergeCell ref="B57:D57"/>
    <mergeCell ref="B58:D58"/>
    <mergeCell ref="B59:D59"/>
    <mergeCell ref="B60:D60"/>
    <mergeCell ref="B61:D61"/>
    <mergeCell ref="B62:D62"/>
    <mergeCell ref="B63:D63"/>
    <mergeCell ref="B64:D64"/>
    <mergeCell ref="A65:D65"/>
    <mergeCell ref="A66:F66"/>
    <mergeCell ref="B67:D67"/>
    <mergeCell ref="B68:D68"/>
    <mergeCell ref="B69:D69"/>
    <mergeCell ref="B70:D70"/>
    <mergeCell ref="A71:D71"/>
    <mergeCell ref="A73:F73"/>
    <mergeCell ref="B74:D74"/>
    <mergeCell ref="B75:D75"/>
    <mergeCell ref="B76:D76"/>
    <mergeCell ref="B77:D77"/>
    <mergeCell ref="B78:D78"/>
    <mergeCell ref="B79:D79"/>
    <mergeCell ref="B80:D80"/>
    <mergeCell ref="A81:D81"/>
    <mergeCell ref="A83:F83"/>
    <mergeCell ref="A84:F84"/>
    <mergeCell ref="B85:D85"/>
    <mergeCell ref="B86:D86"/>
    <mergeCell ref="B87:D87"/>
    <mergeCell ref="B88:D88"/>
    <mergeCell ref="B89:D89"/>
    <mergeCell ref="B90:D90"/>
    <mergeCell ref="B91:D91"/>
    <mergeCell ref="A92:D92"/>
    <mergeCell ref="A93:F93"/>
    <mergeCell ref="B94:D94"/>
    <mergeCell ref="B95:D95"/>
    <mergeCell ref="A96:D96"/>
    <mergeCell ref="A97:F97"/>
    <mergeCell ref="B98:D98"/>
    <mergeCell ref="B99:D99"/>
    <mergeCell ref="B118:D118"/>
    <mergeCell ref="B119:D119"/>
    <mergeCell ref="B100:D100"/>
    <mergeCell ref="A101:D101"/>
    <mergeCell ref="A103:F103"/>
    <mergeCell ref="B104:E104"/>
    <mergeCell ref="B105:E105"/>
    <mergeCell ref="B106:E106"/>
    <mergeCell ref="B107:E107"/>
    <mergeCell ref="B108:E108"/>
    <mergeCell ref="A109:E109"/>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s>
  <pageMargins left="0.55416666666666703" right="0.35763888888888901" top="0.60555555555555596" bottom="0.40902777777777799" header="0.5" footer="0.5"/>
  <pageSetup paperSize="9"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030AE"/>
  </sheetPr>
  <dimension ref="A1:K138"/>
  <sheetViews>
    <sheetView view="pageBreakPreview" topLeftCell="A71" zoomScale="110" zoomScaleNormal="115" workbookViewId="0">
      <selection activeCell="E87" sqref="E87"/>
    </sheetView>
  </sheetViews>
  <sheetFormatPr defaultColWidth="2.5703125" defaultRowHeight="12.75"/>
  <cols>
    <col min="1" max="1" width="12.85546875" style="67" customWidth="1"/>
    <col min="2" max="2" width="24.5703125" style="56" customWidth="1"/>
    <col min="3" max="3" width="24.28515625" style="56" customWidth="1"/>
    <col min="4" max="4" width="15.7109375" style="56" customWidth="1"/>
    <col min="5" max="5" width="15.140625" style="56" customWidth="1"/>
    <col min="6" max="6" width="30.140625" style="68" customWidth="1"/>
    <col min="7" max="7" width="21.5703125" style="61" customWidth="1"/>
    <col min="8" max="8" width="85.28515625" style="61" customWidth="1"/>
    <col min="9" max="9" width="18.28515625" style="61" customWidth="1"/>
    <col min="10" max="10" width="25.7109375" style="61" customWidth="1"/>
    <col min="11" max="16384" width="2.5703125" style="61"/>
  </cols>
  <sheetData>
    <row r="1" spans="1:11" s="60" customFormat="1" ht="23.1" customHeight="1">
      <c r="A1" s="247" t="s">
        <v>105</v>
      </c>
      <c r="B1" s="247"/>
      <c r="C1" s="247"/>
      <c r="D1" s="247"/>
      <c r="E1" s="247"/>
      <c r="F1" s="248"/>
      <c r="G1" s="67"/>
      <c r="H1" s="67"/>
    </row>
    <row r="2" spans="1:11" ht="21" customHeight="1">
      <c r="A2" s="247" t="s">
        <v>243</v>
      </c>
      <c r="B2" s="247"/>
      <c r="C2" s="247"/>
      <c r="D2" s="247"/>
      <c r="E2" s="247"/>
      <c r="F2" s="248"/>
      <c r="G2" s="70"/>
      <c r="H2" s="70"/>
    </row>
    <row r="3" spans="1:11" s="62" customFormat="1" ht="15">
      <c r="A3" s="283" t="s">
        <v>107</v>
      </c>
      <c r="B3" s="283"/>
      <c r="C3" s="283"/>
      <c r="D3" s="283"/>
      <c r="E3" s="283"/>
      <c r="F3" s="248"/>
      <c r="G3" s="71"/>
      <c r="H3" s="71"/>
      <c r="I3" s="71"/>
      <c r="J3" s="71"/>
      <c r="K3" s="71"/>
    </row>
    <row r="4" spans="1:11" s="62" customFormat="1" ht="15">
      <c r="A4" s="283" t="s">
        <v>108</v>
      </c>
      <c r="B4" s="283"/>
      <c r="C4" s="283"/>
      <c r="D4" s="283"/>
      <c r="E4" s="283"/>
      <c r="F4" s="248"/>
      <c r="G4" s="71"/>
      <c r="H4" s="72"/>
      <c r="I4" s="71"/>
      <c r="J4" s="71"/>
      <c r="K4" s="71"/>
    </row>
    <row r="5" spans="1:11" s="62" customFormat="1" ht="15">
      <c r="A5" s="283" t="s">
        <v>109</v>
      </c>
      <c r="B5" s="283"/>
      <c r="C5" s="283"/>
      <c r="D5" s="283"/>
      <c r="E5" s="283"/>
      <c r="F5" s="248"/>
      <c r="G5" s="71"/>
      <c r="H5" s="71"/>
      <c r="I5" s="71"/>
      <c r="J5" s="71"/>
      <c r="K5" s="71"/>
    </row>
    <row r="6" spans="1:11" s="62" customFormat="1" ht="15">
      <c r="A6" s="284"/>
      <c r="B6" s="284"/>
      <c r="C6" s="284"/>
      <c r="D6" s="284"/>
      <c r="E6" s="284"/>
      <c r="F6" s="285"/>
      <c r="G6" s="71"/>
      <c r="H6" s="71"/>
      <c r="I6" s="71"/>
      <c r="J6" s="71"/>
      <c r="K6" s="71"/>
    </row>
    <row r="7" spans="1:11">
      <c r="A7" s="269" t="s">
        <v>110</v>
      </c>
      <c r="B7" s="269"/>
      <c r="C7" s="269"/>
      <c r="D7" s="269"/>
      <c r="E7" s="269"/>
      <c r="F7" s="270"/>
      <c r="G7" s="60"/>
      <c r="H7" s="60"/>
    </row>
    <row r="8" spans="1:11" ht="18" customHeight="1">
      <c r="A8" s="73" t="s">
        <v>111</v>
      </c>
      <c r="B8" s="280" t="s">
        <v>112</v>
      </c>
      <c r="C8" s="280"/>
      <c r="D8" s="280"/>
      <c r="E8" s="280"/>
      <c r="F8" s="74" t="s">
        <v>113</v>
      </c>
    </row>
    <row r="9" spans="1:11" ht="18" customHeight="1">
      <c r="A9" s="73" t="s">
        <v>111</v>
      </c>
      <c r="B9" s="280" t="s">
        <v>114</v>
      </c>
      <c r="C9" s="280"/>
      <c r="D9" s="280"/>
      <c r="E9" s="280"/>
      <c r="F9" s="75" t="s">
        <v>115</v>
      </c>
    </row>
    <row r="10" spans="1:11" ht="18" customHeight="1">
      <c r="A10" s="73" t="s">
        <v>111</v>
      </c>
      <c r="B10" s="280" t="s">
        <v>116</v>
      </c>
      <c r="C10" s="280"/>
      <c r="D10" s="280"/>
      <c r="E10" s="280"/>
      <c r="F10" s="74" t="s">
        <v>117</v>
      </c>
    </row>
    <row r="11" spans="1:11" ht="18" customHeight="1">
      <c r="A11" s="73" t="s">
        <v>111</v>
      </c>
      <c r="B11" s="280" t="s">
        <v>118</v>
      </c>
      <c r="C11" s="280"/>
      <c r="D11" s="280"/>
      <c r="E11" s="280"/>
      <c r="F11" s="76">
        <v>12</v>
      </c>
    </row>
    <row r="12" spans="1:11" customFormat="1" ht="15">
      <c r="A12" s="277"/>
      <c r="B12" s="278"/>
      <c r="C12" s="278"/>
      <c r="D12" s="278"/>
      <c r="E12" s="278"/>
      <c r="F12" s="279"/>
      <c r="G12" s="61"/>
      <c r="H12" s="61"/>
    </row>
    <row r="13" spans="1:11" s="60" customFormat="1">
      <c r="A13" s="269" t="s">
        <v>119</v>
      </c>
      <c r="B13" s="269"/>
      <c r="C13" s="269"/>
      <c r="D13" s="269"/>
      <c r="E13" s="269"/>
      <c r="F13" s="270"/>
    </row>
    <row r="14" spans="1:11">
      <c r="A14" s="281" t="s">
        <v>120</v>
      </c>
      <c r="B14" s="281"/>
      <c r="C14" s="281"/>
      <c r="D14" s="281" t="s">
        <v>121</v>
      </c>
      <c r="E14" s="281"/>
      <c r="F14" s="77" t="s">
        <v>122</v>
      </c>
      <c r="H14" s="60"/>
    </row>
    <row r="15" spans="1:11">
      <c r="A15" s="281" t="s">
        <v>244</v>
      </c>
      <c r="B15" s="281"/>
      <c r="C15" s="281"/>
      <c r="D15" s="282" t="s">
        <v>80</v>
      </c>
      <c r="E15" s="282"/>
      <c r="F15" s="78">
        <f>'SEMAS TOTALIZADOR GERAL'!G6</f>
        <v>1</v>
      </c>
      <c r="H15" s="60"/>
    </row>
    <row r="16" spans="1:11" customFormat="1" ht="15">
      <c r="A16" s="277"/>
      <c r="B16" s="278"/>
      <c r="C16" s="278"/>
      <c r="D16" s="278"/>
      <c r="E16" s="278"/>
      <c r="F16" s="279"/>
      <c r="G16" s="61"/>
      <c r="H16" s="60"/>
    </row>
    <row r="17" spans="1:9" s="60" customFormat="1">
      <c r="A17" s="269" t="s">
        <v>124</v>
      </c>
      <c r="B17" s="269"/>
      <c r="C17" s="269"/>
      <c r="D17" s="269"/>
      <c r="E17" s="269"/>
      <c r="F17" s="270"/>
    </row>
    <row r="18" spans="1:9">
      <c r="A18" s="269" t="s">
        <v>125</v>
      </c>
      <c r="B18" s="269"/>
      <c r="C18" s="269"/>
      <c r="D18" s="269"/>
      <c r="E18" s="269"/>
      <c r="F18" s="270"/>
      <c r="G18" s="60"/>
      <c r="H18" s="60"/>
    </row>
    <row r="19" spans="1:9">
      <c r="A19" s="73">
        <v>1</v>
      </c>
      <c r="B19" s="271" t="s">
        <v>126</v>
      </c>
      <c r="C19" s="272"/>
      <c r="D19" s="272"/>
      <c r="E19" s="273"/>
      <c r="F19" s="79" t="s">
        <v>127</v>
      </c>
    </row>
    <row r="20" spans="1:9" ht="15">
      <c r="A20" s="80">
        <v>2</v>
      </c>
      <c r="B20" s="274" t="s">
        <v>128</v>
      </c>
      <c r="C20" s="275"/>
      <c r="D20" s="275"/>
      <c r="E20" s="276"/>
      <c r="F20" s="81" t="s">
        <v>129</v>
      </c>
      <c r="G20" s="82"/>
      <c r="H20" s="83"/>
      <c r="I20" s="83"/>
    </row>
    <row r="21" spans="1:9">
      <c r="A21" s="73">
        <v>3</v>
      </c>
      <c r="B21" s="271" t="s">
        <v>130</v>
      </c>
      <c r="C21" s="272"/>
      <c r="D21" s="272"/>
      <c r="E21" s="273"/>
      <c r="F21" s="84">
        <f>'RAIZ DOS DADOS'!D6</f>
        <v>1651</v>
      </c>
    </row>
    <row r="22" spans="1:9">
      <c r="A22" s="73">
        <v>4</v>
      </c>
      <c r="B22" s="271" t="s">
        <v>131</v>
      </c>
      <c r="C22" s="272"/>
      <c r="D22" s="272"/>
      <c r="E22" s="273"/>
      <c r="F22" s="79" t="s">
        <v>52</v>
      </c>
    </row>
    <row r="23" spans="1:9">
      <c r="A23" s="73">
        <v>5</v>
      </c>
      <c r="B23" s="271" t="s">
        <v>132</v>
      </c>
      <c r="C23" s="272"/>
      <c r="D23" s="272"/>
      <c r="E23" s="273"/>
      <c r="F23" s="79" t="s">
        <v>133</v>
      </c>
    </row>
    <row r="24" spans="1:9">
      <c r="A24" s="277"/>
      <c r="B24" s="278"/>
      <c r="C24" s="278"/>
      <c r="D24" s="278"/>
      <c r="E24" s="278"/>
      <c r="F24" s="279"/>
    </row>
    <row r="25" spans="1:9">
      <c r="A25" s="256" t="s">
        <v>134</v>
      </c>
      <c r="B25" s="257"/>
      <c r="C25" s="257"/>
      <c r="D25" s="257"/>
      <c r="E25" s="257"/>
      <c r="F25" s="259"/>
    </row>
    <row r="26" spans="1:9">
      <c r="A26" s="85">
        <v>1</v>
      </c>
      <c r="B26" s="256" t="s">
        <v>135</v>
      </c>
      <c r="C26" s="257"/>
      <c r="D26" s="258"/>
      <c r="E26" s="85"/>
      <c r="F26" s="86" t="s">
        <v>136</v>
      </c>
    </row>
    <row r="27" spans="1:9">
      <c r="A27" s="85" t="s">
        <v>137</v>
      </c>
      <c r="B27" s="241" t="s">
        <v>138</v>
      </c>
      <c r="C27" s="242"/>
      <c r="D27" s="243"/>
      <c r="E27" s="87" t="s">
        <v>64</v>
      </c>
      <c r="F27" s="88">
        <f>(F21/44)*40</f>
        <v>1500.91</v>
      </c>
      <c r="H27" s="89"/>
    </row>
    <row r="28" spans="1:9">
      <c r="A28" s="85" t="s">
        <v>139</v>
      </c>
      <c r="B28" s="241" t="s">
        <v>140</v>
      </c>
      <c r="C28" s="242"/>
      <c r="D28" s="243"/>
      <c r="E28" s="87"/>
      <c r="F28" s="88"/>
    </row>
    <row r="29" spans="1:9">
      <c r="A29" s="85" t="s">
        <v>141</v>
      </c>
      <c r="B29" s="241" t="s">
        <v>142</v>
      </c>
      <c r="C29" s="242"/>
      <c r="D29" s="243"/>
      <c r="E29" s="90"/>
      <c r="F29" s="88"/>
    </row>
    <row r="30" spans="1:9">
      <c r="A30" s="85" t="s">
        <v>143</v>
      </c>
      <c r="B30" s="241" t="s">
        <v>144</v>
      </c>
      <c r="C30" s="242"/>
      <c r="D30" s="243"/>
      <c r="E30" s="87"/>
      <c r="F30" s="88"/>
    </row>
    <row r="31" spans="1:9">
      <c r="A31" s="85" t="s">
        <v>145</v>
      </c>
      <c r="B31" s="241" t="s">
        <v>146</v>
      </c>
      <c r="C31" s="242"/>
      <c r="D31" s="243"/>
      <c r="E31" s="87"/>
      <c r="F31" s="88"/>
    </row>
    <row r="32" spans="1:9">
      <c r="A32" s="85" t="s">
        <v>147</v>
      </c>
      <c r="B32" s="241" t="s">
        <v>148</v>
      </c>
      <c r="C32" s="242"/>
      <c r="D32" s="243"/>
      <c r="E32" s="87"/>
      <c r="F32" s="88"/>
    </row>
    <row r="33" spans="1:8">
      <c r="A33" s="238" t="s">
        <v>61</v>
      </c>
      <c r="B33" s="239"/>
      <c r="C33" s="239"/>
      <c r="D33" s="240"/>
      <c r="E33" s="91"/>
      <c r="F33" s="92">
        <f>SUM(F27:F32)</f>
        <v>1500.91</v>
      </c>
    </row>
    <row r="34" spans="1:8">
      <c r="A34" s="266"/>
      <c r="B34" s="267"/>
      <c r="C34" s="267"/>
      <c r="D34" s="267"/>
      <c r="E34" s="267"/>
      <c r="F34" s="268"/>
    </row>
    <row r="35" spans="1:8">
      <c r="A35" s="254" t="s">
        <v>149</v>
      </c>
      <c r="B35" s="254"/>
      <c r="C35" s="254"/>
      <c r="D35" s="254"/>
      <c r="E35" s="254"/>
      <c r="F35" s="255"/>
    </row>
    <row r="36" spans="1:8">
      <c r="A36" s="254" t="s">
        <v>150</v>
      </c>
      <c r="B36" s="254"/>
      <c r="C36" s="254"/>
      <c r="D36" s="254"/>
      <c r="E36" s="254"/>
      <c r="F36" s="255"/>
      <c r="H36" s="93"/>
    </row>
    <row r="37" spans="1:8">
      <c r="A37" s="85" t="s">
        <v>151</v>
      </c>
      <c r="B37" s="256" t="s">
        <v>152</v>
      </c>
      <c r="C37" s="257"/>
      <c r="D37" s="258"/>
      <c r="E37" s="85" t="s">
        <v>153</v>
      </c>
      <c r="F37" s="86" t="s">
        <v>136</v>
      </c>
    </row>
    <row r="38" spans="1:8">
      <c r="A38" s="85" t="s">
        <v>137</v>
      </c>
      <c r="B38" s="241" t="s">
        <v>154</v>
      </c>
      <c r="C38" s="242"/>
      <c r="D38" s="243"/>
      <c r="E38" s="94">
        <f>1/12</f>
        <v>8.3299999999999999E-2</v>
      </c>
      <c r="F38" s="88">
        <f>F33*E38</f>
        <v>125.03</v>
      </c>
    </row>
    <row r="39" spans="1:8">
      <c r="A39" s="85" t="s">
        <v>139</v>
      </c>
      <c r="B39" s="241" t="s">
        <v>155</v>
      </c>
      <c r="C39" s="242"/>
      <c r="D39" s="243"/>
      <c r="E39" s="94">
        <f>(1/12)+(1/3)/12</f>
        <v>0.1111</v>
      </c>
      <c r="F39" s="88">
        <f>F33*E39</f>
        <v>166.75</v>
      </c>
    </row>
    <row r="40" spans="1:8">
      <c r="A40" s="263" t="s">
        <v>61</v>
      </c>
      <c r="B40" s="264"/>
      <c r="C40" s="264"/>
      <c r="D40" s="265"/>
      <c r="E40" s="95">
        <f>SUM(E38:E39)</f>
        <v>0.19439999999999999</v>
      </c>
      <c r="F40" s="96">
        <f>SUM(F38:F39)</f>
        <v>291.77999999999997</v>
      </c>
    </row>
    <row r="41" spans="1:8">
      <c r="A41" s="85" t="s">
        <v>141</v>
      </c>
      <c r="B41" s="241" t="s">
        <v>156</v>
      </c>
      <c r="C41" s="242"/>
      <c r="D41" s="243"/>
      <c r="E41" s="94">
        <f>E40*E53</f>
        <v>7.7399999999999997E-2</v>
      </c>
      <c r="F41" s="96">
        <f>E41*F33</f>
        <v>116.17</v>
      </c>
    </row>
    <row r="42" spans="1:8">
      <c r="A42" s="238" t="s">
        <v>61</v>
      </c>
      <c r="B42" s="239"/>
      <c r="C42" s="239"/>
      <c r="D42" s="240"/>
      <c r="E42" s="97">
        <f>SUM(E40:E41)</f>
        <v>0.27179999999999999</v>
      </c>
      <c r="F42" s="92">
        <f>SUM(F40:F41)</f>
        <v>407.95</v>
      </c>
      <c r="H42" s="93"/>
    </row>
    <row r="43" spans="1:8">
      <c r="A43" s="254" t="s">
        <v>157</v>
      </c>
      <c r="B43" s="254"/>
      <c r="C43" s="254"/>
      <c r="D43" s="254"/>
      <c r="E43" s="254"/>
      <c r="F43" s="255"/>
    </row>
    <row r="44" spans="1:8">
      <c r="A44" s="85" t="s">
        <v>158</v>
      </c>
      <c r="B44" s="256" t="s">
        <v>159</v>
      </c>
      <c r="C44" s="257"/>
      <c r="D44" s="258"/>
      <c r="E44" s="85" t="s">
        <v>153</v>
      </c>
      <c r="F44" s="86" t="s">
        <v>136</v>
      </c>
    </row>
    <row r="45" spans="1:8">
      <c r="A45" s="85" t="s">
        <v>137</v>
      </c>
      <c r="B45" s="241" t="s">
        <v>160</v>
      </c>
      <c r="C45" s="242"/>
      <c r="D45" s="243"/>
      <c r="E45" s="94">
        <v>0.2</v>
      </c>
      <c r="F45" s="88">
        <f t="shared" ref="F45:F52" si="0">E45*F$33</f>
        <v>300.18</v>
      </c>
    </row>
    <row r="46" spans="1:8">
      <c r="A46" s="85" t="s">
        <v>139</v>
      </c>
      <c r="B46" s="241" t="s">
        <v>161</v>
      </c>
      <c r="C46" s="242"/>
      <c r="D46" s="243"/>
      <c r="E46" s="94">
        <v>2.5000000000000001E-2</v>
      </c>
      <c r="F46" s="88">
        <f t="shared" si="0"/>
        <v>37.520000000000003</v>
      </c>
      <c r="G46" s="63"/>
      <c r="H46" s="98"/>
    </row>
    <row r="47" spans="1:8">
      <c r="A47" s="85" t="s">
        <v>141</v>
      </c>
      <c r="B47" s="241" t="s">
        <v>162</v>
      </c>
      <c r="C47" s="242"/>
      <c r="D47" s="243"/>
      <c r="E47" s="99">
        <f>(2*3)/100</f>
        <v>0.06</v>
      </c>
      <c r="F47" s="88">
        <f t="shared" si="0"/>
        <v>90.05</v>
      </c>
      <c r="G47" s="100"/>
      <c r="H47" s="100"/>
    </row>
    <row r="48" spans="1:8">
      <c r="A48" s="85" t="s">
        <v>143</v>
      </c>
      <c r="B48" s="241" t="s">
        <v>163</v>
      </c>
      <c r="C48" s="242"/>
      <c r="D48" s="243"/>
      <c r="E48" s="94">
        <v>1.4999999999999999E-2</v>
      </c>
      <c r="F48" s="88">
        <f t="shared" si="0"/>
        <v>22.51</v>
      </c>
    </row>
    <row r="49" spans="1:8">
      <c r="A49" s="85" t="s">
        <v>145</v>
      </c>
      <c r="B49" s="241" t="s">
        <v>164</v>
      </c>
      <c r="C49" s="242"/>
      <c r="D49" s="243"/>
      <c r="E49" s="94">
        <v>0.01</v>
      </c>
      <c r="F49" s="88">
        <f t="shared" si="0"/>
        <v>15.01</v>
      </c>
    </row>
    <row r="50" spans="1:8">
      <c r="A50" s="85" t="s">
        <v>147</v>
      </c>
      <c r="B50" s="241" t="s">
        <v>165</v>
      </c>
      <c r="C50" s="242"/>
      <c r="D50" s="243"/>
      <c r="E50" s="94">
        <v>6.0000000000000001E-3</v>
      </c>
      <c r="F50" s="88">
        <f t="shared" si="0"/>
        <v>9.01</v>
      </c>
    </row>
    <row r="51" spans="1:8">
      <c r="A51" s="85" t="s">
        <v>166</v>
      </c>
      <c r="B51" s="241" t="s">
        <v>167</v>
      </c>
      <c r="C51" s="242"/>
      <c r="D51" s="243"/>
      <c r="E51" s="94">
        <v>2E-3</v>
      </c>
      <c r="F51" s="88">
        <f t="shared" si="0"/>
        <v>3</v>
      </c>
    </row>
    <row r="52" spans="1:8">
      <c r="A52" s="85" t="s">
        <v>168</v>
      </c>
      <c r="B52" s="241" t="s">
        <v>169</v>
      </c>
      <c r="C52" s="242"/>
      <c r="D52" s="243"/>
      <c r="E52" s="94">
        <v>0.08</v>
      </c>
      <c r="F52" s="88">
        <f t="shared" si="0"/>
        <v>120.07</v>
      </c>
    </row>
    <row r="53" spans="1:8">
      <c r="A53" s="238" t="s">
        <v>170</v>
      </c>
      <c r="B53" s="239"/>
      <c r="C53" s="239"/>
      <c r="D53" s="240"/>
      <c r="E53" s="97">
        <f>SUM(E45:E52)</f>
        <v>0.39800000000000002</v>
      </c>
      <c r="F53" s="92">
        <f>SUM(F45:F52)</f>
        <v>597.35</v>
      </c>
    </row>
    <row r="54" spans="1:8">
      <c r="A54" s="256" t="s">
        <v>171</v>
      </c>
      <c r="B54" s="257"/>
      <c r="C54" s="257"/>
      <c r="D54" s="257"/>
      <c r="E54" s="257"/>
      <c r="F54" s="259"/>
    </row>
    <row r="55" spans="1:8">
      <c r="A55" s="85" t="s">
        <v>172</v>
      </c>
      <c r="B55" s="256" t="s">
        <v>173</v>
      </c>
      <c r="C55" s="257"/>
      <c r="D55" s="258"/>
      <c r="E55" s="85"/>
      <c r="F55" s="86" t="s">
        <v>136</v>
      </c>
    </row>
    <row r="56" spans="1:8">
      <c r="A56" s="85" t="s">
        <v>137</v>
      </c>
      <c r="B56" s="241" t="s">
        <v>174</v>
      </c>
      <c r="C56" s="242"/>
      <c r="D56" s="243"/>
      <c r="E56" s="87"/>
      <c r="F56" s="88">
        <f>((E57*E58)*E59)-(6%*F27)</f>
        <v>173.95</v>
      </c>
      <c r="H56" s="70"/>
    </row>
    <row r="57" spans="1:8">
      <c r="A57" s="85"/>
      <c r="B57" s="241" t="s">
        <v>175</v>
      </c>
      <c r="C57" s="242"/>
      <c r="D57" s="243"/>
      <c r="E57" s="101">
        <f>'RAIZ DOS DADOS'!D31</f>
        <v>3</v>
      </c>
      <c r="F57" s="79" t="s">
        <v>69</v>
      </c>
      <c r="H57" s="70"/>
    </row>
    <row r="58" spans="1:8">
      <c r="A58" s="85"/>
      <c r="B58" s="241" t="s">
        <v>176</v>
      </c>
      <c r="C58" s="242"/>
      <c r="D58" s="243"/>
      <c r="E58" s="102">
        <v>4</v>
      </c>
      <c r="F58" s="79" t="s">
        <v>69</v>
      </c>
      <c r="H58" s="70"/>
    </row>
    <row r="59" spans="1:8">
      <c r="A59" s="85"/>
      <c r="B59" s="241" t="s">
        <v>177</v>
      </c>
      <c r="C59" s="242"/>
      <c r="D59" s="243"/>
      <c r="E59" s="102">
        <f>'RAIZ DOS DADOS'!D33</f>
        <v>22</v>
      </c>
      <c r="F59" s="79" t="s">
        <v>69</v>
      </c>
      <c r="H59" s="70"/>
    </row>
    <row r="60" spans="1:8">
      <c r="A60" s="85" t="s">
        <v>139</v>
      </c>
      <c r="B60" s="241" t="s">
        <v>178</v>
      </c>
      <c r="C60" s="242"/>
      <c r="D60" s="243"/>
      <c r="E60" s="87"/>
      <c r="F60" s="88">
        <f>'RAIZ DOS DADOS'!D7</f>
        <v>400</v>
      </c>
      <c r="H60" s="70"/>
    </row>
    <row r="61" spans="1:8">
      <c r="A61" s="85" t="s">
        <v>141</v>
      </c>
      <c r="B61" s="241" t="s">
        <v>33</v>
      </c>
      <c r="C61" s="242"/>
      <c r="D61" s="243"/>
      <c r="E61" s="87"/>
      <c r="F61" s="88">
        <f>'RAIZ DOS DADOS'!D24</f>
        <v>14.66</v>
      </c>
      <c r="H61" s="70"/>
    </row>
    <row r="62" spans="1:8">
      <c r="A62" s="85" t="s">
        <v>143</v>
      </c>
      <c r="B62" s="241" t="s">
        <v>179</v>
      </c>
      <c r="C62" s="242"/>
      <c r="D62" s="243"/>
      <c r="E62" s="87"/>
      <c r="F62" s="88">
        <f>'RAIZ DOS DADOS'!D25</f>
        <v>6.4</v>
      </c>
      <c r="H62" s="70"/>
    </row>
    <row r="63" spans="1:8">
      <c r="A63" s="85" t="s">
        <v>145</v>
      </c>
      <c r="B63" s="260" t="s">
        <v>180</v>
      </c>
      <c r="C63" s="261"/>
      <c r="D63" s="262"/>
      <c r="E63" s="103"/>
      <c r="F63" s="104">
        <v>0</v>
      </c>
      <c r="H63" s="105"/>
    </row>
    <row r="64" spans="1:8">
      <c r="A64" s="85" t="s">
        <v>147</v>
      </c>
      <c r="B64" s="260" t="s">
        <v>181</v>
      </c>
      <c r="C64" s="261"/>
      <c r="D64" s="262"/>
      <c r="E64" s="103"/>
      <c r="F64" s="104">
        <f>'RAIZ DOS DADOS'!D8</f>
        <v>130</v>
      </c>
      <c r="H64" s="105"/>
    </row>
    <row r="65" spans="1:10" s="63" customFormat="1">
      <c r="A65" s="238" t="s">
        <v>61</v>
      </c>
      <c r="B65" s="239"/>
      <c r="C65" s="239"/>
      <c r="D65" s="240"/>
      <c r="E65" s="106"/>
      <c r="F65" s="92">
        <f>SUM(F56:F64)</f>
        <v>725.01</v>
      </c>
      <c r="G65" s="61"/>
      <c r="H65" s="61"/>
    </row>
    <row r="66" spans="1:10">
      <c r="A66" s="256" t="s">
        <v>182</v>
      </c>
      <c r="B66" s="257"/>
      <c r="C66" s="257"/>
      <c r="D66" s="257"/>
      <c r="E66" s="257"/>
      <c r="F66" s="259"/>
    </row>
    <row r="67" spans="1:10">
      <c r="A67" s="85">
        <v>2</v>
      </c>
      <c r="B67" s="256" t="s">
        <v>183</v>
      </c>
      <c r="C67" s="257"/>
      <c r="D67" s="258"/>
      <c r="E67" s="85"/>
      <c r="F67" s="86" t="s">
        <v>136</v>
      </c>
    </row>
    <row r="68" spans="1:10">
      <c r="A68" s="85" t="s">
        <v>151</v>
      </c>
      <c r="B68" s="241" t="s">
        <v>152</v>
      </c>
      <c r="C68" s="242"/>
      <c r="D68" s="243"/>
      <c r="E68" s="107"/>
      <c r="F68" s="88">
        <f>F40</f>
        <v>291.77999999999997</v>
      </c>
      <c r="G68" s="64"/>
      <c r="H68" s="64"/>
    </row>
    <row r="69" spans="1:10">
      <c r="A69" s="85" t="s">
        <v>158</v>
      </c>
      <c r="B69" s="241" t="s">
        <v>184</v>
      </c>
      <c r="C69" s="242"/>
      <c r="D69" s="243"/>
      <c r="E69" s="108"/>
      <c r="F69" s="88">
        <f>F53+F41</f>
        <v>713.52</v>
      </c>
      <c r="G69" s="64"/>
      <c r="H69" s="64"/>
    </row>
    <row r="70" spans="1:10">
      <c r="A70" s="85" t="s">
        <v>172</v>
      </c>
      <c r="B70" s="241" t="s">
        <v>173</v>
      </c>
      <c r="C70" s="242"/>
      <c r="D70" s="243"/>
      <c r="E70" s="109"/>
      <c r="F70" s="88">
        <f>F65</f>
        <v>725.01</v>
      </c>
      <c r="G70" s="64"/>
      <c r="H70" s="64"/>
    </row>
    <row r="71" spans="1:10">
      <c r="A71" s="238" t="s">
        <v>61</v>
      </c>
      <c r="B71" s="239"/>
      <c r="C71" s="239"/>
      <c r="D71" s="240"/>
      <c r="E71" s="91"/>
      <c r="F71" s="92">
        <f>SUM(F68:F70)</f>
        <v>1730.31</v>
      </c>
      <c r="J71" s="118"/>
    </row>
    <row r="73" spans="1:10">
      <c r="A73" s="254" t="s">
        <v>185</v>
      </c>
      <c r="B73" s="254"/>
      <c r="C73" s="254"/>
      <c r="D73" s="254"/>
      <c r="E73" s="254"/>
      <c r="F73" s="255"/>
    </row>
    <row r="74" spans="1:10">
      <c r="A74" s="85">
        <v>3</v>
      </c>
      <c r="B74" s="256" t="s">
        <v>186</v>
      </c>
      <c r="C74" s="257"/>
      <c r="D74" s="258"/>
      <c r="E74" s="85" t="s">
        <v>153</v>
      </c>
      <c r="F74" s="86" t="s">
        <v>136</v>
      </c>
    </row>
    <row r="75" spans="1:10">
      <c r="A75" s="85" t="s">
        <v>137</v>
      </c>
      <c r="B75" s="241" t="s">
        <v>187</v>
      </c>
      <c r="C75" s="242"/>
      <c r="D75" s="243"/>
      <c r="E75" s="107">
        <f>(1/12)*5%</f>
        <v>4.1999999999999997E-3</v>
      </c>
      <c r="F75" s="88">
        <f>E75*F33</f>
        <v>6.3</v>
      </c>
    </row>
    <row r="76" spans="1:10">
      <c r="A76" s="85" t="s">
        <v>139</v>
      </c>
      <c r="B76" s="241" t="s">
        <v>188</v>
      </c>
      <c r="C76" s="242"/>
      <c r="D76" s="243"/>
      <c r="E76" s="107">
        <f>E75*E52</f>
        <v>2.9999999999999997E-4</v>
      </c>
      <c r="F76" s="88">
        <f>E76*F33</f>
        <v>0.45</v>
      </c>
      <c r="G76" s="110"/>
    </row>
    <row r="77" spans="1:10">
      <c r="A77" s="85" t="s">
        <v>141</v>
      </c>
      <c r="B77" s="241" t="s">
        <v>189</v>
      </c>
      <c r="C77" s="242"/>
      <c r="D77" s="243"/>
      <c r="E77" s="107">
        <f>((8%*(40%)*90%)*(1+5/56+5/56+(1/3*5/56)))</f>
        <v>3.4799999999999998E-2</v>
      </c>
      <c r="F77" s="88">
        <f>E77*(F33+F40)</f>
        <v>62.39</v>
      </c>
      <c r="G77" s="110"/>
      <c r="H77" s="111"/>
    </row>
    <row r="78" spans="1:10">
      <c r="A78" s="85" t="s">
        <v>143</v>
      </c>
      <c r="B78" s="241" t="s">
        <v>190</v>
      </c>
      <c r="C78" s="242"/>
      <c r="D78" s="243"/>
      <c r="E78" s="107">
        <f>((7/30)/12)</f>
        <v>1.9400000000000001E-2</v>
      </c>
      <c r="F78" s="88">
        <f>E78*F33</f>
        <v>29.12</v>
      </c>
      <c r="G78" s="64"/>
      <c r="H78" s="64"/>
    </row>
    <row r="79" spans="1:10">
      <c r="A79" s="85" t="s">
        <v>145</v>
      </c>
      <c r="B79" s="241" t="s">
        <v>191</v>
      </c>
      <c r="C79" s="242"/>
      <c r="D79" s="243"/>
      <c r="E79" s="107">
        <f>E78*E53</f>
        <v>7.7000000000000002E-3</v>
      </c>
      <c r="F79" s="88">
        <f>E79*F33</f>
        <v>11.56</v>
      </c>
    </row>
    <row r="80" spans="1:10">
      <c r="A80" s="85" t="s">
        <v>147</v>
      </c>
      <c r="B80" s="241" t="s">
        <v>192</v>
      </c>
      <c r="C80" s="242"/>
      <c r="D80" s="243"/>
      <c r="E80" s="107">
        <f>(40%*8%*E78)</f>
        <v>5.9999999999999995E-4</v>
      </c>
      <c r="F80" s="88">
        <f>E80*F33</f>
        <v>0.9</v>
      </c>
    </row>
    <row r="81" spans="1:10">
      <c r="A81" s="238" t="s">
        <v>61</v>
      </c>
      <c r="B81" s="239"/>
      <c r="C81" s="239"/>
      <c r="D81" s="240"/>
      <c r="E81" s="112"/>
      <c r="F81" s="92">
        <f>SUM(F75:F80)</f>
        <v>110.72</v>
      </c>
      <c r="J81" s="118"/>
    </row>
    <row r="82" spans="1:10" s="64" customFormat="1">
      <c r="A82" s="67"/>
      <c r="B82" s="56"/>
      <c r="C82" s="56"/>
      <c r="D82" s="56"/>
      <c r="E82" s="56"/>
      <c r="F82" s="68"/>
      <c r="G82" s="61"/>
      <c r="H82" s="61"/>
    </row>
    <row r="83" spans="1:10" s="64" customFormat="1">
      <c r="A83" s="256" t="s">
        <v>193</v>
      </c>
      <c r="B83" s="257"/>
      <c r="C83" s="257"/>
      <c r="D83" s="257"/>
      <c r="E83" s="257"/>
      <c r="F83" s="259"/>
      <c r="G83" s="61"/>
      <c r="H83" s="61"/>
    </row>
    <row r="84" spans="1:10">
      <c r="A84" s="256" t="s">
        <v>194</v>
      </c>
      <c r="B84" s="257"/>
      <c r="C84" s="257"/>
      <c r="D84" s="257"/>
      <c r="E84" s="257"/>
      <c r="F84" s="259"/>
    </row>
    <row r="85" spans="1:10">
      <c r="A85" s="85" t="s">
        <v>195</v>
      </c>
      <c r="B85" s="256" t="s">
        <v>196</v>
      </c>
      <c r="C85" s="257"/>
      <c r="D85" s="258"/>
      <c r="E85" s="85" t="s">
        <v>153</v>
      </c>
      <c r="F85" s="86" t="s">
        <v>136</v>
      </c>
    </row>
    <row r="86" spans="1:10">
      <c r="A86" s="85" t="s">
        <v>137</v>
      </c>
      <c r="B86" s="241" t="s">
        <v>197</v>
      </c>
      <c r="C86" s="242"/>
      <c r="D86" s="243"/>
      <c r="E86" s="107">
        <f>(1/12)</f>
        <v>8.3299999999999999E-2</v>
      </c>
      <c r="F86" s="88">
        <f t="shared" ref="F86:F91" si="1">E86*F$33</f>
        <v>125.03</v>
      </c>
    </row>
    <row r="87" spans="1:10">
      <c r="A87" s="85" t="s">
        <v>139</v>
      </c>
      <c r="B87" s="241" t="s">
        <v>196</v>
      </c>
      <c r="C87" s="242"/>
      <c r="D87" s="243"/>
      <c r="E87" s="107">
        <f>(1/30)/12</f>
        <v>2.8E-3</v>
      </c>
      <c r="F87" s="88">
        <f t="shared" si="1"/>
        <v>4.2</v>
      </c>
    </row>
    <row r="88" spans="1:10">
      <c r="A88" s="85" t="s">
        <v>141</v>
      </c>
      <c r="B88" s="241" t="s">
        <v>198</v>
      </c>
      <c r="C88" s="242"/>
      <c r="D88" s="243"/>
      <c r="E88" s="107">
        <f>((5/30)/12)*1.5%</f>
        <v>2.0000000000000001E-4</v>
      </c>
      <c r="F88" s="88">
        <f t="shared" si="1"/>
        <v>0.3</v>
      </c>
    </row>
    <row r="89" spans="1:10">
      <c r="A89" s="85" t="s">
        <v>143</v>
      </c>
      <c r="B89" s="241" t="s">
        <v>199</v>
      </c>
      <c r="C89" s="242"/>
      <c r="D89" s="243"/>
      <c r="E89" s="107">
        <f>((15/365)*8%)</f>
        <v>3.3E-3</v>
      </c>
      <c r="F89" s="88">
        <f t="shared" si="1"/>
        <v>4.95</v>
      </c>
    </row>
    <row r="90" spans="1:10">
      <c r="A90" s="85" t="s">
        <v>145</v>
      </c>
      <c r="B90" s="241" t="s">
        <v>200</v>
      </c>
      <c r="C90" s="242"/>
      <c r="D90" s="243"/>
      <c r="E90" s="107">
        <f>(11.11%*2%*(4/12))</f>
        <v>6.9999999999999999E-4</v>
      </c>
      <c r="F90" s="88">
        <f t="shared" si="1"/>
        <v>1.05</v>
      </c>
    </row>
    <row r="91" spans="1:10">
      <c r="A91" s="85" t="s">
        <v>147</v>
      </c>
      <c r="B91" s="241" t="s">
        <v>201</v>
      </c>
      <c r="C91" s="242"/>
      <c r="D91" s="243"/>
      <c r="E91" s="107"/>
      <c r="F91" s="88">
        <f t="shared" si="1"/>
        <v>0</v>
      </c>
    </row>
    <row r="92" spans="1:10" s="64" customFormat="1">
      <c r="A92" s="238" t="s">
        <v>170</v>
      </c>
      <c r="B92" s="239"/>
      <c r="C92" s="239"/>
      <c r="D92" s="240"/>
      <c r="E92" s="112"/>
      <c r="F92" s="92">
        <f>SUM(F86:F91)</f>
        <v>135.53</v>
      </c>
      <c r="G92" s="61"/>
      <c r="H92" s="61"/>
      <c r="J92" s="118"/>
    </row>
    <row r="93" spans="1:10">
      <c r="A93" s="256" t="s">
        <v>202</v>
      </c>
      <c r="B93" s="257"/>
      <c r="C93" s="257"/>
      <c r="D93" s="257"/>
      <c r="E93" s="257"/>
      <c r="F93" s="259"/>
    </row>
    <row r="94" spans="1:10">
      <c r="A94" s="85" t="s">
        <v>203</v>
      </c>
      <c r="B94" s="256" t="s">
        <v>204</v>
      </c>
      <c r="C94" s="257"/>
      <c r="D94" s="258"/>
      <c r="E94" s="85"/>
      <c r="F94" s="86" t="s">
        <v>136</v>
      </c>
    </row>
    <row r="95" spans="1:10">
      <c r="A95" s="85" t="s">
        <v>137</v>
      </c>
      <c r="B95" s="241" t="s">
        <v>205</v>
      </c>
      <c r="C95" s="242"/>
      <c r="D95" s="243"/>
      <c r="E95" s="87"/>
      <c r="F95" s="88">
        <v>0</v>
      </c>
    </row>
    <row r="96" spans="1:10">
      <c r="A96" s="238" t="s">
        <v>61</v>
      </c>
      <c r="B96" s="239"/>
      <c r="C96" s="239"/>
      <c r="D96" s="240"/>
      <c r="E96" s="91"/>
      <c r="F96" s="92">
        <f>SUM(F95:F95)</f>
        <v>0</v>
      </c>
    </row>
    <row r="97" spans="1:10">
      <c r="A97" s="256" t="s">
        <v>206</v>
      </c>
      <c r="B97" s="257"/>
      <c r="C97" s="257"/>
      <c r="D97" s="257"/>
      <c r="E97" s="257"/>
      <c r="F97" s="259"/>
    </row>
    <row r="98" spans="1:10">
      <c r="A98" s="85">
        <v>4</v>
      </c>
      <c r="B98" s="256" t="s">
        <v>207</v>
      </c>
      <c r="C98" s="257"/>
      <c r="D98" s="258"/>
      <c r="E98" s="85"/>
      <c r="F98" s="86" t="s">
        <v>136</v>
      </c>
    </row>
    <row r="99" spans="1:10">
      <c r="A99" s="85" t="s">
        <v>195</v>
      </c>
      <c r="B99" s="241" t="s">
        <v>196</v>
      </c>
      <c r="C99" s="242"/>
      <c r="D99" s="243"/>
      <c r="E99" s="87"/>
      <c r="F99" s="88">
        <f>F92</f>
        <v>135.53</v>
      </c>
    </row>
    <row r="100" spans="1:10">
      <c r="A100" s="85" t="s">
        <v>203</v>
      </c>
      <c r="B100" s="241" t="s">
        <v>204</v>
      </c>
      <c r="C100" s="242"/>
      <c r="D100" s="243"/>
      <c r="E100" s="87"/>
      <c r="F100" s="88">
        <f>F96</f>
        <v>0</v>
      </c>
    </row>
    <row r="101" spans="1:10">
      <c r="A101" s="238" t="s">
        <v>61</v>
      </c>
      <c r="B101" s="239"/>
      <c r="C101" s="239"/>
      <c r="D101" s="240"/>
      <c r="E101" s="91"/>
      <c r="F101" s="92">
        <f>SUM(F99:F100)</f>
        <v>135.53</v>
      </c>
      <c r="J101" s="118"/>
    </row>
    <row r="103" spans="1:10">
      <c r="A103" s="256" t="s">
        <v>208</v>
      </c>
      <c r="B103" s="257"/>
      <c r="C103" s="257"/>
      <c r="D103" s="257"/>
      <c r="E103" s="257"/>
      <c r="F103" s="259"/>
    </row>
    <row r="104" spans="1:10">
      <c r="A104" s="85">
        <v>5</v>
      </c>
      <c r="B104" s="256" t="s">
        <v>209</v>
      </c>
      <c r="C104" s="257"/>
      <c r="D104" s="257"/>
      <c r="E104" s="258"/>
      <c r="F104" s="86" t="s">
        <v>136</v>
      </c>
    </row>
    <row r="105" spans="1:10">
      <c r="A105" s="113" t="s">
        <v>137</v>
      </c>
      <c r="B105" s="241" t="s">
        <v>210</v>
      </c>
      <c r="C105" s="242"/>
      <c r="D105" s="242"/>
      <c r="E105" s="243"/>
      <c r="F105" s="88">
        <f>'SEMAS 2_Uniformes'!K66</f>
        <v>65.89</v>
      </c>
      <c r="H105" s="114"/>
    </row>
    <row r="106" spans="1:10">
      <c r="A106" s="85" t="s">
        <v>139</v>
      </c>
      <c r="B106" s="241" t="s">
        <v>211</v>
      </c>
      <c r="C106" s="242"/>
      <c r="D106" s="242"/>
      <c r="E106" s="243"/>
      <c r="F106" s="88">
        <f>'SEMAS 2_EPI''s'!K65</f>
        <v>109.56</v>
      </c>
    </row>
    <row r="107" spans="1:10">
      <c r="A107" s="85" t="s">
        <v>141</v>
      </c>
      <c r="B107" s="241" t="s">
        <v>212</v>
      </c>
      <c r="C107" s="242"/>
      <c r="D107" s="242"/>
      <c r="E107" s="243"/>
      <c r="F107" s="88">
        <f>'SEMAS 2_Materiais'!K26</f>
        <v>8.86</v>
      </c>
    </row>
    <row r="108" spans="1:10">
      <c r="A108" s="85" t="s">
        <v>143</v>
      </c>
      <c r="B108" s="241" t="s">
        <v>213</v>
      </c>
      <c r="C108" s="242"/>
      <c r="D108" s="242"/>
      <c r="E108" s="243"/>
      <c r="F108" s="88">
        <f>'SEMAS 2_Equipamentos'!M30</f>
        <v>33.15</v>
      </c>
      <c r="H108" s="114"/>
    </row>
    <row r="109" spans="1:10">
      <c r="A109" s="238" t="s">
        <v>170</v>
      </c>
      <c r="B109" s="239"/>
      <c r="C109" s="239"/>
      <c r="D109" s="239"/>
      <c r="E109" s="240"/>
      <c r="F109" s="92">
        <f>SUM(F105:F108)</f>
        <v>217.46</v>
      </c>
      <c r="J109" s="118"/>
    </row>
    <row r="111" spans="1:10">
      <c r="A111" s="254" t="s">
        <v>214</v>
      </c>
      <c r="B111" s="254"/>
      <c r="C111" s="254"/>
      <c r="D111" s="254"/>
      <c r="E111" s="254"/>
      <c r="F111" s="255"/>
    </row>
    <row r="112" spans="1:10">
      <c r="A112" s="85">
        <v>6</v>
      </c>
      <c r="B112" s="256" t="s">
        <v>215</v>
      </c>
      <c r="C112" s="257"/>
      <c r="D112" s="258"/>
      <c r="E112" s="85" t="s">
        <v>153</v>
      </c>
      <c r="F112" s="86" t="s">
        <v>136</v>
      </c>
    </row>
    <row r="113" spans="1:10">
      <c r="A113" s="85" t="s">
        <v>137</v>
      </c>
      <c r="B113" s="241" t="s">
        <v>216</v>
      </c>
      <c r="C113" s="242"/>
      <c r="D113" s="243"/>
      <c r="E113" s="107">
        <v>0.05</v>
      </c>
      <c r="F113" s="88">
        <f>E113*F130</f>
        <v>184.75</v>
      </c>
    </row>
    <row r="114" spans="1:10">
      <c r="A114" s="85" t="s">
        <v>139</v>
      </c>
      <c r="B114" s="241" t="s">
        <v>217</v>
      </c>
      <c r="C114" s="242"/>
      <c r="D114" s="243"/>
      <c r="E114" s="107">
        <v>6.7900000000000002E-2</v>
      </c>
      <c r="F114" s="88">
        <f>E114*(F130+F113)</f>
        <v>263.43</v>
      </c>
    </row>
    <row r="115" spans="1:10">
      <c r="A115" s="85" t="s">
        <v>141</v>
      </c>
      <c r="B115" s="241" t="s">
        <v>218</v>
      </c>
      <c r="C115" s="242"/>
      <c r="D115" s="243"/>
      <c r="E115" s="107">
        <f>SUM(E116:E120)</f>
        <v>0.14249999999999999</v>
      </c>
      <c r="F115" s="88"/>
    </row>
    <row r="116" spans="1:10">
      <c r="A116" s="85"/>
      <c r="B116" s="241" t="s">
        <v>219</v>
      </c>
      <c r="C116" s="242"/>
      <c r="D116" s="243"/>
      <c r="E116" s="107"/>
      <c r="F116" s="88"/>
      <c r="H116" s="115"/>
    </row>
    <row r="117" spans="1:10">
      <c r="A117" s="85"/>
      <c r="B117" s="241" t="s">
        <v>220</v>
      </c>
      <c r="C117" s="242"/>
      <c r="D117" s="243"/>
      <c r="E117" s="107">
        <v>1.6500000000000001E-2</v>
      </c>
      <c r="F117" s="88">
        <f>E117*((F130+F113+F114)/(1-$E$115))</f>
        <v>79.72</v>
      </c>
      <c r="H117" s="249"/>
      <c r="J117" s="119"/>
    </row>
    <row r="118" spans="1:10">
      <c r="A118" s="85"/>
      <c r="B118" s="241" t="s">
        <v>221</v>
      </c>
      <c r="C118" s="242"/>
      <c r="D118" s="243"/>
      <c r="E118" s="107">
        <v>7.5999999999999998E-2</v>
      </c>
      <c r="F118" s="88">
        <f>E118*(($F$130+$F$113+$F$114)/(1-$E$115))</f>
        <v>367.2</v>
      </c>
      <c r="H118" s="249"/>
      <c r="J118" s="119"/>
    </row>
    <row r="119" spans="1:10" s="65" customFormat="1">
      <c r="A119" s="85"/>
      <c r="B119" s="241" t="s">
        <v>222</v>
      </c>
      <c r="C119" s="242"/>
      <c r="D119" s="243"/>
      <c r="E119" s="107"/>
      <c r="F119" s="88"/>
      <c r="H119" s="249"/>
      <c r="J119" s="120"/>
    </row>
    <row r="120" spans="1:10">
      <c r="A120" s="85"/>
      <c r="B120" s="241" t="s">
        <v>223</v>
      </c>
      <c r="C120" s="242"/>
      <c r="D120" s="243"/>
      <c r="E120" s="107">
        <v>0.05</v>
      </c>
      <c r="F120" s="88">
        <f>E120*(($F$130+$F$113+$F$114)/(1-$E$115))</f>
        <v>241.58</v>
      </c>
      <c r="H120" s="249"/>
      <c r="J120" s="119"/>
    </row>
    <row r="121" spans="1:10">
      <c r="A121" s="238" t="s">
        <v>170</v>
      </c>
      <c r="B121" s="239"/>
      <c r="C121" s="239"/>
      <c r="D121" s="240"/>
      <c r="E121" s="116"/>
      <c r="F121" s="92">
        <f>SUM(F113:F120)</f>
        <v>1136.68</v>
      </c>
      <c r="J121" s="118"/>
    </row>
    <row r="123" spans="1:10">
      <c r="A123" s="247" t="s">
        <v>224</v>
      </c>
      <c r="B123" s="247"/>
      <c r="C123" s="247"/>
      <c r="D123" s="247"/>
      <c r="E123" s="247"/>
      <c r="F123" s="250"/>
    </row>
    <row r="124" spans="1:10">
      <c r="A124" s="69"/>
      <c r="B124" s="251" t="s">
        <v>225</v>
      </c>
      <c r="C124" s="252"/>
      <c r="D124" s="252"/>
      <c r="E124" s="253"/>
      <c r="F124" s="117" t="s">
        <v>136</v>
      </c>
    </row>
    <row r="125" spans="1:10">
      <c r="A125" s="85" t="s">
        <v>137</v>
      </c>
      <c r="B125" s="241" t="s">
        <v>134</v>
      </c>
      <c r="C125" s="242"/>
      <c r="D125" s="242"/>
      <c r="E125" s="243"/>
      <c r="F125" s="88">
        <f>F33</f>
        <v>1500.91</v>
      </c>
      <c r="H125" s="110"/>
    </row>
    <row r="126" spans="1:10">
      <c r="A126" s="85" t="s">
        <v>139</v>
      </c>
      <c r="B126" s="241" t="s">
        <v>149</v>
      </c>
      <c r="C126" s="242"/>
      <c r="D126" s="242"/>
      <c r="E126" s="243"/>
      <c r="F126" s="88">
        <f>F71</f>
        <v>1730.31</v>
      </c>
    </row>
    <row r="127" spans="1:10">
      <c r="A127" s="85" t="s">
        <v>141</v>
      </c>
      <c r="B127" s="241" t="s">
        <v>185</v>
      </c>
      <c r="C127" s="242"/>
      <c r="D127" s="242"/>
      <c r="E127" s="243"/>
      <c r="F127" s="88">
        <f>F81</f>
        <v>110.72</v>
      </c>
    </row>
    <row r="128" spans="1:10">
      <c r="A128" s="85" t="s">
        <v>143</v>
      </c>
      <c r="B128" s="241" t="s">
        <v>193</v>
      </c>
      <c r="C128" s="242"/>
      <c r="D128" s="242"/>
      <c r="E128" s="243"/>
      <c r="F128" s="88">
        <f>F101</f>
        <v>135.53</v>
      </c>
      <c r="H128" s="110"/>
    </row>
    <row r="129" spans="1:10">
      <c r="A129" s="85" t="s">
        <v>145</v>
      </c>
      <c r="B129" s="241" t="s">
        <v>208</v>
      </c>
      <c r="C129" s="242"/>
      <c r="D129" s="242"/>
      <c r="E129" s="243"/>
      <c r="F129" s="88">
        <f>F109</f>
        <v>217.46</v>
      </c>
      <c r="H129" s="110"/>
    </row>
    <row r="130" spans="1:10">
      <c r="A130" s="238" t="s">
        <v>226</v>
      </c>
      <c r="B130" s="239"/>
      <c r="C130" s="239"/>
      <c r="D130" s="239"/>
      <c r="E130" s="240"/>
      <c r="F130" s="92">
        <f>SUM(F125:F129)</f>
        <v>3694.93</v>
      </c>
      <c r="I130" s="114"/>
      <c r="J130" s="114"/>
    </row>
    <row r="131" spans="1:10">
      <c r="A131" s="85" t="s">
        <v>147</v>
      </c>
      <c r="B131" s="241" t="s">
        <v>227</v>
      </c>
      <c r="C131" s="242"/>
      <c r="D131" s="242"/>
      <c r="E131" s="243"/>
      <c r="F131" s="88">
        <f>F121</f>
        <v>1136.68</v>
      </c>
    </row>
    <row r="132" spans="1:10">
      <c r="A132" s="244" t="s">
        <v>228</v>
      </c>
      <c r="B132" s="245"/>
      <c r="C132" s="245"/>
      <c r="D132" s="245"/>
      <c r="E132" s="246"/>
      <c r="F132" s="121">
        <f>SUM(F130:F131)</f>
        <v>4831.6099999999997</v>
      </c>
      <c r="H132" s="110"/>
    </row>
    <row r="134" spans="1:10" s="66" customFormat="1">
      <c r="A134" s="247" t="s">
        <v>229</v>
      </c>
      <c r="B134" s="247"/>
      <c r="C134" s="247"/>
      <c r="D134" s="247"/>
      <c r="E134" s="247"/>
      <c r="F134" s="247"/>
      <c r="G134" s="122"/>
      <c r="H134" s="122"/>
      <c r="I134" s="122"/>
    </row>
    <row r="135" spans="1:10" s="66" customFormat="1" ht="38.25">
      <c r="A135" s="69" t="s">
        <v>230</v>
      </c>
      <c r="B135" s="69" t="s">
        <v>231</v>
      </c>
      <c r="C135" s="69" t="s">
        <v>232</v>
      </c>
      <c r="D135" s="69" t="s">
        <v>233</v>
      </c>
      <c r="E135" s="69" t="s">
        <v>234</v>
      </c>
      <c r="F135" s="123" t="s">
        <v>235</v>
      </c>
    </row>
    <row r="136" spans="1:10" s="66" customFormat="1" ht="45" customHeight="1">
      <c r="A136" s="124" t="str">
        <f>A15</f>
        <v>Servente Externo: 40 h</v>
      </c>
      <c r="B136" s="125">
        <f>F132</f>
        <v>4831.6099999999997</v>
      </c>
      <c r="C136" s="126">
        <v>1</v>
      </c>
      <c r="D136" s="125">
        <f>B136*C136</f>
        <v>4831.6099999999997</v>
      </c>
      <c r="E136" s="87">
        <f>F15</f>
        <v>1</v>
      </c>
      <c r="F136" s="125">
        <f>D136*E136</f>
        <v>4831.6099999999997</v>
      </c>
    </row>
    <row r="137" spans="1:10" s="66" customFormat="1" ht="21" customHeight="1">
      <c r="A137" s="238" t="s">
        <v>236</v>
      </c>
      <c r="B137" s="239"/>
      <c r="C137" s="239"/>
      <c r="D137" s="239"/>
      <c r="E137" s="240"/>
      <c r="F137" s="127">
        <f>SUM(F136)</f>
        <v>4831.6099999999997</v>
      </c>
    </row>
    <row r="138" spans="1:10" s="66" customFormat="1" ht="21" customHeight="1">
      <c r="A138" s="244" t="s">
        <v>237</v>
      </c>
      <c r="B138" s="245"/>
      <c r="C138" s="245"/>
      <c r="D138" s="245"/>
      <c r="E138" s="246"/>
      <c r="F138" s="128">
        <f>F137*F11</f>
        <v>57979.32</v>
      </c>
    </row>
  </sheetData>
  <mergeCells count="134">
    <mergeCell ref="A1:E1"/>
    <mergeCell ref="A2:E2"/>
    <mergeCell ref="A3:E3"/>
    <mergeCell ref="A4:E4"/>
    <mergeCell ref="A5:E5"/>
    <mergeCell ref="A6:F6"/>
    <mergeCell ref="A7:F7"/>
    <mergeCell ref="B8:E8"/>
    <mergeCell ref="B9:E9"/>
    <mergeCell ref="B10:E10"/>
    <mergeCell ref="B11:E11"/>
    <mergeCell ref="A12:F12"/>
    <mergeCell ref="A13:F13"/>
    <mergeCell ref="A14:C14"/>
    <mergeCell ref="D14:E14"/>
    <mergeCell ref="A15:C15"/>
    <mergeCell ref="D15:E15"/>
    <mergeCell ref="A16:F16"/>
    <mergeCell ref="A17:F17"/>
    <mergeCell ref="A18:F18"/>
    <mergeCell ref="B19:E19"/>
    <mergeCell ref="B20:E20"/>
    <mergeCell ref="B21:E21"/>
    <mergeCell ref="B22:E22"/>
    <mergeCell ref="B23:E23"/>
    <mergeCell ref="A24:F24"/>
    <mergeCell ref="A25:F25"/>
    <mergeCell ref="B26:D26"/>
    <mergeCell ref="B27:D27"/>
    <mergeCell ref="B28:D28"/>
    <mergeCell ref="B29:D29"/>
    <mergeCell ref="B30:D30"/>
    <mergeCell ref="B31:D31"/>
    <mergeCell ref="B32:D32"/>
    <mergeCell ref="A33:D33"/>
    <mergeCell ref="A34:F34"/>
    <mergeCell ref="A35:F35"/>
    <mergeCell ref="A36:F36"/>
    <mergeCell ref="B37:D37"/>
    <mergeCell ref="B38:D38"/>
    <mergeCell ref="B39:D39"/>
    <mergeCell ref="A40:D40"/>
    <mergeCell ref="B41:D41"/>
    <mergeCell ref="A42:D42"/>
    <mergeCell ref="A43:F43"/>
    <mergeCell ref="B44:D44"/>
    <mergeCell ref="B45:D45"/>
    <mergeCell ref="B46:D46"/>
    <mergeCell ref="B47:D47"/>
    <mergeCell ref="B48:D48"/>
    <mergeCell ref="B49:D49"/>
    <mergeCell ref="B50:D50"/>
    <mergeCell ref="B51:D51"/>
    <mergeCell ref="B52:D52"/>
    <mergeCell ref="A53:D53"/>
    <mergeCell ref="A54:F54"/>
    <mergeCell ref="B55:D55"/>
    <mergeCell ref="B56:D56"/>
    <mergeCell ref="B57:D57"/>
    <mergeCell ref="B58:D58"/>
    <mergeCell ref="B59:D59"/>
    <mergeCell ref="B60:D60"/>
    <mergeCell ref="B61:D61"/>
    <mergeCell ref="B62:D62"/>
    <mergeCell ref="B63:D63"/>
    <mergeCell ref="B64:D64"/>
    <mergeCell ref="A65:D65"/>
    <mergeCell ref="A66:F66"/>
    <mergeCell ref="B67:D67"/>
    <mergeCell ref="B68:D68"/>
    <mergeCell ref="B69:D69"/>
    <mergeCell ref="B70:D70"/>
    <mergeCell ref="A71:D71"/>
    <mergeCell ref="A73:F73"/>
    <mergeCell ref="B74:D74"/>
    <mergeCell ref="B75:D75"/>
    <mergeCell ref="B76:D76"/>
    <mergeCell ref="B77:D77"/>
    <mergeCell ref="B78:D78"/>
    <mergeCell ref="B79:D79"/>
    <mergeCell ref="B80:D80"/>
    <mergeCell ref="A81:D81"/>
    <mergeCell ref="A83:F83"/>
    <mergeCell ref="A84:F84"/>
    <mergeCell ref="B85:D85"/>
    <mergeCell ref="B86:D86"/>
    <mergeCell ref="B87:D87"/>
    <mergeCell ref="B88:D88"/>
    <mergeCell ref="B89:D89"/>
    <mergeCell ref="B90:D90"/>
    <mergeCell ref="B91:D91"/>
    <mergeCell ref="A92:D92"/>
    <mergeCell ref="A93:F93"/>
    <mergeCell ref="B94:D94"/>
    <mergeCell ref="B95:D95"/>
    <mergeCell ref="A96:D96"/>
    <mergeCell ref="A97:F97"/>
    <mergeCell ref="B98:D98"/>
    <mergeCell ref="B99:D99"/>
    <mergeCell ref="B118:D118"/>
    <mergeCell ref="B119:D119"/>
    <mergeCell ref="B100:D100"/>
    <mergeCell ref="A101:D101"/>
    <mergeCell ref="A103:F103"/>
    <mergeCell ref="B104:E104"/>
    <mergeCell ref="B105:E105"/>
    <mergeCell ref="B106:E106"/>
    <mergeCell ref="B107:E107"/>
    <mergeCell ref="B108:E108"/>
    <mergeCell ref="A109:E109"/>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s>
  <pageMargins left="0.55416666666666703" right="0.35763888888888901" top="0.60555555555555596" bottom="0.40902777777777799" header="0.5" footer="0.5"/>
  <pageSetup paperSize="9"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59999389629810485"/>
  </sheetPr>
  <dimension ref="A1:K138"/>
  <sheetViews>
    <sheetView view="pageBreakPreview" topLeftCell="A79" zoomScale="110" zoomScaleNormal="115" workbookViewId="0">
      <selection activeCell="E87" sqref="E87"/>
    </sheetView>
  </sheetViews>
  <sheetFormatPr defaultColWidth="2.5703125" defaultRowHeight="12.75"/>
  <cols>
    <col min="1" max="1" width="12.85546875" style="67" customWidth="1"/>
    <col min="2" max="2" width="24.5703125" style="56" customWidth="1"/>
    <col min="3" max="3" width="24.28515625" style="56" customWidth="1"/>
    <col min="4" max="4" width="15.7109375" style="56" customWidth="1"/>
    <col min="5" max="5" width="15.140625" style="56" customWidth="1"/>
    <col min="6" max="6" width="30.140625" style="68" customWidth="1"/>
    <col min="7" max="7" width="47.85546875" style="61" customWidth="1"/>
    <col min="8" max="8" width="9.28515625" style="61" customWidth="1"/>
    <col min="9" max="9" width="18.28515625" style="61" customWidth="1"/>
    <col min="10" max="10" width="25.7109375" style="61" customWidth="1"/>
    <col min="11" max="16384" width="2.5703125" style="61"/>
  </cols>
  <sheetData>
    <row r="1" spans="1:11" s="60" customFormat="1" ht="23.1" customHeight="1">
      <c r="A1" s="247" t="s">
        <v>105</v>
      </c>
      <c r="B1" s="247"/>
      <c r="C1" s="247"/>
      <c r="D1" s="247"/>
      <c r="E1" s="247"/>
      <c r="F1" s="248"/>
      <c r="G1" s="67"/>
      <c r="H1" s="67"/>
    </row>
    <row r="2" spans="1:11" ht="21" customHeight="1">
      <c r="A2" s="247" t="s">
        <v>245</v>
      </c>
      <c r="B2" s="247"/>
      <c r="C2" s="247"/>
      <c r="D2" s="247"/>
      <c r="E2" s="247"/>
      <c r="F2" s="248"/>
      <c r="G2" s="70"/>
      <c r="H2" s="70"/>
    </row>
    <row r="3" spans="1:11" s="62" customFormat="1" ht="15">
      <c r="A3" s="283" t="s">
        <v>107</v>
      </c>
      <c r="B3" s="283"/>
      <c r="C3" s="283"/>
      <c r="D3" s="283"/>
      <c r="E3" s="283"/>
      <c r="F3" s="248"/>
      <c r="G3" s="71"/>
      <c r="H3" s="71"/>
      <c r="I3" s="71"/>
      <c r="J3" s="71"/>
      <c r="K3" s="71"/>
    </row>
    <row r="4" spans="1:11" s="62" customFormat="1" ht="15">
      <c r="A4" s="283" t="s">
        <v>108</v>
      </c>
      <c r="B4" s="283"/>
      <c r="C4" s="283"/>
      <c r="D4" s="283"/>
      <c r="E4" s="283"/>
      <c r="F4" s="248"/>
      <c r="G4" s="71"/>
      <c r="H4" s="72"/>
      <c r="I4" s="71"/>
      <c r="J4" s="71"/>
      <c r="K4" s="71"/>
    </row>
    <row r="5" spans="1:11" s="62" customFormat="1" ht="15">
      <c r="A5" s="283" t="s">
        <v>109</v>
      </c>
      <c r="B5" s="283"/>
      <c r="C5" s="283"/>
      <c r="D5" s="283"/>
      <c r="E5" s="283"/>
      <c r="F5" s="248"/>
      <c r="G5" s="71"/>
      <c r="H5" s="71"/>
      <c r="I5" s="71"/>
      <c r="J5" s="71"/>
      <c r="K5" s="71"/>
    </row>
    <row r="6" spans="1:11" s="62" customFormat="1" ht="15">
      <c r="A6" s="284"/>
      <c r="B6" s="284"/>
      <c r="C6" s="284"/>
      <c r="D6" s="284"/>
      <c r="E6" s="284"/>
      <c r="F6" s="285"/>
      <c r="G6" s="71"/>
      <c r="H6" s="71"/>
      <c r="I6" s="71"/>
      <c r="J6" s="71"/>
      <c r="K6" s="71"/>
    </row>
    <row r="7" spans="1:11">
      <c r="A7" s="269" t="s">
        <v>110</v>
      </c>
      <c r="B7" s="269"/>
      <c r="C7" s="269"/>
      <c r="D7" s="269"/>
      <c r="E7" s="269"/>
      <c r="F7" s="270"/>
      <c r="G7" s="60"/>
      <c r="H7" s="60"/>
    </row>
    <row r="8" spans="1:11" ht="18" customHeight="1">
      <c r="A8" s="73" t="s">
        <v>111</v>
      </c>
      <c r="B8" s="280" t="s">
        <v>112</v>
      </c>
      <c r="C8" s="280"/>
      <c r="D8" s="280"/>
      <c r="E8" s="280"/>
      <c r="F8" s="74" t="s">
        <v>113</v>
      </c>
    </row>
    <row r="9" spans="1:11" ht="18" customHeight="1">
      <c r="A9" s="73" t="s">
        <v>111</v>
      </c>
      <c r="B9" s="280" t="s">
        <v>114</v>
      </c>
      <c r="C9" s="280"/>
      <c r="D9" s="280"/>
      <c r="E9" s="280"/>
      <c r="F9" s="75" t="s">
        <v>115</v>
      </c>
    </row>
    <row r="10" spans="1:11" ht="18" customHeight="1">
      <c r="A10" s="73" t="s">
        <v>111</v>
      </c>
      <c r="B10" s="280" t="s">
        <v>116</v>
      </c>
      <c r="C10" s="280"/>
      <c r="D10" s="280"/>
      <c r="E10" s="280"/>
      <c r="F10" s="74" t="s">
        <v>117</v>
      </c>
    </row>
    <row r="11" spans="1:11" ht="18" customHeight="1">
      <c r="A11" s="73" t="s">
        <v>111</v>
      </c>
      <c r="B11" s="280" t="s">
        <v>118</v>
      </c>
      <c r="C11" s="280"/>
      <c r="D11" s="280"/>
      <c r="E11" s="280"/>
      <c r="F11" s="76">
        <v>12</v>
      </c>
    </row>
    <row r="12" spans="1:11" customFormat="1" ht="15">
      <c r="A12" s="277"/>
      <c r="B12" s="278"/>
      <c r="C12" s="278"/>
      <c r="D12" s="278"/>
      <c r="E12" s="278"/>
      <c r="F12" s="279"/>
      <c r="G12" s="61"/>
      <c r="H12" s="61"/>
    </row>
    <row r="13" spans="1:11" s="60" customFormat="1">
      <c r="A13" s="269" t="s">
        <v>119</v>
      </c>
      <c r="B13" s="269"/>
      <c r="C13" s="269"/>
      <c r="D13" s="269"/>
      <c r="E13" s="269"/>
      <c r="F13" s="270"/>
    </row>
    <row r="14" spans="1:11">
      <c r="A14" s="281" t="s">
        <v>120</v>
      </c>
      <c r="B14" s="281"/>
      <c r="C14" s="281"/>
      <c r="D14" s="281" t="s">
        <v>121</v>
      </c>
      <c r="E14" s="281"/>
      <c r="F14" s="77" t="s">
        <v>122</v>
      </c>
      <c r="H14" s="60"/>
    </row>
    <row r="15" spans="1:11">
      <c r="A15" s="281" t="s">
        <v>246</v>
      </c>
      <c r="B15" s="281"/>
      <c r="C15" s="281"/>
      <c r="D15" s="282" t="s">
        <v>80</v>
      </c>
      <c r="E15" s="282"/>
      <c r="F15" s="78">
        <f>'SEMAS TOTALIZADOR GERAL'!I6</f>
        <v>1</v>
      </c>
      <c r="H15" s="60"/>
    </row>
    <row r="16" spans="1:11" customFormat="1" ht="15">
      <c r="A16" s="277"/>
      <c r="B16" s="278"/>
      <c r="C16" s="278"/>
      <c r="D16" s="278"/>
      <c r="E16" s="278"/>
      <c r="F16" s="279"/>
      <c r="G16" s="61"/>
      <c r="H16" s="60"/>
    </row>
    <row r="17" spans="1:9" s="60" customFormat="1">
      <c r="A17" s="269" t="s">
        <v>124</v>
      </c>
      <c r="B17" s="269"/>
      <c r="C17" s="269"/>
      <c r="D17" s="269"/>
      <c r="E17" s="269"/>
      <c r="F17" s="270"/>
    </row>
    <row r="18" spans="1:9">
      <c r="A18" s="269" t="s">
        <v>125</v>
      </c>
      <c r="B18" s="269"/>
      <c r="C18" s="269"/>
      <c r="D18" s="269"/>
      <c r="E18" s="269"/>
      <c r="F18" s="270"/>
      <c r="G18" s="60"/>
      <c r="H18" s="60"/>
    </row>
    <row r="19" spans="1:9">
      <c r="A19" s="73">
        <v>1</v>
      </c>
      <c r="B19" s="271" t="s">
        <v>126</v>
      </c>
      <c r="C19" s="272"/>
      <c r="D19" s="272"/>
      <c r="E19" s="273"/>
      <c r="F19" s="79" t="s">
        <v>247</v>
      </c>
    </row>
    <row r="20" spans="1:9" ht="15">
      <c r="A20" s="80">
        <v>2</v>
      </c>
      <c r="B20" s="274" t="s">
        <v>128</v>
      </c>
      <c r="C20" s="275"/>
      <c r="D20" s="275"/>
      <c r="E20" s="276"/>
      <c r="F20" s="81" t="s">
        <v>248</v>
      </c>
      <c r="G20" s="82"/>
      <c r="H20" s="83"/>
      <c r="I20" s="83"/>
    </row>
    <row r="21" spans="1:9">
      <c r="A21" s="73">
        <v>3</v>
      </c>
      <c r="B21" s="271" t="s">
        <v>130</v>
      </c>
      <c r="C21" s="272"/>
      <c r="D21" s="272"/>
      <c r="E21" s="273"/>
      <c r="F21" s="84">
        <f>'RAIZ DOS DADOS'!D6</f>
        <v>1651</v>
      </c>
    </row>
    <row r="22" spans="1:9">
      <c r="A22" s="73">
        <v>4</v>
      </c>
      <c r="B22" s="271" t="s">
        <v>131</v>
      </c>
      <c r="C22" s="272"/>
      <c r="D22" s="272"/>
      <c r="E22" s="273"/>
      <c r="F22" s="79" t="str">
        <f>F19</f>
        <v>Encarregado de limpeza</v>
      </c>
    </row>
    <row r="23" spans="1:9">
      <c r="A23" s="73">
        <v>5</v>
      </c>
      <c r="B23" s="271" t="s">
        <v>132</v>
      </c>
      <c r="C23" s="272"/>
      <c r="D23" s="272"/>
      <c r="E23" s="273"/>
      <c r="F23" s="79" t="s">
        <v>133</v>
      </c>
    </row>
    <row r="24" spans="1:9">
      <c r="A24" s="277"/>
      <c r="B24" s="278"/>
      <c r="C24" s="278"/>
      <c r="D24" s="278"/>
      <c r="E24" s="278"/>
      <c r="F24" s="279"/>
    </row>
    <row r="25" spans="1:9">
      <c r="A25" s="256" t="s">
        <v>134</v>
      </c>
      <c r="B25" s="257"/>
      <c r="C25" s="257"/>
      <c r="D25" s="257"/>
      <c r="E25" s="257"/>
      <c r="F25" s="259"/>
    </row>
    <row r="26" spans="1:9">
      <c r="A26" s="85">
        <v>1</v>
      </c>
      <c r="B26" s="256" t="s">
        <v>135</v>
      </c>
      <c r="C26" s="257"/>
      <c r="D26" s="258"/>
      <c r="E26" s="85"/>
      <c r="F26" s="86" t="s">
        <v>136</v>
      </c>
    </row>
    <row r="27" spans="1:9">
      <c r="A27" s="85" t="s">
        <v>137</v>
      </c>
      <c r="B27" s="241" t="s">
        <v>138</v>
      </c>
      <c r="C27" s="242"/>
      <c r="D27" s="243"/>
      <c r="E27" s="87" t="s">
        <v>63</v>
      </c>
      <c r="F27" s="88">
        <f>F21/44*30</f>
        <v>1125.68</v>
      </c>
      <c r="H27" s="89"/>
    </row>
    <row r="28" spans="1:9">
      <c r="A28" s="85" t="s">
        <v>139</v>
      </c>
      <c r="B28" s="241" t="s">
        <v>140</v>
      </c>
      <c r="C28" s="242"/>
      <c r="D28" s="243"/>
      <c r="E28" s="87"/>
      <c r="F28" s="88"/>
    </row>
    <row r="29" spans="1:9">
      <c r="A29" s="85" t="s">
        <v>141</v>
      </c>
      <c r="B29" s="241" t="s">
        <v>142</v>
      </c>
      <c r="C29" s="242"/>
      <c r="D29" s="243"/>
      <c r="E29" s="90"/>
      <c r="F29" s="88"/>
    </row>
    <row r="30" spans="1:9">
      <c r="A30" s="85" t="s">
        <v>143</v>
      </c>
      <c r="B30" s="241" t="s">
        <v>144</v>
      </c>
      <c r="C30" s="242"/>
      <c r="D30" s="243"/>
      <c r="E30" s="87"/>
      <c r="F30" s="88"/>
    </row>
    <row r="31" spans="1:9">
      <c r="A31" s="85" t="s">
        <v>145</v>
      </c>
      <c r="B31" s="241" t="s">
        <v>146</v>
      </c>
      <c r="C31" s="242"/>
      <c r="D31" s="243"/>
      <c r="E31" s="87"/>
      <c r="F31" s="88"/>
    </row>
    <row r="32" spans="1:9">
      <c r="A32" s="85" t="s">
        <v>147</v>
      </c>
      <c r="B32" s="241" t="str">
        <f>'RAIZ DOS DADOS'!A17</f>
        <v>Gratificação Encarregado - de 21 até 40 empregados</v>
      </c>
      <c r="C32" s="242"/>
      <c r="D32" s="243"/>
      <c r="E32" s="87"/>
      <c r="F32" s="88">
        <f>('RAIZ DOS DADOS'!D11)/44*30</f>
        <v>231.76</v>
      </c>
    </row>
    <row r="33" spans="1:8">
      <c r="A33" s="238" t="s">
        <v>61</v>
      </c>
      <c r="B33" s="239"/>
      <c r="C33" s="239"/>
      <c r="D33" s="240"/>
      <c r="E33" s="91"/>
      <c r="F33" s="92">
        <f>SUM(F27:F32)</f>
        <v>1357.44</v>
      </c>
    </row>
    <row r="34" spans="1:8">
      <c r="A34" s="266"/>
      <c r="B34" s="267"/>
      <c r="C34" s="267"/>
      <c r="D34" s="267"/>
      <c r="E34" s="267"/>
      <c r="F34" s="268"/>
    </row>
    <row r="35" spans="1:8">
      <c r="A35" s="254" t="s">
        <v>149</v>
      </c>
      <c r="B35" s="254"/>
      <c r="C35" s="254"/>
      <c r="D35" s="254"/>
      <c r="E35" s="254"/>
      <c r="F35" s="255"/>
    </row>
    <row r="36" spans="1:8">
      <c r="A36" s="254" t="s">
        <v>150</v>
      </c>
      <c r="B36" s="254"/>
      <c r="C36" s="254"/>
      <c r="D36" s="254"/>
      <c r="E36" s="254"/>
      <c r="F36" s="255"/>
      <c r="H36" s="93"/>
    </row>
    <row r="37" spans="1:8">
      <c r="A37" s="85" t="s">
        <v>151</v>
      </c>
      <c r="B37" s="256" t="s">
        <v>152</v>
      </c>
      <c r="C37" s="257"/>
      <c r="D37" s="258"/>
      <c r="E37" s="85" t="s">
        <v>153</v>
      </c>
      <c r="F37" s="86" t="s">
        <v>136</v>
      </c>
    </row>
    <row r="38" spans="1:8">
      <c r="A38" s="85" t="s">
        <v>137</v>
      </c>
      <c r="B38" s="241" t="s">
        <v>154</v>
      </c>
      <c r="C38" s="242"/>
      <c r="D38" s="243"/>
      <c r="E38" s="94">
        <f>1/12</f>
        <v>8.3299999999999999E-2</v>
      </c>
      <c r="F38" s="88">
        <f>F33*E38</f>
        <v>113.07</v>
      </c>
    </row>
    <row r="39" spans="1:8">
      <c r="A39" s="85" t="s">
        <v>139</v>
      </c>
      <c r="B39" s="241" t="s">
        <v>155</v>
      </c>
      <c r="C39" s="242"/>
      <c r="D39" s="243"/>
      <c r="E39" s="94">
        <f>(1/12)+(1/3)/12</f>
        <v>0.1111</v>
      </c>
      <c r="F39" s="88">
        <f>F33*E39</f>
        <v>150.81</v>
      </c>
    </row>
    <row r="40" spans="1:8">
      <c r="A40" s="263" t="s">
        <v>61</v>
      </c>
      <c r="B40" s="264"/>
      <c r="C40" s="264"/>
      <c r="D40" s="265"/>
      <c r="E40" s="95">
        <f>SUM(E38:E39)</f>
        <v>0.19439999999999999</v>
      </c>
      <c r="F40" s="96">
        <f>SUM(F38:F39)</f>
        <v>263.88</v>
      </c>
    </row>
    <row r="41" spans="1:8">
      <c r="A41" s="85" t="s">
        <v>141</v>
      </c>
      <c r="B41" s="241" t="s">
        <v>156</v>
      </c>
      <c r="C41" s="242"/>
      <c r="D41" s="243"/>
      <c r="E41" s="94">
        <f>E40*E53</f>
        <v>7.7399999999999997E-2</v>
      </c>
      <c r="F41" s="96">
        <f>E41*F33</f>
        <v>105.07</v>
      </c>
    </row>
    <row r="42" spans="1:8">
      <c r="A42" s="238" t="s">
        <v>61</v>
      </c>
      <c r="B42" s="239"/>
      <c r="C42" s="239"/>
      <c r="D42" s="240"/>
      <c r="E42" s="97">
        <f>SUM(E40:E41)</f>
        <v>0.27179999999999999</v>
      </c>
      <c r="F42" s="92">
        <f>SUM(F40:F41)</f>
        <v>368.95</v>
      </c>
      <c r="H42" s="93"/>
    </row>
    <row r="43" spans="1:8">
      <c r="A43" s="254" t="s">
        <v>157</v>
      </c>
      <c r="B43" s="254"/>
      <c r="C43" s="254"/>
      <c r="D43" s="254"/>
      <c r="E43" s="254"/>
      <c r="F43" s="255"/>
    </row>
    <row r="44" spans="1:8">
      <c r="A44" s="85" t="s">
        <v>158</v>
      </c>
      <c r="B44" s="256" t="s">
        <v>159</v>
      </c>
      <c r="C44" s="257"/>
      <c r="D44" s="258"/>
      <c r="E44" s="85" t="s">
        <v>153</v>
      </c>
      <c r="F44" s="86" t="s">
        <v>136</v>
      </c>
    </row>
    <row r="45" spans="1:8">
      <c r="A45" s="85" t="s">
        <v>137</v>
      </c>
      <c r="B45" s="241" t="s">
        <v>160</v>
      </c>
      <c r="C45" s="242"/>
      <c r="D45" s="243"/>
      <c r="E45" s="94">
        <v>0.2</v>
      </c>
      <c r="F45" s="88">
        <f t="shared" ref="F45:F52" si="0">E45*F$33</f>
        <v>271.49</v>
      </c>
    </row>
    <row r="46" spans="1:8">
      <c r="A46" s="85" t="s">
        <v>139</v>
      </c>
      <c r="B46" s="241" t="s">
        <v>161</v>
      </c>
      <c r="C46" s="242"/>
      <c r="D46" s="243"/>
      <c r="E46" s="94">
        <v>2.5000000000000001E-2</v>
      </c>
      <c r="F46" s="88">
        <f t="shared" si="0"/>
        <v>33.94</v>
      </c>
      <c r="G46" s="63"/>
      <c r="H46" s="98"/>
    </row>
    <row r="47" spans="1:8">
      <c r="A47" s="85" t="s">
        <v>141</v>
      </c>
      <c r="B47" s="241" t="s">
        <v>162</v>
      </c>
      <c r="C47" s="242"/>
      <c r="D47" s="243"/>
      <c r="E47" s="99">
        <f>(2*3)/100</f>
        <v>0.06</v>
      </c>
      <c r="F47" s="88">
        <f t="shared" si="0"/>
        <v>81.45</v>
      </c>
      <c r="G47" s="100"/>
      <c r="H47" s="100"/>
    </row>
    <row r="48" spans="1:8">
      <c r="A48" s="85" t="s">
        <v>143</v>
      </c>
      <c r="B48" s="241" t="s">
        <v>163</v>
      </c>
      <c r="C48" s="242"/>
      <c r="D48" s="243"/>
      <c r="E48" s="94">
        <v>1.4999999999999999E-2</v>
      </c>
      <c r="F48" s="88">
        <f t="shared" si="0"/>
        <v>20.36</v>
      </c>
    </row>
    <row r="49" spans="1:8">
      <c r="A49" s="85" t="s">
        <v>145</v>
      </c>
      <c r="B49" s="241" t="s">
        <v>164</v>
      </c>
      <c r="C49" s="242"/>
      <c r="D49" s="243"/>
      <c r="E49" s="94">
        <v>0.01</v>
      </c>
      <c r="F49" s="88">
        <f t="shared" si="0"/>
        <v>13.57</v>
      </c>
    </row>
    <row r="50" spans="1:8">
      <c r="A50" s="85" t="s">
        <v>147</v>
      </c>
      <c r="B50" s="241" t="s">
        <v>165</v>
      </c>
      <c r="C50" s="242"/>
      <c r="D50" s="243"/>
      <c r="E50" s="94">
        <v>6.0000000000000001E-3</v>
      </c>
      <c r="F50" s="88">
        <f t="shared" si="0"/>
        <v>8.14</v>
      </c>
    </row>
    <row r="51" spans="1:8">
      <c r="A51" s="85" t="s">
        <v>166</v>
      </c>
      <c r="B51" s="241" t="s">
        <v>167</v>
      </c>
      <c r="C51" s="242"/>
      <c r="D51" s="243"/>
      <c r="E51" s="94">
        <v>2E-3</v>
      </c>
      <c r="F51" s="88">
        <f t="shared" si="0"/>
        <v>2.71</v>
      </c>
    </row>
    <row r="52" spans="1:8">
      <c r="A52" s="85" t="s">
        <v>168</v>
      </c>
      <c r="B52" s="241" t="s">
        <v>169</v>
      </c>
      <c r="C52" s="242"/>
      <c r="D52" s="243"/>
      <c r="E52" s="94">
        <v>0.08</v>
      </c>
      <c r="F52" s="88">
        <f t="shared" si="0"/>
        <v>108.6</v>
      </c>
    </row>
    <row r="53" spans="1:8">
      <c r="A53" s="238" t="s">
        <v>170</v>
      </c>
      <c r="B53" s="239"/>
      <c r="C53" s="239"/>
      <c r="D53" s="240"/>
      <c r="E53" s="97">
        <f>SUM(E45:E52)</f>
        <v>0.39800000000000002</v>
      </c>
      <c r="F53" s="92">
        <f>SUM(F45:F52)</f>
        <v>540.26</v>
      </c>
    </row>
    <row r="54" spans="1:8">
      <c r="A54" s="256" t="s">
        <v>171</v>
      </c>
      <c r="B54" s="257"/>
      <c r="C54" s="257"/>
      <c r="D54" s="257"/>
      <c r="E54" s="257"/>
      <c r="F54" s="259"/>
    </row>
    <row r="55" spans="1:8">
      <c r="A55" s="85" t="s">
        <v>172</v>
      </c>
      <c r="B55" s="256" t="s">
        <v>173</v>
      </c>
      <c r="C55" s="257"/>
      <c r="D55" s="258"/>
      <c r="E55" s="85"/>
      <c r="F55" s="86" t="s">
        <v>136</v>
      </c>
    </row>
    <row r="56" spans="1:8">
      <c r="A56" s="85" t="s">
        <v>137</v>
      </c>
      <c r="B56" s="241" t="s">
        <v>174</v>
      </c>
      <c r="C56" s="242"/>
      <c r="D56" s="243"/>
      <c r="E56" s="87"/>
      <c r="F56" s="88">
        <f>((E57*E58)*E59)-(6%*F27)</f>
        <v>64.459999999999994</v>
      </c>
      <c r="H56" s="70"/>
    </row>
    <row r="57" spans="1:8">
      <c r="A57" s="85"/>
      <c r="B57" s="241" t="s">
        <v>175</v>
      </c>
      <c r="C57" s="242"/>
      <c r="D57" s="243"/>
      <c r="E57" s="101">
        <f>'RAIZ DOS DADOS'!D31</f>
        <v>3</v>
      </c>
      <c r="F57" s="79" t="s">
        <v>69</v>
      </c>
      <c r="H57" s="70"/>
    </row>
    <row r="58" spans="1:8">
      <c r="A58" s="85"/>
      <c r="B58" s="241" t="s">
        <v>176</v>
      </c>
      <c r="C58" s="242"/>
      <c r="D58" s="243"/>
      <c r="E58" s="102">
        <v>2</v>
      </c>
      <c r="F58" s="79" t="s">
        <v>69</v>
      </c>
      <c r="H58" s="70"/>
    </row>
    <row r="59" spans="1:8">
      <c r="A59" s="85"/>
      <c r="B59" s="241" t="s">
        <v>177</v>
      </c>
      <c r="C59" s="242"/>
      <c r="D59" s="243"/>
      <c r="E59" s="102">
        <f>'RAIZ DOS DADOS'!D33</f>
        <v>22</v>
      </c>
      <c r="F59" s="79" t="s">
        <v>69</v>
      </c>
      <c r="H59" s="70"/>
    </row>
    <row r="60" spans="1:8">
      <c r="A60" s="85" t="s">
        <v>139</v>
      </c>
      <c r="B60" s="241" t="s">
        <v>178</v>
      </c>
      <c r="C60" s="242"/>
      <c r="D60" s="243"/>
      <c r="E60" s="87"/>
      <c r="F60" s="88">
        <f>'RAIZ DOS DADOS'!D7</f>
        <v>400</v>
      </c>
      <c r="H60" s="70"/>
    </row>
    <row r="61" spans="1:8">
      <c r="A61" s="85" t="s">
        <v>141</v>
      </c>
      <c r="B61" s="241" t="s">
        <v>33</v>
      </c>
      <c r="C61" s="242"/>
      <c r="D61" s="243"/>
      <c r="E61" s="87"/>
      <c r="F61" s="88">
        <f>'RAIZ DOS DADOS'!D24</f>
        <v>14.66</v>
      </c>
      <c r="H61" s="70"/>
    </row>
    <row r="62" spans="1:8">
      <c r="A62" s="85" t="s">
        <v>143</v>
      </c>
      <c r="B62" s="241" t="s">
        <v>179</v>
      </c>
      <c r="C62" s="242"/>
      <c r="D62" s="243"/>
      <c r="E62" s="87"/>
      <c r="F62" s="88">
        <f>'RAIZ DOS DADOS'!D25</f>
        <v>6.4</v>
      </c>
      <c r="H62" s="70"/>
    </row>
    <row r="63" spans="1:8">
      <c r="A63" s="85" t="s">
        <v>145</v>
      </c>
      <c r="B63" s="260" t="s">
        <v>180</v>
      </c>
      <c r="C63" s="261"/>
      <c r="D63" s="262"/>
      <c r="E63" s="103"/>
      <c r="F63" s="104">
        <v>0</v>
      </c>
      <c r="H63" s="105"/>
    </row>
    <row r="64" spans="1:8">
      <c r="A64" s="85" t="s">
        <v>147</v>
      </c>
      <c r="B64" s="260" t="s">
        <v>181</v>
      </c>
      <c r="C64" s="261"/>
      <c r="D64" s="262"/>
      <c r="E64" s="103"/>
      <c r="F64" s="104">
        <f>'RAIZ DOS DADOS'!D8</f>
        <v>130</v>
      </c>
      <c r="H64" s="105"/>
    </row>
    <row r="65" spans="1:10" s="63" customFormat="1">
      <c r="A65" s="238" t="s">
        <v>61</v>
      </c>
      <c r="B65" s="239"/>
      <c r="C65" s="239"/>
      <c r="D65" s="240"/>
      <c r="E65" s="106"/>
      <c r="F65" s="92">
        <f>SUM(F56:F64)</f>
        <v>615.52</v>
      </c>
      <c r="G65" s="61"/>
      <c r="H65" s="61"/>
    </row>
    <row r="66" spans="1:10">
      <c r="A66" s="256" t="s">
        <v>182</v>
      </c>
      <c r="B66" s="257"/>
      <c r="C66" s="257"/>
      <c r="D66" s="257"/>
      <c r="E66" s="257"/>
      <c r="F66" s="259"/>
    </row>
    <row r="67" spans="1:10">
      <c r="A67" s="85">
        <v>2</v>
      </c>
      <c r="B67" s="256" t="s">
        <v>183</v>
      </c>
      <c r="C67" s="257"/>
      <c r="D67" s="258"/>
      <c r="E67" s="85"/>
      <c r="F67" s="86" t="s">
        <v>136</v>
      </c>
    </row>
    <row r="68" spans="1:10">
      <c r="A68" s="85" t="s">
        <v>151</v>
      </c>
      <c r="B68" s="241" t="s">
        <v>152</v>
      </c>
      <c r="C68" s="242"/>
      <c r="D68" s="243"/>
      <c r="E68" s="107"/>
      <c r="F68" s="88">
        <f>F40</f>
        <v>263.88</v>
      </c>
      <c r="G68" s="64"/>
      <c r="H68" s="64"/>
    </row>
    <row r="69" spans="1:10">
      <c r="A69" s="85" t="s">
        <v>158</v>
      </c>
      <c r="B69" s="241" t="s">
        <v>184</v>
      </c>
      <c r="C69" s="242"/>
      <c r="D69" s="243"/>
      <c r="E69" s="108"/>
      <c r="F69" s="88">
        <f>F53+F41</f>
        <v>645.33000000000004</v>
      </c>
      <c r="G69" s="64"/>
      <c r="H69" s="64"/>
    </row>
    <row r="70" spans="1:10">
      <c r="A70" s="85" t="s">
        <v>172</v>
      </c>
      <c r="B70" s="241" t="s">
        <v>173</v>
      </c>
      <c r="C70" s="242"/>
      <c r="D70" s="243"/>
      <c r="E70" s="109"/>
      <c r="F70" s="88">
        <f>F65</f>
        <v>615.52</v>
      </c>
      <c r="G70" s="64"/>
      <c r="H70" s="64"/>
    </row>
    <row r="71" spans="1:10">
      <c r="A71" s="238" t="s">
        <v>61</v>
      </c>
      <c r="B71" s="239"/>
      <c r="C71" s="239"/>
      <c r="D71" s="240"/>
      <c r="E71" s="91"/>
      <c r="F71" s="92">
        <f>SUM(F68:F70)</f>
        <v>1524.73</v>
      </c>
      <c r="J71" s="118"/>
    </row>
    <row r="73" spans="1:10">
      <c r="A73" s="254" t="s">
        <v>185</v>
      </c>
      <c r="B73" s="254"/>
      <c r="C73" s="254"/>
      <c r="D73" s="254"/>
      <c r="E73" s="254"/>
      <c r="F73" s="255"/>
    </row>
    <row r="74" spans="1:10">
      <c r="A74" s="85">
        <v>3</v>
      </c>
      <c r="B74" s="256" t="s">
        <v>186</v>
      </c>
      <c r="C74" s="257"/>
      <c r="D74" s="258"/>
      <c r="E74" s="85" t="s">
        <v>153</v>
      </c>
      <c r="F74" s="86" t="s">
        <v>136</v>
      </c>
    </row>
    <row r="75" spans="1:10">
      <c r="A75" s="85" t="s">
        <v>137</v>
      </c>
      <c r="B75" s="241" t="s">
        <v>187</v>
      </c>
      <c r="C75" s="242"/>
      <c r="D75" s="243"/>
      <c r="E75" s="107">
        <f>(1/12)*5%</f>
        <v>4.1999999999999997E-3</v>
      </c>
      <c r="F75" s="88">
        <f>E75*F33</f>
        <v>5.7</v>
      </c>
    </row>
    <row r="76" spans="1:10">
      <c r="A76" s="85" t="s">
        <v>139</v>
      </c>
      <c r="B76" s="241" t="s">
        <v>188</v>
      </c>
      <c r="C76" s="242"/>
      <c r="D76" s="243"/>
      <c r="E76" s="107">
        <f>E75*E52</f>
        <v>2.9999999999999997E-4</v>
      </c>
      <c r="F76" s="88">
        <f>E76*F33</f>
        <v>0.41</v>
      </c>
      <c r="G76" s="110"/>
    </row>
    <row r="77" spans="1:10">
      <c r="A77" s="85" t="s">
        <v>141</v>
      </c>
      <c r="B77" s="241" t="s">
        <v>189</v>
      </c>
      <c r="C77" s="242"/>
      <c r="D77" s="243"/>
      <c r="E77" s="107">
        <f>((8%*(40%)*90%)*(1+5/56+5/56+(1/3*5/56)))</f>
        <v>3.4799999999999998E-2</v>
      </c>
      <c r="F77" s="88">
        <f>E77*(F33+F40)</f>
        <v>56.42</v>
      </c>
      <c r="G77" s="110"/>
      <c r="H77" s="111"/>
    </row>
    <row r="78" spans="1:10">
      <c r="A78" s="85" t="s">
        <v>143</v>
      </c>
      <c r="B78" s="241" t="s">
        <v>190</v>
      </c>
      <c r="C78" s="242"/>
      <c r="D78" s="243"/>
      <c r="E78" s="107">
        <f>((7/30)/12)</f>
        <v>1.9400000000000001E-2</v>
      </c>
      <c r="F78" s="88">
        <f>E78*F33</f>
        <v>26.33</v>
      </c>
      <c r="G78" s="64"/>
      <c r="H78" s="64"/>
    </row>
    <row r="79" spans="1:10">
      <c r="A79" s="85" t="s">
        <v>145</v>
      </c>
      <c r="B79" s="241" t="s">
        <v>191</v>
      </c>
      <c r="C79" s="242"/>
      <c r="D79" s="243"/>
      <c r="E79" s="107">
        <f>E78*E53</f>
        <v>7.7000000000000002E-3</v>
      </c>
      <c r="F79" s="88">
        <f>E79*F33</f>
        <v>10.45</v>
      </c>
    </row>
    <row r="80" spans="1:10">
      <c r="A80" s="85" t="s">
        <v>147</v>
      </c>
      <c r="B80" s="241" t="s">
        <v>192</v>
      </c>
      <c r="C80" s="242"/>
      <c r="D80" s="243"/>
      <c r="E80" s="107">
        <f>(40%*8%*E78)</f>
        <v>5.9999999999999995E-4</v>
      </c>
      <c r="F80" s="88">
        <f>E80*F33</f>
        <v>0.81</v>
      </c>
    </row>
    <row r="81" spans="1:10">
      <c r="A81" s="238" t="s">
        <v>61</v>
      </c>
      <c r="B81" s="239"/>
      <c r="C81" s="239"/>
      <c r="D81" s="240"/>
      <c r="E81" s="112"/>
      <c r="F81" s="92">
        <f>SUM(F75:F80)</f>
        <v>100.12</v>
      </c>
      <c r="J81" s="118"/>
    </row>
    <row r="82" spans="1:10" s="64" customFormat="1">
      <c r="A82" s="67"/>
      <c r="B82" s="56"/>
      <c r="C82" s="56"/>
      <c r="D82" s="56"/>
      <c r="E82" s="56"/>
      <c r="F82" s="68"/>
      <c r="G82" s="61"/>
      <c r="H82" s="61"/>
    </row>
    <row r="83" spans="1:10" s="64" customFormat="1">
      <c r="A83" s="256" t="s">
        <v>193</v>
      </c>
      <c r="B83" s="257"/>
      <c r="C83" s="257"/>
      <c r="D83" s="257"/>
      <c r="E83" s="257"/>
      <c r="F83" s="259"/>
      <c r="G83" s="61"/>
      <c r="H83" s="61"/>
    </row>
    <row r="84" spans="1:10">
      <c r="A84" s="256" t="s">
        <v>194</v>
      </c>
      <c r="B84" s="257"/>
      <c r="C84" s="257"/>
      <c r="D84" s="257"/>
      <c r="E84" s="257"/>
      <c r="F84" s="259"/>
    </row>
    <row r="85" spans="1:10">
      <c r="A85" s="85" t="s">
        <v>195</v>
      </c>
      <c r="B85" s="256" t="s">
        <v>196</v>
      </c>
      <c r="C85" s="257"/>
      <c r="D85" s="258"/>
      <c r="E85" s="85" t="s">
        <v>153</v>
      </c>
      <c r="F85" s="86" t="s">
        <v>136</v>
      </c>
    </row>
    <row r="86" spans="1:10">
      <c r="A86" s="85" t="s">
        <v>137</v>
      </c>
      <c r="B86" s="241" t="s">
        <v>197</v>
      </c>
      <c r="C86" s="242"/>
      <c r="D86" s="243"/>
      <c r="E86" s="107">
        <f>(1/12)</f>
        <v>8.3299999999999999E-2</v>
      </c>
      <c r="F86" s="88">
        <f t="shared" ref="F86:F91" si="1">E86*F$33</f>
        <v>113.07</v>
      </c>
    </row>
    <row r="87" spans="1:10">
      <c r="A87" s="85" t="s">
        <v>139</v>
      </c>
      <c r="B87" s="241" t="s">
        <v>196</v>
      </c>
      <c r="C87" s="242"/>
      <c r="D87" s="243"/>
      <c r="E87" s="107">
        <f>(1/30)/12</f>
        <v>2.8E-3</v>
      </c>
      <c r="F87" s="88">
        <f t="shared" si="1"/>
        <v>3.8</v>
      </c>
    </row>
    <row r="88" spans="1:10">
      <c r="A88" s="85" t="s">
        <v>141</v>
      </c>
      <c r="B88" s="241" t="s">
        <v>198</v>
      </c>
      <c r="C88" s="242"/>
      <c r="D88" s="243"/>
      <c r="E88" s="107">
        <f>((5/30)/12)*1.5%</f>
        <v>2.0000000000000001E-4</v>
      </c>
      <c r="F88" s="88">
        <f t="shared" si="1"/>
        <v>0.27</v>
      </c>
    </row>
    <row r="89" spans="1:10">
      <c r="A89" s="85" t="s">
        <v>143</v>
      </c>
      <c r="B89" s="241" t="s">
        <v>199</v>
      </c>
      <c r="C89" s="242"/>
      <c r="D89" s="243"/>
      <c r="E89" s="107">
        <f>((15/365)*8%)</f>
        <v>3.3E-3</v>
      </c>
      <c r="F89" s="88">
        <f t="shared" si="1"/>
        <v>4.4800000000000004</v>
      </c>
    </row>
    <row r="90" spans="1:10">
      <c r="A90" s="85" t="s">
        <v>145</v>
      </c>
      <c r="B90" s="241" t="s">
        <v>200</v>
      </c>
      <c r="C90" s="242"/>
      <c r="D90" s="243"/>
      <c r="E90" s="107">
        <f>(11.11%*2%*(4/12))</f>
        <v>6.9999999999999999E-4</v>
      </c>
      <c r="F90" s="88">
        <f t="shared" si="1"/>
        <v>0.95</v>
      </c>
    </row>
    <row r="91" spans="1:10">
      <c r="A91" s="85" t="s">
        <v>147</v>
      </c>
      <c r="B91" s="241" t="s">
        <v>201</v>
      </c>
      <c r="C91" s="242"/>
      <c r="D91" s="243"/>
      <c r="E91" s="107"/>
      <c r="F91" s="88">
        <f t="shared" si="1"/>
        <v>0</v>
      </c>
    </row>
    <row r="92" spans="1:10" s="64" customFormat="1">
      <c r="A92" s="238" t="s">
        <v>170</v>
      </c>
      <c r="B92" s="239"/>
      <c r="C92" s="239"/>
      <c r="D92" s="240"/>
      <c r="E92" s="112"/>
      <c r="F92" s="92">
        <f>SUM(F86:F91)</f>
        <v>122.57</v>
      </c>
      <c r="G92" s="61"/>
      <c r="H92" s="61"/>
      <c r="J92" s="118"/>
    </row>
    <row r="93" spans="1:10">
      <c r="A93" s="256" t="s">
        <v>202</v>
      </c>
      <c r="B93" s="257"/>
      <c r="C93" s="257"/>
      <c r="D93" s="257"/>
      <c r="E93" s="257"/>
      <c r="F93" s="259"/>
    </row>
    <row r="94" spans="1:10">
      <c r="A94" s="85" t="s">
        <v>203</v>
      </c>
      <c r="B94" s="256" t="s">
        <v>204</v>
      </c>
      <c r="C94" s="257"/>
      <c r="D94" s="258"/>
      <c r="E94" s="85"/>
      <c r="F94" s="86" t="s">
        <v>136</v>
      </c>
    </row>
    <row r="95" spans="1:10">
      <c r="A95" s="85" t="s">
        <v>137</v>
      </c>
      <c r="B95" s="241" t="s">
        <v>205</v>
      </c>
      <c r="C95" s="242"/>
      <c r="D95" s="243"/>
      <c r="E95" s="87"/>
      <c r="F95" s="88">
        <v>0</v>
      </c>
    </row>
    <row r="96" spans="1:10">
      <c r="A96" s="238" t="s">
        <v>61</v>
      </c>
      <c r="B96" s="239"/>
      <c r="C96" s="239"/>
      <c r="D96" s="240"/>
      <c r="E96" s="91"/>
      <c r="F96" s="92">
        <f>SUM(F95:F95)</f>
        <v>0</v>
      </c>
    </row>
    <row r="97" spans="1:10">
      <c r="A97" s="256" t="s">
        <v>206</v>
      </c>
      <c r="B97" s="257"/>
      <c r="C97" s="257"/>
      <c r="D97" s="257"/>
      <c r="E97" s="257"/>
      <c r="F97" s="259"/>
    </row>
    <row r="98" spans="1:10">
      <c r="A98" s="85">
        <v>4</v>
      </c>
      <c r="B98" s="256" t="s">
        <v>207</v>
      </c>
      <c r="C98" s="257"/>
      <c r="D98" s="258"/>
      <c r="E98" s="85"/>
      <c r="F98" s="86" t="s">
        <v>136</v>
      </c>
    </row>
    <row r="99" spans="1:10">
      <c r="A99" s="85" t="s">
        <v>195</v>
      </c>
      <c r="B99" s="241" t="s">
        <v>196</v>
      </c>
      <c r="C99" s="242"/>
      <c r="D99" s="243"/>
      <c r="E99" s="87"/>
      <c r="F99" s="88">
        <f>F92</f>
        <v>122.57</v>
      </c>
    </row>
    <row r="100" spans="1:10">
      <c r="A100" s="85" t="s">
        <v>203</v>
      </c>
      <c r="B100" s="241" t="s">
        <v>204</v>
      </c>
      <c r="C100" s="242"/>
      <c r="D100" s="243"/>
      <c r="E100" s="87"/>
      <c r="F100" s="88">
        <f>F96</f>
        <v>0</v>
      </c>
    </row>
    <row r="101" spans="1:10">
      <c r="A101" s="238" t="s">
        <v>61</v>
      </c>
      <c r="B101" s="239"/>
      <c r="C101" s="239"/>
      <c r="D101" s="240"/>
      <c r="E101" s="91"/>
      <c r="F101" s="92">
        <f>SUM(F99:F100)</f>
        <v>122.57</v>
      </c>
      <c r="J101" s="118"/>
    </row>
    <row r="103" spans="1:10">
      <c r="A103" s="256" t="s">
        <v>208</v>
      </c>
      <c r="B103" s="257"/>
      <c r="C103" s="257"/>
      <c r="D103" s="257"/>
      <c r="E103" s="257"/>
      <c r="F103" s="259"/>
    </row>
    <row r="104" spans="1:10">
      <c r="A104" s="85">
        <v>5</v>
      </c>
      <c r="B104" s="256" t="s">
        <v>209</v>
      </c>
      <c r="C104" s="257"/>
      <c r="D104" s="257"/>
      <c r="E104" s="258"/>
      <c r="F104" s="86" t="s">
        <v>136</v>
      </c>
    </row>
    <row r="105" spans="1:10">
      <c r="A105" s="113" t="s">
        <v>137</v>
      </c>
      <c r="B105" s="241" t="s">
        <v>210</v>
      </c>
      <c r="C105" s="242"/>
      <c r="D105" s="242"/>
      <c r="E105" s="243"/>
      <c r="F105" s="88">
        <f>'SEMAS 2_Uniformes'!K49</f>
        <v>55.26</v>
      </c>
      <c r="H105" s="114"/>
    </row>
    <row r="106" spans="1:10">
      <c r="A106" s="85" t="s">
        <v>139</v>
      </c>
      <c r="B106" s="241" t="s">
        <v>211</v>
      </c>
      <c r="C106" s="242"/>
      <c r="D106" s="242"/>
      <c r="E106" s="243"/>
      <c r="F106" s="88">
        <f>0</f>
        <v>0</v>
      </c>
      <c r="G106" s="129" t="s">
        <v>249</v>
      </c>
    </row>
    <row r="107" spans="1:10">
      <c r="A107" s="85" t="s">
        <v>141</v>
      </c>
      <c r="B107" s="241" t="s">
        <v>212</v>
      </c>
      <c r="C107" s="242"/>
      <c r="D107" s="242"/>
      <c r="E107" s="243"/>
      <c r="F107" s="88">
        <v>0</v>
      </c>
      <c r="G107" s="129" t="s">
        <v>250</v>
      </c>
    </row>
    <row r="108" spans="1:10">
      <c r="A108" s="85" t="s">
        <v>143</v>
      </c>
      <c r="B108" s="241" t="s">
        <v>213</v>
      </c>
      <c r="C108" s="242"/>
      <c r="D108" s="242"/>
      <c r="E108" s="243"/>
      <c r="F108" s="88">
        <v>0</v>
      </c>
      <c r="G108" s="130" t="s">
        <v>251</v>
      </c>
      <c r="H108" s="114"/>
    </row>
    <row r="109" spans="1:10">
      <c r="A109" s="238" t="s">
        <v>170</v>
      </c>
      <c r="B109" s="239"/>
      <c r="C109" s="239"/>
      <c r="D109" s="239"/>
      <c r="E109" s="240"/>
      <c r="F109" s="92">
        <f>SUM(F105:F108)</f>
        <v>55.26</v>
      </c>
      <c r="J109" s="118"/>
    </row>
    <row r="111" spans="1:10">
      <c r="A111" s="254" t="s">
        <v>214</v>
      </c>
      <c r="B111" s="254"/>
      <c r="C111" s="254"/>
      <c r="D111" s="254"/>
      <c r="E111" s="254"/>
      <c r="F111" s="255"/>
    </row>
    <row r="112" spans="1:10">
      <c r="A112" s="85">
        <v>6</v>
      </c>
      <c r="B112" s="256" t="s">
        <v>215</v>
      </c>
      <c r="C112" s="257"/>
      <c r="D112" s="258"/>
      <c r="E112" s="85" t="s">
        <v>153</v>
      </c>
      <c r="F112" s="86" t="s">
        <v>136</v>
      </c>
    </row>
    <row r="113" spans="1:10">
      <c r="A113" s="85" t="s">
        <v>137</v>
      </c>
      <c r="B113" s="241" t="s">
        <v>216</v>
      </c>
      <c r="C113" s="242"/>
      <c r="D113" s="243"/>
      <c r="E113" s="107">
        <v>0.05</v>
      </c>
      <c r="F113" s="88">
        <f>E113*F130</f>
        <v>158.01</v>
      </c>
    </row>
    <row r="114" spans="1:10">
      <c r="A114" s="85" t="s">
        <v>139</v>
      </c>
      <c r="B114" s="241" t="s">
        <v>217</v>
      </c>
      <c r="C114" s="242"/>
      <c r="D114" s="243"/>
      <c r="E114" s="107">
        <v>6.7900000000000002E-2</v>
      </c>
      <c r="F114" s="88">
        <f>E114*(F130+F113)</f>
        <v>225.3</v>
      </c>
    </row>
    <row r="115" spans="1:10">
      <c r="A115" s="85" t="s">
        <v>141</v>
      </c>
      <c r="B115" s="241" t="s">
        <v>218</v>
      </c>
      <c r="C115" s="242"/>
      <c r="D115" s="243"/>
      <c r="E115" s="107">
        <f>SUM(E116:E120)</f>
        <v>0.14249999999999999</v>
      </c>
      <c r="F115" s="88"/>
    </row>
    <row r="116" spans="1:10">
      <c r="A116" s="85"/>
      <c r="B116" s="241" t="s">
        <v>219</v>
      </c>
      <c r="C116" s="242"/>
      <c r="D116" s="243"/>
      <c r="E116" s="107"/>
      <c r="F116" s="88"/>
      <c r="H116" s="115"/>
    </row>
    <row r="117" spans="1:10">
      <c r="A117" s="85"/>
      <c r="B117" s="241" t="s">
        <v>220</v>
      </c>
      <c r="C117" s="242"/>
      <c r="D117" s="243"/>
      <c r="E117" s="107">
        <v>1.6500000000000001E-2</v>
      </c>
      <c r="F117" s="88">
        <f>E117*((F130+F113+F114)/(1-$E$115))</f>
        <v>68.180000000000007</v>
      </c>
      <c r="H117" s="249"/>
      <c r="J117" s="119"/>
    </row>
    <row r="118" spans="1:10">
      <c r="A118" s="85"/>
      <c r="B118" s="241" t="s">
        <v>221</v>
      </c>
      <c r="C118" s="242"/>
      <c r="D118" s="243"/>
      <c r="E118" s="107">
        <v>7.5999999999999998E-2</v>
      </c>
      <c r="F118" s="88">
        <f>E118*(($F$130+$F$113+$F$114)/(1-$E$115))</f>
        <v>314.05</v>
      </c>
      <c r="H118" s="249"/>
      <c r="J118" s="119"/>
    </row>
    <row r="119" spans="1:10" s="65" customFormat="1">
      <c r="A119" s="85"/>
      <c r="B119" s="241" t="s">
        <v>222</v>
      </c>
      <c r="C119" s="242"/>
      <c r="D119" s="243"/>
      <c r="E119" s="107"/>
      <c r="F119" s="88"/>
      <c r="H119" s="249"/>
      <c r="J119" s="120"/>
    </row>
    <row r="120" spans="1:10">
      <c r="A120" s="85"/>
      <c r="B120" s="241" t="s">
        <v>223</v>
      </c>
      <c r="C120" s="242"/>
      <c r="D120" s="243"/>
      <c r="E120" s="107">
        <v>0.05</v>
      </c>
      <c r="F120" s="88">
        <f>E120*(($F$130+$F$113+$F$114)/(1-$E$115))</f>
        <v>206.61</v>
      </c>
      <c r="H120" s="249"/>
      <c r="J120" s="119"/>
    </row>
    <row r="121" spans="1:10">
      <c r="A121" s="238" t="s">
        <v>170</v>
      </c>
      <c r="B121" s="239"/>
      <c r="C121" s="239"/>
      <c r="D121" s="240"/>
      <c r="E121" s="116"/>
      <c r="F121" s="92">
        <f>SUM(F113:F120)</f>
        <v>972.15</v>
      </c>
      <c r="J121" s="118"/>
    </row>
    <row r="123" spans="1:10">
      <c r="A123" s="247" t="s">
        <v>224</v>
      </c>
      <c r="B123" s="247"/>
      <c r="C123" s="247"/>
      <c r="D123" s="247"/>
      <c r="E123" s="247"/>
      <c r="F123" s="250"/>
    </row>
    <row r="124" spans="1:10">
      <c r="A124" s="69"/>
      <c r="B124" s="251" t="s">
        <v>225</v>
      </c>
      <c r="C124" s="252"/>
      <c r="D124" s="252"/>
      <c r="E124" s="253"/>
      <c r="F124" s="117" t="s">
        <v>136</v>
      </c>
    </row>
    <row r="125" spans="1:10">
      <c r="A125" s="85" t="s">
        <v>137</v>
      </c>
      <c r="B125" s="241" t="s">
        <v>134</v>
      </c>
      <c r="C125" s="242"/>
      <c r="D125" s="242"/>
      <c r="E125" s="243"/>
      <c r="F125" s="88">
        <f>F33</f>
        <v>1357.44</v>
      </c>
      <c r="H125" s="110"/>
    </row>
    <row r="126" spans="1:10">
      <c r="A126" s="85" t="s">
        <v>139</v>
      </c>
      <c r="B126" s="241" t="s">
        <v>149</v>
      </c>
      <c r="C126" s="242"/>
      <c r="D126" s="242"/>
      <c r="E126" s="243"/>
      <c r="F126" s="88">
        <f>F71</f>
        <v>1524.73</v>
      </c>
    </row>
    <row r="127" spans="1:10">
      <c r="A127" s="85" t="s">
        <v>141</v>
      </c>
      <c r="B127" s="241" t="s">
        <v>185</v>
      </c>
      <c r="C127" s="242"/>
      <c r="D127" s="242"/>
      <c r="E127" s="243"/>
      <c r="F127" s="88">
        <f>F81</f>
        <v>100.12</v>
      </c>
    </row>
    <row r="128" spans="1:10">
      <c r="A128" s="85" t="s">
        <v>143</v>
      </c>
      <c r="B128" s="241" t="s">
        <v>193</v>
      </c>
      <c r="C128" s="242"/>
      <c r="D128" s="242"/>
      <c r="E128" s="243"/>
      <c r="F128" s="88">
        <f>F101</f>
        <v>122.57</v>
      </c>
      <c r="H128" s="110"/>
    </row>
    <row r="129" spans="1:10">
      <c r="A129" s="85" t="s">
        <v>145</v>
      </c>
      <c r="B129" s="241" t="s">
        <v>208</v>
      </c>
      <c r="C129" s="242"/>
      <c r="D129" s="242"/>
      <c r="E129" s="243"/>
      <c r="F129" s="88">
        <f>F109</f>
        <v>55.26</v>
      </c>
      <c r="H129" s="110"/>
    </row>
    <row r="130" spans="1:10">
      <c r="A130" s="238" t="s">
        <v>226</v>
      </c>
      <c r="B130" s="239"/>
      <c r="C130" s="239"/>
      <c r="D130" s="239"/>
      <c r="E130" s="240"/>
      <c r="F130" s="92">
        <f>SUM(F125:F129)</f>
        <v>3160.12</v>
      </c>
      <c r="I130" s="114"/>
      <c r="J130" s="114"/>
    </row>
    <row r="131" spans="1:10">
      <c r="A131" s="85" t="s">
        <v>147</v>
      </c>
      <c r="B131" s="241" t="s">
        <v>227</v>
      </c>
      <c r="C131" s="242"/>
      <c r="D131" s="242"/>
      <c r="E131" s="243"/>
      <c r="F131" s="88">
        <f>F121</f>
        <v>972.15</v>
      </c>
    </row>
    <row r="132" spans="1:10">
      <c r="A132" s="244" t="s">
        <v>228</v>
      </c>
      <c r="B132" s="245"/>
      <c r="C132" s="245"/>
      <c r="D132" s="245"/>
      <c r="E132" s="246"/>
      <c r="F132" s="121">
        <f>SUM(F130:F131)</f>
        <v>4132.2700000000004</v>
      </c>
      <c r="H132" s="110"/>
    </row>
    <row r="134" spans="1:10" s="66" customFormat="1">
      <c r="A134" s="247" t="s">
        <v>229</v>
      </c>
      <c r="B134" s="247"/>
      <c r="C134" s="247"/>
      <c r="D134" s="247"/>
      <c r="E134" s="247"/>
      <c r="F134" s="247"/>
      <c r="G134" s="122"/>
      <c r="H134" s="122"/>
      <c r="I134" s="122"/>
    </row>
    <row r="135" spans="1:10" s="66" customFormat="1" ht="38.25">
      <c r="A135" s="69" t="s">
        <v>230</v>
      </c>
      <c r="B135" s="69" t="s">
        <v>231</v>
      </c>
      <c r="C135" s="69" t="s">
        <v>232</v>
      </c>
      <c r="D135" s="69" t="s">
        <v>233</v>
      </c>
      <c r="E135" s="69" t="s">
        <v>234</v>
      </c>
      <c r="F135" s="123" t="s">
        <v>235</v>
      </c>
    </row>
    <row r="136" spans="1:10" s="66" customFormat="1" ht="45" customHeight="1">
      <c r="A136" s="124" t="str">
        <f>A15</f>
        <v>Encarregado de limpeza: 30 h</v>
      </c>
      <c r="B136" s="125">
        <f>F132</f>
        <v>4132.2700000000004</v>
      </c>
      <c r="C136" s="126">
        <v>1</v>
      </c>
      <c r="D136" s="125">
        <f>B136*C136</f>
        <v>4132.2700000000004</v>
      </c>
      <c r="E136" s="87">
        <f>F15</f>
        <v>1</v>
      </c>
      <c r="F136" s="125">
        <f>D136*E136</f>
        <v>4132.2700000000004</v>
      </c>
    </row>
    <row r="137" spans="1:10" s="66" customFormat="1" ht="21" customHeight="1">
      <c r="A137" s="238" t="s">
        <v>236</v>
      </c>
      <c r="B137" s="239"/>
      <c r="C137" s="239"/>
      <c r="D137" s="239"/>
      <c r="E137" s="240"/>
      <c r="F137" s="127">
        <f>SUM(F136)</f>
        <v>4132.2700000000004</v>
      </c>
    </row>
    <row r="138" spans="1:10" s="66" customFormat="1" ht="21" customHeight="1">
      <c r="A138" s="244" t="s">
        <v>237</v>
      </c>
      <c r="B138" s="245"/>
      <c r="C138" s="245"/>
      <c r="D138" s="245"/>
      <c r="E138" s="246"/>
      <c r="F138" s="128">
        <f>F137*F11</f>
        <v>49587.24</v>
      </c>
    </row>
  </sheetData>
  <mergeCells count="134">
    <mergeCell ref="A1:E1"/>
    <mergeCell ref="A2:E2"/>
    <mergeCell ref="A3:E3"/>
    <mergeCell ref="A4:E4"/>
    <mergeCell ref="A5:E5"/>
    <mergeCell ref="A6:F6"/>
    <mergeCell ref="A7:F7"/>
    <mergeCell ref="B8:E8"/>
    <mergeCell ref="B9:E9"/>
    <mergeCell ref="B10:E10"/>
    <mergeCell ref="B11:E11"/>
    <mergeCell ref="A12:F12"/>
    <mergeCell ref="A13:F13"/>
    <mergeCell ref="A14:C14"/>
    <mergeCell ref="D14:E14"/>
    <mergeCell ref="A15:C15"/>
    <mergeCell ref="D15:E15"/>
    <mergeCell ref="A16:F16"/>
    <mergeCell ref="A17:F17"/>
    <mergeCell ref="A18:F18"/>
    <mergeCell ref="B19:E19"/>
    <mergeCell ref="B20:E20"/>
    <mergeCell ref="B21:E21"/>
    <mergeCell ref="B22:E22"/>
    <mergeCell ref="B23:E23"/>
    <mergeCell ref="A24:F24"/>
    <mergeCell ref="A25:F25"/>
    <mergeCell ref="B26:D26"/>
    <mergeCell ref="B27:D27"/>
    <mergeCell ref="B28:D28"/>
    <mergeCell ref="B29:D29"/>
    <mergeCell ref="B30:D30"/>
    <mergeCell ref="B31:D31"/>
    <mergeCell ref="B32:D32"/>
    <mergeCell ref="A33:D33"/>
    <mergeCell ref="A34:F34"/>
    <mergeCell ref="A35:F35"/>
    <mergeCell ref="A36:F36"/>
    <mergeCell ref="B37:D37"/>
    <mergeCell ref="B38:D38"/>
    <mergeCell ref="B39:D39"/>
    <mergeCell ref="A40:D40"/>
    <mergeCell ref="B41:D41"/>
    <mergeCell ref="A42:D42"/>
    <mergeCell ref="A43:F43"/>
    <mergeCell ref="B44:D44"/>
    <mergeCell ref="B45:D45"/>
    <mergeCell ref="B46:D46"/>
    <mergeCell ref="B47:D47"/>
    <mergeCell ref="B48:D48"/>
    <mergeCell ref="B49:D49"/>
    <mergeCell ref="B50:D50"/>
    <mergeCell ref="B51:D51"/>
    <mergeCell ref="B52:D52"/>
    <mergeCell ref="A53:D53"/>
    <mergeCell ref="A54:F54"/>
    <mergeCell ref="B55:D55"/>
    <mergeCell ref="B56:D56"/>
    <mergeCell ref="B57:D57"/>
    <mergeCell ref="B58:D58"/>
    <mergeCell ref="B59:D59"/>
    <mergeCell ref="B60:D60"/>
    <mergeCell ref="B61:D61"/>
    <mergeCell ref="B62:D62"/>
    <mergeCell ref="B63:D63"/>
    <mergeCell ref="B64:D64"/>
    <mergeCell ref="A65:D65"/>
    <mergeCell ref="A66:F66"/>
    <mergeCell ref="B67:D67"/>
    <mergeCell ref="B68:D68"/>
    <mergeCell ref="B69:D69"/>
    <mergeCell ref="B70:D70"/>
    <mergeCell ref="A71:D71"/>
    <mergeCell ref="A73:F73"/>
    <mergeCell ref="B74:D74"/>
    <mergeCell ref="B75:D75"/>
    <mergeCell ref="B76:D76"/>
    <mergeCell ref="B77:D77"/>
    <mergeCell ref="B78:D78"/>
    <mergeCell ref="B79:D79"/>
    <mergeCell ref="B80:D80"/>
    <mergeCell ref="A81:D81"/>
    <mergeCell ref="A83:F83"/>
    <mergeCell ref="A84:F84"/>
    <mergeCell ref="B85:D85"/>
    <mergeCell ref="B86:D86"/>
    <mergeCell ref="B87:D87"/>
    <mergeCell ref="B88:D88"/>
    <mergeCell ref="B89:D89"/>
    <mergeCell ref="B90:D90"/>
    <mergeCell ref="B91:D91"/>
    <mergeCell ref="A92:D92"/>
    <mergeCell ref="A93:F93"/>
    <mergeCell ref="B94:D94"/>
    <mergeCell ref="B95:D95"/>
    <mergeCell ref="A96:D96"/>
    <mergeCell ref="A97:F97"/>
    <mergeCell ref="B98:D98"/>
    <mergeCell ref="B99:D99"/>
    <mergeCell ref="B118:D118"/>
    <mergeCell ref="B119:D119"/>
    <mergeCell ref="B100:D100"/>
    <mergeCell ref="A101:D101"/>
    <mergeCell ref="A103:F103"/>
    <mergeCell ref="B104:E104"/>
    <mergeCell ref="B105:E105"/>
    <mergeCell ref="B106:E106"/>
    <mergeCell ref="B107:E107"/>
    <mergeCell ref="B108:E108"/>
    <mergeCell ref="A109:E109"/>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s>
  <pageMargins left="0.55416666666666703" right="0.35763888888888901" top="0.60555555555555596" bottom="0.40902777777777799" header="0.5" footer="0.5"/>
  <pageSetup paperSize="9"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9" tint="0.59999389629810485"/>
  </sheetPr>
  <dimension ref="A1:K138"/>
  <sheetViews>
    <sheetView tabSelected="1" view="pageBreakPreview" topLeftCell="A71" zoomScale="110" zoomScaleNormal="115" workbookViewId="0">
      <selection activeCell="H92" sqref="H92"/>
    </sheetView>
  </sheetViews>
  <sheetFormatPr defaultColWidth="2.5703125" defaultRowHeight="12.75"/>
  <cols>
    <col min="1" max="1" width="12.85546875" style="67" customWidth="1"/>
    <col min="2" max="2" width="24.5703125" style="56" customWidth="1"/>
    <col min="3" max="3" width="24.28515625" style="56" customWidth="1"/>
    <col min="4" max="4" width="15.7109375" style="56" customWidth="1"/>
    <col min="5" max="5" width="15.140625" style="56" customWidth="1"/>
    <col min="6" max="6" width="30.140625" style="68" customWidth="1"/>
    <col min="7" max="7" width="10.140625" style="61" customWidth="1"/>
    <col min="8" max="8" width="9.28515625" style="61" customWidth="1"/>
    <col min="9" max="9" width="18.28515625" style="61" customWidth="1"/>
    <col min="10" max="10" width="25.7109375" style="61" customWidth="1"/>
    <col min="11" max="16384" width="2.5703125" style="61"/>
  </cols>
  <sheetData>
    <row r="1" spans="1:11" s="60" customFormat="1" ht="23.1" customHeight="1">
      <c r="A1" s="247" t="s">
        <v>105</v>
      </c>
      <c r="B1" s="247"/>
      <c r="C1" s="247"/>
      <c r="D1" s="247"/>
      <c r="E1" s="247"/>
      <c r="F1" s="248"/>
      <c r="G1" s="67"/>
      <c r="H1" s="67"/>
    </row>
    <row r="2" spans="1:11" ht="21" customHeight="1">
      <c r="A2" s="247" t="s">
        <v>252</v>
      </c>
      <c r="B2" s="247"/>
      <c r="C2" s="247"/>
      <c r="D2" s="247"/>
      <c r="E2" s="247"/>
      <c r="F2" s="248"/>
      <c r="G2" s="70"/>
      <c r="H2" s="70"/>
    </row>
    <row r="3" spans="1:11" s="62" customFormat="1" ht="15">
      <c r="A3" s="283" t="s">
        <v>107</v>
      </c>
      <c r="B3" s="283"/>
      <c r="C3" s="283"/>
      <c r="D3" s="283"/>
      <c r="E3" s="283"/>
      <c r="F3" s="248"/>
      <c r="G3" s="71"/>
      <c r="H3" s="71"/>
      <c r="I3" s="71"/>
      <c r="J3" s="71"/>
      <c r="K3" s="71"/>
    </row>
    <row r="4" spans="1:11" s="62" customFormat="1" ht="15">
      <c r="A4" s="283" t="s">
        <v>108</v>
      </c>
      <c r="B4" s="283"/>
      <c r="C4" s="283"/>
      <c r="D4" s="283"/>
      <c r="E4" s="283"/>
      <c r="F4" s="248"/>
      <c r="G4" s="71"/>
      <c r="H4" s="72"/>
      <c r="I4" s="71"/>
      <c r="J4" s="71"/>
      <c r="K4" s="71"/>
    </row>
    <row r="5" spans="1:11" s="62" customFormat="1" ht="15">
      <c r="A5" s="283" t="s">
        <v>109</v>
      </c>
      <c r="B5" s="283"/>
      <c r="C5" s="283"/>
      <c r="D5" s="283"/>
      <c r="E5" s="283"/>
      <c r="F5" s="248"/>
      <c r="G5" s="71"/>
      <c r="H5" s="71"/>
      <c r="I5" s="71"/>
      <c r="J5" s="71"/>
      <c r="K5" s="71"/>
    </row>
    <row r="6" spans="1:11" s="62" customFormat="1" ht="15">
      <c r="A6" s="284"/>
      <c r="B6" s="284"/>
      <c r="C6" s="284"/>
      <c r="D6" s="284"/>
      <c r="E6" s="284"/>
      <c r="F6" s="285"/>
      <c r="G6" s="71"/>
      <c r="H6" s="71"/>
      <c r="I6" s="71"/>
      <c r="J6" s="71"/>
      <c r="K6" s="71"/>
    </row>
    <row r="7" spans="1:11">
      <c r="A7" s="269" t="s">
        <v>110</v>
      </c>
      <c r="B7" s="269"/>
      <c r="C7" s="269"/>
      <c r="D7" s="269"/>
      <c r="E7" s="269"/>
      <c r="F7" s="270"/>
      <c r="G7" s="60"/>
      <c r="H7" s="60"/>
    </row>
    <row r="8" spans="1:11" ht="18" customHeight="1">
      <c r="A8" s="73" t="s">
        <v>111</v>
      </c>
      <c r="B8" s="280" t="s">
        <v>112</v>
      </c>
      <c r="C8" s="280"/>
      <c r="D8" s="280"/>
      <c r="E8" s="280"/>
      <c r="F8" s="74" t="s">
        <v>113</v>
      </c>
    </row>
    <row r="9" spans="1:11" ht="18" customHeight="1">
      <c r="A9" s="73" t="s">
        <v>111</v>
      </c>
      <c r="B9" s="280" t="s">
        <v>114</v>
      </c>
      <c r="C9" s="280"/>
      <c r="D9" s="280"/>
      <c r="E9" s="280"/>
      <c r="F9" s="75" t="s">
        <v>115</v>
      </c>
    </row>
    <row r="10" spans="1:11" ht="18" customHeight="1">
      <c r="A10" s="73" t="s">
        <v>111</v>
      </c>
      <c r="B10" s="280" t="s">
        <v>116</v>
      </c>
      <c r="C10" s="280"/>
      <c r="D10" s="280"/>
      <c r="E10" s="280"/>
      <c r="F10" s="74" t="s">
        <v>117</v>
      </c>
    </row>
    <row r="11" spans="1:11" ht="18" customHeight="1">
      <c r="A11" s="73" t="s">
        <v>111</v>
      </c>
      <c r="B11" s="280" t="s">
        <v>118</v>
      </c>
      <c r="C11" s="280"/>
      <c r="D11" s="280"/>
      <c r="E11" s="280"/>
      <c r="F11" s="76">
        <v>12</v>
      </c>
    </row>
    <row r="12" spans="1:11" customFormat="1" ht="15">
      <c r="A12" s="277"/>
      <c r="B12" s="278"/>
      <c r="C12" s="278"/>
      <c r="D12" s="278"/>
      <c r="E12" s="278"/>
      <c r="F12" s="279"/>
      <c r="G12" s="61"/>
      <c r="H12" s="61"/>
    </row>
    <row r="13" spans="1:11" s="60" customFormat="1">
      <c r="A13" s="269" t="s">
        <v>119</v>
      </c>
      <c r="B13" s="269"/>
      <c r="C13" s="269"/>
      <c r="D13" s="269"/>
      <c r="E13" s="269"/>
      <c r="F13" s="270"/>
    </row>
    <row r="14" spans="1:11">
      <c r="A14" s="281" t="s">
        <v>120</v>
      </c>
      <c r="B14" s="281"/>
      <c r="C14" s="281"/>
      <c r="D14" s="281" t="s">
        <v>121</v>
      </c>
      <c r="E14" s="281"/>
      <c r="F14" s="77" t="s">
        <v>122</v>
      </c>
      <c r="H14" s="60"/>
    </row>
    <row r="15" spans="1:11">
      <c r="A15" s="281" t="s">
        <v>253</v>
      </c>
      <c r="B15" s="281"/>
      <c r="C15" s="281"/>
      <c r="D15" s="282" t="s">
        <v>80</v>
      </c>
      <c r="E15" s="282"/>
      <c r="F15" s="78">
        <f>'SEMAS TOTALIZADOR GERAL'!I6</f>
        <v>1</v>
      </c>
      <c r="H15" s="60"/>
    </row>
    <row r="16" spans="1:11" customFormat="1" ht="15">
      <c r="A16" s="277"/>
      <c r="B16" s="278"/>
      <c r="C16" s="278"/>
      <c r="D16" s="278"/>
      <c r="E16" s="278"/>
      <c r="F16" s="279"/>
      <c r="G16" s="61"/>
      <c r="H16" s="60"/>
    </row>
    <row r="17" spans="1:9" s="60" customFormat="1">
      <c r="A17" s="269" t="s">
        <v>124</v>
      </c>
      <c r="B17" s="269"/>
      <c r="C17" s="269"/>
      <c r="D17" s="269"/>
      <c r="E17" s="269"/>
      <c r="F17" s="270"/>
    </row>
    <row r="18" spans="1:9">
      <c r="A18" s="269" t="s">
        <v>125</v>
      </c>
      <c r="B18" s="269"/>
      <c r="C18" s="269"/>
      <c r="D18" s="269"/>
      <c r="E18" s="269"/>
      <c r="F18" s="270"/>
      <c r="G18" s="60"/>
      <c r="H18" s="60"/>
    </row>
    <row r="19" spans="1:9">
      <c r="A19" s="73">
        <v>1</v>
      </c>
      <c r="B19" s="271" t="s">
        <v>126</v>
      </c>
      <c r="C19" s="272"/>
      <c r="D19" s="272"/>
      <c r="E19" s="273"/>
      <c r="F19" s="79" t="s">
        <v>55</v>
      </c>
    </row>
    <row r="20" spans="1:9" ht="15">
      <c r="A20" s="80">
        <v>2</v>
      </c>
      <c r="B20" s="274" t="s">
        <v>128</v>
      </c>
      <c r="C20" s="275"/>
      <c r="D20" s="275"/>
      <c r="E20" s="276"/>
      <c r="F20" s="81" t="s">
        <v>254</v>
      </c>
      <c r="G20" s="82"/>
      <c r="H20" s="83"/>
      <c r="I20" s="83"/>
    </row>
    <row r="21" spans="1:9">
      <c r="A21" s="73">
        <v>3</v>
      </c>
      <c r="B21" s="271" t="s">
        <v>130</v>
      </c>
      <c r="C21" s="272"/>
      <c r="D21" s="272"/>
      <c r="E21" s="273"/>
      <c r="F21" s="84">
        <f>'RAIZ DOS DADOS'!D6</f>
        <v>1651</v>
      </c>
    </row>
    <row r="22" spans="1:9">
      <c r="A22" s="73">
        <v>4</v>
      </c>
      <c r="B22" s="271" t="s">
        <v>131</v>
      </c>
      <c r="C22" s="272"/>
      <c r="D22" s="272"/>
      <c r="E22" s="273"/>
      <c r="F22" s="79" t="str">
        <f>F19</f>
        <v>Jardineiro</v>
      </c>
    </row>
    <row r="23" spans="1:9">
      <c r="A23" s="73">
        <v>5</v>
      </c>
      <c r="B23" s="271" t="s">
        <v>132</v>
      </c>
      <c r="C23" s="272"/>
      <c r="D23" s="272"/>
      <c r="E23" s="273"/>
      <c r="F23" s="79" t="s">
        <v>133</v>
      </c>
    </row>
    <row r="24" spans="1:9">
      <c r="A24" s="277"/>
      <c r="B24" s="278"/>
      <c r="C24" s="278"/>
      <c r="D24" s="278"/>
      <c r="E24" s="278"/>
      <c r="F24" s="279"/>
    </row>
    <row r="25" spans="1:9">
      <c r="A25" s="256" t="s">
        <v>134</v>
      </c>
      <c r="B25" s="257"/>
      <c r="C25" s="257"/>
      <c r="D25" s="257"/>
      <c r="E25" s="257"/>
      <c r="F25" s="259"/>
    </row>
    <row r="26" spans="1:9">
      <c r="A26" s="85">
        <v>1</v>
      </c>
      <c r="B26" s="256" t="s">
        <v>135</v>
      </c>
      <c r="C26" s="257"/>
      <c r="D26" s="258"/>
      <c r="E26" s="85"/>
      <c r="F26" s="86" t="s">
        <v>136</v>
      </c>
    </row>
    <row r="27" spans="1:9">
      <c r="A27" s="85" t="s">
        <v>137</v>
      </c>
      <c r="B27" s="241" t="s">
        <v>138</v>
      </c>
      <c r="C27" s="242"/>
      <c r="D27" s="243"/>
      <c r="E27" s="87" t="s">
        <v>63</v>
      </c>
      <c r="F27" s="88">
        <f>(F21/44)*30</f>
        <v>1125.68</v>
      </c>
      <c r="H27" s="89"/>
    </row>
    <row r="28" spans="1:9">
      <c r="A28" s="85" t="s">
        <v>139</v>
      </c>
      <c r="B28" s="241" t="s">
        <v>140</v>
      </c>
      <c r="C28" s="242"/>
      <c r="D28" s="243"/>
      <c r="E28" s="87"/>
      <c r="F28" s="88"/>
    </row>
    <row r="29" spans="1:9">
      <c r="A29" s="85" t="s">
        <v>141</v>
      </c>
      <c r="B29" s="241" t="s">
        <v>142</v>
      </c>
      <c r="C29" s="242"/>
      <c r="D29" s="243"/>
      <c r="E29" s="90"/>
      <c r="F29" s="88"/>
    </row>
    <row r="30" spans="1:9">
      <c r="A30" s="85" t="s">
        <v>143</v>
      </c>
      <c r="B30" s="241" t="s">
        <v>144</v>
      </c>
      <c r="C30" s="242"/>
      <c r="D30" s="243"/>
      <c r="E30" s="87"/>
      <c r="F30" s="88"/>
    </row>
    <row r="31" spans="1:9">
      <c r="A31" s="85" t="s">
        <v>145</v>
      </c>
      <c r="B31" s="241" t="s">
        <v>146</v>
      </c>
      <c r="C31" s="242"/>
      <c r="D31" s="243"/>
      <c r="E31" s="87"/>
      <c r="F31" s="88"/>
    </row>
    <row r="32" spans="1:9">
      <c r="A32" s="85" t="s">
        <v>147</v>
      </c>
      <c r="B32" s="241" t="str">
        <f>'RAIZ DOS DADOS'!A19</f>
        <v>Gratificação Jardineiro</v>
      </c>
      <c r="C32" s="242"/>
      <c r="D32" s="243"/>
      <c r="E32" s="87"/>
      <c r="F32" s="88">
        <f>'RAIZ DOS DADOS'!D19</f>
        <v>260.18</v>
      </c>
    </row>
    <row r="33" spans="1:8">
      <c r="A33" s="238" t="s">
        <v>61</v>
      </c>
      <c r="B33" s="239"/>
      <c r="C33" s="239"/>
      <c r="D33" s="240"/>
      <c r="E33" s="91"/>
      <c r="F33" s="92">
        <f>SUM(F27:F32)</f>
        <v>1385.86</v>
      </c>
    </row>
    <row r="34" spans="1:8">
      <c r="A34" s="266"/>
      <c r="B34" s="267"/>
      <c r="C34" s="267"/>
      <c r="D34" s="267"/>
      <c r="E34" s="267"/>
      <c r="F34" s="268"/>
    </row>
    <row r="35" spans="1:8">
      <c r="A35" s="254" t="s">
        <v>149</v>
      </c>
      <c r="B35" s="254"/>
      <c r="C35" s="254"/>
      <c r="D35" s="254"/>
      <c r="E35" s="254"/>
      <c r="F35" s="255"/>
    </row>
    <row r="36" spans="1:8">
      <c r="A36" s="254" t="s">
        <v>150</v>
      </c>
      <c r="B36" s="254"/>
      <c r="C36" s="254"/>
      <c r="D36" s="254"/>
      <c r="E36" s="254"/>
      <c r="F36" s="255"/>
      <c r="H36" s="93"/>
    </row>
    <row r="37" spans="1:8">
      <c r="A37" s="85" t="s">
        <v>151</v>
      </c>
      <c r="B37" s="256" t="s">
        <v>152</v>
      </c>
      <c r="C37" s="257"/>
      <c r="D37" s="258"/>
      <c r="E37" s="85" t="s">
        <v>153</v>
      </c>
      <c r="F37" s="86" t="s">
        <v>136</v>
      </c>
    </row>
    <row r="38" spans="1:8">
      <c r="A38" s="85" t="s">
        <v>137</v>
      </c>
      <c r="B38" s="241" t="s">
        <v>154</v>
      </c>
      <c r="C38" s="242"/>
      <c r="D38" s="243"/>
      <c r="E38" s="94">
        <f>1/12</f>
        <v>8.3299999999999999E-2</v>
      </c>
      <c r="F38" s="88">
        <f>F33*E38</f>
        <v>115.44</v>
      </c>
    </row>
    <row r="39" spans="1:8">
      <c r="A39" s="85" t="s">
        <v>139</v>
      </c>
      <c r="B39" s="241" t="s">
        <v>155</v>
      </c>
      <c r="C39" s="242"/>
      <c r="D39" s="243"/>
      <c r="E39" s="94">
        <f>(1/12)+(1/3)/12</f>
        <v>0.1111</v>
      </c>
      <c r="F39" s="88">
        <f>F33*E39</f>
        <v>153.97</v>
      </c>
    </row>
    <row r="40" spans="1:8">
      <c r="A40" s="263" t="s">
        <v>61</v>
      </c>
      <c r="B40" s="264"/>
      <c r="C40" s="264"/>
      <c r="D40" s="265"/>
      <c r="E40" s="95">
        <f>SUM(E38:E39)</f>
        <v>0.19439999999999999</v>
      </c>
      <c r="F40" s="96">
        <f>SUM(F38:F39)</f>
        <v>269.41000000000003</v>
      </c>
    </row>
    <row r="41" spans="1:8">
      <c r="A41" s="85" t="s">
        <v>141</v>
      </c>
      <c r="B41" s="241" t="s">
        <v>156</v>
      </c>
      <c r="C41" s="242"/>
      <c r="D41" s="243"/>
      <c r="E41" s="94">
        <f>E40*E53</f>
        <v>7.7399999999999997E-2</v>
      </c>
      <c r="F41" s="96">
        <f>E41*F33</f>
        <v>107.27</v>
      </c>
    </row>
    <row r="42" spans="1:8">
      <c r="A42" s="238" t="s">
        <v>61</v>
      </c>
      <c r="B42" s="239"/>
      <c r="C42" s="239"/>
      <c r="D42" s="240"/>
      <c r="E42" s="97">
        <f>SUM(E40:E41)</f>
        <v>0.27179999999999999</v>
      </c>
      <c r="F42" s="92">
        <f>SUM(F40:F41)</f>
        <v>376.68</v>
      </c>
      <c r="H42" s="93"/>
    </row>
    <row r="43" spans="1:8">
      <c r="A43" s="254" t="s">
        <v>157</v>
      </c>
      <c r="B43" s="254"/>
      <c r="C43" s="254"/>
      <c r="D43" s="254"/>
      <c r="E43" s="254"/>
      <c r="F43" s="255"/>
    </row>
    <row r="44" spans="1:8">
      <c r="A44" s="85" t="s">
        <v>158</v>
      </c>
      <c r="B44" s="256" t="s">
        <v>159</v>
      </c>
      <c r="C44" s="257"/>
      <c r="D44" s="258"/>
      <c r="E44" s="85" t="s">
        <v>153</v>
      </c>
      <c r="F44" s="86" t="s">
        <v>136</v>
      </c>
    </row>
    <row r="45" spans="1:8">
      <c r="A45" s="85" t="s">
        <v>137</v>
      </c>
      <c r="B45" s="241" t="s">
        <v>160</v>
      </c>
      <c r="C45" s="242"/>
      <c r="D45" s="243"/>
      <c r="E45" s="94">
        <v>0.2</v>
      </c>
      <c r="F45" s="88">
        <f t="shared" ref="F45:F52" si="0">E45*F$33</f>
        <v>277.17</v>
      </c>
    </row>
    <row r="46" spans="1:8">
      <c r="A46" s="85" t="s">
        <v>139</v>
      </c>
      <c r="B46" s="241" t="s">
        <v>161</v>
      </c>
      <c r="C46" s="242"/>
      <c r="D46" s="243"/>
      <c r="E46" s="94">
        <v>2.5000000000000001E-2</v>
      </c>
      <c r="F46" s="88">
        <f t="shared" si="0"/>
        <v>34.65</v>
      </c>
      <c r="G46" s="63"/>
      <c r="H46" s="98"/>
    </row>
    <row r="47" spans="1:8">
      <c r="A47" s="85" t="s">
        <v>141</v>
      </c>
      <c r="B47" s="241" t="s">
        <v>162</v>
      </c>
      <c r="C47" s="242"/>
      <c r="D47" s="243"/>
      <c r="E47" s="99">
        <f>(2*3)/100</f>
        <v>0.06</v>
      </c>
      <c r="F47" s="88">
        <f t="shared" si="0"/>
        <v>83.15</v>
      </c>
      <c r="G47" s="100"/>
      <c r="H47" s="100"/>
    </row>
    <row r="48" spans="1:8">
      <c r="A48" s="85" t="s">
        <v>143</v>
      </c>
      <c r="B48" s="241" t="s">
        <v>163</v>
      </c>
      <c r="C48" s="242"/>
      <c r="D48" s="243"/>
      <c r="E48" s="94">
        <v>1.4999999999999999E-2</v>
      </c>
      <c r="F48" s="88">
        <f t="shared" si="0"/>
        <v>20.79</v>
      </c>
    </row>
    <row r="49" spans="1:8">
      <c r="A49" s="85" t="s">
        <v>145</v>
      </c>
      <c r="B49" s="241" t="s">
        <v>164</v>
      </c>
      <c r="C49" s="242"/>
      <c r="D49" s="243"/>
      <c r="E49" s="94">
        <v>0.01</v>
      </c>
      <c r="F49" s="88">
        <f t="shared" si="0"/>
        <v>13.86</v>
      </c>
    </row>
    <row r="50" spans="1:8">
      <c r="A50" s="85" t="s">
        <v>147</v>
      </c>
      <c r="B50" s="241" t="s">
        <v>165</v>
      </c>
      <c r="C50" s="242"/>
      <c r="D50" s="243"/>
      <c r="E50" s="94">
        <v>6.0000000000000001E-3</v>
      </c>
      <c r="F50" s="88">
        <f t="shared" si="0"/>
        <v>8.32</v>
      </c>
    </row>
    <row r="51" spans="1:8">
      <c r="A51" s="85" t="s">
        <v>166</v>
      </c>
      <c r="B51" s="241" t="s">
        <v>167</v>
      </c>
      <c r="C51" s="242"/>
      <c r="D51" s="243"/>
      <c r="E51" s="94">
        <v>2E-3</v>
      </c>
      <c r="F51" s="88">
        <f t="shared" si="0"/>
        <v>2.77</v>
      </c>
    </row>
    <row r="52" spans="1:8">
      <c r="A52" s="85" t="s">
        <v>168</v>
      </c>
      <c r="B52" s="241" t="s">
        <v>169</v>
      </c>
      <c r="C52" s="242"/>
      <c r="D52" s="243"/>
      <c r="E52" s="94">
        <v>0.08</v>
      </c>
      <c r="F52" s="88">
        <f t="shared" si="0"/>
        <v>110.87</v>
      </c>
    </row>
    <row r="53" spans="1:8">
      <c r="A53" s="238" t="s">
        <v>170</v>
      </c>
      <c r="B53" s="239"/>
      <c r="C53" s="239"/>
      <c r="D53" s="240"/>
      <c r="E53" s="97">
        <f>SUM(E45:E52)</f>
        <v>0.39800000000000002</v>
      </c>
      <c r="F53" s="92">
        <f>SUM(F45:F52)</f>
        <v>551.58000000000004</v>
      </c>
    </row>
    <row r="54" spans="1:8">
      <c r="A54" s="256" t="s">
        <v>171</v>
      </c>
      <c r="B54" s="257"/>
      <c r="C54" s="257"/>
      <c r="D54" s="257"/>
      <c r="E54" s="257"/>
      <c r="F54" s="259"/>
    </row>
    <row r="55" spans="1:8">
      <c r="A55" s="85" t="s">
        <v>172</v>
      </c>
      <c r="B55" s="256" t="s">
        <v>173</v>
      </c>
      <c r="C55" s="257"/>
      <c r="D55" s="258"/>
      <c r="E55" s="85"/>
      <c r="F55" s="86" t="s">
        <v>136</v>
      </c>
    </row>
    <row r="56" spans="1:8">
      <c r="A56" s="85" t="s">
        <v>137</v>
      </c>
      <c r="B56" s="241" t="s">
        <v>174</v>
      </c>
      <c r="C56" s="242"/>
      <c r="D56" s="243"/>
      <c r="E56" s="87"/>
      <c r="F56" s="88">
        <f>((E57*E58)*E59)-(6%*F27)</f>
        <v>64.459999999999994</v>
      </c>
      <c r="H56" s="70"/>
    </row>
    <row r="57" spans="1:8">
      <c r="A57" s="85"/>
      <c r="B57" s="241" t="s">
        <v>175</v>
      </c>
      <c r="C57" s="242"/>
      <c r="D57" s="243"/>
      <c r="E57" s="101">
        <f>'RAIZ DOS DADOS'!D31</f>
        <v>3</v>
      </c>
      <c r="F57" s="79" t="s">
        <v>69</v>
      </c>
      <c r="H57" s="70"/>
    </row>
    <row r="58" spans="1:8">
      <c r="A58" s="85"/>
      <c r="B58" s="241" t="s">
        <v>176</v>
      </c>
      <c r="C58" s="242"/>
      <c r="D58" s="243"/>
      <c r="E58" s="102">
        <f>'RAIZ DOS DADOS'!D34</f>
        <v>2</v>
      </c>
      <c r="F58" s="79" t="s">
        <v>69</v>
      </c>
      <c r="H58" s="70"/>
    </row>
    <row r="59" spans="1:8">
      <c r="A59" s="85"/>
      <c r="B59" s="241" t="s">
        <v>177</v>
      </c>
      <c r="C59" s="242"/>
      <c r="D59" s="243"/>
      <c r="E59" s="102">
        <f>'RAIZ DOS DADOS'!D33</f>
        <v>22</v>
      </c>
      <c r="F59" s="79" t="s">
        <v>69</v>
      </c>
      <c r="H59" s="70"/>
    </row>
    <row r="60" spans="1:8">
      <c r="A60" s="85" t="s">
        <v>139</v>
      </c>
      <c r="B60" s="241" t="s">
        <v>178</v>
      </c>
      <c r="C60" s="242"/>
      <c r="D60" s="243"/>
      <c r="E60" s="87"/>
      <c r="F60" s="88">
        <f>'RAIZ DOS DADOS'!D7</f>
        <v>400</v>
      </c>
      <c r="H60" s="70"/>
    </row>
    <row r="61" spans="1:8">
      <c r="A61" s="85" t="s">
        <v>141</v>
      </c>
      <c r="B61" s="241" t="s">
        <v>33</v>
      </c>
      <c r="C61" s="242"/>
      <c r="D61" s="243"/>
      <c r="E61" s="87"/>
      <c r="F61" s="88">
        <f>'RAIZ DOS DADOS'!D24</f>
        <v>14.66</v>
      </c>
      <c r="H61" s="70"/>
    </row>
    <row r="62" spans="1:8">
      <c r="A62" s="85" t="s">
        <v>143</v>
      </c>
      <c r="B62" s="241" t="s">
        <v>179</v>
      </c>
      <c r="C62" s="242"/>
      <c r="D62" s="243"/>
      <c r="E62" s="87"/>
      <c r="F62" s="88">
        <f>'RAIZ DOS DADOS'!D25</f>
        <v>6.4</v>
      </c>
      <c r="H62" s="70"/>
    </row>
    <row r="63" spans="1:8">
      <c r="A63" s="85" t="s">
        <v>145</v>
      </c>
      <c r="B63" s="260" t="s">
        <v>180</v>
      </c>
      <c r="C63" s="261"/>
      <c r="D63" s="262"/>
      <c r="E63" s="103"/>
      <c r="F63" s="104">
        <v>0</v>
      </c>
      <c r="H63" s="105"/>
    </row>
    <row r="64" spans="1:8">
      <c r="A64" s="85" t="s">
        <v>147</v>
      </c>
      <c r="B64" s="260" t="s">
        <v>181</v>
      </c>
      <c r="C64" s="261"/>
      <c r="D64" s="262"/>
      <c r="E64" s="103"/>
      <c r="F64" s="104">
        <f>'RAIZ DOS DADOS'!D8</f>
        <v>130</v>
      </c>
      <c r="H64" s="105"/>
    </row>
    <row r="65" spans="1:10" s="63" customFormat="1">
      <c r="A65" s="238" t="s">
        <v>61</v>
      </c>
      <c r="B65" s="239"/>
      <c r="C65" s="239"/>
      <c r="D65" s="240"/>
      <c r="E65" s="106"/>
      <c r="F65" s="92">
        <f>SUM(F56:F64)</f>
        <v>615.52</v>
      </c>
      <c r="G65" s="61"/>
      <c r="H65" s="61"/>
    </row>
    <row r="66" spans="1:10">
      <c r="A66" s="256" t="s">
        <v>182</v>
      </c>
      <c r="B66" s="257"/>
      <c r="C66" s="257"/>
      <c r="D66" s="257"/>
      <c r="E66" s="257"/>
      <c r="F66" s="259"/>
    </row>
    <row r="67" spans="1:10">
      <c r="A67" s="85">
        <v>2</v>
      </c>
      <c r="B67" s="256" t="s">
        <v>183</v>
      </c>
      <c r="C67" s="257"/>
      <c r="D67" s="258"/>
      <c r="E67" s="85"/>
      <c r="F67" s="86" t="s">
        <v>136</v>
      </c>
    </row>
    <row r="68" spans="1:10">
      <c r="A68" s="85" t="s">
        <v>151</v>
      </c>
      <c r="B68" s="241" t="s">
        <v>152</v>
      </c>
      <c r="C68" s="242"/>
      <c r="D68" s="243"/>
      <c r="E68" s="107"/>
      <c r="F68" s="88">
        <f>F40</f>
        <v>269.41000000000003</v>
      </c>
      <c r="G68" s="64"/>
      <c r="H68" s="64"/>
    </row>
    <row r="69" spans="1:10">
      <c r="A69" s="85" t="s">
        <v>158</v>
      </c>
      <c r="B69" s="241" t="s">
        <v>184</v>
      </c>
      <c r="C69" s="242"/>
      <c r="D69" s="243"/>
      <c r="E69" s="108"/>
      <c r="F69" s="88">
        <f>F53+F41</f>
        <v>658.85</v>
      </c>
      <c r="G69" s="64"/>
      <c r="H69" s="64"/>
    </row>
    <row r="70" spans="1:10">
      <c r="A70" s="85" t="s">
        <v>172</v>
      </c>
      <c r="B70" s="241" t="s">
        <v>173</v>
      </c>
      <c r="C70" s="242"/>
      <c r="D70" s="243"/>
      <c r="E70" s="109"/>
      <c r="F70" s="88">
        <f>F65</f>
        <v>615.52</v>
      </c>
      <c r="G70" s="64"/>
      <c r="H70" s="64"/>
    </row>
    <row r="71" spans="1:10">
      <c r="A71" s="238" t="s">
        <v>61</v>
      </c>
      <c r="B71" s="239"/>
      <c r="C71" s="239"/>
      <c r="D71" s="240"/>
      <c r="E71" s="91"/>
      <c r="F71" s="92">
        <f>SUM(F68:F70)</f>
        <v>1543.78</v>
      </c>
      <c r="J71" s="118"/>
    </row>
    <row r="73" spans="1:10">
      <c r="A73" s="254" t="s">
        <v>185</v>
      </c>
      <c r="B73" s="254"/>
      <c r="C73" s="254"/>
      <c r="D73" s="254"/>
      <c r="E73" s="254"/>
      <c r="F73" s="255"/>
    </row>
    <row r="74" spans="1:10">
      <c r="A74" s="85">
        <v>3</v>
      </c>
      <c r="B74" s="256" t="s">
        <v>186</v>
      </c>
      <c r="C74" s="257"/>
      <c r="D74" s="258"/>
      <c r="E74" s="85" t="s">
        <v>153</v>
      </c>
      <c r="F74" s="86" t="s">
        <v>136</v>
      </c>
    </row>
    <row r="75" spans="1:10">
      <c r="A75" s="85" t="s">
        <v>137</v>
      </c>
      <c r="B75" s="241" t="s">
        <v>187</v>
      </c>
      <c r="C75" s="242"/>
      <c r="D75" s="243"/>
      <c r="E75" s="107">
        <f>(1/12)*5%</f>
        <v>4.1999999999999997E-3</v>
      </c>
      <c r="F75" s="88">
        <f>E75*F33</f>
        <v>5.82</v>
      </c>
    </row>
    <row r="76" spans="1:10">
      <c r="A76" s="85" t="s">
        <v>139</v>
      </c>
      <c r="B76" s="241" t="s">
        <v>188</v>
      </c>
      <c r="C76" s="242"/>
      <c r="D76" s="243"/>
      <c r="E76" s="107">
        <f>E75*E52</f>
        <v>2.9999999999999997E-4</v>
      </c>
      <c r="F76" s="88">
        <f>E76*F33</f>
        <v>0.42</v>
      </c>
      <c r="G76" s="110"/>
    </row>
    <row r="77" spans="1:10">
      <c r="A77" s="85" t="s">
        <v>141</v>
      </c>
      <c r="B77" s="241" t="s">
        <v>189</v>
      </c>
      <c r="C77" s="242"/>
      <c r="D77" s="243"/>
      <c r="E77" s="107">
        <f>((8%*(40%)*90%)*(1+5/56+5/56+(1/3*5/56)))</f>
        <v>3.4799999999999998E-2</v>
      </c>
      <c r="F77" s="88">
        <f>E77*(F33+F40)</f>
        <v>57.6</v>
      </c>
      <c r="G77" s="110"/>
      <c r="H77" s="111"/>
    </row>
    <row r="78" spans="1:10">
      <c r="A78" s="85" t="s">
        <v>143</v>
      </c>
      <c r="B78" s="241" t="s">
        <v>190</v>
      </c>
      <c r="C78" s="242"/>
      <c r="D78" s="243"/>
      <c r="E78" s="107">
        <f>((7/30)/12)</f>
        <v>1.9400000000000001E-2</v>
      </c>
      <c r="F78" s="88">
        <f>E78*F33</f>
        <v>26.89</v>
      </c>
      <c r="G78" s="64"/>
      <c r="H78" s="64"/>
    </row>
    <row r="79" spans="1:10">
      <c r="A79" s="85" t="s">
        <v>145</v>
      </c>
      <c r="B79" s="241" t="s">
        <v>191</v>
      </c>
      <c r="C79" s="242"/>
      <c r="D79" s="243"/>
      <c r="E79" s="107">
        <f>E78*E53</f>
        <v>7.7000000000000002E-3</v>
      </c>
      <c r="F79" s="88">
        <f>E79*F33</f>
        <v>10.67</v>
      </c>
    </row>
    <row r="80" spans="1:10">
      <c r="A80" s="85" t="s">
        <v>147</v>
      </c>
      <c r="B80" s="241" t="s">
        <v>192</v>
      </c>
      <c r="C80" s="242"/>
      <c r="D80" s="243"/>
      <c r="E80" s="107">
        <f>(40%*8%*E78)</f>
        <v>5.9999999999999995E-4</v>
      </c>
      <c r="F80" s="88">
        <f>E80*F33</f>
        <v>0.83</v>
      </c>
    </row>
    <row r="81" spans="1:10">
      <c r="A81" s="238" t="s">
        <v>61</v>
      </c>
      <c r="B81" s="239"/>
      <c r="C81" s="239"/>
      <c r="D81" s="240"/>
      <c r="E81" s="112"/>
      <c r="F81" s="92">
        <f>SUM(F75:F80)</f>
        <v>102.23</v>
      </c>
      <c r="J81" s="118"/>
    </row>
    <row r="82" spans="1:10" s="64" customFormat="1">
      <c r="A82" s="67"/>
      <c r="B82" s="56"/>
      <c r="C82" s="56"/>
      <c r="D82" s="56"/>
      <c r="E82" s="56"/>
      <c r="F82" s="68"/>
      <c r="G82" s="61"/>
      <c r="H82" s="61"/>
    </row>
    <row r="83" spans="1:10" s="64" customFormat="1">
      <c r="A83" s="256" t="s">
        <v>193</v>
      </c>
      <c r="B83" s="257"/>
      <c r="C83" s="257"/>
      <c r="D83" s="257"/>
      <c r="E83" s="257"/>
      <c r="F83" s="259"/>
      <c r="G83" s="61"/>
      <c r="H83" s="61"/>
    </row>
    <row r="84" spans="1:10">
      <c r="A84" s="256" t="s">
        <v>194</v>
      </c>
      <c r="B84" s="257"/>
      <c r="C84" s="257"/>
      <c r="D84" s="257"/>
      <c r="E84" s="257"/>
      <c r="F84" s="259"/>
    </row>
    <row r="85" spans="1:10">
      <c r="A85" s="85" t="s">
        <v>195</v>
      </c>
      <c r="B85" s="256" t="s">
        <v>196</v>
      </c>
      <c r="C85" s="257"/>
      <c r="D85" s="258"/>
      <c r="E85" s="85" t="s">
        <v>153</v>
      </c>
      <c r="F85" s="86" t="s">
        <v>136</v>
      </c>
    </row>
    <row r="86" spans="1:10">
      <c r="A86" s="85" t="s">
        <v>137</v>
      </c>
      <c r="B86" s="241" t="s">
        <v>197</v>
      </c>
      <c r="C86" s="242"/>
      <c r="D86" s="243"/>
      <c r="E86" s="107">
        <f>(1/12)</f>
        <v>8.3299999999999999E-2</v>
      </c>
      <c r="F86" s="88">
        <f t="shared" ref="F86:F91" si="1">E86*F$33</f>
        <v>115.44</v>
      </c>
    </row>
    <row r="87" spans="1:10">
      <c r="A87" s="85" t="s">
        <v>139</v>
      </c>
      <c r="B87" s="241" t="s">
        <v>196</v>
      </c>
      <c r="C87" s="242"/>
      <c r="D87" s="243"/>
      <c r="E87" s="107">
        <f>(1/30)/12</f>
        <v>2.8E-3</v>
      </c>
      <c r="F87" s="88">
        <f t="shared" si="1"/>
        <v>3.88</v>
      </c>
    </row>
    <row r="88" spans="1:10">
      <c r="A88" s="85" t="s">
        <v>141</v>
      </c>
      <c r="B88" s="241" t="s">
        <v>198</v>
      </c>
      <c r="C88" s="242"/>
      <c r="D88" s="243"/>
      <c r="E88" s="107">
        <f>((5/30)/12)*1.5%</f>
        <v>2.0000000000000001E-4</v>
      </c>
      <c r="F88" s="88">
        <f t="shared" si="1"/>
        <v>0.28000000000000003</v>
      </c>
    </row>
    <row r="89" spans="1:10">
      <c r="A89" s="85" t="s">
        <v>143</v>
      </c>
      <c r="B89" s="241" t="s">
        <v>199</v>
      </c>
      <c r="C89" s="242"/>
      <c r="D89" s="243"/>
      <c r="E89" s="107">
        <f>((15/365)*8%)</f>
        <v>3.3E-3</v>
      </c>
      <c r="F89" s="88">
        <f t="shared" si="1"/>
        <v>4.57</v>
      </c>
    </row>
    <row r="90" spans="1:10">
      <c r="A90" s="85" t="s">
        <v>145</v>
      </c>
      <c r="B90" s="241" t="s">
        <v>200</v>
      </c>
      <c r="C90" s="242"/>
      <c r="D90" s="243"/>
      <c r="E90" s="107">
        <f>(11.11%*2%*(4/12))</f>
        <v>6.9999999999999999E-4</v>
      </c>
      <c r="F90" s="88">
        <f t="shared" si="1"/>
        <v>0.97</v>
      </c>
    </row>
    <row r="91" spans="1:10">
      <c r="A91" s="85" t="s">
        <v>147</v>
      </c>
      <c r="B91" s="241" t="s">
        <v>201</v>
      </c>
      <c r="C91" s="242"/>
      <c r="D91" s="243"/>
      <c r="E91" s="107"/>
      <c r="F91" s="88">
        <f t="shared" si="1"/>
        <v>0</v>
      </c>
    </row>
    <row r="92" spans="1:10" s="64" customFormat="1">
      <c r="A92" s="238" t="s">
        <v>170</v>
      </c>
      <c r="B92" s="239"/>
      <c r="C92" s="239"/>
      <c r="D92" s="240"/>
      <c r="E92" s="112"/>
      <c r="F92" s="92">
        <f>SUM(F86:F91)</f>
        <v>125.14</v>
      </c>
      <c r="G92" s="61"/>
      <c r="H92" s="61"/>
      <c r="J92" s="118"/>
    </row>
    <row r="93" spans="1:10">
      <c r="A93" s="256" t="s">
        <v>202</v>
      </c>
      <c r="B93" s="257"/>
      <c r="C93" s="257"/>
      <c r="D93" s="257"/>
      <c r="E93" s="257"/>
      <c r="F93" s="259"/>
    </row>
    <row r="94" spans="1:10">
      <c r="A94" s="85" t="s">
        <v>203</v>
      </c>
      <c r="B94" s="256" t="s">
        <v>204</v>
      </c>
      <c r="C94" s="257"/>
      <c r="D94" s="258"/>
      <c r="E94" s="85"/>
      <c r="F94" s="86" t="s">
        <v>136</v>
      </c>
    </row>
    <row r="95" spans="1:10">
      <c r="A95" s="85" t="s">
        <v>137</v>
      </c>
      <c r="B95" s="241" t="s">
        <v>205</v>
      </c>
      <c r="C95" s="242"/>
      <c r="D95" s="243"/>
      <c r="E95" s="87"/>
      <c r="F95" s="88">
        <v>0</v>
      </c>
    </row>
    <row r="96" spans="1:10">
      <c r="A96" s="238" t="s">
        <v>61</v>
      </c>
      <c r="B96" s="239"/>
      <c r="C96" s="239"/>
      <c r="D96" s="240"/>
      <c r="E96" s="91"/>
      <c r="F96" s="92">
        <f>SUM(F95:F95)</f>
        <v>0</v>
      </c>
    </row>
    <row r="97" spans="1:10">
      <c r="A97" s="256" t="s">
        <v>206</v>
      </c>
      <c r="B97" s="257"/>
      <c r="C97" s="257"/>
      <c r="D97" s="257"/>
      <c r="E97" s="257"/>
      <c r="F97" s="259"/>
    </row>
    <row r="98" spans="1:10">
      <c r="A98" s="85">
        <v>4</v>
      </c>
      <c r="B98" s="256" t="s">
        <v>207</v>
      </c>
      <c r="C98" s="257"/>
      <c r="D98" s="258"/>
      <c r="E98" s="85"/>
      <c r="F98" s="86" t="s">
        <v>136</v>
      </c>
    </row>
    <row r="99" spans="1:10">
      <c r="A99" s="85" t="s">
        <v>195</v>
      </c>
      <c r="B99" s="241" t="s">
        <v>196</v>
      </c>
      <c r="C99" s="242"/>
      <c r="D99" s="243"/>
      <c r="E99" s="87"/>
      <c r="F99" s="88">
        <f>F92</f>
        <v>125.14</v>
      </c>
    </row>
    <row r="100" spans="1:10">
      <c r="A100" s="85" t="s">
        <v>203</v>
      </c>
      <c r="B100" s="241" t="s">
        <v>204</v>
      </c>
      <c r="C100" s="242"/>
      <c r="D100" s="243"/>
      <c r="E100" s="87"/>
      <c r="F100" s="88">
        <f>F96</f>
        <v>0</v>
      </c>
    </row>
    <row r="101" spans="1:10">
      <c r="A101" s="238" t="s">
        <v>61</v>
      </c>
      <c r="B101" s="239"/>
      <c r="C101" s="239"/>
      <c r="D101" s="240"/>
      <c r="E101" s="91"/>
      <c r="F101" s="92">
        <f>SUM(F99:F100)</f>
        <v>125.14</v>
      </c>
      <c r="J101" s="118"/>
    </row>
    <row r="103" spans="1:10">
      <c r="A103" s="256" t="s">
        <v>208</v>
      </c>
      <c r="B103" s="257"/>
      <c r="C103" s="257"/>
      <c r="D103" s="257"/>
      <c r="E103" s="257"/>
      <c r="F103" s="259"/>
    </row>
    <row r="104" spans="1:10">
      <c r="A104" s="85">
        <v>5</v>
      </c>
      <c r="B104" s="256" t="s">
        <v>209</v>
      </c>
      <c r="C104" s="257"/>
      <c r="D104" s="257"/>
      <c r="E104" s="258"/>
      <c r="F104" s="86" t="s">
        <v>136</v>
      </c>
    </row>
    <row r="105" spans="1:10">
      <c r="A105" s="113" t="s">
        <v>137</v>
      </c>
      <c r="B105" s="241" t="s">
        <v>210</v>
      </c>
      <c r="C105" s="242"/>
      <c r="D105" s="242"/>
      <c r="E105" s="243"/>
      <c r="F105" s="88">
        <f>'SEMAS 2_Uniformes'!K66</f>
        <v>65.89</v>
      </c>
      <c r="H105" s="114"/>
    </row>
    <row r="106" spans="1:10">
      <c r="A106" s="85" t="s">
        <v>139</v>
      </c>
      <c r="B106" s="241" t="s">
        <v>211</v>
      </c>
      <c r="C106" s="242"/>
      <c r="D106" s="242"/>
      <c r="E106" s="243"/>
      <c r="F106" s="88">
        <f>'SEMAS 2_EPI''s'!K65</f>
        <v>109.56</v>
      </c>
    </row>
    <row r="107" spans="1:10">
      <c r="A107" s="85" t="s">
        <v>141</v>
      </c>
      <c r="B107" s="241" t="s">
        <v>212</v>
      </c>
      <c r="C107" s="242"/>
      <c r="D107" s="242"/>
      <c r="E107" s="243"/>
      <c r="F107" s="88">
        <f>'SEMAS 2_Materiais'!K26</f>
        <v>8.86</v>
      </c>
    </row>
    <row r="108" spans="1:10">
      <c r="A108" s="85" t="s">
        <v>143</v>
      </c>
      <c r="B108" s="241" t="s">
        <v>213</v>
      </c>
      <c r="C108" s="242"/>
      <c r="D108" s="242"/>
      <c r="E108" s="243"/>
      <c r="F108" s="88">
        <f>'SEMAS 2_Equipamentos'!M30</f>
        <v>33.15</v>
      </c>
      <c r="H108" s="114"/>
    </row>
    <row r="109" spans="1:10">
      <c r="A109" s="238" t="s">
        <v>170</v>
      </c>
      <c r="B109" s="239"/>
      <c r="C109" s="239"/>
      <c r="D109" s="239"/>
      <c r="E109" s="240"/>
      <c r="F109" s="92">
        <f>SUM(F105:F108)</f>
        <v>217.46</v>
      </c>
      <c r="J109" s="118"/>
    </row>
    <row r="111" spans="1:10">
      <c r="A111" s="254" t="s">
        <v>214</v>
      </c>
      <c r="B111" s="254"/>
      <c r="C111" s="254"/>
      <c r="D111" s="254"/>
      <c r="E111" s="254"/>
      <c r="F111" s="255"/>
    </row>
    <row r="112" spans="1:10">
      <c r="A112" s="85">
        <v>6</v>
      </c>
      <c r="B112" s="256" t="s">
        <v>215</v>
      </c>
      <c r="C112" s="257"/>
      <c r="D112" s="258"/>
      <c r="E112" s="85" t="s">
        <v>153</v>
      </c>
      <c r="F112" s="86" t="s">
        <v>136</v>
      </c>
    </row>
    <row r="113" spans="1:10">
      <c r="A113" s="85" t="s">
        <v>137</v>
      </c>
      <c r="B113" s="241" t="s">
        <v>216</v>
      </c>
      <c r="C113" s="242"/>
      <c r="D113" s="243"/>
      <c r="E113" s="107">
        <v>0.05</v>
      </c>
      <c r="F113" s="88">
        <f>E113*F130</f>
        <v>168.72</v>
      </c>
    </row>
    <row r="114" spans="1:10">
      <c r="A114" s="85" t="s">
        <v>139</v>
      </c>
      <c r="B114" s="241" t="s">
        <v>217</v>
      </c>
      <c r="C114" s="242"/>
      <c r="D114" s="243"/>
      <c r="E114" s="107">
        <v>6.7900000000000002E-2</v>
      </c>
      <c r="F114" s="88">
        <f>E114*(F130+F113)</f>
        <v>240.58</v>
      </c>
    </row>
    <row r="115" spans="1:10">
      <c r="A115" s="85" t="s">
        <v>141</v>
      </c>
      <c r="B115" s="241" t="s">
        <v>218</v>
      </c>
      <c r="C115" s="242"/>
      <c r="D115" s="243"/>
      <c r="E115" s="107">
        <f>SUM(E116:E120)</f>
        <v>0.14249999999999999</v>
      </c>
      <c r="F115" s="88"/>
    </row>
    <row r="116" spans="1:10">
      <c r="A116" s="85"/>
      <c r="B116" s="241" t="s">
        <v>219</v>
      </c>
      <c r="C116" s="242"/>
      <c r="D116" s="243"/>
      <c r="E116" s="107"/>
      <c r="F116" s="88"/>
      <c r="H116" s="115"/>
    </row>
    <row r="117" spans="1:10">
      <c r="A117" s="85"/>
      <c r="B117" s="241" t="s">
        <v>220</v>
      </c>
      <c r="C117" s="242"/>
      <c r="D117" s="243"/>
      <c r="E117" s="107">
        <v>1.6500000000000001E-2</v>
      </c>
      <c r="F117" s="88">
        <f>E117*((F130+F113+F114)/(1-$E$115))</f>
        <v>72.81</v>
      </c>
      <c r="H117" s="249"/>
      <c r="J117" s="119"/>
    </row>
    <row r="118" spans="1:10">
      <c r="A118" s="85"/>
      <c r="B118" s="241" t="s">
        <v>221</v>
      </c>
      <c r="C118" s="242"/>
      <c r="D118" s="243"/>
      <c r="E118" s="107">
        <v>7.5999999999999998E-2</v>
      </c>
      <c r="F118" s="88">
        <f>E118*(($F$130+$F$113+$F$114)/(1-$E$115))</f>
        <v>335.35</v>
      </c>
      <c r="H118" s="249"/>
      <c r="J118" s="119"/>
    </row>
    <row r="119" spans="1:10" s="65" customFormat="1">
      <c r="A119" s="85"/>
      <c r="B119" s="241" t="s">
        <v>222</v>
      </c>
      <c r="C119" s="242"/>
      <c r="D119" s="243"/>
      <c r="E119" s="107"/>
      <c r="F119" s="88"/>
      <c r="H119" s="249"/>
      <c r="J119" s="120"/>
    </row>
    <row r="120" spans="1:10">
      <c r="A120" s="85"/>
      <c r="B120" s="241" t="s">
        <v>223</v>
      </c>
      <c r="C120" s="242"/>
      <c r="D120" s="243"/>
      <c r="E120" s="107">
        <v>0.05</v>
      </c>
      <c r="F120" s="88">
        <f>E120*(($F$130+$F$113+$F$114)/(1-$E$115))</f>
        <v>220.63</v>
      </c>
      <c r="H120" s="249"/>
      <c r="J120" s="119"/>
    </row>
    <row r="121" spans="1:10">
      <c r="A121" s="238" t="s">
        <v>170</v>
      </c>
      <c r="B121" s="239"/>
      <c r="C121" s="239"/>
      <c r="D121" s="240"/>
      <c r="E121" s="116"/>
      <c r="F121" s="92">
        <f>SUM(F113:F120)</f>
        <v>1038.0899999999999</v>
      </c>
      <c r="J121" s="118"/>
    </row>
    <row r="123" spans="1:10">
      <c r="A123" s="247" t="s">
        <v>224</v>
      </c>
      <c r="B123" s="247"/>
      <c r="C123" s="247"/>
      <c r="D123" s="247"/>
      <c r="E123" s="247"/>
      <c r="F123" s="250"/>
    </row>
    <row r="124" spans="1:10">
      <c r="A124" s="69"/>
      <c r="B124" s="251" t="s">
        <v>225</v>
      </c>
      <c r="C124" s="252"/>
      <c r="D124" s="252"/>
      <c r="E124" s="253"/>
      <c r="F124" s="117" t="s">
        <v>136</v>
      </c>
    </row>
    <row r="125" spans="1:10">
      <c r="A125" s="85" t="s">
        <v>137</v>
      </c>
      <c r="B125" s="241" t="s">
        <v>134</v>
      </c>
      <c r="C125" s="242"/>
      <c r="D125" s="242"/>
      <c r="E125" s="243"/>
      <c r="F125" s="88">
        <f>F33</f>
        <v>1385.86</v>
      </c>
      <c r="H125" s="110"/>
    </row>
    <row r="126" spans="1:10">
      <c r="A126" s="85" t="s">
        <v>139</v>
      </c>
      <c r="B126" s="241" t="s">
        <v>149</v>
      </c>
      <c r="C126" s="242"/>
      <c r="D126" s="242"/>
      <c r="E126" s="243"/>
      <c r="F126" s="88">
        <f>F71</f>
        <v>1543.78</v>
      </c>
    </row>
    <row r="127" spans="1:10">
      <c r="A127" s="85" t="s">
        <v>141</v>
      </c>
      <c r="B127" s="241" t="s">
        <v>185</v>
      </c>
      <c r="C127" s="242"/>
      <c r="D127" s="242"/>
      <c r="E127" s="243"/>
      <c r="F127" s="88">
        <f>F81</f>
        <v>102.23</v>
      </c>
    </row>
    <row r="128" spans="1:10">
      <c r="A128" s="85" t="s">
        <v>143</v>
      </c>
      <c r="B128" s="241" t="s">
        <v>193</v>
      </c>
      <c r="C128" s="242"/>
      <c r="D128" s="242"/>
      <c r="E128" s="243"/>
      <c r="F128" s="88">
        <f>F101</f>
        <v>125.14</v>
      </c>
      <c r="H128" s="110"/>
    </row>
    <row r="129" spans="1:10">
      <c r="A129" s="85" t="s">
        <v>145</v>
      </c>
      <c r="B129" s="241" t="s">
        <v>208</v>
      </c>
      <c r="C129" s="242"/>
      <c r="D129" s="242"/>
      <c r="E129" s="243"/>
      <c r="F129" s="88">
        <f>F109</f>
        <v>217.46</v>
      </c>
      <c r="H129" s="110"/>
    </row>
    <row r="130" spans="1:10">
      <c r="A130" s="238" t="s">
        <v>226</v>
      </c>
      <c r="B130" s="239"/>
      <c r="C130" s="239"/>
      <c r="D130" s="239"/>
      <c r="E130" s="240"/>
      <c r="F130" s="92">
        <f>SUM(F125:F129)</f>
        <v>3374.47</v>
      </c>
      <c r="I130" s="114"/>
      <c r="J130" s="114"/>
    </row>
    <row r="131" spans="1:10">
      <c r="A131" s="85" t="s">
        <v>147</v>
      </c>
      <c r="B131" s="241" t="s">
        <v>227</v>
      </c>
      <c r="C131" s="242"/>
      <c r="D131" s="242"/>
      <c r="E131" s="243"/>
      <c r="F131" s="88">
        <f>F121</f>
        <v>1038.0899999999999</v>
      </c>
    </row>
    <row r="132" spans="1:10">
      <c r="A132" s="244" t="s">
        <v>228</v>
      </c>
      <c r="B132" s="245"/>
      <c r="C132" s="245"/>
      <c r="D132" s="245"/>
      <c r="E132" s="246"/>
      <c r="F132" s="121">
        <f>SUM(F130:F131)</f>
        <v>4412.5600000000004</v>
      </c>
      <c r="H132" s="110"/>
    </row>
    <row r="134" spans="1:10" s="66" customFormat="1">
      <c r="A134" s="247" t="s">
        <v>229</v>
      </c>
      <c r="B134" s="247"/>
      <c r="C134" s="247"/>
      <c r="D134" s="247"/>
      <c r="E134" s="247"/>
      <c r="F134" s="247"/>
      <c r="G134" s="122"/>
      <c r="H134" s="122"/>
      <c r="I134" s="122"/>
    </row>
    <row r="135" spans="1:10" s="66" customFormat="1" ht="38.25">
      <c r="A135" s="69" t="s">
        <v>230</v>
      </c>
      <c r="B135" s="69" t="s">
        <v>231</v>
      </c>
      <c r="C135" s="69" t="s">
        <v>232</v>
      </c>
      <c r="D135" s="69" t="s">
        <v>233</v>
      </c>
      <c r="E135" s="69" t="s">
        <v>234</v>
      </c>
      <c r="F135" s="123" t="s">
        <v>235</v>
      </c>
    </row>
    <row r="136" spans="1:10" s="66" customFormat="1" ht="45" customHeight="1">
      <c r="A136" s="124" t="str">
        <f>A15</f>
        <v>Jardineiro: 30 h</v>
      </c>
      <c r="B136" s="125">
        <f>F132</f>
        <v>4412.5600000000004</v>
      </c>
      <c r="C136" s="126">
        <v>1</v>
      </c>
      <c r="D136" s="125">
        <f>B136*C136</f>
        <v>4412.5600000000004</v>
      </c>
      <c r="E136" s="87">
        <f>F15</f>
        <v>1</v>
      </c>
      <c r="F136" s="125">
        <f>D136*E136</f>
        <v>4412.5600000000004</v>
      </c>
    </row>
    <row r="137" spans="1:10" s="66" customFormat="1" ht="21" customHeight="1">
      <c r="A137" s="238" t="s">
        <v>236</v>
      </c>
      <c r="B137" s="239"/>
      <c r="C137" s="239"/>
      <c r="D137" s="239"/>
      <c r="E137" s="240"/>
      <c r="F137" s="127">
        <f>SUM(F136)</f>
        <v>4412.5600000000004</v>
      </c>
    </row>
    <row r="138" spans="1:10" s="66" customFormat="1" ht="21" customHeight="1">
      <c r="A138" s="244" t="s">
        <v>237</v>
      </c>
      <c r="B138" s="245"/>
      <c r="C138" s="245"/>
      <c r="D138" s="245"/>
      <c r="E138" s="246"/>
      <c r="F138" s="128">
        <f>F137*F11</f>
        <v>52950.720000000001</v>
      </c>
    </row>
  </sheetData>
  <mergeCells count="134">
    <mergeCell ref="A1:E1"/>
    <mergeCell ref="A2:E2"/>
    <mergeCell ref="A3:E3"/>
    <mergeCell ref="A4:E4"/>
    <mergeCell ref="A5:E5"/>
    <mergeCell ref="A6:F6"/>
    <mergeCell ref="A7:F7"/>
    <mergeCell ref="B8:E8"/>
    <mergeCell ref="B9:E9"/>
    <mergeCell ref="B10:E10"/>
    <mergeCell ref="B11:E11"/>
    <mergeCell ref="A12:F12"/>
    <mergeCell ref="A13:F13"/>
    <mergeCell ref="A14:C14"/>
    <mergeCell ref="D14:E14"/>
    <mergeCell ref="A15:C15"/>
    <mergeCell ref="D15:E15"/>
    <mergeCell ref="A16:F16"/>
    <mergeCell ref="A17:F17"/>
    <mergeCell ref="A18:F18"/>
    <mergeCell ref="B19:E19"/>
    <mergeCell ref="B20:E20"/>
    <mergeCell ref="B21:E21"/>
    <mergeCell ref="B22:E22"/>
    <mergeCell ref="B23:E23"/>
    <mergeCell ref="A24:F24"/>
    <mergeCell ref="A25:F25"/>
    <mergeCell ref="B26:D26"/>
    <mergeCell ref="B27:D27"/>
    <mergeCell ref="B28:D28"/>
    <mergeCell ref="B29:D29"/>
    <mergeCell ref="B30:D30"/>
    <mergeCell ref="B31:D31"/>
    <mergeCell ref="B32:D32"/>
    <mergeCell ref="A33:D33"/>
    <mergeCell ref="A34:F34"/>
    <mergeCell ref="A35:F35"/>
    <mergeCell ref="A36:F36"/>
    <mergeCell ref="B37:D37"/>
    <mergeCell ref="B38:D38"/>
    <mergeCell ref="B39:D39"/>
    <mergeCell ref="A40:D40"/>
    <mergeCell ref="B41:D41"/>
    <mergeCell ref="A42:D42"/>
    <mergeCell ref="A43:F43"/>
    <mergeCell ref="B44:D44"/>
    <mergeCell ref="B45:D45"/>
    <mergeCell ref="B46:D46"/>
    <mergeCell ref="B47:D47"/>
    <mergeCell ref="B48:D48"/>
    <mergeCell ref="B49:D49"/>
    <mergeCell ref="B50:D50"/>
    <mergeCell ref="B51:D51"/>
    <mergeCell ref="B52:D52"/>
    <mergeCell ref="A53:D53"/>
    <mergeCell ref="A54:F54"/>
    <mergeCell ref="B55:D55"/>
    <mergeCell ref="B56:D56"/>
    <mergeCell ref="B57:D57"/>
    <mergeCell ref="B58:D58"/>
    <mergeCell ref="B59:D59"/>
    <mergeCell ref="B60:D60"/>
    <mergeCell ref="B61:D61"/>
    <mergeCell ref="B62:D62"/>
    <mergeCell ref="B63:D63"/>
    <mergeCell ref="B64:D64"/>
    <mergeCell ref="A65:D65"/>
    <mergeCell ref="A66:F66"/>
    <mergeCell ref="B67:D67"/>
    <mergeCell ref="B68:D68"/>
    <mergeCell ref="B69:D69"/>
    <mergeCell ref="B70:D70"/>
    <mergeCell ref="A71:D71"/>
    <mergeCell ref="A73:F73"/>
    <mergeCell ref="B74:D74"/>
    <mergeCell ref="B75:D75"/>
    <mergeCell ref="B76:D76"/>
    <mergeCell ref="B77:D77"/>
    <mergeCell ref="B78:D78"/>
    <mergeCell ref="B79:D79"/>
    <mergeCell ref="B80:D80"/>
    <mergeCell ref="A81:D81"/>
    <mergeCell ref="A83:F83"/>
    <mergeCell ref="A84:F84"/>
    <mergeCell ref="B85:D85"/>
    <mergeCell ref="B86:D86"/>
    <mergeCell ref="B87:D87"/>
    <mergeCell ref="B88:D88"/>
    <mergeCell ref="B89:D89"/>
    <mergeCell ref="B90:D90"/>
    <mergeCell ref="B91:D91"/>
    <mergeCell ref="A92:D92"/>
    <mergeCell ref="A93:F93"/>
    <mergeCell ref="B94:D94"/>
    <mergeCell ref="B95:D95"/>
    <mergeCell ref="A96:D96"/>
    <mergeCell ref="A97:F97"/>
    <mergeCell ref="B98:D98"/>
    <mergeCell ref="B99:D99"/>
    <mergeCell ref="B118:D118"/>
    <mergeCell ref="B119:D119"/>
    <mergeCell ref="B100:D100"/>
    <mergeCell ref="A101:D101"/>
    <mergeCell ref="A103:F103"/>
    <mergeCell ref="B104:E104"/>
    <mergeCell ref="B105:E105"/>
    <mergeCell ref="B106:E106"/>
    <mergeCell ref="B107:E107"/>
    <mergeCell ref="B108:E108"/>
    <mergeCell ref="A109:E109"/>
    <mergeCell ref="A130:E130"/>
    <mergeCell ref="B131:E131"/>
    <mergeCell ref="A132:E132"/>
    <mergeCell ref="A134:F134"/>
    <mergeCell ref="A137:E137"/>
    <mergeCell ref="A138:E138"/>
    <mergeCell ref="F1:F5"/>
    <mergeCell ref="H117:H120"/>
    <mergeCell ref="B120:D120"/>
    <mergeCell ref="A121:D121"/>
    <mergeCell ref="A123:F123"/>
    <mergeCell ref="B124:E124"/>
    <mergeCell ref="B125:E125"/>
    <mergeCell ref="B126:E126"/>
    <mergeCell ref="B127:E127"/>
    <mergeCell ref="B128:E128"/>
    <mergeCell ref="B129:E129"/>
    <mergeCell ref="A111:F111"/>
    <mergeCell ref="B112:D112"/>
    <mergeCell ref="B113:D113"/>
    <mergeCell ref="B114:D114"/>
    <mergeCell ref="B115:D115"/>
    <mergeCell ref="B116:D116"/>
    <mergeCell ref="B117:D117"/>
  </mergeCells>
  <pageMargins left="0.55416666666666703" right="0.35763888888888901" top="0.60555555555555596" bottom="0.40902777777777799" header="0.5" footer="0.5"/>
  <pageSetup paperSize="9"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5" tint="0.79998168889431442"/>
  </sheetPr>
  <dimension ref="A1:K67"/>
  <sheetViews>
    <sheetView view="pageBreakPreview" zoomScale="70" zoomScaleNormal="70" workbookViewId="0">
      <selection activeCell="N20" sqref="N20"/>
    </sheetView>
  </sheetViews>
  <sheetFormatPr defaultColWidth="9.140625" defaultRowHeight="12.75"/>
  <cols>
    <col min="1" max="1" width="5" style="38" customWidth="1"/>
    <col min="2" max="2" width="23.28515625" style="46" customWidth="1"/>
    <col min="3" max="3" width="9.7109375" style="38" customWidth="1"/>
    <col min="4" max="4" width="13.85546875" style="38" customWidth="1"/>
    <col min="5" max="9" width="27" style="1" customWidth="1"/>
    <col min="10" max="11" width="20.28515625" style="1" customWidth="1"/>
    <col min="12" max="13" width="12.28515625" style="1" customWidth="1"/>
    <col min="14" max="16384" width="9.140625" style="1"/>
  </cols>
  <sheetData>
    <row r="1" spans="1:11" ht="30.95" customHeight="1">
      <c r="A1" s="311" t="str">
        <f>'SEMAS TOTALIZADOR GERAL'!A1</f>
        <v>SEMAS</v>
      </c>
      <c r="B1" s="311"/>
      <c r="C1" s="311"/>
      <c r="D1" s="311"/>
      <c r="E1" s="311"/>
      <c r="F1" s="311"/>
      <c r="G1" s="311"/>
      <c r="H1" s="311"/>
      <c r="I1" s="311"/>
      <c r="J1" s="311"/>
      <c r="K1" s="311"/>
    </row>
    <row r="2" spans="1:11" ht="32.1" customHeight="1">
      <c r="A2" s="312" t="s">
        <v>255</v>
      </c>
      <c r="B2" s="311"/>
      <c r="C2" s="311"/>
      <c r="D2" s="311"/>
      <c r="E2" s="311"/>
      <c r="F2" s="311"/>
      <c r="G2" s="311"/>
      <c r="H2" s="311"/>
      <c r="I2" s="311"/>
      <c r="J2" s="311"/>
      <c r="K2" s="311"/>
    </row>
    <row r="3" spans="1:11">
      <c r="F3" s="56"/>
      <c r="G3" s="56"/>
      <c r="H3" s="56"/>
      <c r="I3" s="56"/>
      <c r="J3" s="56"/>
      <c r="K3" s="56"/>
    </row>
    <row r="4" spans="1:11" ht="18" customHeight="1">
      <c r="A4" s="313" t="s">
        <v>256</v>
      </c>
      <c r="B4" s="314"/>
      <c r="C4" s="314"/>
      <c r="D4" s="314"/>
      <c r="E4" s="314"/>
      <c r="F4" s="314"/>
      <c r="G4" s="314"/>
      <c r="H4" s="314"/>
      <c r="I4" s="314"/>
      <c r="J4" s="314"/>
      <c r="K4" s="315"/>
    </row>
    <row r="5" spans="1:11" ht="24" customHeight="1">
      <c r="A5" s="294" t="s">
        <v>257</v>
      </c>
      <c r="B5" s="294" t="s">
        <v>258</v>
      </c>
      <c r="C5" s="294" t="s">
        <v>259</v>
      </c>
      <c r="D5" s="294" t="s">
        <v>260</v>
      </c>
      <c r="E5" s="304" t="s">
        <v>261</v>
      </c>
      <c r="F5" s="304"/>
      <c r="G5" s="304"/>
      <c r="H5" s="304"/>
      <c r="I5" s="304"/>
      <c r="J5" s="304"/>
      <c r="K5" s="287" t="s">
        <v>262</v>
      </c>
    </row>
    <row r="6" spans="1:11" ht="38.25">
      <c r="A6" s="294"/>
      <c r="B6" s="294"/>
      <c r="C6" s="294"/>
      <c r="D6" s="294"/>
      <c r="E6" s="35" t="s">
        <v>263</v>
      </c>
      <c r="F6" s="35" t="s">
        <v>264</v>
      </c>
      <c r="G6" s="35" t="s">
        <v>265</v>
      </c>
      <c r="H6" s="35" t="s">
        <v>266</v>
      </c>
      <c r="I6" s="35" t="s">
        <v>267</v>
      </c>
      <c r="J6" s="34" t="s">
        <v>268</v>
      </c>
      <c r="K6" s="288"/>
    </row>
    <row r="7" spans="1:11" ht="51">
      <c r="A7" s="296">
        <v>1</v>
      </c>
      <c r="B7" s="297" t="s">
        <v>269</v>
      </c>
      <c r="C7" s="296" t="s">
        <v>259</v>
      </c>
      <c r="D7" s="296">
        <f t="shared" ref="D7:D9" si="0">12/3</f>
        <v>4</v>
      </c>
      <c r="E7" s="6" t="s">
        <v>270</v>
      </c>
      <c r="F7" s="6" t="s">
        <v>271</v>
      </c>
      <c r="G7" s="6" t="s">
        <v>272</v>
      </c>
      <c r="H7" s="6" t="s">
        <v>273</v>
      </c>
      <c r="I7" s="6" t="s">
        <v>274</v>
      </c>
      <c r="J7" s="286">
        <f t="shared" ref="J7:J11" si="1">AVERAGE(E8:I8)</f>
        <v>28.37</v>
      </c>
      <c r="K7" s="286">
        <f t="shared" ref="K7:K11" si="2">D7*J7</f>
        <v>113.48</v>
      </c>
    </row>
    <row r="8" spans="1:11">
      <c r="A8" s="296"/>
      <c r="B8" s="297"/>
      <c r="C8" s="296"/>
      <c r="D8" s="296"/>
      <c r="E8" s="7">
        <v>29.61</v>
      </c>
      <c r="F8" s="7">
        <v>29.85</v>
      </c>
      <c r="G8" s="7">
        <v>25.5</v>
      </c>
      <c r="H8" s="7">
        <v>28.88</v>
      </c>
      <c r="I8" s="7">
        <v>28</v>
      </c>
      <c r="J8" s="286"/>
      <c r="K8" s="286"/>
    </row>
    <row r="9" spans="1:11" ht="38.25">
      <c r="A9" s="296">
        <v>2</v>
      </c>
      <c r="B9" s="297" t="s">
        <v>275</v>
      </c>
      <c r="C9" s="296" t="s">
        <v>259</v>
      </c>
      <c r="D9" s="296">
        <f t="shared" si="0"/>
        <v>4</v>
      </c>
      <c r="E9" s="7" t="s">
        <v>276</v>
      </c>
      <c r="F9" s="6" t="s">
        <v>277</v>
      </c>
      <c r="G9" s="7" t="s">
        <v>278</v>
      </c>
      <c r="H9" s="7" t="s">
        <v>279</v>
      </c>
      <c r="I9" s="7" t="s">
        <v>280</v>
      </c>
      <c r="J9" s="286">
        <f t="shared" si="1"/>
        <v>73</v>
      </c>
      <c r="K9" s="286">
        <f t="shared" si="2"/>
        <v>292</v>
      </c>
    </row>
    <row r="10" spans="1:11" ht="32.1" customHeight="1">
      <c r="A10" s="296"/>
      <c r="B10" s="297"/>
      <c r="C10" s="296"/>
      <c r="D10" s="296"/>
      <c r="E10" s="7">
        <v>75</v>
      </c>
      <c r="F10" s="7">
        <v>70</v>
      </c>
      <c r="G10" s="7">
        <v>69</v>
      </c>
      <c r="H10" s="7">
        <v>72</v>
      </c>
      <c r="I10" s="7">
        <v>79</v>
      </c>
      <c r="J10" s="286"/>
      <c r="K10" s="286"/>
    </row>
    <row r="11" spans="1:11" ht="38.25">
      <c r="A11" s="296">
        <v>3</v>
      </c>
      <c r="B11" s="297" t="s">
        <v>281</v>
      </c>
      <c r="C11" s="296" t="s">
        <v>282</v>
      </c>
      <c r="D11" s="296">
        <v>2</v>
      </c>
      <c r="E11" s="6" t="s">
        <v>270</v>
      </c>
      <c r="F11" s="7" t="s">
        <v>283</v>
      </c>
      <c r="G11" s="7" t="s">
        <v>284</v>
      </c>
      <c r="H11" s="7"/>
      <c r="I11" s="7"/>
      <c r="J11" s="286">
        <f t="shared" si="1"/>
        <v>8.0500000000000007</v>
      </c>
      <c r="K11" s="286">
        <f t="shared" si="2"/>
        <v>16.100000000000001</v>
      </c>
    </row>
    <row r="12" spans="1:11">
      <c r="A12" s="296"/>
      <c r="B12" s="297"/>
      <c r="C12" s="296"/>
      <c r="D12" s="296"/>
      <c r="E12" s="7">
        <v>10.65</v>
      </c>
      <c r="F12" s="7">
        <v>8.5</v>
      </c>
      <c r="G12" s="7">
        <v>5</v>
      </c>
      <c r="H12" s="7"/>
      <c r="I12" s="7"/>
      <c r="J12" s="286"/>
      <c r="K12" s="286"/>
    </row>
    <row r="13" spans="1:11" ht="51">
      <c r="A13" s="296">
        <v>4</v>
      </c>
      <c r="B13" s="297" t="s">
        <v>285</v>
      </c>
      <c r="C13" s="296" t="s">
        <v>259</v>
      </c>
      <c r="D13" s="296">
        <f>12/6</f>
        <v>2</v>
      </c>
      <c r="E13" s="6" t="s">
        <v>286</v>
      </c>
      <c r="F13" s="7" t="s">
        <v>278</v>
      </c>
      <c r="G13" s="7" t="s">
        <v>287</v>
      </c>
      <c r="H13" s="7"/>
      <c r="I13" s="7"/>
      <c r="J13" s="286">
        <f>AVERAGE(E14:I14)</f>
        <v>73.94</v>
      </c>
      <c r="K13" s="286">
        <f>D13*J13</f>
        <v>147.88</v>
      </c>
    </row>
    <row r="14" spans="1:11" ht="27.95" customHeight="1">
      <c r="A14" s="296"/>
      <c r="B14" s="297"/>
      <c r="C14" s="296"/>
      <c r="D14" s="296"/>
      <c r="E14" s="7">
        <v>76</v>
      </c>
      <c r="F14" s="7">
        <v>66.989999999999995</v>
      </c>
      <c r="G14" s="7">
        <v>78.84</v>
      </c>
      <c r="H14" s="19"/>
      <c r="I14" s="19"/>
      <c r="J14" s="286"/>
      <c r="K14" s="286"/>
    </row>
    <row r="15" spans="1:11" ht="20.100000000000001" customHeight="1">
      <c r="A15" s="1"/>
      <c r="B15" s="1"/>
      <c r="C15" s="1"/>
      <c r="D15" s="1"/>
      <c r="F15" s="305" t="s">
        <v>288</v>
      </c>
      <c r="G15" s="305"/>
      <c r="H15" s="305"/>
      <c r="I15" s="305"/>
      <c r="J15" s="305"/>
      <c r="K15" s="43">
        <f>SUM(K7:K14)</f>
        <v>569.46</v>
      </c>
    </row>
    <row r="16" spans="1:11" ht="20.100000000000001" customHeight="1">
      <c r="B16" s="39"/>
      <c r="C16" s="39"/>
      <c r="D16" s="39"/>
      <c r="E16" s="39"/>
      <c r="F16" s="306" t="s">
        <v>289</v>
      </c>
      <c r="G16" s="306"/>
      <c r="H16" s="306"/>
      <c r="I16" s="306"/>
      <c r="J16" s="306"/>
      <c r="K16" s="44">
        <v>12</v>
      </c>
    </row>
    <row r="17" spans="1:11" ht="20.100000000000001" customHeight="1">
      <c r="A17" s="40"/>
      <c r="B17" s="41"/>
      <c r="C17" s="40"/>
      <c r="D17" s="40"/>
      <c r="E17" s="42"/>
      <c r="F17" s="307" t="s">
        <v>290</v>
      </c>
      <c r="G17" s="307"/>
      <c r="H17" s="307"/>
      <c r="I17" s="307"/>
      <c r="J17" s="307"/>
      <c r="K17" s="45">
        <f>K15/K16</f>
        <v>47.46</v>
      </c>
    </row>
    <row r="18" spans="1:11">
      <c r="E18" s="49"/>
      <c r="F18" s="49"/>
      <c r="G18" s="49"/>
      <c r="H18" s="49"/>
      <c r="I18" s="49"/>
      <c r="J18" s="54"/>
      <c r="K18" s="54"/>
    </row>
    <row r="19" spans="1:11" customFormat="1" ht="18" customHeight="1">
      <c r="A19" s="313" t="s">
        <v>291</v>
      </c>
      <c r="B19" s="314"/>
      <c r="C19" s="314"/>
      <c r="D19" s="314"/>
      <c r="E19" s="314"/>
      <c r="F19" s="314"/>
      <c r="G19" s="314"/>
      <c r="H19" s="314"/>
      <c r="I19" s="314"/>
      <c r="J19" s="314"/>
      <c r="K19" s="315"/>
    </row>
    <row r="20" spans="1:11" customFormat="1" ht="24" customHeight="1">
      <c r="A20" s="294" t="s">
        <v>257</v>
      </c>
      <c r="B20" s="294" t="s">
        <v>258</v>
      </c>
      <c r="C20" s="294" t="s">
        <v>259</v>
      </c>
      <c r="D20" s="294" t="s">
        <v>260</v>
      </c>
      <c r="E20" s="304" t="s">
        <v>261</v>
      </c>
      <c r="F20" s="304"/>
      <c r="G20" s="304"/>
      <c r="H20" s="304"/>
      <c r="I20" s="304"/>
      <c r="J20" s="304"/>
      <c r="K20" s="287" t="s">
        <v>262</v>
      </c>
    </row>
    <row r="21" spans="1:11" customFormat="1" ht="38.25">
      <c r="A21" s="294"/>
      <c r="B21" s="294"/>
      <c r="C21" s="294"/>
      <c r="D21" s="294"/>
      <c r="E21" s="35" t="s">
        <v>292</v>
      </c>
      <c r="F21" s="35" t="s">
        <v>293</v>
      </c>
      <c r="G21" s="35" t="s">
        <v>294</v>
      </c>
      <c r="H21" s="35" t="s">
        <v>266</v>
      </c>
      <c r="I21" s="35" t="s">
        <v>267</v>
      </c>
      <c r="J21" s="34" t="s">
        <v>295</v>
      </c>
      <c r="K21" s="288"/>
    </row>
    <row r="22" spans="1:11" customFormat="1" ht="51">
      <c r="A22" s="296">
        <v>1</v>
      </c>
      <c r="B22" s="298" t="s">
        <v>296</v>
      </c>
      <c r="C22" s="296" t="s">
        <v>259</v>
      </c>
      <c r="D22" s="296">
        <v>0</v>
      </c>
      <c r="E22" s="6" t="s">
        <v>276</v>
      </c>
      <c r="F22" s="7" t="s">
        <v>297</v>
      </c>
      <c r="G22" s="7" t="s">
        <v>298</v>
      </c>
      <c r="H22" s="7" t="s">
        <v>299</v>
      </c>
      <c r="I22" s="7"/>
      <c r="J22" s="286">
        <f t="shared" ref="J22:J26" si="3">AVERAGE(E23:I23)</f>
        <v>33.06</v>
      </c>
      <c r="K22" s="286">
        <f t="shared" ref="K22:K26" si="4">D22*J22</f>
        <v>0</v>
      </c>
    </row>
    <row r="23" spans="1:11" customFormat="1" ht="15">
      <c r="A23" s="296"/>
      <c r="B23" s="299"/>
      <c r="C23" s="296"/>
      <c r="D23" s="296"/>
      <c r="E23" s="57">
        <v>28</v>
      </c>
      <c r="F23" s="57">
        <v>34.4</v>
      </c>
      <c r="G23" s="57">
        <v>34.619999999999997</v>
      </c>
      <c r="H23" s="57">
        <v>35.200000000000003</v>
      </c>
      <c r="I23" s="57"/>
      <c r="J23" s="286"/>
      <c r="K23" s="286"/>
    </row>
    <row r="24" spans="1:11" customFormat="1" ht="38.25">
      <c r="A24" s="296">
        <v>2</v>
      </c>
      <c r="B24" s="297" t="s">
        <v>275</v>
      </c>
      <c r="C24" s="296" t="s">
        <v>259</v>
      </c>
      <c r="D24" s="296">
        <v>0</v>
      </c>
      <c r="E24" s="7" t="s">
        <v>276</v>
      </c>
      <c r="F24" s="6" t="s">
        <v>277</v>
      </c>
      <c r="G24" s="7" t="s">
        <v>278</v>
      </c>
      <c r="H24" s="7" t="s">
        <v>279</v>
      </c>
      <c r="I24" s="7" t="s">
        <v>280</v>
      </c>
      <c r="J24" s="286">
        <f t="shared" si="3"/>
        <v>73</v>
      </c>
      <c r="K24" s="286">
        <f t="shared" si="4"/>
        <v>0</v>
      </c>
    </row>
    <row r="25" spans="1:11" customFormat="1" ht="32.1" customHeight="1">
      <c r="A25" s="296"/>
      <c r="B25" s="297"/>
      <c r="C25" s="296"/>
      <c r="D25" s="296"/>
      <c r="E25" s="7">
        <v>75</v>
      </c>
      <c r="F25" s="7">
        <v>70</v>
      </c>
      <c r="G25" s="7">
        <v>69</v>
      </c>
      <c r="H25" s="7">
        <v>72</v>
      </c>
      <c r="I25" s="7">
        <v>79</v>
      </c>
      <c r="J25" s="286"/>
      <c r="K25" s="286"/>
    </row>
    <row r="26" spans="1:11" customFormat="1" ht="38.25">
      <c r="A26" s="296">
        <v>3</v>
      </c>
      <c r="B26" s="297" t="s">
        <v>281</v>
      </c>
      <c r="C26" s="296" t="s">
        <v>282</v>
      </c>
      <c r="D26" s="296">
        <v>0</v>
      </c>
      <c r="E26" s="6" t="s">
        <v>270</v>
      </c>
      <c r="F26" s="7" t="s">
        <v>283</v>
      </c>
      <c r="G26" s="7" t="s">
        <v>284</v>
      </c>
      <c r="H26" s="7"/>
      <c r="I26" s="7"/>
      <c r="J26" s="286">
        <f t="shared" si="3"/>
        <v>8.0500000000000007</v>
      </c>
      <c r="K26" s="286">
        <f t="shared" si="4"/>
        <v>0</v>
      </c>
    </row>
    <row r="27" spans="1:11" customFormat="1" ht="15">
      <c r="A27" s="296"/>
      <c r="B27" s="297"/>
      <c r="C27" s="296"/>
      <c r="D27" s="296"/>
      <c r="E27" s="7">
        <v>10.65</v>
      </c>
      <c r="F27" s="7">
        <v>8.5</v>
      </c>
      <c r="G27" s="7">
        <v>5</v>
      </c>
      <c r="H27" s="7"/>
      <c r="I27" s="7"/>
      <c r="J27" s="286"/>
      <c r="K27" s="286"/>
    </row>
    <row r="28" spans="1:11" customFormat="1" ht="51">
      <c r="A28" s="296">
        <v>4</v>
      </c>
      <c r="B28" s="297" t="s">
        <v>285</v>
      </c>
      <c r="C28" s="296" t="s">
        <v>259</v>
      </c>
      <c r="D28" s="296">
        <v>0</v>
      </c>
      <c r="E28" s="6" t="s">
        <v>286</v>
      </c>
      <c r="F28" s="7" t="s">
        <v>278</v>
      </c>
      <c r="G28" s="7" t="s">
        <v>287</v>
      </c>
      <c r="H28" s="7"/>
      <c r="I28" s="7"/>
      <c r="J28" s="286">
        <f>AVERAGE(E29:I29)</f>
        <v>73.94</v>
      </c>
      <c r="K28" s="286">
        <f>D28*J28</f>
        <v>0</v>
      </c>
    </row>
    <row r="29" spans="1:11" customFormat="1" ht="27.95" customHeight="1">
      <c r="A29" s="296"/>
      <c r="B29" s="297"/>
      <c r="C29" s="296"/>
      <c r="D29" s="296"/>
      <c r="E29" s="7">
        <v>76</v>
      </c>
      <c r="F29" s="7">
        <v>66.989999999999995</v>
      </c>
      <c r="G29" s="7">
        <v>78.84</v>
      </c>
      <c r="H29" s="19"/>
      <c r="I29" s="19"/>
      <c r="J29" s="286"/>
      <c r="K29" s="286"/>
    </row>
    <row r="30" spans="1:11" customFormat="1" ht="20.100000000000001" customHeight="1">
      <c r="A30" s="1"/>
      <c r="B30" s="1"/>
      <c r="C30" s="1"/>
      <c r="D30" s="1"/>
      <c r="E30" s="1"/>
      <c r="F30" s="305" t="s">
        <v>288</v>
      </c>
      <c r="G30" s="305"/>
      <c r="H30" s="305"/>
      <c r="I30" s="305"/>
      <c r="J30" s="305"/>
      <c r="K30" s="43">
        <f>SUM(K22:K29)</f>
        <v>0</v>
      </c>
    </row>
    <row r="31" spans="1:11" customFormat="1" ht="20.100000000000001" customHeight="1">
      <c r="A31" s="38"/>
      <c r="B31" s="39"/>
      <c r="C31" s="39"/>
      <c r="D31" s="39"/>
      <c r="E31" s="39"/>
      <c r="F31" s="306" t="s">
        <v>289</v>
      </c>
      <c r="G31" s="306"/>
      <c r="H31" s="306"/>
      <c r="I31" s="306"/>
      <c r="J31" s="306"/>
      <c r="K31" s="44">
        <v>12</v>
      </c>
    </row>
    <row r="32" spans="1:11" customFormat="1" ht="20.100000000000001" customHeight="1">
      <c r="A32" s="40"/>
      <c r="B32" s="41"/>
      <c r="C32" s="40"/>
      <c r="D32" s="40"/>
      <c r="E32" s="42"/>
      <c r="F32" s="307" t="s">
        <v>290</v>
      </c>
      <c r="G32" s="307"/>
      <c r="H32" s="307"/>
      <c r="I32" s="307"/>
      <c r="J32" s="307"/>
      <c r="K32" s="45">
        <f>K30/K31</f>
        <v>0</v>
      </c>
    </row>
    <row r="33" spans="1:11" customFormat="1" ht="20.100000000000001" customHeight="1">
      <c r="A33" s="1"/>
      <c r="B33" s="1"/>
      <c r="C33" s="1"/>
      <c r="D33" s="1"/>
      <c r="E33" s="1"/>
      <c r="F33" s="1"/>
      <c r="G33" s="1"/>
      <c r="H33" s="1"/>
      <c r="I33" s="1"/>
      <c r="J33" s="1"/>
      <c r="K33" s="1"/>
    </row>
    <row r="34" spans="1:11">
      <c r="A34" s="294" t="s">
        <v>300</v>
      </c>
      <c r="B34" s="294"/>
      <c r="C34" s="294"/>
      <c r="D34" s="294"/>
      <c r="E34" s="294"/>
      <c r="F34" s="294"/>
      <c r="G34" s="294"/>
      <c r="H34" s="294"/>
      <c r="I34" s="294"/>
      <c r="J34" s="294"/>
      <c r="K34" s="35"/>
    </row>
    <row r="35" spans="1:11" ht="24" customHeight="1">
      <c r="A35" s="294" t="s">
        <v>257</v>
      </c>
      <c r="B35" s="294" t="s">
        <v>258</v>
      </c>
      <c r="C35" s="294" t="s">
        <v>259</v>
      </c>
      <c r="D35" s="294" t="s">
        <v>260</v>
      </c>
      <c r="E35" s="304" t="s">
        <v>261</v>
      </c>
      <c r="F35" s="304"/>
      <c r="G35" s="304"/>
      <c r="H35" s="304"/>
      <c r="I35" s="304"/>
      <c r="J35" s="304"/>
      <c r="K35" s="287" t="s">
        <v>262</v>
      </c>
    </row>
    <row r="36" spans="1:11" ht="38.25">
      <c r="A36" s="294"/>
      <c r="B36" s="294"/>
      <c r="C36" s="294"/>
      <c r="D36" s="294"/>
      <c r="E36" s="35" t="s">
        <v>292</v>
      </c>
      <c r="F36" s="35" t="s">
        <v>293</v>
      </c>
      <c r="G36" s="35" t="s">
        <v>294</v>
      </c>
      <c r="H36" s="35" t="s">
        <v>266</v>
      </c>
      <c r="I36" s="35" t="s">
        <v>267</v>
      </c>
      <c r="J36" s="34" t="s">
        <v>268</v>
      </c>
      <c r="K36" s="288"/>
    </row>
    <row r="37" spans="1:11" ht="51">
      <c r="A37" s="308">
        <v>1</v>
      </c>
      <c r="B37" s="298" t="s">
        <v>301</v>
      </c>
      <c r="C37" s="289" t="s">
        <v>259</v>
      </c>
      <c r="D37" s="289">
        <f>12/3</f>
        <v>4</v>
      </c>
      <c r="E37" s="7" t="s">
        <v>302</v>
      </c>
      <c r="F37" s="6" t="s">
        <v>303</v>
      </c>
      <c r="G37" s="21" t="s">
        <v>270</v>
      </c>
      <c r="H37" s="21" t="s">
        <v>304</v>
      </c>
      <c r="I37" s="21" t="s">
        <v>274</v>
      </c>
      <c r="J37" s="286">
        <f t="shared" ref="J37:J41" si="5">AVERAGE(E38:I38)</f>
        <v>59.23</v>
      </c>
      <c r="K37" s="286">
        <f t="shared" ref="K37:K41" si="6">D37*J37</f>
        <v>236.92</v>
      </c>
    </row>
    <row r="38" spans="1:11">
      <c r="A38" s="309"/>
      <c r="B38" s="299"/>
      <c r="C38" s="290"/>
      <c r="D38" s="290"/>
      <c r="E38" s="7">
        <v>65</v>
      </c>
      <c r="F38" s="7">
        <v>60</v>
      </c>
      <c r="G38" s="7">
        <v>57.28</v>
      </c>
      <c r="H38" s="7">
        <v>59.9</v>
      </c>
      <c r="I38" s="7">
        <v>53.99</v>
      </c>
      <c r="J38" s="286"/>
      <c r="K38" s="286"/>
    </row>
    <row r="39" spans="1:11" ht="51">
      <c r="A39" s="310">
        <v>2</v>
      </c>
      <c r="B39" s="300" t="s">
        <v>305</v>
      </c>
      <c r="C39" s="295" t="s">
        <v>259</v>
      </c>
      <c r="D39" s="295">
        <v>2</v>
      </c>
      <c r="E39" s="7" t="s">
        <v>270</v>
      </c>
      <c r="F39" s="6" t="s">
        <v>306</v>
      </c>
      <c r="G39" s="21" t="s">
        <v>307</v>
      </c>
      <c r="H39" s="21" t="s">
        <v>308</v>
      </c>
      <c r="I39" s="21" t="s">
        <v>309</v>
      </c>
      <c r="J39" s="286">
        <f t="shared" si="5"/>
        <v>72.5</v>
      </c>
      <c r="K39" s="286">
        <f t="shared" si="6"/>
        <v>145</v>
      </c>
    </row>
    <row r="40" spans="1:11" ht="18" customHeight="1">
      <c r="A40" s="309"/>
      <c r="B40" s="299"/>
      <c r="C40" s="290"/>
      <c r="D40" s="290"/>
      <c r="E40" s="7">
        <v>64</v>
      </c>
      <c r="F40" s="7">
        <v>73.7</v>
      </c>
      <c r="G40" s="7">
        <v>79.8</v>
      </c>
      <c r="H40" s="7">
        <v>75</v>
      </c>
      <c r="I40" s="7">
        <v>70</v>
      </c>
      <c r="J40" s="286"/>
      <c r="K40" s="286"/>
    </row>
    <row r="41" spans="1:11" ht="51.95" customHeight="1">
      <c r="A41" s="310">
        <v>3</v>
      </c>
      <c r="B41" s="300" t="s">
        <v>310</v>
      </c>
      <c r="C41" s="295" t="s">
        <v>259</v>
      </c>
      <c r="D41" s="295">
        <v>1</v>
      </c>
      <c r="E41" s="6" t="s">
        <v>311</v>
      </c>
      <c r="F41" s="7" t="s">
        <v>312</v>
      </c>
      <c r="G41" s="6" t="s">
        <v>313</v>
      </c>
      <c r="H41" s="6" t="s">
        <v>314</v>
      </c>
      <c r="I41" s="6"/>
      <c r="J41" s="286">
        <f t="shared" si="5"/>
        <v>32.22</v>
      </c>
      <c r="K41" s="286">
        <f t="shared" si="6"/>
        <v>32.22</v>
      </c>
    </row>
    <row r="42" spans="1:11" ht="14.1" customHeight="1">
      <c r="A42" s="309"/>
      <c r="B42" s="299"/>
      <c r="C42" s="290"/>
      <c r="D42" s="290"/>
      <c r="E42" s="7">
        <v>31.9</v>
      </c>
      <c r="F42" s="7">
        <v>33</v>
      </c>
      <c r="G42" s="7">
        <v>29</v>
      </c>
      <c r="H42" s="7">
        <v>34.979999999999997</v>
      </c>
      <c r="I42" s="7"/>
      <c r="J42" s="286"/>
      <c r="K42" s="286"/>
    </row>
    <row r="43" spans="1:11" ht="38.25">
      <c r="A43" s="310">
        <v>4</v>
      </c>
      <c r="B43" s="300" t="s">
        <v>315</v>
      </c>
      <c r="C43" s="295" t="s">
        <v>282</v>
      </c>
      <c r="D43" s="295">
        <v>4</v>
      </c>
      <c r="E43" s="6" t="s">
        <v>270</v>
      </c>
      <c r="F43" s="7" t="s">
        <v>283</v>
      </c>
      <c r="G43" s="7" t="s">
        <v>284</v>
      </c>
      <c r="H43" s="7"/>
      <c r="I43" s="7"/>
      <c r="J43" s="286">
        <f>AVERAGE(E44:I44)</f>
        <v>8.0500000000000007</v>
      </c>
      <c r="K43" s="286">
        <f>D43*J43</f>
        <v>32.200000000000003</v>
      </c>
    </row>
    <row r="44" spans="1:11">
      <c r="A44" s="309"/>
      <c r="B44" s="299"/>
      <c r="C44" s="290"/>
      <c r="D44" s="290"/>
      <c r="E44" s="7">
        <v>10.65</v>
      </c>
      <c r="F44" s="7">
        <v>8.5</v>
      </c>
      <c r="G44" s="7">
        <v>5</v>
      </c>
      <c r="H44" s="7"/>
      <c r="I44" s="7"/>
      <c r="J44" s="286"/>
      <c r="K44" s="286"/>
    </row>
    <row r="45" spans="1:11" ht="51">
      <c r="A45" s="308">
        <v>5</v>
      </c>
      <c r="B45" s="298" t="s">
        <v>316</v>
      </c>
      <c r="C45" s="289" t="s">
        <v>282</v>
      </c>
      <c r="D45" s="289">
        <v>2</v>
      </c>
      <c r="E45" s="7" t="s">
        <v>317</v>
      </c>
      <c r="F45" s="6" t="s">
        <v>278</v>
      </c>
      <c r="G45" s="21" t="s">
        <v>318</v>
      </c>
      <c r="H45" s="21" t="s">
        <v>319</v>
      </c>
      <c r="I45" s="21"/>
      <c r="J45" s="286">
        <f>AVERAGE(E46:I46)</f>
        <v>108.36</v>
      </c>
      <c r="K45" s="286">
        <f>D45*J45</f>
        <v>216.72</v>
      </c>
    </row>
    <row r="46" spans="1:11">
      <c r="A46" s="309"/>
      <c r="B46" s="299"/>
      <c r="C46" s="290"/>
      <c r="D46" s="290"/>
      <c r="E46" s="7">
        <v>107.67</v>
      </c>
      <c r="F46" s="7">
        <v>113.98</v>
      </c>
      <c r="G46" s="7">
        <v>100</v>
      </c>
      <c r="H46" s="7">
        <v>111.8</v>
      </c>
      <c r="I46" s="7"/>
      <c r="J46" s="286"/>
      <c r="K46" s="286"/>
    </row>
    <row r="47" spans="1:11" ht="26.1" customHeight="1">
      <c r="A47" s="1"/>
      <c r="B47" s="1"/>
      <c r="C47" s="1"/>
      <c r="D47" s="1"/>
      <c r="F47" s="305" t="s">
        <v>288</v>
      </c>
      <c r="G47" s="305"/>
      <c r="H47" s="305"/>
      <c r="I47" s="305"/>
      <c r="J47" s="305"/>
      <c r="K47" s="43">
        <f>SUM(K37:K46)</f>
        <v>663.06</v>
      </c>
    </row>
    <row r="48" spans="1:11" ht="26.1" customHeight="1">
      <c r="B48" s="39"/>
      <c r="C48" s="39"/>
      <c r="D48" s="39"/>
      <c r="E48" s="39"/>
      <c r="F48" s="306" t="s">
        <v>289</v>
      </c>
      <c r="G48" s="306"/>
      <c r="H48" s="306"/>
      <c r="I48" s="306"/>
      <c r="J48" s="306"/>
      <c r="K48" s="44">
        <v>12</v>
      </c>
    </row>
    <row r="49" spans="1:11" ht="26.1" customHeight="1">
      <c r="A49" s="40"/>
      <c r="B49" s="41"/>
      <c r="C49" s="40"/>
      <c r="D49" s="40"/>
      <c r="E49" s="42"/>
      <c r="F49" s="307" t="s">
        <v>290</v>
      </c>
      <c r="G49" s="307"/>
      <c r="H49" s="307"/>
      <c r="I49" s="307"/>
      <c r="J49" s="307"/>
      <c r="K49" s="45">
        <f>K47/K48</f>
        <v>55.26</v>
      </c>
    </row>
    <row r="50" spans="1:11" ht="21" customHeight="1">
      <c r="E50" s="49"/>
      <c r="F50" s="49"/>
      <c r="G50" s="49"/>
      <c r="H50" s="49"/>
      <c r="I50" s="49"/>
      <c r="J50" s="54"/>
      <c r="K50" s="54"/>
    </row>
    <row r="51" spans="1:11" ht="21" customHeight="1">
      <c r="A51" s="294" t="s">
        <v>320</v>
      </c>
      <c r="B51" s="294"/>
      <c r="C51" s="294"/>
      <c r="D51" s="294"/>
      <c r="E51" s="294"/>
      <c r="F51" s="294"/>
      <c r="G51" s="294"/>
      <c r="H51" s="294"/>
      <c r="I51" s="294"/>
      <c r="J51" s="294"/>
      <c r="K51" s="35"/>
    </row>
    <row r="52" spans="1:11" ht="20.100000000000001" customHeight="1">
      <c r="A52" s="294" t="s">
        <v>257</v>
      </c>
      <c r="B52" s="294" t="s">
        <v>258</v>
      </c>
      <c r="C52" s="294" t="s">
        <v>259</v>
      </c>
      <c r="D52" s="294" t="s">
        <v>260</v>
      </c>
      <c r="E52" s="304" t="s">
        <v>261</v>
      </c>
      <c r="F52" s="304"/>
      <c r="G52" s="304"/>
      <c r="H52" s="304"/>
      <c r="I52" s="304"/>
      <c r="J52" s="304"/>
      <c r="K52" s="287" t="s">
        <v>262</v>
      </c>
    </row>
    <row r="53" spans="1:11" ht="48.95" customHeight="1">
      <c r="A53" s="294"/>
      <c r="B53" s="294"/>
      <c r="C53" s="294"/>
      <c r="D53" s="294"/>
      <c r="E53" s="35" t="s">
        <v>263</v>
      </c>
      <c r="F53" s="35" t="s">
        <v>264</v>
      </c>
      <c r="G53" s="35" t="s">
        <v>265</v>
      </c>
      <c r="H53" s="35"/>
      <c r="I53" s="35"/>
      <c r="J53" s="34" t="s">
        <v>268</v>
      </c>
      <c r="K53" s="288"/>
    </row>
    <row r="54" spans="1:11" ht="51">
      <c r="A54" s="289">
        <v>1</v>
      </c>
      <c r="B54" s="298" t="s">
        <v>296</v>
      </c>
      <c r="C54" s="289" t="s">
        <v>259</v>
      </c>
      <c r="D54" s="295">
        <f>12/3</f>
        <v>4</v>
      </c>
      <c r="E54" s="6" t="s">
        <v>276</v>
      </c>
      <c r="F54" s="7" t="s">
        <v>297</v>
      </c>
      <c r="G54" s="7" t="s">
        <v>298</v>
      </c>
      <c r="H54" s="7" t="s">
        <v>299</v>
      </c>
      <c r="I54" s="7"/>
      <c r="J54" s="286">
        <f t="shared" ref="J54:J58" si="7">AVERAGE(E55:I55)</f>
        <v>33.06</v>
      </c>
      <c r="K54" s="286">
        <f t="shared" ref="K54:K58" si="8">D54*J54</f>
        <v>132.24</v>
      </c>
    </row>
    <row r="55" spans="1:11" s="56" customFormat="1" ht="18.95" customHeight="1">
      <c r="A55" s="290"/>
      <c r="B55" s="299"/>
      <c r="C55" s="290"/>
      <c r="D55" s="290"/>
      <c r="E55" s="57">
        <v>28</v>
      </c>
      <c r="F55" s="57">
        <v>34.4</v>
      </c>
      <c r="G55" s="57">
        <v>34.619999999999997</v>
      </c>
      <c r="H55" s="57">
        <v>35.200000000000003</v>
      </c>
      <c r="I55" s="57"/>
      <c r="J55" s="286"/>
      <c r="K55" s="286"/>
    </row>
    <row r="56" spans="1:11" s="56" customFormat="1" ht="68.099999999999994" customHeight="1">
      <c r="A56" s="295">
        <v>2</v>
      </c>
      <c r="B56" s="298" t="s">
        <v>321</v>
      </c>
      <c r="C56" s="289" t="s">
        <v>259</v>
      </c>
      <c r="D56" s="289">
        <f>12/3</f>
        <v>4</v>
      </c>
      <c r="E56" s="7" t="s">
        <v>276</v>
      </c>
      <c r="F56" s="6" t="s">
        <v>277</v>
      </c>
      <c r="G56" s="7" t="s">
        <v>278</v>
      </c>
      <c r="H56" s="7" t="s">
        <v>279</v>
      </c>
      <c r="I56" s="7" t="s">
        <v>280</v>
      </c>
      <c r="J56" s="286">
        <f t="shared" si="7"/>
        <v>73</v>
      </c>
      <c r="K56" s="286">
        <f t="shared" si="8"/>
        <v>292</v>
      </c>
    </row>
    <row r="57" spans="1:11" s="56" customFormat="1" ht="18" customHeight="1">
      <c r="A57" s="290"/>
      <c r="B57" s="299"/>
      <c r="C57" s="290"/>
      <c r="D57" s="290"/>
      <c r="E57" s="7">
        <v>75</v>
      </c>
      <c r="F57" s="7">
        <v>70</v>
      </c>
      <c r="G57" s="7">
        <v>69</v>
      </c>
      <c r="H57" s="7">
        <v>72</v>
      </c>
      <c r="I57" s="7">
        <v>79</v>
      </c>
      <c r="J57" s="286"/>
      <c r="K57" s="286"/>
    </row>
    <row r="58" spans="1:11" s="56" customFormat="1" ht="57" customHeight="1">
      <c r="A58" s="289">
        <v>3</v>
      </c>
      <c r="B58" s="301" t="s">
        <v>322</v>
      </c>
      <c r="C58" s="289" t="s">
        <v>282</v>
      </c>
      <c r="D58" s="291">
        <f>12/2</f>
        <v>6</v>
      </c>
      <c r="E58" s="6" t="s">
        <v>270</v>
      </c>
      <c r="F58" s="7" t="s">
        <v>283</v>
      </c>
      <c r="G58" s="7" t="s">
        <v>284</v>
      </c>
      <c r="H58" s="7"/>
      <c r="I58" s="7"/>
      <c r="J58" s="286">
        <f t="shared" si="7"/>
        <v>8.0500000000000007</v>
      </c>
      <c r="K58" s="286">
        <f t="shared" si="8"/>
        <v>48.3</v>
      </c>
    </row>
    <row r="59" spans="1:11" s="56" customFormat="1" ht="18" customHeight="1">
      <c r="A59" s="290"/>
      <c r="B59" s="302"/>
      <c r="C59" s="289"/>
      <c r="D59" s="292"/>
      <c r="E59" s="7">
        <v>10.65</v>
      </c>
      <c r="F59" s="7">
        <v>8.5</v>
      </c>
      <c r="G59" s="7">
        <v>5</v>
      </c>
      <c r="H59" s="7"/>
      <c r="I59" s="7"/>
      <c r="J59" s="286"/>
      <c r="K59" s="286"/>
    </row>
    <row r="60" spans="1:11" s="56" customFormat="1" ht="47.1" customHeight="1">
      <c r="A60" s="295">
        <v>4</v>
      </c>
      <c r="B60" s="303" t="s">
        <v>323</v>
      </c>
      <c r="C60" s="295" t="s">
        <v>282</v>
      </c>
      <c r="D60" s="293">
        <f>12/6</f>
        <v>2</v>
      </c>
      <c r="E60" s="21" t="s">
        <v>324</v>
      </c>
      <c r="F60" s="7" t="s">
        <v>278</v>
      </c>
      <c r="G60" s="6" t="s">
        <v>325</v>
      </c>
      <c r="H60" s="6" t="s">
        <v>311</v>
      </c>
      <c r="I60" s="6"/>
      <c r="J60" s="286">
        <f>AVERAGE(E61:I61)</f>
        <v>112.73</v>
      </c>
      <c r="K60" s="286">
        <f>D60*J60</f>
        <v>225.46</v>
      </c>
    </row>
    <row r="61" spans="1:11" s="56" customFormat="1" ht="15" customHeight="1">
      <c r="A61" s="290"/>
      <c r="B61" s="302"/>
      <c r="C61" s="289"/>
      <c r="D61" s="292"/>
      <c r="E61" s="7">
        <v>105</v>
      </c>
      <c r="F61" s="7">
        <v>116.9</v>
      </c>
      <c r="G61" s="7">
        <v>113</v>
      </c>
      <c r="H61" s="7">
        <v>116</v>
      </c>
      <c r="I61" s="7"/>
      <c r="J61" s="286"/>
      <c r="K61" s="286"/>
    </row>
    <row r="62" spans="1:11" s="56" customFormat="1" ht="53.1" customHeight="1">
      <c r="A62" s="295">
        <v>5</v>
      </c>
      <c r="B62" s="303" t="s">
        <v>326</v>
      </c>
      <c r="C62" s="295" t="s">
        <v>259</v>
      </c>
      <c r="D62" s="293">
        <f>12/6</f>
        <v>2</v>
      </c>
      <c r="E62" s="6" t="s">
        <v>278</v>
      </c>
      <c r="F62" s="7" t="s">
        <v>327</v>
      </c>
      <c r="G62" s="6" t="s">
        <v>328</v>
      </c>
      <c r="H62" s="21"/>
      <c r="I62" s="21"/>
      <c r="J62" s="286">
        <f>AVERAGE(E63:I63)</f>
        <v>46.33</v>
      </c>
      <c r="K62" s="286">
        <f>D62*J62</f>
        <v>92.66</v>
      </c>
    </row>
    <row r="63" spans="1:11" s="56" customFormat="1" ht="14.1" customHeight="1">
      <c r="A63" s="290"/>
      <c r="B63" s="302"/>
      <c r="C63" s="290"/>
      <c r="D63" s="292"/>
      <c r="E63" s="7">
        <v>50</v>
      </c>
      <c r="F63" s="7">
        <v>45</v>
      </c>
      <c r="G63" s="7">
        <v>44</v>
      </c>
      <c r="H63" s="7"/>
      <c r="I63" s="7"/>
      <c r="J63" s="286"/>
      <c r="K63" s="286"/>
    </row>
    <row r="64" spans="1:11" ht="20.100000000000001" customHeight="1">
      <c r="A64" s="1"/>
      <c r="B64" s="1"/>
      <c r="C64" s="1"/>
      <c r="D64" s="1"/>
      <c r="F64" s="305" t="s">
        <v>288</v>
      </c>
      <c r="G64" s="305"/>
      <c r="H64" s="305"/>
      <c r="I64" s="305"/>
      <c r="J64" s="305"/>
      <c r="K64" s="43">
        <f>SUM(K54:K63)</f>
        <v>790.66</v>
      </c>
    </row>
    <row r="65" spans="1:11" ht="20.100000000000001" customHeight="1">
      <c r="B65" s="39"/>
      <c r="C65" s="39"/>
      <c r="D65" s="39"/>
      <c r="E65" s="39"/>
      <c r="F65" s="306" t="s">
        <v>289</v>
      </c>
      <c r="G65" s="306"/>
      <c r="H65" s="306"/>
      <c r="I65" s="306"/>
      <c r="J65" s="306"/>
      <c r="K65" s="44">
        <v>12</v>
      </c>
    </row>
    <row r="66" spans="1:11" ht="20.100000000000001" customHeight="1">
      <c r="A66" s="40"/>
      <c r="B66" s="41"/>
      <c r="C66" s="40"/>
      <c r="D66" s="40"/>
      <c r="E66" s="42"/>
      <c r="F66" s="307" t="s">
        <v>290</v>
      </c>
      <c r="G66" s="307"/>
      <c r="H66" s="307"/>
      <c r="I66" s="307"/>
      <c r="J66" s="307"/>
      <c r="K66" s="45">
        <f>K64/K65</f>
        <v>65.89</v>
      </c>
    </row>
    <row r="67" spans="1:11">
      <c r="A67" s="58"/>
      <c r="B67" s="58"/>
      <c r="C67" s="58"/>
      <c r="D67" s="58"/>
      <c r="E67" s="59"/>
      <c r="F67" s="49"/>
      <c r="G67" s="49"/>
      <c r="H67" s="49"/>
      <c r="I67" s="49"/>
      <c r="J67" s="54"/>
      <c r="K67" s="54"/>
    </row>
  </sheetData>
  <mergeCells count="150">
    <mergeCell ref="K7:K8"/>
    <mergeCell ref="K9:K10"/>
    <mergeCell ref="K11:K12"/>
    <mergeCell ref="K13:K14"/>
    <mergeCell ref="K20:K21"/>
    <mergeCell ref="F32:J32"/>
    <mergeCell ref="A34:J34"/>
    <mergeCell ref="E35:J35"/>
    <mergeCell ref="F47:J47"/>
    <mergeCell ref="F48:J48"/>
    <mergeCell ref="F49:J49"/>
    <mergeCell ref="A51:J51"/>
    <mergeCell ref="C45:C46"/>
    <mergeCell ref="A1:K1"/>
    <mergeCell ref="A2:K2"/>
    <mergeCell ref="A4:K4"/>
    <mergeCell ref="E5:J5"/>
    <mergeCell ref="F15:J15"/>
    <mergeCell ref="F16:J16"/>
    <mergeCell ref="F17:J17"/>
    <mergeCell ref="A19:K19"/>
    <mergeCell ref="E20:J20"/>
    <mergeCell ref="C5:C6"/>
    <mergeCell ref="C7:C8"/>
    <mergeCell ref="C9:C10"/>
    <mergeCell ref="C11:C12"/>
    <mergeCell ref="C13:C14"/>
    <mergeCell ref="C20:C21"/>
    <mergeCell ref="K5:K6"/>
    <mergeCell ref="F64:J64"/>
    <mergeCell ref="F65:J65"/>
    <mergeCell ref="F66:J66"/>
    <mergeCell ref="A5:A6"/>
    <mergeCell ref="A7:A8"/>
    <mergeCell ref="A9:A10"/>
    <mergeCell ref="A11:A12"/>
    <mergeCell ref="A13:A14"/>
    <mergeCell ref="A20:A21"/>
    <mergeCell ref="A22:A23"/>
    <mergeCell ref="A24:A25"/>
    <mergeCell ref="A26:A27"/>
    <mergeCell ref="A28:A29"/>
    <mergeCell ref="A35:A36"/>
    <mergeCell ref="A37:A38"/>
    <mergeCell ref="A39:A40"/>
    <mergeCell ref="A41:A42"/>
    <mergeCell ref="A43:A44"/>
    <mergeCell ref="A45:A46"/>
    <mergeCell ref="A52:A53"/>
    <mergeCell ref="A54:A55"/>
    <mergeCell ref="A56:A57"/>
    <mergeCell ref="A58:A59"/>
    <mergeCell ref="F30:J30"/>
    <mergeCell ref="A60:A61"/>
    <mergeCell ref="A62:A63"/>
    <mergeCell ref="B5:B6"/>
    <mergeCell ref="B7:B8"/>
    <mergeCell ref="B9:B10"/>
    <mergeCell ref="B11:B12"/>
    <mergeCell ref="B13:B14"/>
    <mergeCell ref="B20:B21"/>
    <mergeCell ref="B22:B23"/>
    <mergeCell ref="B24:B25"/>
    <mergeCell ref="B26:B27"/>
    <mergeCell ref="B28:B29"/>
    <mergeCell ref="B35:B36"/>
    <mergeCell ref="B37:B38"/>
    <mergeCell ref="B39:B40"/>
    <mergeCell ref="B41:B42"/>
    <mergeCell ref="B43:B44"/>
    <mergeCell ref="B45:B46"/>
    <mergeCell ref="B52:B53"/>
    <mergeCell ref="B54:B55"/>
    <mergeCell ref="B56:B57"/>
    <mergeCell ref="B58:B59"/>
    <mergeCell ref="B60:B61"/>
    <mergeCell ref="B62:B63"/>
    <mergeCell ref="C22:C23"/>
    <mergeCell ref="C24:C25"/>
    <mergeCell ref="C26:C27"/>
    <mergeCell ref="C28:C29"/>
    <mergeCell ref="C35:C36"/>
    <mergeCell ref="C37:C38"/>
    <mergeCell ref="C39:C40"/>
    <mergeCell ref="C41:C42"/>
    <mergeCell ref="C43:C44"/>
    <mergeCell ref="C52:C53"/>
    <mergeCell ref="C54:C55"/>
    <mergeCell ref="C56:C57"/>
    <mergeCell ref="C58:C59"/>
    <mergeCell ref="C60:C61"/>
    <mergeCell ref="C62:C63"/>
    <mergeCell ref="D5:D6"/>
    <mergeCell ref="D7:D8"/>
    <mergeCell ref="D9:D10"/>
    <mergeCell ref="D11:D12"/>
    <mergeCell ref="D13:D14"/>
    <mergeCell ref="D20:D21"/>
    <mergeCell ref="D22:D23"/>
    <mergeCell ref="D24:D25"/>
    <mergeCell ref="D26:D27"/>
    <mergeCell ref="D28:D29"/>
    <mergeCell ref="D35:D36"/>
    <mergeCell ref="D37:D38"/>
    <mergeCell ref="D39:D40"/>
    <mergeCell ref="D41:D42"/>
    <mergeCell ref="D43:D44"/>
    <mergeCell ref="D45:D46"/>
    <mergeCell ref="D52:D53"/>
    <mergeCell ref="D54:D55"/>
    <mergeCell ref="D56:D57"/>
    <mergeCell ref="D58:D59"/>
    <mergeCell ref="D60:D61"/>
    <mergeCell ref="D62:D63"/>
    <mergeCell ref="J7:J8"/>
    <mergeCell ref="J9:J10"/>
    <mergeCell ref="J11:J12"/>
    <mergeCell ref="J13:J14"/>
    <mergeCell ref="J22:J23"/>
    <mergeCell ref="J24:J25"/>
    <mergeCell ref="J26:J27"/>
    <mergeCell ref="J28:J29"/>
    <mergeCell ref="J37:J38"/>
    <mergeCell ref="J39:J40"/>
    <mergeCell ref="J41:J42"/>
    <mergeCell ref="J43:J44"/>
    <mergeCell ref="J45:J46"/>
    <mergeCell ref="J54:J55"/>
    <mergeCell ref="J56:J57"/>
    <mergeCell ref="J58:J59"/>
    <mergeCell ref="J60:J61"/>
    <mergeCell ref="J62:J63"/>
    <mergeCell ref="E52:J52"/>
    <mergeCell ref="F31:J31"/>
    <mergeCell ref="K45:K46"/>
    <mergeCell ref="K52:K53"/>
    <mergeCell ref="K54:K55"/>
    <mergeCell ref="K56:K57"/>
    <mergeCell ref="K58:K59"/>
    <mergeCell ref="K60:K61"/>
    <mergeCell ref="K62:K63"/>
    <mergeCell ref="K22:K23"/>
    <mergeCell ref="K24:K25"/>
    <mergeCell ref="K26:K27"/>
    <mergeCell ref="K28:K29"/>
    <mergeCell ref="K35:K36"/>
    <mergeCell ref="K37:K38"/>
    <mergeCell ref="K39:K40"/>
    <mergeCell ref="K41:K42"/>
    <mergeCell ref="K43:K44"/>
  </mergeCells>
  <pageMargins left="0.39305555555555599" right="0.196527777777778" top="0.196527777777778" bottom="0.196527777777778" header="0.196527777777778" footer="0.196527777777778"/>
  <pageSetup paperSize="9" scale="55"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5" tint="0.79998168889431442"/>
  </sheetPr>
  <dimension ref="A1:L65"/>
  <sheetViews>
    <sheetView view="pageBreakPreview" topLeftCell="A41" zoomScale="70" zoomScaleNormal="70" workbookViewId="0">
      <selection activeCell="E49" sqref="E49:J62"/>
    </sheetView>
  </sheetViews>
  <sheetFormatPr defaultColWidth="9.140625" defaultRowHeight="12.75"/>
  <cols>
    <col min="1" max="1" width="5" style="38" customWidth="1"/>
    <col min="2" max="2" width="39.85546875" style="46" customWidth="1"/>
    <col min="3" max="3" width="9.7109375" style="38" customWidth="1"/>
    <col min="4" max="4" width="13.85546875" style="38" customWidth="1"/>
    <col min="5" max="9" width="27" style="1" customWidth="1"/>
    <col min="10" max="11" width="16.140625" style="1" customWidth="1"/>
    <col min="12" max="13" width="12.28515625" style="1" customWidth="1"/>
    <col min="14" max="16384" width="9.140625" style="1"/>
  </cols>
  <sheetData>
    <row r="1" spans="1:11" ht="18">
      <c r="A1" s="311" t="str">
        <f>'SEMAS TOTALIZADOR GERAL'!A1</f>
        <v>SEMAS</v>
      </c>
      <c r="B1" s="311"/>
      <c r="C1" s="311"/>
      <c r="D1" s="311"/>
      <c r="E1" s="311"/>
      <c r="F1" s="311"/>
      <c r="G1" s="311"/>
      <c r="H1" s="311"/>
      <c r="I1" s="311"/>
      <c r="J1" s="311"/>
      <c r="K1" s="311"/>
    </row>
    <row r="2" spans="1:11" ht="18">
      <c r="A2" s="311" t="s">
        <v>329</v>
      </c>
      <c r="B2" s="311"/>
      <c r="C2" s="311"/>
      <c r="D2" s="311"/>
      <c r="E2" s="311"/>
      <c r="F2" s="311"/>
      <c r="G2" s="311"/>
      <c r="H2" s="311"/>
      <c r="I2" s="311"/>
      <c r="J2" s="311"/>
      <c r="K2" s="311"/>
    </row>
    <row r="3" spans="1:11" ht="15.75">
      <c r="A3" s="47"/>
      <c r="B3" s="47"/>
      <c r="C3" s="47"/>
      <c r="D3" s="47"/>
      <c r="E3" s="48"/>
      <c r="F3" s="49"/>
      <c r="G3" s="49"/>
      <c r="H3" s="49"/>
      <c r="I3" s="49"/>
      <c r="J3" s="54"/>
    </row>
    <row r="4" spans="1:11">
      <c r="A4" s="319" t="s">
        <v>256</v>
      </c>
      <c r="B4" s="319"/>
      <c r="C4" s="319"/>
      <c r="D4" s="319"/>
      <c r="E4" s="319"/>
      <c r="F4" s="319"/>
      <c r="G4" s="319"/>
      <c r="H4" s="319"/>
      <c r="I4" s="319"/>
      <c r="J4" s="319"/>
      <c r="K4" s="319"/>
    </row>
    <row r="5" spans="1:11">
      <c r="A5" s="319" t="s">
        <v>257</v>
      </c>
      <c r="B5" s="319" t="s">
        <v>258</v>
      </c>
      <c r="C5" s="319" t="s">
        <v>259</v>
      </c>
      <c r="D5" s="319" t="s">
        <v>330</v>
      </c>
      <c r="E5" s="317" t="s">
        <v>261</v>
      </c>
      <c r="F5" s="317"/>
      <c r="G5" s="317"/>
      <c r="H5" s="317"/>
      <c r="I5" s="317"/>
      <c r="J5" s="317"/>
      <c r="K5" s="317" t="s">
        <v>262</v>
      </c>
    </row>
    <row r="6" spans="1:11" ht="38.25">
      <c r="A6" s="319"/>
      <c r="B6" s="319"/>
      <c r="C6" s="319"/>
      <c r="D6" s="319"/>
      <c r="E6" s="50" t="s">
        <v>292</v>
      </c>
      <c r="F6" s="50" t="s">
        <v>293</v>
      </c>
      <c r="G6" s="50" t="s">
        <v>294</v>
      </c>
      <c r="H6" s="50" t="s">
        <v>266</v>
      </c>
      <c r="I6" s="50" t="s">
        <v>267</v>
      </c>
      <c r="J6" s="51" t="s">
        <v>295</v>
      </c>
      <c r="K6" s="317"/>
    </row>
    <row r="7" spans="1:11" ht="38.25">
      <c r="A7" s="293">
        <v>1</v>
      </c>
      <c r="B7" s="300" t="s">
        <v>331</v>
      </c>
      <c r="C7" s="327" t="s">
        <v>259</v>
      </c>
      <c r="D7" s="293">
        <v>6</v>
      </c>
      <c r="E7" s="7" t="s">
        <v>332</v>
      </c>
      <c r="F7" s="7" t="s">
        <v>278</v>
      </c>
      <c r="G7" s="7" t="s">
        <v>333</v>
      </c>
      <c r="H7" s="7" t="s">
        <v>334</v>
      </c>
      <c r="I7" s="7" t="s">
        <v>335</v>
      </c>
      <c r="J7" s="286">
        <f t="shared" ref="J7:J11" si="0">AVERAGE(E8:I8)</f>
        <v>6.46</v>
      </c>
      <c r="K7" s="286">
        <f>D7*J7</f>
        <v>38.76</v>
      </c>
    </row>
    <row r="8" spans="1:11">
      <c r="A8" s="292"/>
      <c r="B8" s="299"/>
      <c r="C8" s="328"/>
      <c r="D8" s="292"/>
      <c r="E8" s="7">
        <v>4.3899999999999997</v>
      </c>
      <c r="F8" s="7">
        <v>9.9</v>
      </c>
      <c r="G8" s="7">
        <v>6</v>
      </c>
      <c r="H8" s="7">
        <v>6</v>
      </c>
      <c r="I8" s="7">
        <v>5.99</v>
      </c>
      <c r="J8" s="286"/>
      <c r="K8" s="286"/>
    </row>
    <row r="9" spans="1:11" ht="51">
      <c r="A9" s="291">
        <v>2</v>
      </c>
      <c r="B9" s="298" t="s">
        <v>336</v>
      </c>
      <c r="C9" s="329" t="s">
        <v>282</v>
      </c>
      <c r="D9" s="291">
        <f>12*2</f>
        <v>24</v>
      </c>
      <c r="E9" s="7" t="s">
        <v>337</v>
      </c>
      <c r="F9" s="7" t="s">
        <v>338</v>
      </c>
      <c r="G9" s="6" t="s">
        <v>339</v>
      </c>
      <c r="H9" s="6" t="s">
        <v>340</v>
      </c>
      <c r="I9" s="6"/>
      <c r="J9" s="286">
        <f t="shared" si="0"/>
        <v>6.61</v>
      </c>
      <c r="K9" s="286">
        <f t="shared" ref="K9:K11" si="1">D9*J9</f>
        <v>158.63999999999999</v>
      </c>
    </row>
    <row r="10" spans="1:11">
      <c r="A10" s="292"/>
      <c r="B10" s="299"/>
      <c r="C10" s="330"/>
      <c r="D10" s="292"/>
      <c r="E10" s="7">
        <v>6</v>
      </c>
      <c r="F10" s="7">
        <v>6.95</v>
      </c>
      <c r="G10" s="7">
        <v>7</v>
      </c>
      <c r="H10" s="7">
        <v>6.48</v>
      </c>
      <c r="I10" s="7"/>
      <c r="J10" s="286"/>
      <c r="K10" s="286"/>
    </row>
    <row r="11" spans="1:11" ht="38.25">
      <c r="A11" s="291">
        <v>3</v>
      </c>
      <c r="B11" s="298" t="s">
        <v>341</v>
      </c>
      <c r="C11" s="329" t="s">
        <v>342</v>
      </c>
      <c r="D11" s="291">
        <f>12/2</f>
        <v>6</v>
      </c>
      <c r="E11" s="7" t="s">
        <v>343</v>
      </c>
      <c r="F11" s="7" t="s">
        <v>344</v>
      </c>
      <c r="G11" s="6" t="s">
        <v>345</v>
      </c>
      <c r="H11" s="6" t="s">
        <v>346</v>
      </c>
      <c r="I11" s="6"/>
      <c r="J11" s="286">
        <f t="shared" si="0"/>
        <v>5.84</v>
      </c>
      <c r="K11" s="286">
        <f t="shared" si="1"/>
        <v>35.04</v>
      </c>
    </row>
    <row r="12" spans="1:11">
      <c r="A12" s="292"/>
      <c r="B12" s="299"/>
      <c r="C12" s="330"/>
      <c r="D12" s="292"/>
      <c r="E12" s="7">
        <v>8.51</v>
      </c>
      <c r="F12" s="7">
        <v>4.3899999999999997</v>
      </c>
      <c r="G12" s="7">
        <v>5.99</v>
      </c>
      <c r="H12" s="7">
        <v>4.45</v>
      </c>
      <c r="I12" s="7"/>
      <c r="J12" s="286"/>
      <c r="K12" s="286"/>
    </row>
    <row r="13" spans="1:11" ht="63.75">
      <c r="A13" s="291">
        <v>4</v>
      </c>
      <c r="B13" s="332" t="s">
        <v>347</v>
      </c>
      <c r="C13" s="329" t="s">
        <v>282</v>
      </c>
      <c r="D13" s="291">
        <v>3</v>
      </c>
      <c r="E13" s="7" t="s">
        <v>348</v>
      </c>
      <c r="F13" s="6" t="s">
        <v>311</v>
      </c>
      <c r="G13" s="6" t="s">
        <v>278</v>
      </c>
      <c r="H13" s="6" t="s">
        <v>349</v>
      </c>
      <c r="I13" s="6" t="s">
        <v>350</v>
      </c>
      <c r="J13" s="286">
        <f>AVERAGE(E14:I14)</f>
        <v>49.44</v>
      </c>
      <c r="K13" s="286">
        <f>D13*J13</f>
        <v>148.32</v>
      </c>
    </row>
    <row r="14" spans="1:11">
      <c r="A14" s="292"/>
      <c r="B14" s="333"/>
      <c r="C14" s="330"/>
      <c r="D14" s="292"/>
      <c r="E14" s="7">
        <v>48.9</v>
      </c>
      <c r="F14" s="7">
        <v>55</v>
      </c>
      <c r="G14" s="7">
        <v>44.32</v>
      </c>
      <c r="H14" s="7">
        <v>49</v>
      </c>
      <c r="I14" s="7">
        <v>49.96</v>
      </c>
      <c r="J14" s="286"/>
      <c r="K14" s="286"/>
    </row>
    <row r="15" spans="1:11">
      <c r="A15" s="1"/>
      <c r="B15" s="1"/>
      <c r="C15" s="1"/>
      <c r="D15" s="1"/>
      <c r="F15" s="305" t="s">
        <v>288</v>
      </c>
      <c r="G15" s="305"/>
      <c r="H15" s="305"/>
      <c r="I15" s="305"/>
      <c r="J15" s="305"/>
      <c r="K15" s="43">
        <f>SUM(K7:K14)</f>
        <v>380.76</v>
      </c>
    </row>
    <row r="16" spans="1:11">
      <c r="B16" s="39"/>
      <c r="C16" s="39"/>
      <c r="D16" s="39"/>
      <c r="E16" s="39"/>
      <c r="F16" s="306" t="s">
        <v>289</v>
      </c>
      <c r="G16" s="306"/>
      <c r="H16" s="306"/>
      <c r="I16" s="306"/>
      <c r="J16" s="306"/>
      <c r="K16" s="44">
        <v>12</v>
      </c>
    </row>
    <row r="17" spans="1:11">
      <c r="A17" s="40"/>
      <c r="B17" s="41"/>
      <c r="C17" s="40"/>
      <c r="D17" s="40"/>
      <c r="E17" s="42"/>
      <c r="F17" s="307" t="s">
        <v>290</v>
      </c>
      <c r="G17" s="307"/>
      <c r="H17" s="307"/>
      <c r="I17" s="307"/>
      <c r="J17" s="307"/>
      <c r="K17" s="45">
        <f>K15/K16</f>
        <v>31.73</v>
      </c>
    </row>
    <row r="18" spans="1:11">
      <c r="E18" s="49"/>
      <c r="F18" s="49"/>
      <c r="G18" s="49"/>
      <c r="H18" s="49"/>
      <c r="I18" s="49"/>
      <c r="J18" s="54"/>
    </row>
    <row r="19" spans="1:11">
      <c r="A19" s="319" t="s">
        <v>291</v>
      </c>
      <c r="B19" s="319"/>
      <c r="C19" s="319"/>
      <c r="D19" s="319"/>
      <c r="E19" s="319"/>
      <c r="F19" s="319"/>
      <c r="G19" s="319"/>
      <c r="H19" s="319"/>
      <c r="I19" s="319"/>
      <c r="J19" s="319"/>
      <c r="K19" s="319"/>
    </row>
    <row r="20" spans="1:11">
      <c r="A20" s="319" t="s">
        <v>257</v>
      </c>
      <c r="B20" s="319" t="s">
        <v>258</v>
      </c>
      <c r="C20" s="319" t="s">
        <v>259</v>
      </c>
      <c r="D20" s="319" t="s">
        <v>330</v>
      </c>
      <c r="E20" s="317" t="s">
        <v>261</v>
      </c>
      <c r="F20" s="317"/>
      <c r="G20" s="317"/>
      <c r="H20" s="317"/>
      <c r="I20" s="317"/>
      <c r="J20" s="317"/>
      <c r="K20" s="317" t="s">
        <v>262</v>
      </c>
    </row>
    <row r="21" spans="1:11" ht="38.25">
      <c r="A21" s="319"/>
      <c r="B21" s="319"/>
      <c r="C21" s="319"/>
      <c r="D21" s="319"/>
      <c r="E21" s="50" t="s">
        <v>292</v>
      </c>
      <c r="F21" s="50" t="s">
        <v>293</v>
      </c>
      <c r="G21" s="50" t="s">
        <v>294</v>
      </c>
      <c r="H21" s="50" t="s">
        <v>266</v>
      </c>
      <c r="I21" s="50" t="s">
        <v>267</v>
      </c>
      <c r="J21" s="51" t="s">
        <v>295</v>
      </c>
      <c r="K21" s="317"/>
    </row>
    <row r="22" spans="1:11" ht="51">
      <c r="A22" s="291">
        <v>1</v>
      </c>
      <c r="B22" s="298" t="s">
        <v>351</v>
      </c>
      <c r="C22" s="331" t="s">
        <v>259</v>
      </c>
      <c r="D22" s="323">
        <v>0</v>
      </c>
      <c r="E22" s="7" t="s">
        <v>352</v>
      </c>
      <c r="F22" s="6" t="s">
        <v>278</v>
      </c>
      <c r="G22" s="7" t="s">
        <v>353</v>
      </c>
      <c r="H22" s="7" t="s">
        <v>354</v>
      </c>
      <c r="I22" s="7" t="s">
        <v>355</v>
      </c>
      <c r="J22" s="286">
        <f t="shared" ref="J22:J26" si="2">AVERAGE(E23:I23)</f>
        <v>134.28</v>
      </c>
      <c r="K22" s="318">
        <f t="shared" ref="K22:K26" si="3">D22*J22</f>
        <v>0</v>
      </c>
    </row>
    <row r="23" spans="1:11">
      <c r="A23" s="292"/>
      <c r="B23" s="299"/>
      <c r="C23" s="328"/>
      <c r="D23" s="324"/>
      <c r="E23" s="7">
        <v>121</v>
      </c>
      <c r="F23" s="7">
        <v>145.9</v>
      </c>
      <c r="G23" s="7">
        <v>140</v>
      </c>
      <c r="H23" s="7">
        <v>134.5</v>
      </c>
      <c r="I23" s="7">
        <v>130</v>
      </c>
      <c r="J23" s="286"/>
      <c r="K23" s="286"/>
    </row>
    <row r="24" spans="1:11" ht="63.75">
      <c r="A24" s="293">
        <v>4</v>
      </c>
      <c r="B24" s="303" t="s">
        <v>356</v>
      </c>
      <c r="C24" s="320" t="s">
        <v>357</v>
      </c>
      <c r="D24" s="325">
        <v>0</v>
      </c>
      <c r="E24" s="7" t="s">
        <v>358</v>
      </c>
      <c r="F24" s="7" t="s">
        <v>359</v>
      </c>
      <c r="G24" s="7" t="s">
        <v>360</v>
      </c>
      <c r="H24" s="7" t="s">
        <v>361</v>
      </c>
      <c r="I24" s="7" t="s">
        <v>362</v>
      </c>
      <c r="J24" s="286">
        <f t="shared" si="2"/>
        <v>5.95</v>
      </c>
      <c r="K24" s="286">
        <f t="shared" si="3"/>
        <v>0</v>
      </c>
    </row>
    <row r="25" spans="1:11">
      <c r="A25" s="292"/>
      <c r="B25" s="302"/>
      <c r="C25" s="320"/>
      <c r="D25" s="324"/>
      <c r="E25" s="7">
        <v>4.29</v>
      </c>
      <c r="F25" s="7">
        <v>5.4</v>
      </c>
      <c r="G25" s="7">
        <v>5.5</v>
      </c>
      <c r="H25" s="7">
        <v>6.74</v>
      </c>
      <c r="I25" s="7">
        <v>7.8</v>
      </c>
      <c r="J25" s="286"/>
      <c r="K25" s="286"/>
    </row>
    <row r="26" spans="1:11" ht="63.75">
      <c r="A26" s="291">
        <v>2</v>
      </c>
      <c r="B26" s="298" t="s">
        <v>363</v>
      </c>
      <c r="C26" s="331" t="s">
        <v>259</v>
      </c>
      <c r="D26" s="325">
        <v>0</v>
      </c>
      <c r="E26" s="7" t="s">
        <v>278</v>
      </c>
      <c r="F26" s="6" t="s">
        <v>364</v>
      </c>
      <c r="G26" s="7" t="s">
        <v>365</v>
      </c>
      <c r="H26" s="7" t="s">
        <v>366</v>
      </c>
      <c r="I26" s="7" t="s">
        <v>367</v>
      </c>
      <c r="J26" s="286">
        <f t="shared" si="2"/>
        <v>464.94</v>
      </c>
      <c r="K26" s="286">
        <f t="shared" si="3"/>
        <v>0</v>
      </c>
    </row>
    <row r="27" spans="1:11">
      <c r="A27" s="292"/>
      <c r="B27" s="299"/>
      <c r="C27" s="328"/>
      <c r="D27" s="324"/>
      <c r="E27" s="7">
        <v>517.53</v>
      </c>
      <c r="F27" s="7">
        <v>409.78</v>
      </c>
      <c r="G27" s="7">
        <v>450.25</v>
      </c>
      <c r="H27" s="7">
        <v>477.12</v>
      </c>
      <c r="I27" s="7">
        <v>470</v>
      </c>
      <c r="J27" s="286"/>
      <c r="K27" s="286"/>
    </row>
    <row r="28" spans="1:11" ht="51">
      <c r="A28" s="291">
        <v>3</v>
      </c>
      <c r="B28" s="298" t="s">
        <v>368</v>
      </c>
      <c r="C28" s="331" t="s">
        <v>259</v>
      </c>
      <c r="D28" s="325">
        <v>0</v>
      </c>
      <c r="E28" s="6" t="s">
        <v>369</v>
      </c>
      <c r="F28" s="6" t="s">
        <v>278</v>
      </c>
      <c r="G28" s="7" t="s">
        <v>370</v>
      </c>
      <c r="H28" s="7" t="s">
        <v>371</v>
      </c>
      <c r="I28" s="7" t="s">
        <v>372</v>
      </c>
      <c r="J28" s="286">
        <f t="shared" ref="J28:J32" si="4">AVERAGE(E29:I29)</f>
        <v>186.62</v>
      </c>
      <c r="K28" s="286">
        <f t="shared" ref="K28:K32" si="5">D28*J28</f>
        <v>0</v>
      </c>
    </row>
    <row r="29" spans="1:11">
      <c r="A29" s="292"/>
      <c r="B29" s="299"/>
      <c r="C29" s="328"/>
      <c r="D29" s="324"/>
      <c r="E29" s="7">
        <v>183.15</v>
      </c>
      <c r="F29" s="7">
        <v>167.8</v>
      </c>
      <c r="G29" s="7">
        <v>189.99</v>
      </c>
      <c r="H29" s="7">
        <v>194.48</v>
      </c>
      <c r="I29" s="7">
        <v>197.67</v>
      </c>
      <c r="J29" s="286"/>
      <c r="K29" s="286"/>
    </row>
    <row r="30" spans="1:11" ht="63.75">
      <c r="A30" s="293">
        <v>4</v>
      </c>
      <c r="B30" s="300" t="s">
        <v>373</v>
      </c>
      <c r="C30" s="327" t="s">
        <v>259</v>
      </c>
      <c r="D30" s="325">
        <v>0</v>
      </c>
      <c r="E30" s="7" t="s">
        <v>270</v>
      </c>
      <c r="F30" s="6" t="s">
        <v>374</v>
      </c>
      <c r="G30" s="6" t="s">
        <v>311</v>
      </c>
      <c r="H30" s="6"/>
      <c r="I30" s="6"/>
      <c r="J30" s="286">
        <f t="shared" si="4"/>
        <v>191.95</v>
      </c>
      <c r="K30" s="286">
        <f t="shared" si="5"/>
        <v>0</v>
      </c>
    </row>
    <row r="31" spans="1:11">
      <c r="A31" s="292"/>
      <c r="B31" s="299"/>
      <c r="C31" s="328"/>
      <c r="D31" s="324"/>
      <c r="E31" s="20">
        <v>195.83</v>
      </c>
      <c r="F31" s="20">
        <v>184</v>
      </c>
      <c r="G31" s="20">
        <v>196.02</v>
      </c>
      <c r="H31" s="20"/>
      <c r="I31" s="20"/>
      <c r="J31" s="286"/>
      <c r="K31" s="286"/>
    </row>
    <row r="32" spans="1:11" ht="51">
      <c r="A32" s="293">
        <v>5</v>
      </c>
      <c r="B32" s="300" t="s">
        <v>375</v>
      </c>
      <c r="C32" s="327" t="s">
        <v>259</v>
      </c>
      <c r="D32" s="325">
        <v>0</v>
      </c>
      <c r="E32" s="7" t="s">
        <v>376</v>
      </c>
      <c r="F32" s="7" t="s">
        <v>377</v>
      </c>
      <c r="G32" s="6" t="s">
        <v>378</v>
      </c>
      <c r="H32" s="6" t="s">
        <v>379</v>
      </c>
      <c r="I32" s="6" t="s">
        <v>380</v>
      </c>
      <c r="J32" s="286">
        <f t="shared" si="4"/>
        <v>309.89999999999998</v>
      </c>
      <c r="K32" s="286">
        <f t="shared" si="5"/>
        <v>0</v>
      </c>
    </row>
    <row r="33" spans="1:11">
      <c r="A33" s="292"/>
      <c r="B33" s="299"/>
      <c r="C33" s="328"/>
      <c r="D33" s="324"/>
      <c r="E33" s="7">
        <v>298</v>
      </c>
      <c r="F33" s="7">
        <v>326.66000000000003</v>
      </c>
      <c r="G33" s="7">
        <v>335.4</v>
      </c>
      <c r="H33" s="7">
        <v>275.8</v>
      </c>
      <c r="I33" s="7">
        <v>313.66000000000003</v>
      </c>
      <c r="J33" s="286"/>
      <c r="K33" s="286"/>
    </row>
    <row r="34" spans="1:11" ht="38.25">
      <c r="A34" s="293">
        <v>6</v>
      </c>
      <c r="B34" s="300" t="s">
        <v>381</v>
      </c>
      <c r="C34" s="327" t="s">
        <v>259</v>
      </c>
      <c r="D34" s="325">
        <v>0</v>
      </c>
      <c r="E34" s="6" t="s">
        <v>382</v>
      </c>
      <c r="F34" s="6" t="s">
        <v>278</v>
      </c>
      <c r="G34" s="7" t="s">
        <v>383</v>
      </c>
      <c r="H34" s="7" t="s">
        <v>384</v>
      </c>
      <c r="I34" s="7" t="s">
        <v>382</v>
      </c>
      <c r="J34" s="286">
        <f t="shared" ref="J34:J38" si="6">AVERAGE(E35:I35)</f>
        <v>30.08</v>
      </c>
      <c r="K34" s="286">
        <f t="shared" ref="K34:K38" si="7">D34*J34</f>
        <v>0</v>
      </c>
    </row>
    <row r="35" spans="1:11">
      <c r="A35" s="292"/>
      <c r="B35" s="299"/>
      <c r="C35" s="328"/>
      <c r="D35" s="324"/>
      <c r="E35" s="7">
        <v>26.99</v>
      </c>
      <c r="F35" s="7">
        <v>28.99</v>
      </c>
      <c r="G35" s="7">
        <v>32.5</v>
      </c>
      <c r="H35" s="7">
        <v>31.64</v>
      </c>
      <c r="I35" s="7">
        <v>30.3</v>
      </c>
      <c r="J35" s="286"/>
      <c r="K35" s="286"/>
    </row>
    <row r="36" spans="1:11" ht="51">
      <c r="A36" s="293">
        <v>7</v>
      </c>
      <c r="B36" s="300" t="s">
        <v>385</v>
      </c>
      <c r="C36" s="327" t="s">
        <v>259</v>
      </c>
      <c r="D36" s="325">
        <v>0</v>
      </c>
      <c r="E36" s="7" t="s">
        <v>386</v>
      </c>
      <c r="F36" s="7" t="s">
        <v>387</v>
      </c>
      <c r="G36" s="7" t="s">
        <v>365</v>
      </c>
      <c r="H36" s="7"/>
      <c r="I36" s="7"/>
      <c r="J36" s="286">
        <f t="shared" si="6"/>
        <v>61.45</v>
      </c>
      <c r="K36" s="286">
        <f t="shared" si="7"/>
        <v>0</v>
      </c>
    </row>
    <row r="37" spans="1:11">
      <c r="A37" s="292"/>
      <c r="B37" s="299"/>
      <c r="C37" s="328"/>
      <c r="D37" s="324"/>
      <c r="E37" s="7">
        <v>58.46</v>
      </c>
      <c r="F37" s="7">
        <v>57.9</v>
      </c>
      <c r="G37" s="7">
        <v>68</v>
      </c>
      <c r="H37" s="7"/>
      <c r="I37" s="7"/>
      <c r="J37" s="286"/>
      <c r="K37" s="286"/>
    </row>
    <row r="38" spans="1:11" ht="51">
      <c r="A38" s="293">
        <v>8</v>
      </c>
      <c r="B38" s="300" t="s">
        <v>388</v>
      </c>
      <c r="C38" s="327" t="s">
        <v>259</v>
      </c>
      <c r="D38" s="325">
        <v>0</v>
      </c>
      <c r="E38" s="6" t="s">
        <v>278</v>
      </c>
      <c r="F38" s="7" t="s">
        <v>389</v>
      </c>
      <c r="G38" s="7" t="s">
        <v>365</v>
      </c>
      <c r="H38" s="7" t="s">
        <v>390</v>
      </c>
      <c r="I38" s="7"/>
      <c r="J38" s="286">
        <f t="shared" si="6"/>
        <v>223.68</v>
      </c>
      <c r="K38" s="286">
        <f t="shared" si="7"/>
        <v>0</v>
      </c>
    </row>
    <row r="39" spans="1:11">
      <c r="A39" s="292"/>
      <c r="B39" s="299"/>
      <c r="C39" s="328"/>
      <c r="D39" s="324"/>
      <c r="E39" s="7">
        <v>205.2</v>
      </c>
      <c r="F39" s="7">
        <v>209.5</v>
      </c>
      <c r="G39" s="7">
        <v>205</v>
      </c>
      <c r="H39" s="7">
        <v>275</v>
      </c>
      <c r="I39" s="7"/>
      <c r="J39" s="286"/>
      <c r="K39" s="286"/>
    </row>
    <row r="40" spans="1:11" ht="51">
      <c r="A40" s="293">
        <v>9</v>
      </c>
      <c r="B40" s="300" t="s">
        <v>391</v>
      </c>
      <c r="C40" s="327"/>
      <c r="D40" s="325">
        <v>0</v>
      </c>
      <c r="E40" s="7" t="s">
        <v>392</v>
      </c>
      <c r="F40" s="7" t="s">
        <v>278</v>
      </c>
      <c r="G40" s="6" t="s">
        <v>393</v>
      </c>
      <c r="H40" s="6" t="s">
        <v>394</v>
      </c>
      <c r="I40" s="6" t="s">
        <v>395</v>
      </c>
      <c r="J40" s="286">
        <f>AVERAGE(E41:I41)</f>
        <v>228.92</v>
      </c>
      <c r="K40" s="286">
        <f>D40*J40</f>
        <v>0</v>
      </c>
    </row>
    <row r="41" spans="1:11">
      <c r="A41" s="292"/>
      <c r="B41" s="299"/>
      <c r="C41" s="328"/>
      <c r="D41" s="324"/>
      <c r="E41" s="7">
        <v>212.39</v>
      </c>
      <c r="F41" s="7">
        <v>224.9</v>
      </c>
      <c r="G41" s="7">
        <v>224</v>
      </c>
      <c r="H41" s="7">
        <v>224.32</v>
      </c>
      <c r="I41" s="7">
        <v>259</v>
      </c>
      <c r="J41" s="286"/>
      <c r="K41" s="286"/>
    </row>
    <row r="42" spans="1:11">
      <c r="A42" s="1"/>
      <c r="B42" s="1"/>
      <c r="C42" s="1"/>
      <c r="D42" s="1"/>
      <c r="F42" s="305" t="s">
        <v>288</v>
      </c>
      <c r="G42" s="305"/>
      <c r="H42" s="305"/>
      <c r="I42" s="305"/>
      <c r="J42" s="305"/>
      <c r="K42" s="43">
        <f>SUM(K22:K41)</f>
        <v>0</v>
      </c>
    </row>
    <row r="43" spans="1:11">
      <c r="B43" s="39"/>
      <c r="C43" s="39"/>
      <c r="D43" s="39"/>
      <c r="E43" s="39"/>
      <c r="F43" s="306" t="s">
        <v>289</v>
      </c>
      <c r="G43" s="306"/>
      <c r="H43" s="306"/>
      <c r="I43" s="306"/>
      <c r="J43" s="306"/>
      <c r="K43" s="44">
        <v>12</v>
      </c>
    </row>
    <row r="44" spans="1:11">
      <c r="A44" s="40"/>
      <c r="B44" s="41"/>
      <c r="C44" s="40"/>
      <c r="D44" s="40"/>
      <c r="E44" s="42"/>
      <c r="F44" s="307" t="s">
        <v>290</v>
      </c>
      <c r="G44" s="307"/>
      <c r="H44" s="307"/>
      <c r="I44" s="307"/>
      <c r="J44" s="307"/>
      <c r="K44" s="45">
        <f>K42/K43</f>
        <v>0</v>
      </c>
    </row>
    <row r="45" spans="1:11">
      <c r="E45" s="49"/>
      <c r="F45" s="49"/>
      <c r="G45" s="49"/>
      <c r="H45" s="49"/>
      <c r="I45" s="49"/>
      <c r="J45" s="54"/>
    </row>
    <row r="46" spans="1:11">
      <c r="A46" s="319" t="s">
        <v>396</v>
      </c>
      <c r="B46" s="319"/>
      <c r="C46" s="319"/>
      <c r="D46" s="319"/>
      <c r="E46" s="319"/>
      <c r="F46" s="319"/>
      <c r="G46" s="319"/>
      <c r="H46" s="319"/>
      <c r="I46" s="319"/>
      <c r="J46" s="319"/>
    </row>
    <row r="47" spans="1:11">
      <c r="A47" s="319" t="s">
        <v>257</v>
      </c>
      <c r="B47" s="319" t="s">
        <v>258</v>
      </c>
      <c r="C47" s="319" t="s">
        <v>259</v>
      </c>
      <c r="D47" s="319" t="s">
        <v>330</v>
      </c>
      <c r="E47" s="317" t="s">
        <v>261</v>
      </c>
      <c r="F47" s="317"/>
      <c r="G47" s="317"/>
      <c r="H47" s="317"/>
      <c r="I47" s="317"/>
      <c r="J47" s="317"/>
      <c r="K47" s="317" t="s">
        <v>262</v>
      </c>
    </row>
    <row r="48" spans="1:11" ht="38.25">
      <c r="A48" s="319"/>
      <c r="B48" s="319"/>
      <c r="C48" s="319"/>
      <c r="D48" s="319"/>
      <c r="E48" s="52" t="s">
        <v>292</v>
      </c>
      <c r="F48" s="52" t="s">
        <v>293</v>
      </c>
      <c r="G48" s="52" t="s">
        <v>294</v>
      </c>
      <c r="H48" s="52" t="s">
        <v>266</v>
      </c>
      <c r="I48" s="52" t="s">
        <v>267</v>
      </c>
      <c r="J48" s="51" t="s">
        <v>295</v>
      </c>
      <c r="K48" s="317"/>
    </row>
    <row r="49" spans="1:12" ht="38.25">
      <c r="A49" s="320">
        <v>1</v>
      </c>
      <c r="B49" s="326" t="s">
        <v>397</v>
      </c>
      <c r="C49" s="322" t="s">
        <v>259</v>
      </c>
      <c r="D49" s="320">
        <v>2</v>
      </c>
      <c r="E49" s="6" t="s">
        <v>398</v>
      </c>
      <c r="F49" s="7" t="s">
        <v>399</v>
      </c>
      <c r="G49" s="6" t="s">
        <v>400</v>
      </c>
      <c r="H49" s="6" t="s">
        <v>401</v>
      </c>
      <c r="I49" s="6"/>
      <c r="J49" s="286">
        <f t="shared" ref="J49:J53" si="8">AVERAGE(E50:I50)</f>
        <v>26.92</v>
      </c>
      <c r="K49" s="286">
        <f t="shared" ref="K49:K53" si="9">D49*J49</f>
        <v>53.84</v>
      </c>
      <c r="L49" s="316"/>
    </row>
    <row r="50" spans="1:12">
      <c r="A50" s="320"/>
      <c r="B50" s="326"/>
      <c r="C50" s="322"/>
      <c r="D50" s="320"/>
      <c r="E50" s="7">
        <v>26</v>
      </c>
      <c r="F50" s="7">
        <v>28.75</v>
      </c>
      <c r="G50" s="7">
        <v>30</v>
      </c>
      <c r="H50" s="7">
        <v>22.91</v>
      </c>
      <c r="I50" s="7"/>
      <c r="J50" s="286"/>
      <c r="K50" s="286"/>
      <c r="L50" s="316"/>
    </row>
    <row r="51" spans="1:12" ht="51">
      <c r="A51" s="320">
        <v>2</v>
      </c>
      <c r="B51" s="326" t="s">
        <v>402</v>
      </c>
      <c r="C51" s="320" t="s">
        <v>403</v>
      </c>
      <c r="D51" s="321">
        <f>12/3</f>
        <v>4</v>
      </c>
      <c r="E51" s="7" t="s">
        <v>332</v>
      </c>
      <c r="F51" s="7" t="s">
        <v>404</v>
      </c>
      <c r="G51" s="6" t="s">
        <v>278</v>
      </c>
      <c r="H51" s="6" t="s">
        <v>405</v>
      </c>
      <c r="I51" s="6" t="s">
        <v>406</v>
      </c>
      <c r="J51" s="286">
        <f t="shared" si="8"/>
        <v>29.19</v>
      </c>
      <c r="K51" s="286">
        <f t="shared" si="9"/>
        <v>116.76</v>
      </c>
      <c r="L51" s="316"/>
    </row>
    <row r="52" spans="1:12">
      <c r="A52" s="320"/>
      <c r="B52" s="326"/>
      <c r="C52" s="320"/>
      <c r="D52" s="321"/>
      <c r="E52" s="7">
        <v>24.39</v>
      </c>
      <c r="F52" s="7">
        <v>28.05</v>
      </c>
      <c r="G52" s="7">
        <v>29.6</v>
      </c>
      <c r="H52" s="7">
        <v>33.92</v>
      </c>
      <c r="I52" s="7">
        <v>30</v>
      </c>
      <c r="J52" s="286"/>
      <c r="K52" s="286"/>
      <c r="L52" s="316"/>
    </row>
    <row r="53" spans="1:12" ht="63.75">
      <c r="A53" s="320">
        <v>3</v>
      </c>
      <c r="B53" s="326" t="s">
        <v>407</v>
      </c>
      <c r="C53" s="320" t="s">
        <v>357</v>
      </c>
      <c r="D53" s="322">
        <v>30</v>
      </c>
      <c r="E53" s="7" t="s">
        <v>408</v>
      </c>
      <c r="F53" s="7" t="s">
        <v>343</v>
      </c>
      <c r="G53" s="7" t="s">
        <v>409</v>
      </c>
      <c r="H53" s="6" t="s">
        <v>410</v>
      </c>
      <c r="I53" s="7" t="s">
        <v>411</v>
      </c>
      <c r="J53" s="286">
        <f t="shared" si="8"/>
        <v>1.56</v>
      </c>
      <c r="K53" s="286">
        <f t="shared" si="9"/>
        <v>46.8</v>
      </c>
      <c r="L53" s="316"/>
    </row>
    <row r="54" spans="1:12">
      <c r="A54" s="320"/>
      <c r="B54" s="326"/>
      <c r="C54" s="320"/>
      <c r="D54" s="322"/>
      <c r="E54" s="7">
        <v>1.99</v>
      </c>
      <c r="F54" s="7">
        <v>1.28</v>
      </c>
      <c r="G54" s="7">
        <v>1.6</v>
      </c>
      <c r="H54" s="7">
        <v>1.42</v>
      </c>
      <c r="I54" s="7">
        <v>1.5</v>
      </c>
      <c r="J54" s="286"/>
      <c r="K54" s="286"/>
      <c r="L54" s="316"/>
    </row>
    <row r="55" spans="1:12" ht="63.75">
      <c r="A55" s="320">
        <v>4</v>
      </c>
      <c r="B55" s="326" t="s">
        <v>356</v>
      </c>
      <c r="C55" s="320" t="s">
        <v>357</v>
      </c>
      <c r="D55" s="320">
        <v>6</v>
      </c>
      <c r="E55" s="7" t="s">
        <v>358</v>
      </c>
      <c r="F55" s="7" t="s">
        <v>359</v>
      </c>
      <c r="G55" s="7" t="s">
        <v>360</v>
      </c>
      <c r="H55" s="7" t="s">
        <v>361</v>
      </c>
      <c r="I55" s="7" t="s">
        <v>362</v>
      </c>
      <c r="J55" s="286">
        <f t="shared" ref="J55:J59" si="10">AVERAGE(E56:I56)</f>
        <v>5.95</v>
      </c>
      <c r="K55" s="286">
        <f t="shared" ref="K55:K59" si="11">D55*J55</f>
        <v>35.700000000000003</v>
      </c>
      <c r="L55" s="316"/>
    </row>
    <row r="56" spans="1:12">
      <c r="A56" s="320"/>
      <c r="B56" s="326"/>
      <c r="C56" s="320"/>
      <c r="D56" s="320"/>
      <c r="E56" s="7">
        <v>4.29</v>
      </c>
      <c r="F56" s="7">
        <v>5.4</v>
      </c>
      <c r="G56" s="7">
        <v>5.5</v>
      </c>
      <c r="H56" s="7">
        <v>6.74</v>
      </c>
      <c r="I56" s="7">
        <v>7.8</v>
      </c>
      <c r="J56" s="286"/>
      <c r="K56" s="286"/>
      <c r="L56" s="316"/>
    </row>
    <row r="57" spans="1:12" ht="51">
      <c r="A57" s="320">
        <v>5</v>
      </c>
      <c r="B57" s="326" t="s">
        <v>412</v>
      </c>
      <c r="C57" s="320" t="s">
        <v>357</v>
      </c>
      <c r="D57" s="321">
        <v>8</v>
      </c>
      <c r="E57" s="53" t="s">
        <v>413</v>
      </c>
      <c r="F57" s="53" t="s">
        <v>414</v>
      </c>
      <c r="G57" s="53" t="s">
        <v>415</v>
      </c>
      <c r="H57" s="53" t="s">
        <v>416</v>
      </c>
      <c r="I57" s="53"/>
      <c r="J57" s="286">
        <f t="shared" si="10"/>
        <v>124.68</v>
      </c>
      <c r="K57" s="286">
        <f t="shared" si="11"/>
        <v>997.44</v>
      </c>
      <c r="L57" s="316"/>
    </row>
    <row r="58" spans="1:12">
      <c r="A58" s="320"/>
      <c r="B58" s="326"/>
      <c r="C58" s="320"/>
      <c r="D58" s="321"/>
      <c r="E58" s="53">
        <v>139.51</v>
      </c>
      <c r="F58" s="53">
        <v>112</v>
      </c>
      <c r="G58" s="53">
        <v>119.2</v>
      </c>
      <c r="H58" s="53">
        <v>128</v>
      </c>
      <c r="I58" s="53"/>
      <c r="J58" s="286"/>
      <c r="K58" s="286"/>
      <c r="L58" s="316"/>
    </row>
    <row r="59" spans="1:12" ht="38.25">
      <c r="A59" s="320">
        <v>6</v>
      </c>
      <c r="B59" s="326" t="s">
        <v>417</v>
      </c>
      <c r="C59" s="320" t="s">
        <v>357</v>
      </c>
      <c r="D59" s="320">
        <v>1</v>
      </c>
      <c r="E59" s="7" t="s">
        <v>418</v>
      </c>
      <c r="F59" s="7" t="s">
        <v>343</v>
      </c>
      <c r="G59" s="6" t="s">
        <v>419</v>
      </c>
      <c r="H59" s="6" t="s">
        <v>420</v>
      </c>
      <c r="I59" s="6" t="s">
        <v>421</v>
      </c>
      <c r="J59" s="286">
        <f t="shared" si="10"/>
        <v>24.49</v>
      </c>
      <c r="K59" s="286">
        <f t="shared" si="11"/>
        <v>24.49</v>
      </c>
      <c r="L59" s="316"/>
    </row>
    <row r="60" spans="1:12">
      <c r="A60" s="320"/>
      <c r="B60" s="326"/>
      <c r="C60" s="320"/>
      <c r="D60" s="320"/>
      <c r="E60" s="7">
        <v>25</v>
      </c>
      <c r="F60" s="7">
        <v>24.85</v>
      </c>
      <c r="G60" s="7">
        <v>22</v>
      </c>
      <c r="H60" s="7">
        <v>28</v>
      </c>
      <c r="I60" s="7">
        <v>22.61</v>
      </c>
      <c r="J60" s="286"/>
      <c r="K60" s="286"/>
      <c r="L60" s="316"/>
    </row>
    <row r="61" spans="1:12" ht="51">
      <c r="A61" s="320">
        <v>7</v>
      </c>
      <c r="B61" s="326" t="s">
        <v>422</v>
      </c>
      <c r="C61" s="320" t="s">
        <v>423</v>
      </c>
      <c r="D61" s="320">
        <v>2</v>
      </c>
      <c r="E61" s="7" t="s">
        <v>424</v>
      </c>
      <c r="F61" s="6" t="s">
        <v>278</v>
      </c>
      <c r="G61" s="7" t="s">
        <v>425</v>
      </c>
      <c r="H61" s="7" t="s">
        <v>426</v>
      </c>
      <c r="I61" s="7" t="s">
        <v>372</v>
      </c>
      <c r="J61" s="286">
        <f>AVERAGE(E62:I62)</f>
        <v>19.850000000000001</v>
      </c>
      <c r="K61" s="286">
        <f>D61*J61</f>
        <v>39.700000000000003</v>
      </c>
      <c r="L61" s="316"/>
    </row>
    <row r="62" spans="1:12">
      <c r="A62" s="320"/>
      <c r="B62" s="326"/>
      <c r="C62" s="320"/>
      <c r="D62" s="320"/>
      <c r="E62" s="7">
        <v>19.899999999999999</v>
      </c>
      <c r="F62" s="7">
        <v>20</v>
      </c>
      <c r="G62" s="7">
        <v>18.579999999999998</v>
      </c>
      <c r="H62" s="7">
        <v>22.25</v>
      </c>
      <c r="I62" s="7">
        <v>18.5</v>
      </c>
      <c r="J62" s="286"/>
      <c r="K62" s="286"/>
      <c r="L62" s="316"/>
    </row>
    <row r="63" spans="1:12">
      <c r="A63" s="1"/>
      <c r="B63" s="1"/>
      <c r="C63" s="1"/>
      <c r="D63" s="1"/>
      <c r="F63" s="305" t="s">
        <v>288</v>
      </c>
      <c r="G63" s="305"/>
      <c r="H63" s="305"/>
      <c r="I63" s="305"/>
      <c r="J63" s="305"/>
      <c r="K63" s="43">
        <f>SUM(K45:K62)</f>
        <v>1314.73</v>
      </c>
      <c r="L63" s="55"/>
    </row>
    <row r="64" spans="1:12">
      <c r="B64" s="39"/>
      <c r="C64" s="39"/>
      <c r="D64" s="39"/>
      <c r="E64" s="39"/>
      <c r="F64" s="306" t="s">
        <v>289</v>
      </c>
      <c r="G64" s="306"/>
      <c r="H64" s="306"/>
      <c r="I64" s="306"/>
      <c r="J64" s="306"/>
      <c r="K64" s="44">
        <v>12</v>
      </c>
    </row>
    <row r="65" spans="1:11">
      <c r="A65" s="40"/>
      <c r="B65" s="41"/>
      <c r="C65" s="40"/>
      <c r="D65" s="40"/>
      <c r="E65" s="42"/>
      <c r="F65" s="307" t="s">
        <v>290</v>
      </c>
      <c r="G65" s="307"/>
      <c r="H65" s="307"/>
      <c r="I65" s="307"/>
      <c r="J65" s="307"/>
      <c r="K65" s="45">
        <f>K63/K64</f>
        <v>109.56</v>
      </c>
    </row>
  </sheetData>
  <mergeCells count="165">
    <mergeCell ref="A1:K1"/>
    <mergeCell ref="A2:K2"/>
    <mergeCell ref="A4:K4"/>
    <mergeCell ref="E5:J5"/>
    <mergeCell ref="F15:J15"/>
    <mergeCell ref="F16:J16"/>
    <mergeCell ref="F17:J17"/>
    <mergeCell ref="A19:K19"/>
    <mergeCell ref="E20:J20"/>
    <mergeCell ref="F42:J42"/>
    <mergeCell ref="F43:J43"/>
    <mergeCell ref="F44:J44"/>
    <mergeCell ref="A46:J46"/>
    <mergeCell ref="E47:J47"/>
    <mergeCell ref="F63:J63"/>
    <mergeCell ref="F64:J64"/>
    <mergeCell ref="F65:J65"/>
    <mergeCell ref="A5:A6"/>
    <mergeCell ref="A7:A8"/>
    <mergeCell ref="A9:A10"/>
    <mergeCell ref="A11:A12"/>
    <mergeCell ref="A13:A14"/>
    <mergeCell ref="A20:A21"/>
    <mergeCell ref="A22:A23"/>
    <mergeCell ref="A24:A25"/>
    <mergeCell ref="A26:A27"/>
    <mergeCell ref="A28:A29"/>
    <mergeCell ref="A30:A31"/>
    <mergeCell ref="A32:A33"/>
    <mergeCell ref="A34:A35"/>
    <mergeCell ref="A36:A37"/>
    <mergeCell ref="A38:A39"/>
    <mergeCell ref="A40:A41"/>
    <mergeCell ref="A47:A48"/>
    <mergeCell ref="A49:A50"/>
    <mergeCell ref="A51:A52"/>
    <mergeCell ref="A53:A54"/>
    <mergeCell ref="A55:A56"/>
    <mergeCell ref="A57:A58"/>
    <mergeCell ref="A59:A60"/>
    <mergeCell ref="A61:A62"/>
    <mergeCell ref="B5:B6"/>
    <mergeCell ref="B7:B8"/>
    <mergeCell ref="B9:B10"/>
    <mergeCell ref="B11:B12"/>
    <mergeCell ref="B13:B14"/>
    <mergeCell ref="B20:B21"/>
    <mergeCell ref="B22:B23"/>
    <mergeCell ref="B24:B25"/>
    <mergeCell ref="B26:B27"/>
    <mergeCell ref="B28:B29"/>
    <mergeCell ref="B30:B31"/>
    <mergeCell ref="B32:B33"/>
    <mergeCell ref="B34:B35"/>
    <mergeCell ref="B36:B37"/>
    <mergeCell ref="B38:B39"/>
    <mergeCell ref="B40:B41"/>
    <mergeCell ref="B47:B48"/>
    <mergeCell ref="B49:B50"/>
    <mergeCell ref="B51:B52"/>
    <mergeCell ref="B53:B54"/>
    <mergeCell ref="B55:B56"/>
    <mergeCell ref="B57:B58"/>
    <mergeCell ref="B59:B60"/>
    <mergeCell ref="B61:B62"/>
    <mergeCell ref="C5:C6"/>
    <mergeCell ref="C7:C8"/>
    <mergeCell ref="C9:C10"/>
    <mergeCell ref="C11:C12"/>
    <mergeCell ref="C13:C14"/>
    <mergeCell ref="C20:C21"/>
    <mergeCell ref="C22:C23"/>
    <mergeCell ref="C24:C25"/>
    <mergeCell ref="C26:C27"/>
    <mergeCell ref="C28:C29"/>
    <mergeCell ref="C30:C31"/>
    <mergeCell ref="C32:C33"/>
    <mergeCell ref="C34:C35"/>
    <mergeCell ref="C36:C37"/>
    <mergeCell ref="C38:C39"/>
    <mergeCell ref="C40:C41"/>
    <mergeCell ref="C47:C48"/>
    <mergeCell ref="C49:C50"/>
    <mergeCell ref="C51:C52"/>
    <mergeCell ref="C53:C54"/>
    <mergeCell ref="C55:C56"/>
    <mergeCell ref="C57:C58"/>
    <mergeCell ref="C59:C60"/>
    <mergeCell ref="C61:C62"/>
    <mergeCell ref="D5:D6"/>
    <mergeCell ref="D7:D8"/>
    <mergeCell ref="D9:D10"/>
    <mergeCell ref="D11:D12"/>
    <mergeCell ref="D13:D14"/>
    <mergeCell ref="D20:D21"/>
    <mergeCell ref="D22:D23"/>
    <mergeCell ref="D24:D25"/>
    <mergeCell ref="D26:D27"/>
    <mergeCell ref="D28:D29"/>
    <mergeCell ref="D30:D31"/>
    <mergeCell ref="D32:D33"/>
    <mergeCell ref="D34:D35"/>
    <mergeCell ref="D36:D37"/>
    <mergeCell ref="D38:D39"/>
    <mergeCell ref="D40:D41"/>
    <mergeCell ref="D47:D48"/>
    <mergeCell ref="D49:D50"/>
    <mergeCell ref="D51:D52"/>
    <mergeCell ref="D53:D54"/>
    <mergeCell ref="D55:D56"/>
    <mergeCell ref="D57:D58"/>
    <mergeCell ref="D59:D60"/>
    <mergeCell ref="D61:D62"/>
    <mergeCell ref="J7:J8"/>
    <mergeCell ref="J9:J10"/>
    <mergeCell ref="J11:J12"/>
    <mergeCell ref="J13:J14"/>
    <mergeCell ref="J22:J23"/>
    <mergeCell ref="J24:J25"/>
    <mergeCell ref="J26:J27"/>
    <mergeCell ref="J28:J29"/>
    <mergeCell ref="J30:J31"/>
    <mergeCell ref="J32:J33"/>
    <mergeCell ref="J34:J35"/>
    <mergeCell ref="J36:J37"/>
    <mergeCell ref="J38:J39"/>
    <mergeCell ref="J40:J41"/>
    <mergeCell ref="J49:J50"/>
    <mergeCell ref="J51:J52"/>
    <mergeCell ref="J53:J54"/>
    <mergeCell ref="J55:J56"/>
    <mergeCell ref="J57:J58"/>
    <mergeCell ref="J59:J60"/>
    <mergeCell ref="J61:J62"/>
    <mergeCell ref="K5:K6"/>
    <mergeCell ref="K7:K8"/>
    <mergeCell ref="K9:K10"/>
    <mergeCell ref="K11:K12"/>
    <mergeCell ref="K13:K14"/>
    <mergeCell ref="K20:K21"/>
    <mergeCell ref="K22:K23"/>
    <mergeCell ref="K24:K25"/>
    <mergeCell ref="K26:K27"/>
    <mergeCell ref="K28:K29"/>
    <mergeCell ref="K30:K31"/>
    <mergeCell ref="K32:K33"/>
    <mergeCell ref="K34:K35"/>
    <mergeCell ref="K36:K37"/>
    <mergeCell ref="K38:K39"/>
    <mergeCell ref="K40:K41"/>
    <mergeCell ref="K47:K48"/>
    <mergeCell ref="K49:K50"/>
    <mergeCell ref="K51:K52"/>
    <mergeCell ref="K53:K54"/>
    <mergeCell ref="K55:K56"/>
    <mergeCell ref="K57:K58"/>
    <mergeCell ref="K59:K60"/>
    <mergeCell ref="K61:K62"/>
    <mergeCell ref="L49:L50"/>
    <mergeCell ref="L51:L52"/>
    <mergeCell ref="L53:L54"/>
    <mergeCell ref="L55:L56"/>
    <mergeCell ref="L57:L58"/>
    <mergeCell ref="L59:L60"/>
    <mergeCell ref="L61:L62"/>
  </mergeCells>
  <pageMargins left="0.55416666666666703" right="0.35763888888888901" top="0.60555555555555596" bottom="0.40902777777777799" header="0.5" footer="0.5"/>
  <pageSetup paperSize="9" scale="58"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5" tint="0.79998168889431442"/>
  </sheetPr>
  <dimension ref="A1:S26"/>
  <sheetViews>
    <sheetView view="pageBreakPreview" zoomScaleNormal="70" workbookViewId="0">
      <selection activeCell="E5" sqref="E5:I5"/>
    </sheetView>
  </sheetViews>
  <sheetFormatPr defaultColWidth="9.140625" defaultRowHeight="12.75"/>
  <cols>
    <col min="1" max="1" width="7.140625" style="3" customWidth="1"/>
    <col min="2" max="2" width="41.28515625" style="33" customWidth="1"/>
    <col min="3" max="3" width="9.42578125" style="2" customWidth="1"/>
    <col min="4" max="4" width="15.7109375" style="2" customWidth="1"/>
    <col min="5" max="9" width="29.28515625" style="2" customWidth="1"/>
    <col min="10" max="11" width="15.7109375" style="2" customWidth="1"/>
    <col min="12" max="12" width="13.5703125" style="4" customWidth="1"/>
    <col min="13" max="13" width="13.140625" style="4" customWidth="1"/>
    <col min="14" max="14" width="13.28515625" style="4" customWidth="1"/>
    <col min="15" max="15" width="16.42578125" style="4" customWidth="1"/>
    <col min="16" max="16" width="16.85546875" style="4" customWidth="1"/>
    <col min="17" max="17" width="21.5703125" style="4" customWidth="1"/>
    <col min="18" max="19" width="12" style="4" customWidth="1"/>
    <col min="20" max="16384" width="9.140625" style="2"/>
  </cols>
  <sheetData>
    <row r="1" spans="1:14" s="1" customFormat="1" ht="18">
      <c r="A1" s="311" t="str">
        <f>'SEMAS TOTALIZADOR GERAL'!A1</f>
        <v>SEMAS</v>
      </c>
      <c r="B1" s="311"/>
      <c r="C1" s="311"/>
      <c r="D1" s="311"/>
      <c r="E1" s="311"/>
      <c r="F1" s="311"/>
      <c r="G1" s="311"/>
      <c r="H1" s="311"/>
      <c r="I1" s="311"/>
      <c r="J1" s="311"/>
      <c r="K1" s="311"/>
    </row>
    <row r="2" spans="1:14" s="1" customFormat="1" ht="18">
      <c r="A2" s="311" t="s">
        <v>427</v>
      </c>
      <c r="B2" s="340"/>
      <c r="C2" s="311"/>
      <c r="D2" s="311"/>
      <c r="E2" s="311"/>
      <c r="F2" s="311"/>
      <c r="G2" s="311"/>
      <c r="H2" s="311"/>
      <c r="I2" s="311"/>
      <c r="J2" s="311"/>
      <c r="K2" s="311"/>
      <c r="L2" s="16"/>
      <c r="M2" s="16"/>
      <c r="N2" s="16"/>
    </row>
    <row r="3" spans="1:14" s="1" customFormat="1">
      <c r="A3" s="336" t="s">
        <v>428</v>
      </c>
      <c r="B3" s="338"/>
      <c r="C3" s="336"/>
      <c r="D3" s="336"/>
      <c r="E3" s="336"/>
      <c r="F3" s="336"/>
      <c r="G3" s="336"/>
      <c r="H3" s="336"/>
      <c r="I3" s="336"/>
      <c r="J3" s="336"/>
      <c r="K3" s="336"/>
    </row>
    <row r="4" spans="1:14" s="1" customFormat="1">
      <c r="A4" s="336" t="s">
        <v>257</v>
      </c>
      <c r="B4" s="338" t="s">
        <v>258</v>
      </c>
      <c r="C4" s="336" t="s">
        <v>259</v>
      </c>
      <c r="D4" s="336" t="s">
        <v>429</v>
      </c>
      <c r="E4" s="304" t="s">
        <v>261</v>
      </c>
      <c r="F4" s="304"/>
      <c r="G4" s="304"/>
      <c r="H4" s="304"/>
      <c r="I4" s="304"/>
      <c r="J4" s="304"/>
      <c r="K4" s="34"/>
    </row>
    <row r="5" spans="1:14" s="1" customFormat="1" ht="38.25">
      <c r="A5" s="336"/>
      <c r="B5" s="338"/>
      <c r="C5" s="336"/>
      <c r="D5" s="336"/>
      <c r="E5" s="35" t="s">
        <v>292</v>
      </c>
      <c r="F5" s="35" t="s">
        <v>293</v>
      </c>
      <c r="G5" s="35" t="s">
        <v>294</v>
      </c>
      <c r="H5" s="35" t="s">
        <v>266</v>
      </c>
      <c r="I5" s="35" t="s">
        <v>267</v>
      </c>
      <c r="J5" s="34" t="s">
        <v>430</v>
      </c>
      <c r="K5" s="34" t="s">
        <v>431</v>
      </c>
    </row>
    <row r="6" spans="1:14" s="2" customFormat="1" ht="39.950000000000003" customHeight="1">
      <c r="A6" s="335">
        <v>1</v>
      </c>
      <c r="B6" s="339" t="s">
        <v>432</v>
      </c>
      <c r="C6" s="335" t="s">
        <v>259</v>
      </c>
      <c r="D6" s="337">
        <f>('SEMAS TOTALIZADOR GERAL'!B6+'SEMAS TOTALIZADOR GERAL'!C6+'SEMAS TOTALIZADOR GERAL'!D6+'SEMAS TOTALIZADOR GERAL'!H6)*2</f>
        <v>46</v>
      </c>
      <c r="E6" s="36" t="s">
        <v>278</v>
      </c>
      <c r="F6" s="36" t="s">
        <v>433</v>
      </c>
      <c r="G6" s="36" t="s">
        <v>434</v>
      </c>
      <c r="H6" s="36" t="s">
        <v>435</v>
      </c>
      <c r="I6" s="36"/>
      <c r="J6" s="286">
        <f t="shared" ref="J6:J10" si="0">AVERAGE(E7:I7)</f>
        <v>11.55</v>
      </c>
      <c r="K6" s="334">
        <f>D6*J6</f>
        <v>531.29999999999995</v>
      </c>
    </row>
    <row r="7" spans="1:14" s="2" customFormat="1">
      <c r="A7" s="335"/>
      <c r="B7" s="339"/>
      <c r="C7" s="335"/>
      <c r="D7" s="296"/>
      <c r="E7" s="37">
        <v>12.43</v>
      </c>
      <c r="F7" s="37">
        <v>10.28</v>
      </c>
      <c r="G7" s="37">
        <v>12</v>
      </c>
      <c r="H7" s="37">
        <v>11.5</v>
      </c>
      <c r="I7" s="37"/>
      <c r="J7" s="286"/>
      <c r="K7" s="322"/>
      <c r="M7" s="40"/>
      <c r="N7" s="41"/>
    </row>
    <row r="8" spans="1:14" s="2" customFormat="1" ht="38.25">
      <c r="A8" s="335">
        <v>2</v>
      </c>
      <c r="B8" s="339" t="s">
        <v>436</v>
      </c>
      <c r="C8" s="335" t="s">
        <v>259</v>
      </c>
      <c r="D8" s="337">
        <f>'SEMAS TOTALIZADOR GERAL'!H6</f>
        <v>0</v>
      </c>
      <c r="E8" s="37" t="s">
        <v>343</v>
      </c>
      <c r="F8" s="37" t="s">
        <v>437</v>
      </c>
      <c r="G8" s="37" t="s">
        <v>438</v>
      </c>
      <c r="H8" s="37"/>
      <c r="I8" s="37"/>
      <c r="J8" s="286">
        <f t="shared" si="0"/>
        <v>191.3</v>
      </c>
      <c r="K8" s="334">
        <f t="shared" ref="K8:K10" si="1">D8*J8</f>
        <v>0</v>
      </c>
    </row>
    <row r="9" spans="1:14" s="2" customFormat="1">
      <c r="A9" s="335"/>
      <c r="B9" s="339"/>
      <c r="C9" s="335"/>
      <c r="D9" s="296"/>
      <c r="E9" s="37">
        <v>173.57</v>
      </c>
      <c r="F9" s="37">
        <v>182.6</v>
      </c>
      <c r="G9" s="37">
        <v>217.72</v>
      </c>
      <c r="H9" s="37"/>
      <c r="I9" s="37"/>
      <c r="J9" s="286"/>
      <c r="K9" s="322"/>
      <c r="M9" s="40"/>
      <c r="N9" s="41"/>
    </row>
    <row r="10" spans="1:14" s="2" customFormat="1" ht="51">
      <c r="A10" s="335">
        <v>3</v>
      </c>
      <c r="B10" s="339" t="s">
        <v>439</v>
      </c>
      <c r="C10" s="335" t="s">
        <v>259</v>
      </c>
      <c r="D10" s="337">
        <f>'SEMAS TOTALIZADOR GERAL'!B5*3</f>
        <v>45</v>
      </c>
      <c r="E10" s="36" t="s">
        <v>270</v>
      </c>
      <c r="F10" s="37" t="s">
        <v>440</v>
      </c>
      <c r="G10" s="37" t="s">
        <v>441</v>
      </c>
      <c r="H10" s="37" t="s">
        <v>442</v>
      </c>
      <c r="I10" s="37"/>
      <c r="J10" s="286">
        <f t="shared" si="0"/>
        <v>21.09</v>
      </c>
      <c r="K10" s="334">
        <f t="shared" si="1"/>
        <v>949.05</v>
      </c>
    </row>
    <row r="11" spans="1:14" s="2" customFormat="1">
      <c r="A11" s="335"/>
      <c r="B11" s="339"/>
      <c r="C11" s="335"/>
      <c r="D11" s="296"/>
      <c r="E11" s="37">
        <v>22.9</v>
      </c>
      <c r="F11" s="37">
        <v>16.899999999999999</v>
      </c>
      <c r="G11" s="37">
        <v>24.55</v>
      </c>
      <c r="H11" s="37">
        <v>20</v>
      </c>
      <c r="I11" s="37"/>
      <c r="J11" s="286"/>
      <c r="K11" s="322"/>
      <c r="M11" s="40"/>
      <c r="N11" s="41"/>
    </row>
    <row r="12" spans="1:14" s="2" customFormat="1" ht="38.25">
      <c r="A12" s="335">
        <v>4</v>
      </c>
      <c r="B12" s="339" t="s">
        <v>443</v>
      </c>
      <c r="C12" s="335" t="s">
        <v>259</v>
      </c>
      <c r="D12" s="337">
        <f>'SEMAS TOTALIZADOR GERAL'!B6*3</f>
        <v>45</v>
      </c>
      <c r="E12" s="37" t="s">
        <v>444</v>
      </c>
      <c r="F12" s="37" t="s">
        <v>445</v>
      </c>
      <c r="G12" s="37" t="s">
        <v>446</v>
      </c>
      <c r="H12" s="37" t="s">
        <v>447</v>
      </c>
      <c r="I12" s="37"/>
      <c r="J12" s="286">
        <f t="shared" ref="J12:J16" si="2">AVERAGE(E13:I13)</f>
        <v>14.66</v>
      </c>
      <c r="K12" s="334">
        <f t="shared" ref="K12:K16" si="3">D12*J12</f>
        <v>659.7</v>
      </c>
    </row>
    <row r="13" spans="1:14" s="2" customFormat="1">
      <c r="A13" s="335"/>
      <c r="B13" s="339"/>
      <c r="C13" s="335"/>
      <c r="D13" s="296"/>
      <c r="E13" s="37">
        <v>14.45</v>
      </c>
      <c r="F13" s="37">
        <v>14.3</v>
      </c>
      <c r="G13" s="37">
        <v>14.9</v>
      </c>
      <c r="H13" s="37">
        <v>15</v>
      </c>
      <c r="I13" s="37"/>
      <c r="J13" s="286"/>
      <c r="K13" s="322"/>
      <c r="M13" s="40"/>
      <c r="N13" s="41"/>
    </row>
    <row r="14" spans="1:14" s="2" customFormat="1" ht="51">
      <c r="A14" s="335">
        <v>5</v>
      </c>
      <c r="B14" s="339" t="s">
        <v>448</v>
      </c>
      <c r="C14" s="335" t="s">
        <v>259</v>
      </c>
      <c r="D14" s="337">
        <f>'SEMAS TOTALIZADOR GERAL'!H6*4</f>
        <v>0</v>
      </c>
      <c r="E14" s="37" t="s">
        <v>278</v>
      </c>
      <c r="F14" s="37" t="s">
        <v>449</v>
      </c>
      <c r="G14" s="37" t="s">
        <v>450</v>
      </c>
      <c r="H14" s="37"/>
      <c r="I14" s="37"/>
      <c r="J14" s="286">
        <f t="shared" si="2"/>
        <v>61.21</v>
      </c>
      <c r="K14" s="334">
        <f t="shared" si="3"/>
        <v>0</v>
      </c>
    </row>
    <row r="15" spans="1:14" s="2" customFormat="1">
      <c r="A15" s="335"/>
      <c r="B15" s="339"/>
      <c r="C15" s="335"/>
      <c r="D15" s="296"/>
      <c r="E15" s="37">
        <v>57.9</v>
      </c>
      <c r="F15" s="37">
        <v>66</v>
      </c>
      <c r="G15" s="37">
        <v>59.72</v>
      </c>
      <c r="H15" s="37"/>
      <c r="I15" s="37"/>
      <c r="J15" s="286"/>
      <c r="K15" s="322"/>
      <c r="M15" s="40"/>
      <c r="N15" s="41"/>
    </row>
    <row r="16" spans="1:14" s="2" customFormat="1" ht="38.25">
      <c r="A16" s="335">
        <v>6</v>
      </c>
      <c r="B16" s="339" t="s">
        <v>451</v>
      </c>
      <c r="C16" s="335" t="s">
        <v>259</v>
      </c>
      <c r="D16" s="337">
        <f>'SEMAS TOTALIZADOR GERAL'!H6*4</f>
        <v>0</v>
      </c>
      <c r="E16" s="37" t="s">
        <v>278</v>
      </c>
      <c r="F16" s="37" t="s">
        <v>452</v>
      </c>
      <c r="G16" s="37" t="s">
        <v>453</v>
      </c>
      <c r="H16" s="37"/>
      <c r="I16" s="37"/>
      <c r="J16" s="286">
        <f t="shared" si="2"/>
        <v>76.31</v>
      </c>
      <c r="K16" s="334">
        <f t="shared" si="3"/>
        <v>0</v>
      </c>
    </row>
    <row r="17" spans="1:19">
      <c r="A17" s="335"/>
      <c r="B17" s="339"/>
      <c r="C17" s="335"/>
      <c r="D17" s="296"/>
      <c r="E17" s="37">
        <v>78.56</v>
      </c>
      <c r="F17" s="37">
        <v>78.14</v>
      </c>
      <c r="G17" s="37">
        <v>72.239999999999995</v>
      </c>
      <c r="H17" s="37"/>
      <c r="I17" s="37"/>
      <c r="J17" s="286"/>
      <c r="K17" s="322"/>
      <c r="L17" s="2"/>
      <c r="M17" s="40"/>
      <c r="N17" s="41"/>
      <c r="O17" s="2"/>
      <c r="P17" s="2"/>
      <c r="Q17" s="2"/>
      <c r="R17" s="2"/>
      <c r="S17" s="2"/>
    </row>
    <row r="18" spans="1:19" ht="38.25">
      <c r="A18" s="335">
        <v>7</v>
      </c>
      <c r="B18" s="339" t="s">
        <v>454</v>
      </c>
      <c r="C18" s="335" t="s">
        <v>259</v>
      </c>
      <c r="D18" s="337">
        <f>18</f>
        <v>18</v>
      </c>
      <c r="E18" s="37" t="s">
        <v>278</v>
      </c>
      <c r="F18" s="37" t="s">
        <v>455</v>
      </c>
      <c r="G18" s="37" t="s">
        <v>456</v>
      </c>
      <c r="H18" s="37"/>
      <c r="I18" s="37"/>
      <c r="J18" s="286">
        <f>AVERAGE(E19:I19)</f>
        <v>56.77</v>
      </c>
      <c r="K18" s="334">
        <f>D18*J18</f>
        <v>1021.86</v>
      </c>
      <c r="L18" s="2"/>
      <c r="M18" s="2"/>
      <c r="N18" s="2"/>
      <c r="O18" s="2"/>
      <c r="P18" s="2"/>
      <c r="Q18" s="2"/>
      <c r="R18" s="2"/>
      <c r="S18" s="2"/>
    </row>
    <row r="19" spans="1:19">
      <c r="A19" s="335"/>
      <c r="B19" s="339"/>
      <c r="C19" s="335"/>
      <c r="D19" s="296"/>
      <c r="E19" s="37">
        <v>65.05</v>
      </c>
      <c r="F19" s="37">
        <v>56.19</v>
      </c>
      <c r="G19" s="37">
        <v>49.06</v>
      </c>
      <c r="H19" s="37"/>
      <c r="I19" s="37"/>
      <c r="J19" s="286"/>
      <c r="K19" s="322"/>
      <c r="L19" s="2"/>
      <c r="M19" s="40"/>
      <c r="N19" s="41"/>
      <c r="O19" s="2"/>
      <c r="P19" s="2"/>
      <c r="Q19" s="2"/>
      <c r="R19" s="2"/>
      <c r="S19" s="2"/>
    </row>
    <row r="20" spans="1:19" ht="38.25">
      <c r="A20" s="335">
        <v>8</v>
      </c>
      <c r="B20" s="339" t="s">
        <v>457</v>
      </c>
      <c r="C20" s="335" t="s">
        <v>259</v>
      </c>
      <c r="D20" s="337">
        <f>('[1]LOTE 4_TOTALIZADOR GERAL'!G6+'[1]LOTE 4_TOTALIZADOR GERAL'!K6)*4</f>
        <v>12</v>
      </c>
      <c r="E20" s="37" t="s">
        <v>278</v>
      </c>
      <c r="F20" s="37" t="s">
        <v>458</v>
      </c>
      <c r="G20" s="37" t="s">
        <v>459</v>
      </c>
      <c r="H20" s="37" t="s">
        <v>460</v>
      </c>
      <c r="I20" s="37"/>
      <c r="J20" s="286">
        <f>AVERAGE(E21:I21)</f>
        <v>28.78</v>
      </c>
      <c r="K20" s="334">
        <f>D20*J20</f>
        <v>345.36</v>
      </c>
      <c r="L20" s="2"/>
      <c r="M20" s="2"/>
      <c r="N20" s="2"/>
      <c r="O20" s="2"/>
      <c r="P20" s="2"/>
      <c r="Q20" s="2"/>
      <c r="R20" s="2"/>
      <c r="S20" s="2"/>
    </row>
    <row r="21" spans="1:19">
      <c r="A21" s="335"/>
      <c r="B21" s="339"/>
      <c r="C21" s="335"/>
      <c r="D21" s="296"/>
      <c r="E21" s="37">
        <v>30.3</v>
      </c>
      <c r="F21" s="37">
        <v>27.7</v>
      </c>
      <c r="G21" s="37">
        <v>30</v>
      </c>
      <c r="H21" s="37">
        <v>27.1</v>
      </c>
      <c r="I21" s="37"/>
      <c r="J21" s="286"/>
      <c r="K21" s="322"/>
      <c r="L21" s="2"/>
      <c r="M21" s="2"/>
      <c r="N21" s="2"/>
      <c r="O21" s="2"/>
      <c r="P21" s="2"/>
      <c r="Q21" s="2"/>
      <c r="R21" s="2"/>
      <c r="S21" s="2"/>
    </row>
    <row r="22" spans="1:19" s="1" customFormat="1" ht="20.100000000000001" customHeight="1">
      <c r="F22" s="305" t="s">
        <v>461</v>
      </c>
      <c r="G22" s="305"/>
      <c r="H22" s="305"/>
      <c r="I22" s="305"/>
      <c r="J22" s="305"/>
      <c r="K22" s="43">
        <f>SUM(K6:K21)</f>
        <v>3507.27</v>
      </c>
    </row>
    <row r="23" spans="1:19" s="1" customFormat="1" ht="20.100000000000001" customHeight="1">
      <c r="A23" s="38"/>
      <c r="B23" s="39"/>
      <c r="C23" s="39"/>
      <c r="D23" s="39"/>
      <c r="E23" s="39"/>
      <c r="F23" s="306" t="s">
        <v>289</v>
      </c>
      <c r="G23" s="306"/>
      <c r="H23" s="306"/>
      <c r="I23" s="306"/>
      <c r="J23" s="306"/>
      <c r="K23" s="44">
        <v>12</v>
      </c>
    </row>
    <row r="24" spans="1:19" s="1" customFormat="1" ht="24" customHeight="1">
      <c r="A24" s="40"/>
      <c r="B24" s="41"/>
      <c r="C24" s="40"/>
      <c r="D24" s="40"/>
      <c r="E24" s="42"/>
      <c r="F24" s="307" t="s">
        <v>462</v>
      </c>
      <c r="G24" s="307"/>
      <c r="H24" s="307"/>
      <c r="I24" s="307"/>
      <c r="J24" s="307"/>
      <c r="K24" s="45">
        <f>K22/K23</f>
        <v>292.27</v>
      </c>
    </row>
    <row r="25" spans="1:19" ht="24" customHeight="1">
      <c r="F25" s="306" t="s">
        <v>463</v>
      </c>
      <c r="G25" s="306"/>
      <c r="H25" s="306"/>
      <c r="I25" s="306"/>
      <c r="J25" s="306"/>
      <c r="K25" s="44">
        <f>'SEMAS TOTALIZADOR GERAL'!L6-'SEMAS TOTALIZADOR GERAL'!I6</f>
        <v>33</v>
      </c>
    </row>
    <row r="26" spans="1:19" ht="24" customHeight="1">
      <c r="F26" s="307" t="s">
        <v>290</v>
      </c>
      <c r="G26" s="307"/>
      <c r="H26" s="307"/>
      <c r="I26" s="307"/>
      <c r="J26" s="307"/>
      <c r="K26" s="45">
        <f>K24/K25</f>
        <v>8.86</v>
      </c>
    </row>
  </sheetData>
  <mergeCells count="61">
    <mergeCell ref="A1:K1"/>
    <mergeCell ref="A2:K2"/>
    <mergeCell ref="A3:K3"/>
    <mergeCell ref="E4:J4"/>
    <mergeCell ref="F22:J22"/>
    <mergeCell ref="B10:B11"/>
    <mergeCell ref="B12:B13"/>
    <mergeCell ref="B14:B15"/>
    <mergeCell ref="B16:B17"/>
    <mergeCell ref="B18:B19"/>
    <mergeCell ref="B20:B21"/>
    <mergeCell ref="C4:C5"/>
    <mergeCell ref="C6:C7"/>
    <mergeCell ref="C8:C9"/>
    <mergeCell ref="C10:C11"/>
    <mergeCell ref="C12:C13"/>
    <mergeCell ref="F23:J23"/>
    <mergeCell ref="F24:J24"/>
    <mergeCell ref="F25:J25"/>
    <mergeCell ref="F26:J26"/>
    <mergeCell ref="A4:A5"/>
    <mergeCell ref="A6:A7"/>
    <mergeCell ref="A8:A9"/>
    <mergeCell ref="A10:A11"/>
    <mergeCell ref="A12:A13"/>
    <mergeCell ref="A14:A15"/>
    <mergeCell ref="A16:A17"/>
    <mergeCell ref="A18:A19"/>
    <mergeCell ref="A20:A21"/>
    <mergeCell ref="B4:B5"/>
    <mergeCell ref="B6:B7"/>
    <mergeCell ref="B8:B9"/>
    <mergeCell ref="C14:C15"/>
    <mergeCell ref="C16:C17"/>
    <mergeCell ref="C18:C19"/>
    <mergeCell ref="C20:C21"/>
    <mergeCell ref="D4:D5"/>
    <mergeCell ref="D6:D7"/>
    <mergeCell ref="D8:D9"/>
    <mergeCell ref="D10:D11"/>
    <mergeCell ref="D12:D13"/>
    <mergeCell ref="D14:D15"/>
    <mergeCell ref="D16:D17"/>
    <mergeCell ref="D18:D19"/>
    <mergeCell ref="D20:D21"/>
    <mergeCell ref="J16:J17"/>
    <mergeCell ref="J18:J19"/>
    <mergeCell ref="J20:J21"/>
    <mergeCell ref="K6:K7"/>
    <mergeCell ref="K8:K9"/>
    <mergeCell ref="K10:K11"/>
    <mergeCell ref="K12:K13"/>
    <mergeCell ref="K14:K15"/>
    <mergeCell ref="K16:K17"/>
    <mergeCell ref="K18:K19"/>
    <mergeCell ref="K20:K21"/>
    <mergeCell ref="J6:J7"/>
    <mergeCell ref="J8:J9"/>
    <mergeCell ref="J10:J11"/>
    <mergeCell ref="J12:J13"/>
    <mergeCell ref="J14:J15"/>
  </mergeCells>
  <pageMargins left="0.55416666666666703" right="0.35763888888888901" top="0.60555555555555596" bottom="0.60555555555555596" header="0.5" footer="0.5"/>
  <pageSetup paperSize="9" scale="7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5" tint="0.79998168889431442"/>
  </sheetPr>
  <dimension ref="A1:T33"/>
  <sheetViews>
    <sheetView view="pageBreakPreview" zoomScale="80" zoomScaleNormal="60" workbookViewId="0">
      <selection activeCell="H10" sqref="H10"/>
    </sheetView>
  </sheetViews>
  <sheetFormatPr defaultColWidth="9.140625" defaultRowHeight="12.75"/>
  <cols>
    <col min="1" max="1" width="7.140625" style="3" customWidth="1"/>
    <col min="2" max="2" width="39" style="2" customWidth="1"/>
    <col min="3" max="3" width="9.42578125" style="2" customWidth="1"/>
    <col min="4" max="4" width="13" style="2" customWidth="1"/>
    <col min="5" max="9" width="26" style="4" customWidth="1"/>
    <col min="10" max="10" width="16.28515625" style="4" customWidth="1"/>
    <col min="11" max="11" width="14.85546875" style="4" customWidth="1"/>
    <col min="12" max="12" width="15.28515625" style="4" customWidth="1"/>
    <col min="13" max="13" width="18.140625" style="4" customWidth="1"/>
    <col min="14" max="14" width="13.140625" style="4" customWidth="1"/>
    <col min="15" max="15" width="13.28515625" style="4" customWidth="1"/>
    <col min="16" max="16" width="16.42578125" style="4" customWidth="1"/>
    <col min="17" max="17" width="16.85546875" style="4" customWidth="1"/>
    <col min="18" max="18" width="21.5703125" style="4" customWidth="1"/>
    <col min="19" max="20" width="12" style="4" customWidth="1"/>
    <col min="21" max="16384" width="9.140625" style="2"/>
  </cols>
  <sheetData>
    <row r="1" spans="1:15" s="1" customFormat="1" ht="18">
      <c r="A1" s="311" t="str">
        <f>'SEMAS TOTALIZADOR GERAL'!A1</f>
        <v>SEMAS</v>
      </c>
      <c r="B1" s="311"/>
      <c r="C1" s="311"/>
      <c r="D1" s="311"/>
      <c r="E1" s="311"/>
      <c r="F1" s="311"/>
      <c r="G1" s="311"/>
      <c r="H1" s="311"/>
      <c r="I1" s="311"/>
      <c r="J1" s="311"/>
      <c r="K1" s="311"/>
      <c r="L1" s="311"/>
      <c r="M1" s="311"/>
    </row>
    <row r="2" spans="1:15" s="1" customFormat="1" ht="18">
      <c r="A2" s="311" t="s">
        <v>464</v>
      </c>
      <c r="B2" s="311"/>
      <c r="C2" s="311"/>
      <c r="D2" s="311"/>
      <c r="E2" s="311"/>
      <c r="F2" s="311"/>
      <c r="G2" s="311"/>
      <c r="H2" s="311"/>
      <c r="I2" s="311"/>
      <c r="J2" s="311"/>
      <c r="K2" s="311"/>
      <c r="L2" s="311"/>
      <c r="M2" s="311"/>
      <c r="N2" s="16"/>
      <c r="O2" s="16"/>
    </row>
    <row r="3" spans="1:15" s="1" customFormat="1">
      <c r="A3" s="336" t="s">
        <v>465</v>
      </c>
      <c r="B3" s="336"/>
      <c r="C3" s="336"/>
      <c r="D3" s="336"/>
      <c r="E3" s="336"/>
      <c r="F3" s="336"/>
      <c r="G3" s="336"/>
      <c r="H3" s="336"/>
      <c r="I3" s="336"/>
      <c r="J3" s="336"/>
      <c r="K3" s="336"/>
      <c r="L3" s="336"/>
      <c r="M3" s="336"/>
    </row>
    <row r="4" spans="1:15" s="1" customFormat="1">
      <c r="A4" s="336" t="s">
        <v>257</v>
      </c>
      <c r="B4" s="336" t="s">
        <v>258</v>
      </c>
      <c r="C4" s="336" t="s">
        <v>259</v>
      </c>
      <c r="D4" s="336" t="s">
        <v>429</v>
      </c>
      <c r="E4" s="371" t="s">
        <v>261</v>
      </c>
      <c r="F4" s="372"/>
      <c r="G4" s="372"/>
      <c r="H4" s="372"/>
      <c r="I4" s="372"/>
      <c r="J4" s="373"/>
      <c r="K4" s="371" t="s">
        <v>466</v>
      </c>
      <c r="L4" s="372"/>
      <c r="M4" s="373"/>
    </row>
    <row r="5" spans="1:15" s="1" customFormat="1" ht="38.25">
      <c r="A5" s="336"/>
      <c r="B5" s="336"/>
      <c r="C5" s="336"/>
      <c r="D5" s="336"/>
      <c r="E5" s="5" t="s">
        <v>292</v>
      </c>
      <c r="F5" s="5" t="s">
        <v>293</v>
      </c>
      <c r="G5" s="5" t="s">
        <v>294</v>
      </c>
      <c r="H5" s="5" t="s">
        <v>266</v>
      </c>
      <c r="I5" s="5" t="s">
        <v>267</v>
      </c>
      <c r="J5" s="17" t="s">
        <v>430</v>
      </c>
      <c r="K5" s="18" t="s">
        <v>467</v>
      </c>
      <c r="L5" s="18" t="s">
        <v>468</v>
      </c>
      <c r="M5" s="18" t="s">
        <v>469</v>
      </c>
    </row>
    <row r="6" spans="1:15" s="2" customFormat="1" ht="53.1" customHeight="1">
      <c r="A6" s="349">
        <v>1</v>
      </c>
      <c r="B6" s="356" t="s">
        <v>470</v>
      </c>
      <c r="C6" s="349" t="s">
        <v>259</v>
      </c>
      <c r="D6" s="349">
        <f>2</f>
        <v>2</v>
      </c>
      <c r="E6" s="6" t="s">
        <v>270</v>
      </c>
      <c r="F6" s="6" t="s">
        <v>471</v>
      </c>
      <c r="G6" s="7" t="s">
        <v>472</v>
      </c>
      <c r="H6" s="7" t="s">
        <v>473</v>
      </c>
      <c r="I6" s="7"/>
      <c r="J6" s="347">
        <f t="shared" ref="J6:J10" si="0">AVERAGE(E7:I7)</f>
        <v>485.08</v>
      </c>
      <c r="K6" s="345">
        <f t="shared" ref="K6:K10" si="1">D6*J6</f>
        <v>970.16</v>
      </c>
      <c r="L6" s="343">
        <v>0.2</v>
      </c>
      <c r="M6" s="341">
        <f t="shared" ref="M6:M10" si="2">K6*L6</f>
        <v>194.03</v>
      </c>
    </row>
    <row r="7" spans="1:15" s="2" customFormat="1">
      <c r="A7" s="350"/>
      <c r="B7" s="357"/>
      <c r="C7" s="350"/>
      <c r="D7" s="350"/>
      <c r="E7" s="7">
        <v>449.9</v>
      </c>
      <c r="F7" s="7">
        <v>491</v>
      </c>
      <c r="G7" s="7">
        <v>479.4</v>
      </c>
      <c r="H7" s="7">
        <v>520</v>
      </c>
      <c r="I7" s="7"/>
      <c r="J7" s="348"/>
      <c r="K7" s="346"/>
      <c r="L7" s="344"/>
      <c r="M7" s="342"/>
    </row>
    <row r="8" spans="1:15" s="2" customFormat="1" ht="98.1" customHeight="1">
      <c r="A8" s="349">
        <v>2</v>
      </c>
      <c r="B8" s="356" t="s">
        <v>474</v>
      </c>
      <c r="C8" s="349" t="s">
        <v>259</v>
      </c>
      <c r="D8" s="352">
        <f>'SEMAS TOTALIZADOR GERAL'!B6+'SEMAS TOTALIZADOR GERAL'!C6+'SEMAS TOTALIZADOR GERAL'!D6</f>
        <v>23</v>
      </c>
      <c r="E8" s="6" t="s">
        <v>278</v>
      </c>
      <c r="F8" s="7" t="s">
        <v>475</v>
      </c>
      <c r="G8" s="6" t="s">
        <v>476</v>
      </c>
      <c r="H8" s="6"/>
      <c r="I8" s="6"/>
      <c r="J8" s="347">
        <f t="shared" si="0"/>
        <v>1477.61</v>
      </c>
      <c r="K8" s="345">
        <f t="shared" si="1"/>
        <v>33985.03</v>
      </c>
      <c r="L8" s="343">
        <v>0.2</v>
      </c>
      <c r="M8" s="341">
        <f t="shared" si="2"/>
        <v>6797.01</v>
      </c>
    </row>
    <row r="9" spans="1:15" s="2" customFormat="1">
      <c r="A9" s="350"/>
      <c r="B9" s="357"/>
      <c r="C9" s="350"/>
      <c r="D9" s="350"/>
      <c r="E9" s="7">
        <v>1300.22</v>
      </c>
      <c r="F9" s="7">
        <v>1654.99</v>
      </c>
      <c r="G9" s="7"/>
      <c r="H9" s="7"/>
      <c r="I9" s="7"/>
      <c r="J9" s="348"/>
      <c r="K9" s="346"/>
      <c r="L9" s="344"/>
      <c r="M9" s="342"/>
    </row>
    <row r="10" spans="1:15" s="2" customFormat="1" ht="66" customHeight="1">
      <c r="A10" s="349">
        <v>3</v>
      </c>
      <c r="B10" s="356" t="s">
        <v>477</v>
      </c>
      <c r="C10" s="349" t="s">
        <v>259</v>
      </c>
      <c r="D10" s="353">
        <f>18*20%</f>
        <v>4</v>
      </c>
      <c r="E10" s="6" t="s">
        <v>278</v>
      </c>
      <c r="F10" s="6" t="s">
        <v>478</v>
      </c>
      <c r="G10" s="7" t="s">
        <v>479</v>
      </c>
      <c r="H10" s="7"/>
      <c r="I10" s="7"/>
      <c r="J10" s="347">
        <f t="shared" si="0"/>
        <v>2278.83</v>
      </c>
      <c r="K10" s="345">
        <f t="shared" si="1"/>
        <v>9115.32</v>
      </c>
      <c r="L10" s="343">
        <v>0.2</v>
      </c>
      <c r="M10" s="341">
        <f t="shared" si="2"/>
        <v>1823.06</v>
      </c>
    </row>
    <row r="11" spans="1:15" s="2" customFormat="1">
      <c r="A11" s="350"/>
      <c r="B11" s="357"/>
      <c r="C11" s="350"/>
      <c r="D11" s="354"/>
      <c r="E11" s="7">
        <v>2119</v>
      </c>
      <c r="F11" s="7">
        <v>2490</v>
      </c>
      <c r="G11" s="7">
        <v>2227.4899999999998</v>
      </c>
      <c r="H11" s="7"/>
      <c r="I11" s="7"/>
      <c r="J11" s="348"/>
      <c r="K11" s="346"/>
      <c r="L11" s="344"/>
      <c r="M11" s="342"/>
    </row>
    <row r="12" spans="1:15" s="2" customFormat="1" ht="117.95" customHeight="1">
      <c r="A12" s="349">
        <v>4</v>
      </c>
      <c r="B12" s="356" t="s">
        <v>480</v>
      </c>
      <c r="C12" s="349" t="s">
        <v>259</v>
      </c>
      <c r="D12" s="353">
        <f>18*20%</f>
        <v>4</v>
      </c>
      <c r="E12" s="7" t="s">
        <v>481</v>
      </c>
      <c r="F12" s="6" t="s">
        <v>482</v>
      </c>
      <c r="G12" s="6" t="s">
        <v>483</v>
      </c>
      <c r="H12" s="6" t="s">
        <v>484</v>
      </c>
      <c r="I12" s="6"/>
      <c r="J12" s="347">
        <f t="shared" ref="J12:J16" si="3">AVERAGE(E13:I13)</f>
        <v>3027.54</v>
      </c>
      <c r="K12" s="345">
        <f t="shared" ref="K12:K16" si="4">D12*J12</f>
        <v>12110.16</v>
      </c>
      <c r="L12" s="343">
        <v>0.2</v>
      </c>
      <c r="M12" s="341">
        <f t="shared" ref="M12:M16" si="5">K12*L12</f>
        <v>2422.0300000000002</v>
      </c>
    </row>
    <row r="13" spans="1:15" s="2" customFormat="1">
      <c r="A13" s="350"/>
      <c r="B13" s="357"/>
      <c r="C13" s="350"/>
      <c r="D13" s="354"/>
      <c r="E13" s="7">
        <v>2399.2800000000002</v>
      </c>
      <c r="F13" s="7">
        <v>3965.88</v>
      </c>
      <c r="G13" s="7">
        <v>3100</v>
      </c>
      <c r="H13" s="7">
        <v>2645</v>
      </c>
      <c r="I13" s="7"/>
      <c r="J13" s="348"/>
      <c r="K13" s="346"/>
      <c r="L13" s="344"/>
      <c r="M13" s="342"/>
    </row>
    <row r="14" spans="1:15" s="2" customFormat="1" ht="57.95" customHeight="1">
      <c r="A14" s="349">
        <v>5</v>
      </c>
      <c r="B14" s="356" t="s">
        <v>485</v>
      </c>
      <c r="C14" s="349" t="s">
        <v>259</v>
      </c>
      <c r="D14" s="349">
        <v>2</v>
      </c>
      <c r="E14" s="7" t="s">
        <v>486</v>
      </c>
      <c r="F14" s="7" t="s">
        <v>487</v>
      </c>
      <c r="G14" s="6" t="s">
        <v>488</v>
      </c>
      <c r="H14" s="6" t="s">
        <v>489</v>
      </c>
      <c r="I14" s="6"/>
      <c r="J14" s="347">
        <f t="shared" si="3"/>
        <v>484.7</v>
      </c>
      <c r="K14" s="345">
        <f t="shared" si="4"/>
        <v>969.4</v>
      </c>
      <c r="L14" s="343">
        <v>0.2</v>
      </c>
      <c r="M14" s="341">
        <f t="shared" si="5"/>
        <v>193.88</v>
      </c>
    </row>
    <row r="15" spans="1:15" s="2" customFormat="1">
      <c r="A15" s="350"/>
      <c r="B15" s="357"/>
      <c r="C15" s="350"/>
      <c r="D15" s="350"/>
      <c r="E15" s="7">
        <v>489.9</v>
      </c>
      <c r="F15" s="7">
        <v>459</v>
      </c>
      <c r="G15" s="7">
        <v>519.89</v>
      </c>
      <c r="H15" s="7">
        <v>470</v>
      </c>
      <c r="I15" s="7"/>
      <c r="J15" s="348"/>
      <c r="K15" s="346"/>
      <c r="L15" s="344"/>
      <c r="M15" s="342"/>
    </row>
    <row r="16" spans="1:15" s="2" customFormat="1" ht="141.94999999999999" customHeight="1">
      <c r="A16" s="349">
        <v>6</v>
      </c>
      <c r="B16" s="356" t="s">
        <v>490</v>
      </c>
      <c r="C16" s="349" t="s">
        <v>259</v>
      </c>
      <c r="D16" s="349">
        <v>0</v>
      </c>
      <c r="E16" s="6" t="s">
        <v>278</v>
      </c>
      <c r="F16" s="7" t="s">
        <v>491</v>
      </c>
      <c r="G16" s="7" t="s">
        <v>492</v>
      </c>
      <c r="H16" s="7"/>
      <c r="I16" s="7"/>
      <c r="J16" s="347">
        <f t="shared" si="3"/>
        <v>9171.2199999999993</v>
      </c>
      <c r="K16" s="345">
        <f t="shared" si="4"/>
        <v>0</v>
      </c>
      <c r="L16" s="343">
        <v>0.2</v>
      </c>
      <c r="M16" s="341">
        <f t="shared" si="5"/>
        <v>0</v>
      </c>
    </row>
    <row r="17" spans="1:20">
      <c r="A17" s="350"/>
      <c r="B17" s="357"/>
      <c r="C17" s="350"/>
      <c r="D17" s="350"/>
      <c r="E17" s="7">
        <v>10758</v>
      </c>
      <c r="F17" s="7">
        <v>8498</v>
      </c>
      <c r="G17" s="7">
        <v>8257.67</v>
      </c>
      <c r="H17" s="7"/>
      <c r="I17" s="7"/>
      <c r="J17" s="348"/>
      <c r="K17" s="346"/>
      <c r="L17" s="344"/>
      <c r="M17" s="342"/>
      <c r="N17" s="2"/>
      <c r="O17" s="2"/>
      <c r="P17" s="2"/>
      <c r="Q17" s="2"/>
      <c r="R17" s="2"/>
      <c r="S17" s="2"/>
      <c r="T17" s="2"/>
    </row>
    <row r="18" spans="1:20" ht="99" customHeight="1">
      <c r="A18" s="335">
        <v>7</v>
      </c>
      <c r="B18" s="355" t="s">
        <v>493</v>
      </c>
      <c r="C18" s="349" t="s">
        <v>259</v>
      </c>
      <c r="D18" s="335">
        <v>0</v>
      </c>
      <c r="E18" s="7" t="s">
        <v>278</v>
      </c>
      <c r="F18" s="6" t="s">
        <v>494</v>
      </c>
      <c r="G18" s="7" t="s">
        <v>495</v>
      </c>
      <c r="H18" s="7"/>
      <c r="I18" s="7"/>
      <c r="J18" s="347">
        <f t="shared" ref="J18:J22" si="6">AVERAGE(E19:I19)</f>
        <v>1039.98</v>
      </c>
      <c r="K18" s="345">
        <f t="shared" ref="K18:K22" si="7">D18*J18</f>
        <v>0</v>
      </c>
      <c r="L18" s="343">
        <v>0.2</v>
      </c>
      <c r="M18" s="341">
        <f t="shared" ref="M18:M22" si="8">K18*L18</f>
        <v>0</v>
      </c>
      <c r="N18" s="2"/>
      <c r="O18" s="2"/>
      <c r="P18" s="2"/>
      <c r="Q18" s="2"/>
      <c r="R18" s="2"/>
      <c r="S18" s="2"/>
      <c r="T18" s="2"/>
    </row>
    <row r="19" spans="1:20">
      <c r="A19" s="335"/>
      <c r="B19" s="355"/>
      <c r="C19" s="350"/>
      <c r="D19" s="335"/>
      <c r="E19" s="7">
        <v>1225.3</v>
      </c>
      <c r="F19" s="7">
        <v>1045.47</v>
      </c>
      <c r="G19" s="7">
        <v>849.16</v>
      </c>
      <c r="H19" s="7"/>
      <c r="I19" s="7"/>
      <c r="J19" s="348"/>
      <c r="K19" s="346"/>
      <c r="L19" s="344"/>
      <c r="M19" s="342"/>
      <c r="N19" s="2"/>
      <c r="O19" s="2"/>
      <c r="P19" s="2"/>
      <c r="Q19" s="2"/>
      <c r="R19" s="2"/>
      <c r="S19" s="2"/>
      <c r="T19" s="2"/>
    </row>
    <row r="20" spans="1:20" ht="167.1" customHeight="1">
      <c r="A20" s="335">
        <v>8</v>
      </c>
      <c r="B20" s="355" t="s">
        <v>496</v>
      </c>
      <c r="C20" s="349" t="s">
        <v>259</v>
      </c>
      <c r="D20" s="335">
        <v>0</v>
      </c>
      <c r="E20" s="6" t="s">
        <v>278</v>
      </c>
      <c r="F20" s="7" t="s">
        <v>343</v>
      </c>
      <c r="G20" s="7" t="s">
        <v>383</v>
      </c>
      <c r="H20" s="7"/>
      <c r="I20" s="7"/>
      <c r="J20" s="347">
        <f t="shared" si="6"/>
        <v>946.88</v>
      </c>
      <c r="K20" s="345">
        <f t="shared" si="7"/>
        <v>0</v>
      </c>
      <c r="L20" s="343">
        <v>0.2</v>
      </c>
      <c r="M20" s="341">
        <f t="shared" si="8"/>
        <v>0</v>
      </c>
      <c r="N20" s="2"/>
      <c r="O20" s="2"/>
      <c r="P20" s="2"/>
      <c r="Q20" s="2"/>
      <c r="R20" s="2"/>
      <c r="S20" s="2"/>
      <c r="T20" s="2"/>
    </row>
    <row r="21" spans="1:20">
      <c r="A21" s="335"/>
      <c r="B21" s="355"/>
      <c r="C21" s="350"/>
      <c r="D21" s="335"/>
      <c r="E21" s="7">
        <v>840</v>
      </c>
      <c r="F21" s="7">
        <v>980.75</v>
      </c>
      <c r="G21" s="7">
        <v>1019.9</v>
      </c>
      <c r="H21" s="7"/>
      <c r="I21" s="7"/>
      <c r="J21" s="348"/>
      <c r="K21" s="346"/>
      <c r="L21" s="344"/>
      <c r="M21" s="342"/>
      <c r="N21" s="2"/>
      <c r="O21" s="2"/>
      <c r="P21" s="2"/>
      <c r="Q21" s="2"/>
      <c r="R21" s="2"/>
      <c r="S21" s="2"/>
      <c r="T21" s="2"/>
    </row>
    <row r="22" spans="1:20" ht="69.95" customHeight="1">
      <c r="A22" s="335">
        <v>9</v>
      </c>
      <c r="B22" s="355" t="s">
        <v>497</v>
      </c>
      <c r="C22" s="349" t="s">
        <v>259</v>
      </c>
      <c r="D22" s="351">
        <f>18*20%</f>
        <v>4</v>
      </c>
      <c r="E22" s="6" t="s">
        <v>278</v>
      </c>
      <c r="F22" s="7" t="s">
        <v>498</v>
      </c>
      <c r="G22" s="7" t="s">
        <v>499</v>
      </c>
      <c r="H22" s="7"/>
      <c r="I22" s="7"/>
      <c r="J22" s="347">
        <f t="shared" si="6"/>
        <v>1291.6600000000001</v>
      </c>
      <c r="K22" s="345">
        <f t="shared" si="7"/>
        <v>5166.6400000000003</v>
      </c>
      <c r="L22" s="343">
        <v>0.2</v>
      </c>
      <c r="M22" s="341">
        <f t="shared" si="8"/>
        <v>1033.33</v>
      </c>
      <c r="N22" s="2"/>
      <c r="O22" s="2"/>
      <c r="P22" s="2"/>
      <c r="Q22" s="2"/>
      <c r="R22" s="2"/>
      <c r="S22" s="2"/>
      <c r="T22" s="2"/>
    </row>
    <row r="23" spans="1:20">
      <c r="A23" s="335"/>
      <c r="B23" s="355"/>
      <c r="C23" s="350"/>
      <c r="D23" s="335"/>
      <c r="E23" s="9">
        <v>1485</v>
      </c>
      <c r="F23" s="9">
        <v>1189.99</v>
      </c>
      <c r="G23" s="9">
        <v>1200</v>
      </c>
      <c r="H23" s="9"/>
      <c r="I23" s="9"/>
      <c r="J23" s="348"/>
      <c r="K23" s="346"/>
      <c r="L23" s="344"/>
      <c r="M23" s="342"/>
      <c r="N23" s="2"/>
      <c r="O23" s="2"/>
      <c r="P23" s="2"/>
      <c r="Q23" s="2"/>
      <c r="R23" s="2"/>
      <c r="S23" s="2"/>
      <c r="T23" s="2"/>
    </row>
    <row r="24" spans="1:20" ht="66" customHeight="1">
      <c r="A24" s="335">
        <v>10</v>
      </c>
      <c r="B24" s="355" t="s">
        <v>500</v>
      </c>
      <c r="C24" s="335" t="s">
        <v>259</v>
      </c>
      <c r="D24" s="351">
        <f>18*20%</f>
        <v>4</v>
      </c>
      <c r="E24" s="7" t="s">
        <v>501</v>
      </c>
      <c r="F24" s="6" t="s">
        <v>278</v>
      </c>
      <c r="G24" s="7" t="s">
        <v>502</v>
      </c>
      <c r="H24" s="6" t="s">
        <v>503</v>
      </c>
      <c r="I24" s="7" t="s">
        <v>501</v>
      </c>
      <c r="J24" s="347">
        <f>AVERAGE(E25:I25)</f>
        <v>832.4</v>
      </c>
      <c r="K24" s="345">
        <f>D24*J24</f>
        <v>3329.6</v>
      </c>
      <c r="L24" s="343">
        <v>0.2</v>
      </c>
      <c r="M24" s="341">
        <f>K24*L24</f>
        <v>665.92</v>
      </c>
      <c r="N24" s="2"/>
      <c r="O24" s="2"/>
      <c r="P24" s="2"/>
      <c r="Q24" s="2"/>
      <c r="R24" s="2"/>
      <c r="S24" s="2"/>
      <c r="T24" s="2"/>
    </row>
    <row r="25" spans="1:20">
      <c r="A25" s="335"/>
      <c r="B25" s="355"/>
      <c r="C25" s="335"/>
      <c r="D25" s="335"/>
      <c r="E25" s="10">
        <v>820</v>
      </c>
      <c r="F25" s="10">
        <v>799</v>
      </c>
      <c r="G25" s="10">
        <v>898</v>
      </c>
      <c r="H25" s="10">
        <v>800</v>
      </c>
      <c r="I25" s="10">
        <v>845</v>
      </c>
      <c r="J25" s="348"/>
      <c r="K25" s="346"/>
      <c r="L25" s="344"/>
      <c r="M25" s="342"/>
      <c r="N25" s="2"/>
      <c r="O25" s="2"/>
      <c r="P25" s="2"/>
      <c r="Q25" s="2"/>
      <c r="R25" s="2"/>
      <c r="S25" s="2"/>
      <c r="T25" s="2"/>
    </row>
    <row r="26" spans="1:20" ht="25.5">
      <c r="A26" s="11"/>
      <c r="B26" s="11"/>
      <c r="C26" s="11"/>
      <c r="D26" s="11"/>
      <c r="E26" s="12"/>
      <c r="F26" s="2"/>
      <c r="G26" s="2"/>
      <c r="H26" s="2"/>
      <c r="I26" s="2"/>
      <c r="J26" s="22" t="s">
        <v>504</v>
      </c>
      <c r="K26" s="23">
        <f>SUM(K6:K25)</f>
        <v>65646.31</v>
      </c>
      <c r="L26" s="23"/>
      <c r="M26" s="24">
        <f>SUM(M6:M25)</f>
        <v>13129.26</v>
      </c>
      <c r="N26" s="25"/>
      <c r="O26" s="2"/>
      <c r="P26" s="2"/>
      <c r="Q26" s="2"/>
      <c r="R26" s="2"/>
      <c r="S26" s="2"/>
      <c r="T26" s="2"/>
    </row>
    <row r="27" spans="1:20">
      <c r="A27" s="11"/>
      <c r="B27" s="11"/>
      <c r="C27" s="11"/>
      <c r="D27" s="11"/>
      <c r="E27" s="12"/>
      <c r="F27" s="2"/>
      <c r="G27" s="2"/>
      <c r="H27" s="2"/>
      <c r="I27" s="2"/>
      <c r="J27" s="358" t="s">
        <v>505</v>
      </c>
      <c r="K27" s="359"/>
      <c r="L27" s="360"/>
      <c r="M27" s="26">
        <v>12</v>
      </c>
      <c r="N27" s="2"/>
      <c r="O27" s="2"/>
      <c r="P27" s="2"/>
      <c r="Q27" s="2"/>
      <c r="R27" s="2"/>
      <c r="S27" s="2"/>
      <c r="T27" s="2"/>
    </row>
    <row r="28" spans="1:20">
      <c r="F28" s="2"/>
      <c r="G28" s="2"/>
      <c r="H28" s="2"/>
      <c r="I28" s="2"/>
      <c r="J28" s="361" t="s">
        <v>506</v>
      </c>
      <c r="K28" s="362"/>
      <c r="L28" s="363"/>
      <c r="M28" s="27">
        <f>M26/M27</f>
        <v>1094.1099999999999</v>
      </c>
      <c r="P28" s="28"/>
    </row>
    <row r="29" spans="1:20">
      <c r="A29" s="13"/>
      <c r="B29" s="13"/>
      <c r="C29" s="13"/>
      <c r="D29" s="13"/>
      <c r="E29" s="13"/>
      <c r="F29" s="13"/>
      <c r="G29" s="2"/>
      <c r="H29" s="2"/>
      <c r="I29" s="2"/>
      <c r="J29" s="364" t="s">
        <v>463</v>
      </c>
      <c r="K29" s="365"/>
      <c r="L29" s="366"/>
      <c r="M29" s="29">
        <f>'SEMAS TOTALIZADOR GERAL'!L6-'SEMAS TOTALIZADOR GERAL'!I6</f>
        <v>33</v>
      </c>
    </row>
    <row r="30" spans="1:20">
      <c r="A30" s="13"/>
      <c r="B30" s="13"/>
      <c r="C30" s="13"/>
      <c r="D30" s="13"/>
      <c r="E30" s="13"/>
      <c r="F30" s="13"/>
      <c r="G30" s="2"/>
      <c r="H30" s="2"/>
      <c r="I30" s="2"/>
      <c r="J30" s="367" t="s">
        <v>507</v>
      </c>
      <c r="K30" s="368"/>
      <c r="L30" s="369"/>
      <c r="M30" s="30">
        <f>M28/M29</f>
        <v>33.15</v>
      </c>
    </row>
    <row r="31" spans="1:20">
      <c r="A31" s="14"/>
      <c r="B31" s="15"/>
      <c r="C31" s="15"/>
      <c r="D31" s="15"/>
      <c r="E31" s="15"/>
      <c r="F31" s="15"/>
      <c r="G31" s="15"/>
      <c r="H31" s="15"/>
      <c r="I31" s="15"/>
      <c r="J31" s="31"/>
      <c r="M31" s="32"/>
    </row>
    <row r="32" spans="1:20" ht="26.1" customHeight="1">
      <c r="A32" s="370" t="s">
        <v>508</v>
      </c>
      <c r="B32" s="370"/>
      <c r="C32" s="370"/>
      <c r="D32" s="370"/>
      <c r="E32" s="370"/>
      <c r="F32" s="370"/>
      <c r="G32" s="370"/>
      <c r="H32" s="370"/>
      <c r="I32" s="370"/>
      <c r="J32" s="370"/>
      <c r="K32" s="370"/>
      <c r="L32" s="370"/>
      <c r="M32" s="370"/>
    </row>
    <row r="33" spans="1:13" ht="48" customHeight="1">
      <c r="A33" s="355" t="s">
        <v>509</v>
      </c>
      <c r="B33" s="355"/>
      <c r="C33" s="355"/>
      <c r="D33" s="355"/>
      <c r="E33" s="355"/>
      <c r="F33" s="355"/>
      <c r="G33" s="355"/>
      <c r="H33" s="355"/>
      <c r="I33" s="355"/>
      <c r="J33" s="355"/>
      <c r="K33" s="355"/>
      <c r="L33" s="355"/>
      <c r="M33" s="355"/>
    </row>
  </sheetData>
  <mergeCells count="95">
    <mergeCell ref="J30:L30"/>
    <mergeCell ref="A32:M32"/>
    <mergeCell ref="A1:M1"/>
    <mergeCell ref="A2:M2"/>
    <mergeCell ref="A3:M3"/>
    <mergeCell ref="E4:J4"/>
    <mergeCell ref="K4:M4"/>
    <mergeCell ref="D4:D5"/>
    <mergeCell ref="B8:B9"/>
    <mergeCell ref="B10:B11"/>
    <mergeCell ref="J27:L27"/>
    <mergeCell ref="J28:L28"/>
    <mergeCell ref="J29:L29"/>
    <mergeCell ref="B18:B19"/>
    <mergeCell ref="B20:B21"/>
    <mergeCell ref="A33:M33"/>
    <mergeCell ref="A4:A5"/>
    <mergeCell ref="A6:A7"/>
    <mergeCell ref="A8:A9"/>
    <mergeCell ref="A10:A11"/>
    <mergeCell ref="A12:A13"/>
    <mergeCell ref="A14:A15"/>
    <mergeCell ref="A16:A17"/>
    <mergeCell ref="A18:A19"/>
    <mergeCell ref="A20:A21"/>
    <mergeCell ref="A22:A23"/>
    <mergeCell ref="A24:A25"/>
    <mergeCell ref="B4:B5"/>
    <mergeCell ref="B6:B7"/>
    <mergeCell ref="B22:B23"/>
    <mergeCell ref="B24:B25"/>
    <mergeCell ref="C4:C5"/>
    <mergeCell ref="C6:C7"/>
    <mergeCell ref="C8:C9"/>
    <mergeCell ref="C10:C11"/>
    <mergeCell ref="C12:C13"/>
    <mergeCell ref="C14:C15"/>
    <mergeCell ref="C16:C17"/>
    <mergeCell ref="C18:C19"/>
    <mergeCell ref="C20:C21"/>
    <mergeCell ref="C22:C23"/>
    <mergeCell ref="C24:C25"/>
    <mergeCell ref="B12:B13"/>
    <mergeCell ref="B14:B15"/>
    <mergeCell ref="B16:B17"/>
    <mergeCell ref="D6:D7"/>
    <mergeCell ref="D8:D9"/>
    <mergeCell ref="D10:D11"/>
    <mergeCell ref="D12:D13"/>
    <mergeCell ref="D14:D15"/>
    <mergeCell ref="D16:D17"/>
    <mergeCell ref="D18:D19"/>
    <mergeCell ref="D20:D21"/>
    <mergeCell ref="D22:D23"/>
    <mergeCell ref="D24:D25"/>
    <mergeCell ref="J6:J7"/>
    <mergeCell ref="J8:J9"/>
    <mergeCell ref="J10:J11"/>
    <mergeCell ref="J12:J13"/>
    <mergeCell ref="J14:J15"/>
    <mergeCell ref="J16:J17"/>
    <mergeCell ref="J18:J19"/>
    <mergeCell ref="J20:J21"/>
    <mergeCell ref="J22:J23"/>
    <mergeCell ref="J24:J25"/>
    <mergeCell ref="K6:K7"/>
    <mergeCell ref="K8:K9"/>
    <mergeCell ref="K10:K11"/>
    <mergeCell ref="K12:K13"/>
    <mergeCell ref="K14:K15"/>
    <mergeCell ref="K16:K17"/>
    <mergeCell ref="K18:K19"/>
    <mergeCell ref="K20:K21"/>
    <mergeCell ref="K22:K23"/>
    <mergeCell ref="K24:K25"/>
    <mergeCell ref="L6:L7"/>
    <mergeCell ref="L8:L9"/>
    <mergeCell ref="L10:L11"/>
    <mergeCell ref="L12:L13"/>
    <mergeCell ref="L14:L15"/>
    <mergeCell ref="L16:L17"/>
    <mergeCell ref="L18:L19"/>
    <mergeCell ref="L20:L21"/>
    <mergeCell ref="L22:L23"/>
    <mergeCell ref="L24:L25"/>
    <mergeCell ref="M6:M7"/>
    <mergeCell ref="M8:M9"/>
    <mergeCell ref="M10:M11"/>
    <mergeCell ref="M12:M13"/>
    <mergeCell ref="M14:M15"/>
    <mergeCell ref="M16:M17"/>
    <mergeCell ref="M18:M19"/>
    <mergeCell ref="M20:M21"/>
    <mergeCell ref="M22:M23"/>
    <mergeCell ref="M24:M25"/>
  </mergeCells>
  <pageMargins left="0.55416666666666703" right="0.35763888888888901" top="0.80277777777777803" bottom="0.60555555555555596" header="0.5" footer="0.5"/>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9</vt:i4>
      </vt:variant>
    </vt:vector>
  </HeadingPairs>
  <TitlesOfParts>
    <vt:vector size="22" baseType="lpstr">
      <vt:lpstr>RAIZ DOS DADOS</vt:lpstr>
      <vt:lpstr>SEMAS TOTALIZADOR GERAL</vt:lpstr>
      <vt:lpstr>SEMAS 1-A_Servente Insal 30h</vt:lpstr>
      <vt:lpstr>SEMAS 2-B_Servente Insal 40h</vt:lpstr>
      <vt:lpstr>SEMAS 2-C_Servente 30 h</vt:lpstr>
      <vt:lpstr>SEMAS 2-D_Servente Ext 30 h</vt:lpstr>
      <vt:lpstr>SEMAS 2-E_Servente Ext 40 h</vt:lpstr>
      <vt:lpstr>SEMAS 2-F_Encarregado 30 h</vt:lpstr>
      <vt:lpstr>SEMAS 2-G_Jardineiro 30 hs</vt:lpstr>
      <vt:lpstr>SEMAS 2_Uniformes</vt:lpstr>
      <vt:lpstr>SEMAS 2_EPI's</vt:lpstr>
      <vt:lpstr>SEMAS 2_Materiais</vt:lpstr>
      <vt:lpstr>SEMAS 2_Equipamentos</vt:lpstr>
      <vt:lpstr>'SEMAS 1-A_Servente Insal 30h'!Area_de_impressao</vt:lpstr>
      <vt:lpstr>'SEMAS 2_EPI''s'!Area_de_impressao</vt:lpstr>
      <vt:lpstr>'SEMAS 2-B_Servente Insal 40h'!Area_de_impressao</vt:lpstr>
      <vt:lpstr>'SEMAS 2-C_Servente 30 h'!Area_de_impressao</vt:lpstr>
      <vt:lpstr>'SEMAS 2-D_Servente Ext 30 h'!Area_de_impressao</vt:lpstr>
      <vt:lpstr>'SEMAS 2-E_Servente Ext 40 h'!Area_de_impressao</vt:lpstr>
      <vt:lpstr>'SEMAS 2-F_Encarregado 30 h'!Area_de_impressao</vt:lpstr>
      <vt:lpstr>'SEMAS 2-G_Jardineiro 30 hs'!Area_de_impressao</vt:lpstr>
      <vt:lpstr>'SEMAS TOTALIZADOR GERAL'!Area_de_impressao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mirian.joboji</dc:creator>
  <dcterms:created xsi:type="dcterms:W3CDTF">2021-09-17T14:28:00Z</dcterms:created>
  <dcterms:modified xsi:type="dcterms:W3CDTF">2026-05-15T11:28:21Z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14096A3B76BD4D9AABCEEC36A19F9F91_13</vt:lpwstr>
  </property>
  <property fmtid="{D5CDD505-2E9C-101B-9397-08002B2CF9AE}" pid="3" name="KSOProductBuildVer">
    <vt:lpwstr>1046-12.2.0.23155</vt:lpwstr>
  </property>
</Properties>
</file>