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EstaPasta_de_trabalho" defaultThemeVersion="124226"/>
  <mc:AlternateContent xmlns:mc="http://schemas.openxmlformats.org/markup-compatibility/2006">
    <mc:Choice Requires="x15">
      <x15ac:absPath xmlns:x15ac="http://schemas.microsoft.com/office/spreadsheetml/2010/11/ac" url="Z:\OBRAS PÚBLICAS\2025\PM JARDIM\INFRAESTRUTURA\EXECUTIVO\RUA RUBI\Projetos\Planilhas\"/>
    </mc:Choice>
  </mc:AlternateContent>
  <bookViews>
    <workbookView xWindow="0" yWindow="0" windowWidth="15345" windowHeight="4545" tabRatio="947" activeTab="2"/>
  </bookViews>
  <sheets>
    <sheet name="DADOS" sheetId="102" r:id="rId1"/>
    <sheet name="Resumo DMT's" sheetId="151" r:id="rId2"/>
    <sheet name="Orçamento" sheetId="1" r:id="rId3"/>
    <sheet name="BDI SERVIÇO" sheetId="153" state="hidden" r:id="rId4"/>
    <sheet name="BDI INSUMO" sheetId="181" state="hidden" r:id="rId5"/>
    <sheet name="Tabela Resumo" sheetId="51" r:id="rId6"/>
    <sheet name="Cronograma" sheetId="53" r:id="rId7"/>
    <sheet name="Serv. Preliminares" sheetId="62" r:id="rId8"/>
    <sheet name="Demolições" sheetId="162" r:id="rId9"/>
    <sheet name="Dre-Dados" sheetId="56" state="hidden" r:id="rId10"/>
    <sheet name="Cubação Terrapl" sheetId="182" r:id="rId11"/>
    <sheet name="Dre-Terraplenagem" sheetId="183" r:id="rId12"/>
    <sheet name="Dre-Disp. Estruturais" sheetId="58" r:id="rId13"/>
    <sheet name="Dre-Fech de Vala" sheetId="57" r:id="rId14"/>
    <sheet name="Serv. Complementares" sheetId="65" r:id="rId15"/>
  </sheets>
  <definedNames>
    <definedName name="_xlnm.Print_Area" localSheetId="4">'BDI INSUMO'!$B$2:$H$67</definedName>
    <definedName name="_xlnm.Print_Area" localSheetId="3">'BDI SERVIÇO'!$B$2:$H$67</definedName>
    <definedName name="_xlnm.Print_Area" localSheetId="6">Cronograma!$B$2:$J$18</definedName>
    <definedName name="_xlnm.Print_Area" localSheetId="10">'Cubação Terrapl'!$B$2:$K$19</definedName>
    <definedName name="_xlnm.Print_Area" localSheetId="0">DADOS!$B$2:$C$23</definedName>
    <definedName name="_xlnm.Print_Area" localSheetId="8">Demolições!$B$2:$I$21</definedName>
    <definedName name="_xlnm.Print_Area" localSheetId="9">'Dre-Dados'!$B$2:$L$45</definedName>
    <definedName name="_xlnm.Print_Area" localSheetId="12">'Dre-Disp. Estruturais'!$B$2:$I$43</definedName>
    <definedName name="_xlnm.Print_Area" localSheetId="13">'Dre-Fech de Vala'!$B$2:$K$51</definedName>
    <definedName name="_xlnm.Print_Area" localSheetId="11">'Dre-Terraplenagem'!$B$2:$I$37</definedName>
    <definedName name="_xlnm.Print_Area" localSheetId="2">Orçamento!$B$2:$L$135</definedName>
    <definedName name="_xlnm.Print_Area" localSheetId="1">'Resumo DMT''s'!$B$2:$E$19</definedName>
    <definedName name="_xlnm.Print_Area" localSheetId="14">'Serv. Complementares'!$B$2:$I$15</definedName>
    <definedName name="_xlnm.Print_Area" localSheetId="7">'Serv. Preliminares'!$B$2:$I$18</definedName>
    <definedName name="_xlnm.Print_Area" localSheetId="5">'Tabela Resumo'!$B$2:$F$16</definedName>
    <definedName name="LINHA7" localSheetId="4">#REF!</definedName>
    <definedName name="LINHA7" localSheetId="3">#REF!</definedName>
    <definedName name="LINHA7" localSheetId="8">#REF!</definedName>
    <definedName name="LINHA7">#REF!</definedName>
    <definedName name="Print_Area_MI" localSheetId="4">#REF!</definedName>
    <definedName name="Print_Area_MI">#REF!</definedName>
    <definedName name="_xlnm.Print_Titles" localSheetId="6">Cronograma!$B:$F,Cronograma!$2:$6</definedName>
    <definedName name="_xlnm.Print_Titles" localSheetId="10">'Cubação Terrapl'!$2:$6</definedName>
    <definedName name="_xlnm.Print_Titles" localSheetId="8">Demolições!$B:$F,Demolições!$2:$6</definedName>
    <definedName name="_xlnm.Print_Titles" localSheetId="12">'Dre-Disp. Estruturais'!$B:$F,'Dre-Disp. Estruturais'!$2:$6</definedName>
    <definedName name="_xlnm.Print_Titles" localSheetId="13">'Dre-Fech de Vala'!$B:$H,'Dre-Fech de Vala'!$2:$6</definedName>
    <definedName name="_xlnm.Print_Titles" localSheetId="11">'Dre-Terraplenagem'!$B:$F,'Dre-Terraplenagem'!$2:$6</definedName>
    <definedName name="_xlnm.Print_Titles" localSheetId="2">Orçamento!$2:$12</definedName>
    <definedName name="_xlnm.Print_Titles" localSheetId="14">'Serv. Complementares'!$B:$F,'Serv. Complementares'!$2:$6</definedName>
    <definedName name="_xlnm.Print_Titles" localSheetId="7">'Serv. Preliminares'!$B:$F,'Serv. Preliminares'!$2:$6</definedName>
    <definedName name="Z_0B914F5C_7316_4563_8D6F_D6875F91F0FA_.wvu.Cols" localSheetId="4" hidden="1">'BDI INSUMO'!$J:$K,'BDI INSUMO'!$O:$AT</definedName>
    <definedName name="Z_0B914F5C_7316_4563_8D6F_D6875F91F0FA_.wvu.Cols" localSheetId="3" hidden="1">'BDI SERVIÇO'!$J:$K,'BDI SERVIÇO'!$O:$AT</definedName>
    <definedName name="Z_0B914F5C_7316_4563_8D6F_D6875F91F0FA_.wvu.PrintArea" localSheetId="4" hidden="1">'BDI INSUMO'!$B$2:$H$61</definedName>
    <definedName name="Z_0B914F5C_7316_4563_8D6F_D6875F91F0FA_.wvu.PrintArea" localSheetId="3" hidden="1">'BDI SERVIÇO'!$B$2:$H$61</definedName>
  </definedNames>
  <calcPr calcId="162913"/>
</workbook>
</file>

<file path=xl/calcChain.xml><?xml version="1.0" encoding="utf-8"?>
<calcChain xmlns="http://schemas.openxmlformats.org/spreadsheetml/2006/main">
  <c r="L12" i="53" l="1"/>
  <c r="L13" i="53"/>
  <c r="L14" i="53"/>
  <c r="L15" i="53"/>
  <c r="L11" i="53"/>
  <c r="N135" i="1"/>
  <c r="G34" i="1"/>
  <c r="I18" i="162"/>
  <c r="G18" i="162"/>
  <c r="G18" i="62" l="1"/>
  <c r="G17" i="62"/>
  <c r="P129" i="1"/>
  <c r="G13" i="65"/>
  <c r="G10" i="162"/>
  <c r="G49" i="1" l="1"/>
  <c r="I26" i="183"/>
  <c r="G26" i="183"/>
  <c r="G17" i="162"/>
  <c r="G19" i="162" s="1"/>
  <c r="I8" i="57" l="1"/>
  <c r="G11" i="58"/>
  <c r="G12" i="58"/>
  <c r="G13" i="58"/>
  <c r="G15" i="58"/>
  <c r="G16" i="58"/>
  <c r="G21" i="58"/>
  <c r="G10" i="58"/>
  <c r="I19" i="57"/>
  <c r="I18" i="57"/>
  <c r="I20" i="57" s="1"/>
  <c r="I17" i="57"/>
  <c r="G17" i="182" l="1"/>
  <c r="K17" i="182" s="1"/>
  <c r="J17" i="182" l="1"/>
  <c r="G19" i="183" l="1"/>
  <c r="G19" i="58" s="1"/>
  <c r="G8" i="58"/>
  <c r="I10" i="183"/>
  <c r="G10" i="62" s="1"/>
  <c r="G17" i="183"/>
  <c r="G17" i="58" s="1"/>
  <c r="G14" i="183"/>
  <c r="E37" i="183"/>
  <c r="E58" i="1" s="1"/>
  <c r="E36" i="183"/>
  <c r="E57" i="1" s="1"/>
  <c r="E25" i="183"/>
  <c r="E48" i="1" s="1"/>
  <c r="C6" i="183"/>
  <c r="B6" i="183"/>
  <c r="C5" i="183"/>
  <c r="B5" i="183"/>
  <c r="C3" i="183"/>
  <c r="B3" i="183"/>
  <c r="C2" i="183"/>
  <c r="B2" i="183"/>
  <c r="C6" i="182"/>
  <c r="B6" i="182"/>
  <c r="C5" i="182"/>
  <c r="B5" i="182"/>
  <c r="C3" i="182"/>
  <c r="B3" i="182"/>
  <c r="C2" i="182"/>
  <c r="B2" i="182"/>
  <c r="G34" i="183"/>
  <c r="G35" i="183" s="1"/>
  <c r="I35" i="183" s="1"/>
  <c r="G56" i="1" s="1"/>
  <c r="G32" i="183"/>
  <c r="G30" i="183"/>
  <c r="I30" i="183" s="1"/>
  <c r="G53" i="1" s="1"/>
  <c r="I19" i="182"/>
  <c r="H19" i="182"/>
  <c r="G16" i="182"/>
  <c r="J16" i="182" s="1"/>
  <c r="G15" i="182"/>
  <c r="K15" i="182" s="1"/>
  <c r="G14" i="182"/>
  <c r="J14" i="182" s="1"/>
  <c r="G13" i="182"/>
  <c r="K13" i="182" s="1"/>
  <c r="G12" i="182"/>
  <c r="J12" i="182" s="1"/>
  <c r="G18" i="183" l="1"/>
  <c r="G18" i="58" s="1"/>
  <c r="G14" i="58"/>
  <c r="K16" i="182"/>
  <c r="J13" i="182"/>
  <c r="K12" i="182"/>
  <c r="G36" i="183"/>
  <c r="I36" i="183" s="1"/>
  <c r="G57" i="1" s="1"/>
  <c r="I32" i="183"/>
  <c r="G54" i="1" s="1"/>
  <c r="K14" i="182"/>
  <c r="I34" i="183"/>
  <c r="G55" i="1" s="1"/>
  <c r="J15" i="182"/>
  <c r="G37" i="183"/>
  <c r="I37" i="183" s="1"/>
  <c r="G58" i="1" s="1"/>
  <c r="J19" i="182" l="1"/>
  <c r="G23" i="183" s="1"/>
  <c r="G24" i="183" s="1"/>
  <c r="K19" i="182"/>
  <c r="G20" i="183"/>
  <c r="G20" i="58" s="1"/>
  <c r="G27" i="183"/>
  <c r="I27" i="183" s="1"/>
  <c r="G50" i="1" s="1"/>
  <c r="I23" i="183" l="1"/>
  <c r="G46" i="1" s="1"/>
  <c r="I24" i="183"/>
  <c r="G47" i="1" s="1"/>
  <c r="G25" i="183"/>
  <c r="I25" i="183" s="1"/>
  <c r="G48" i="1" s="1"/>
  <c r="G37" i="57" l="1"/>
  <c r="G36" i="57"/>
  <c r="G41" i="58"/>
  <c r="G34" i="58"/>
  <c r="C142" i="1" l="1"/>
  <c r="C13" i="51" s="1"/>
  <c r="C141" i="1"/>
  <c r="C12" i="51" s="1"/>
  <c r="C140" i="1"/>
  <c r="C139" i="1"/>
  <c r="E113" i="1" l="1"/>
  <c r="G14" i="62" l="1"/>
  <c r="I14" i="62" s="1"/>
  <c r="G17" i="1" s="1"/>
  <c r="J6" i="1"/>
  <c r="BV311" i="181"/>
  <c r="BV310" i="181"/>
  <c r="BV309" i="181"/>
  <c r="BU308" i="181"/>
  <c r="BV308" i="181" s="1"/>
  <c r="CF307" i="181"/>
  <c r="CE307" i="181"/>
  <c r="CE308" i="181" s="1"/>
  <c r="CE309" i="181" s="1"/>
  <c r="CE310" i="181" s="1"/>
  <c r="CE311" i="181" s="1"/>
  <c r="CE312" i="181" s="1"/>
  <c r="BV307" i="181"/>
  <c r="BU306" i="181"/>
  <c r="BV306" i="181" s="1"/>
  <c r="CF300" i="181"/>
  <c r="CE300" i="181"/>
  <c r="CE301" i="181" s="1"/>
  <c r="CE302" i="181" s="1"/>
  <c r="CE303" i="181" s="1"/>
  <c r="CE304" i="181" s="1"/>
  <c r="CE305" i="181" s="1"/>
  <c r="CE295" i="181"/>
  <c r="CE296" i="181" s="1"/>
  <c r="CE297" i="181" s="1"/>
  <c r="CE298" i="181" s="1"/>
  <c r="CE299" i="181" s="1"/>
  <c r="BV295" i="181"/>
  <c r="BW295" i="181" s="1"/>
  <c r="D54" i="181" s="1"/>
  <c r="CF294" i="181"/>
  <c r="CE294" i="181"/>
  <c r="CF287" i="181"/>
  <c r="CE287" i="181"/>
  <c r="CE288" i="181" s="1"/>
  <c r="CE289" i="181" s="1"/>
  <c r="CE290" i="181" s="1"/>
  <c r="CE291" i="181" s="1"/>
  <c r="CE292" i="181" s="1"/>
  <c r="CF279" i="181"/>
  <c r="CE279" i="181"/>
  <c r="CE280" i="181" s="1"/>
  <c r="CE281" i="181" s="1"/>
  <c r="CE282" i="181" s="1"/>
  <c r="CE283" i="181" s="1"/>
  <c r="CE284" i="181" s="1"/>
  <c r="CE272" i="181"/>
  <c r="CE273" i="181" s="1"/>
  <c r="CE274" i="181" s="1"/>
  <c r="CE275" i="181" s="1"/>
  <c r="CE276" i="181" s="1"/>
  <c r="CF271" i="181"/>
  <c r="CE271" i="181"/>
  <c r="BW262" i="181"/>
  <c r="BW261" i="181"/>
  <c r="BW260" i="181"/>
  <c r="BW259" i="181"/>
  <c r="BW258" i="181"/>
  <c r="BW257" i="181"/>
  <c r="J41" i="181"/>
  <c r="J40" i="181"/>
  <c r="J39" i="181"/>
  <c r="J38" i="181"/>
  <c r="J37" i="181"/>
  <c r="D26" i="181"/>
  <c r="CJ267" i="181" s="1"/>
  <c r="D21" i="181"/>
  <c r="E20" i="181"/>
  <c r="D20" i="181"/>
  <c r="L17" i="181"/>
  <c r="L9" i="181"/>
  <c r="G15" i="62" l="1"/>
  <c r="I15" i="62" s="1"/>
  <c r="G18" i="1" s="1"/>
  <c r="CJ266" i="181"/>
  <c r="G28" i="181" s="1"/>
  <c r="G60" i="181" s="1"/>
  <c r="J60" i="181" s="1"/>
  <c r="F58" i="181" s="1"/>
  <c r="BY295" i="181"/>
  <c r="F54" i="181" s="1"/>
  <c r="C13" i="181"/>
  <c r="BX295" i="181"/>
  <c r="E54" i="181" s="1"/>
  <c r="BV296" i="181"/>
  <c r="G43" i="181" l="1"/>
  <c r="J43" i="181" s="1"/>
  <c r="F50" i="181" s="1"/>
  <c r="C52" i="181" s="1"/>
  <c r="BV297" i="181"/>
  <c r="BY296" i="181"/>
  <c r="F37" i="181" s="1"/>
  <c r="BX296" i="181"/>
  <c r="E37" i="181" s="1"/>
  <c r="BW296" i="181"/>
  <c r="D37" i="181" s="1"/>
  <c r="BY297" i="181" l="1"/>
  <c r="F38" i="181" s="1"/>
  <c r="BX297" i="181"/>
  <c r="E38" i="181" s="1"/>
  <c r="BV298" i="181"/>
  <c r="BW297" i="181"/>
  <c r="D38" i="181" s="1"/>
  <c r="BW298" i="181" l="1"/>
  <c r="D39" i="181" s="1"/>
  <c r="BV299" i="181"/>
  <c r="BY298" i="181"/>
  <c r="F39" i="181" s="1"/>
  <c r="BX298" i="181"/>
  <c r="E39" i="181" s="1"/>
  <c r="BV300" i="181" l="1"/>
  <c r="BY299" i="181"/>
  <c r="F40" i="181" s="1"/>
  <c r="BX299" i="181"/>
  <c r="E40" i="181" s="1"/>
  <c r="BW299" i="181"/>
  <c r="D40" i="181" s="1"/>
  <c r="BW300" i="181" l="1"/>
  <c r="D41" i="181" s="1"/>
  <c r="BX300" i="181"/>
  <c r="E41" i="181" s="1"/>
  <c r="BY300" i="181"/>
  <c r="F41" i="181" s="1"/>
  <c r="G11" i="162" l="1"/>
  <c r="E133" i="1" l="1"/>
  <c r="E123" i="1"/>
  <c r="E39" i="1"/>
  <c r="E23" i="1"/>
  <c r="I11" i="162" l="1"/>
  <c r="G29" i="1" s="1"/>
  <c r="G13" i="162"/>
  <c r="I10" i="162"/>
  <c r="G28" i="1" s="1"/>
  <c r="I13" i="162" l="1"/>
  <c r="G31" i="1" s="1"/>
  <c r="D140" i="1" l="1"/>
  <c r="D11" i="51" s="1"/>
  <c r="C11" i="51"/>
  <c r="G21" i="162"/>
  <c r="I21" i="162" s="1"/>
  <c r="G37" i="1" s="1"/>
  <c r="I15" i="162"/>
  <c r="C6" i="162"/>
  <c r="B6" i="162"/>
  <c r="C5" i="162"/>
  <c r="B5" i="162"/>
  <c r="C3" i="162"/>
  <c r="B3" i="162"/>
  <c r="C2" i="162"/>
  <c r="B2" i="162"/>
  <c r="G11" i="62"/>
  <c r="I11" i="62" s="1"/>
  <c r="G16" i="1" s="1"/>
  <c r="C12" i="53" l="1"/>
  <c r="D12" i="53"/>
  <c r="I19" i="162"/>
  <c r="G35" i="1" s="1"/>
  <c r="C6" i="151" l="1"/>
  <c r="B6" i="151"/>
  <c r="C5" i="151"/>
  <c r="B5" i="151"/>
  <c r="C3" i="151"/>
  <c r="B3" i="151"/>
  <c r="C2" i="151"/>
  <c r="B2" i="151"/>
  <c r="E20" i="162" l="1"/>
  <c r="E12" i="162"/>
  <c r="G12" i="162" l="1"/>
  <c r="G20" i="162"/>
  <c r="E36" i="1"/>
  <c r="E30" i="1"/>
  <c r="G27" i="58"/>
  <c r="I20" i="162" l="1"/>
  <c r="G36" i="1" s="1"/>
  <c r="I12" i="162"/>
  <c r="G30" i="1" s="1"/>
  <c r="BV311" i="153" l="1"/>
  <c r="BV310" i="153"/>
  <c r="BV309" i="153"/>
  <c r="BU308" i="153"/>
  <c r="BV308" i="153" s="1"/>
  <c r="CF307" i="153"/>
  <c r="CE307" i="153"/>
  <c r="CE308" i="153" s="1"/>
  <c r="CE309" i="153" s="1"/>
  <c r="CE310" i="153" s="1"/>
  <c r="CE311" i="153" s="1"/>
  <c r="CE312" i="153" s="1"/>
  <c r="BV307" i="153"/>
  <c r="BU306" i="153"/>
  <c r="BV306" i="153" s="1"/>
  <c r="CF300" i="153"/>
  <c r="CE300" i="153"/>
  <c r="CE301" i="153" s="1"/>
  <c r="CE302" i="153" s="1"/>
  <c r="CE303" i="153" s="1"/>
  <c r="CE304" i="153" s="1"/>
  <c r="CE305" i="153" s="1"/>
  <c r="CF294" i="153"/>
  <c r="CE294" i="153"/>
  <c r="CE295" i="153" s="1"/>
  <c r="CE296" i="153" s="1"/>
  <c r="CE297" i="153" s="1"/>
  <c r="CE298" i="153" s="1"/>
  <c r="CE299" i="153" s="1"/>
  <c r="CF287" i="153"/>
  <c r="CE287" i="153"/>
  <c r="CE288" i="153" s="1"/>
  <c r="CE289" i="153" s="1"/>
  <c r="CE290" i="153" s="1"/>
  <c r="CE291" i="153" s="1"/>
  <c r="CE292" i="153" s="1"/>
  <c r="CF279" i="153"/>
  <c r="CE279" i="153"/>
  <c r="CE280" i="153" s="1"/>
  <c r="CE281" i="153" s="1"/>
  <c r="CE282" i="153" s="1"/>
  <c r="CE283" i="153" s="1"/>
  <c r="CE284" i="153" s="1"/>
  <c r="CF271" i="153"/>
  <c r="CE271" i="153"/>
  <c r="CE272" i="153" s="1"/>
  <c r="CE273" i="153" s="1"/>
  <c r="CE274" i="153" s="1"/>
  <c r="CE275" i="153" s="1"/>
  <c r="CE276" i="153" s="1"/>
  <c r="BW262" i="153"/>
  <c r="BW261" i="153"/>
  <c r="BW260" i="153"/>
  <c r="BW259" i="153"/>
  <c r="BW258" i="153"/>
  <c r="BV295" i="153" s="1"/>
  <c r="BW257" i="153"/>
  <c r="J41" i="153"/>
  <c r="J40" i="153"/>
  <c r="J39" i="153"/>
  <c r="J38" i="153"/>
  <c r="J37" i="153"/>
  <c r="D26" i="153"/>
  <c r="D21" i="153"/>
  <c r="E20" i="153"/>
  <c r="D20" i="153"/>
  <c r="CJ267" i="153" s="1"/>
  <c r="L17" i="153"/>
  <c r="L9" i="153"/>
  <c r="BX295" i="153" l="1"/>
  <c r="E54" i="153" s="1"/>
  <c r="BV296" i="153"/>
  <c r="BW295" i="153"/>
  <c r="D54" i="153" s="1"/>
  <c r="C13" i="153"/>
  <c r="BY295" i="153"/>
  <c r="F54" i="153" s="1"/>
  <c r="CJ266" i="153"/>
  <c r="G28" i="153" s="1"/>
  <c r="G60" i="153" l="1"/>
  <c r="J60" i="153" s="1"/>
  <c r="F58" i="153" s="1"/>
  <c r="G43" i="153"/>
  <c r="J43" i="153" s="1"/>
  <c r="F50" i="153" s="1"/>
  <c r="BV297" i="153"/>
  <c r="BW296" i="153"/>
  <c r="D37" i="153" s="1"/>
  <c r="BY296" i="153"/>
  <c r="F37" i="153" s="1"/>
  <c r="BX296" i="153"/>
  <c r="E37" i="153" s="1"/>
  <c r="C52" i="153" l="1"/>
  <c r="C16" i="102"/>
  <c r="L6" i="1" s="1"/>
  <c r="BY297" i="153"/>
  <c r="F38" i="153" s="1"/>
  <c r="BX297" i="153"/>
  <c r="E38" i="153" s="1"/>
  <c r="BV298" i="153"/>
  <c r="BW297" i="153"/>
  <c r="D38" i="153" s="1"/>
  <c r="I58" i="1" l="1"/>
  <c r="J58" i="1" s="1"/>
  <c r="K58" i="1" s="1"/>
  <c r="I57" i="1"/>
  <c r="J57" i="1" s="1"/>
  <c r="K57" i="1" s="1"/>
  <c r="I46" i="1"/>
  <c r="J46" i="1" s="1"/>
  <c r="K46" i="1" s="1"/>
  <c r="I56" i="1"/>
  <c r="J56" i="1" s="1"/>
  <c r="K56" i="1" s="1"/>
  <c r="I53" i="1"/>
  <c r="J53" i="1" s="1"/>
  <c r="K53" i="1" s="1"/>
  <c r="I50" i="1"/>
  <c r="J50" i="1" s="1"/>
  <c r="K50" i="1" s="1"/>
  <c r="I48" i="1"/>
  <c r="J48" i="1" s="1"/>
  <c r="K48" i="1" s="1"/>
  <c r="I55" i="1"/>
  <c r="J55" i="1" s="1"/>
  <c r="K55" i="1" s="1"/>
  <c r="I54" i="1"/>
  <c r="J54" i="1" s="1"/>
  <c r="K54" i="1" s="1"/>
  <c r="I49" i="1"/>
  <c r="J49" i="1" s="1"/>
  <c r="K49" i="1" s="1"/>
  <c r="I47" i="1"/>
  <c r="J47" i="1" s="1"/>
  <c r="K47" i="1" s="1"/>
  <c r="I17" i="1"/>
  <c r="I64" i="1"/>
  <c r="J64" i="1" s="1"/>
  <c r="I21" i="1"/>
  <c r="I96" i="1"/>
  <c r="I109" i="1"/>
  <c r="I104" i="1"/>
  <c r="I121" i="1"/>
  <c r="I93" i="1"/>
  <c r="I73" i="1"/>
  <c r="I79" i="1"/>
  <c r="I31" i="1"/>
  <c r="J31" i="1" s="1"/>
  <c r="K31" i="1" s="1"/>
  <c r="I81" i="1"/>
  <c r="I34" i="1"/>
  <c r="J34" i="1" s="1"/>
  <c r="K34" i="1" s="1"/>
  <c r="I74" i="1"/>
  <c r="I131" i="1"/>
  <c r="I120" i="1"/>
  <c r="I35" i="1"/>
  <c r="J35" i="1" s="1"/>
  <c r="K35" i="1" s="1"/>
  <c r="I20" i="1"/>
  <c r="I130" i="1"/>
  <c r="I118" i="1"/>
  <c r="I99" i="1"/>
  <c r="I36" i="1"/>
  <c r="J36" i="1" s="1"/>
  <c r="K36" i="1" s="1"/>
  <c r="I129" i="1"/>
  <c r="I119" i="1"/>
  <c r="I106" i="1"/>
  <c r="I90" i="1"/>
  <c r="I30" i="1"/>
  <c r="J30" i="1" s="1"/>
  <c r="K30" i="1" s="1"/>
  <c r="I19" i="1"/>
  <c r="I28" i="1"/>
  <c r="J28" i="1" s="1"/>
  <c r="K28" i="1" s="1"/>
  <c r="I128" i="1"/>
  <c r="I105" i="1"/>
  <c r="I82" i="1"/>
  <c r="I37" i="1"/>
  <c r="J37" i="1" s="1"/>
  <c r="K37" i="1" s="1"/>
  <c r="I87" i="1"/>
  <c r="I103" i="1"/>
  <c r="I111" i="1"/>
  <c r="I80" i="1"/>
  <c r="I76" i="1"/>
  <c r="I18" i="1"/>
  <c r="I29" i="1"/>
  <c r="J29" i="1" s="1"/>
  <c r="K29" i="1" s="1"/>
  <c r="I100" i="1"/>
  <c r="I67" i="1"/>
  <c r="I75" i="1"/>
  <c r="I110" i="1"/>
  <c r="J110" i="1" s="1"/>
  <c r="I70" i="1"/>
  <c r="I16" i="1"/>
  <c r="BY298" i="153"/>
  <c r="F39" i="153" s="1"/>
  <c r="BX298" i="153"/>
  <c r="E39" i="153" s="1"/>
  <c r="BV299" i="153"/>
  <c r="BW298" i="153"/>
  <c r="D39" i="153" s="1"/>
  <c r="H3" i="1"/>
  <c r="H4" i="1"/>
  <c r="K3" i="1"/>
  <c r="K39" i="1" l="1"/>
  <c r="K140" i="1" s="1"/>
  <c r="BX299" i="153"/>
  <c r="E40" i="153" s="1"/>
  <c r="BV300" i="153"/>
  <c r="BW299" i="153"/>
  <c r="D40" i="153" s="1"/>
  <c r="BY299" i="153"/>
  <c r="F40" i="153" s="1"/>
  <c r="BW300" i="153" l="1"/>
  <c r="D41" i="153" s="1"/>
  <c r="BY300" i="153"/>
  <c r="F41" i="153" s="1"/>
  <c r="BX300" i="153"/>
  <c r="E41" i="153" s="1"/>
  <c r="I40" i="57" l="1"/>
  <c r="E15" i="65" l="1"/>
  <c r="E14" i="65"/>
  <c r="G43" i="57"/>
  <c r="E106" i="1" s="1"/>
  <c r="G42" i="57"/>
  <c r="E105" i="1" s="1"/>
  <c r="G51" i="57"/>
  <c r="G50" i="57"/>
  <c r="E43" i="58"/>
  <c r="E42" i="58"/>
  <c r="E36" i="58"/>
  <c r="E35" i="58"/>
  <c r="E29" i="58"/>
  <c r="E99" i="1" l="1"/>
  <c r="E100" i="1"/>
  <c r="E120" i="1"/>
  <c r="G14" i="65"/>
  <c r="E121" i="1"/>
  <c r="G15" i="65"/>
  <c r="E81" i="1"/>
  <c r="G42" i="58"/>
  <c r="E82" i="1"/>
  <c r="G43" i="58"/>
  <c r="E75" i="1"/>
  <c r="G35" i="58"/>
  <c r="G36" i="58"/>
  <c r="E111" i="1"/>
  <c r="E76" i="1"/>
  <c r="G131" i="1" l="1"/>
  <c r="G130" i="1"/>
  <c r="G129" i="1"/>
  <c r="G128" i="1"/>
  <c r="C6" i="65" l="1"/>
  <c r="B6" i="65"/>
  <c r="C5" i="65"/>
  <c r="B5" i="65"/>
  <c r="C3" i="65"/>
  <c r="B3" i="65"/>
  <c r="C2" i="65"/>
  <c r="B2" i="65"/>
  <c r="C6" i="57"/>
  <c r="B6" i="57"/>
  <c r="C5" i="57"/>
  <c r="B5" i="57"/>
  <c r="C3" i="57"/>
  <c r="B3" i="57"/>
  <c r="C2" i="57"/>
  <c r="B2" i="57"/>
  <c r="C6" i="58"/>
  <c r="B6" i="58"/>
  <c r="C5" i="58"/>
  <c r="B5" i="58"/>
  <c r="C3" i="58"/>
  <c r="B3" i="58"/>
  <c r="C2" i="58"/>
  <c r="B2" i="58"/>
  <c r="C6" i="62"/>
  <c r="B6" i="62"/>
  <c r="C5" i="62"/>
  <c r="B5" i="62"/>
  <c r="C3" i="62"/>
  <c r="B3" i="62"/>
  <c r="C2" i="62"/>
  <c r="B2" i="62"/>
  <c r="C6" i="53"/>
  <c r="B6" i="53"/>
  <c r="C5" i="53"/>
  <c r="B5" i="53"/>
  <c r="C3" i="53"/>
  <c r="B3" i="53"/>
  <c r="C2" i="53"/>
  <c r="B2" i="53"/>
  <c r="C6" i="51"/>
  <c r="B6" i="51"/>
  <c r="C5" i="51"/>
  <c r="B5" i="51"/>
  <c r="C3" i="51"/>
  <c r="B3" i="51"/>
  <c r="C2" i="51"/>
  <c r="B2" i="51"/>
  <c r="C6" i="1" l="1"/>
  <c r="C5" i="1"/>
  <c r="C3" i="1"/>
  <c r="C2" i="1"/>
  <c r="B6" i="1"/>
  <c r="B5" i="1"/>
  <c r="B3" i="1"/>
  <c r="B2" i="1"/>
  <c r="E70" i="1" l="1"/>
  <c r="I35" i="58" l="1"/>
  <c r="G75" i="1" s="1"/>
  <c r="D141" i="1" l="1"/>
  <c r="D12" i="51" s="1"/>
  <c r="D142" i="1"/>
  <c r="D13" i="51" s="1"/>
  <c r="D143" i="1"/>
  <c r="D14" i="51" s="1"/>
  <c r="D139" i="1"/>
  <c r="C143" i="1"/>
  <c r="C14" i="51" s="1"/>
  <c r="I14" i="65" l="1"/>
  <c r="G120" i="1" s="1"/>
  <c r="P9" i="56" l="1"/>
  <c r="L44" i="56"/>
  <c r="L43" i="56"/>
  <c r="L42" i="56"/>
  <c r="L41" i="56"/>
  <c r="L40" i="56"/>
  <c r="L39" i="56"/>
  <c r="L38" i="56"/>
  <c r="L37" i="56"/>
  <c r="L36" i="56"/>
  <c r="L35" i="56"/>
  <c r="L34" i="56"/>
  <c r="L33" i="56"/>
  <c r="L32" i="56"/>
  <c r="L31" i="56"/>
  <c r="L30" i="56"/>
  <c r="L29" i="56"/>
  <c r="L28" i="56"/>
  <c r="L27" i="56"/>
  <c r="L26" i="56"/>
  <c r="L25" i="56"/>
  <c r="L24" i="56"/>
  <c r="L23" i="56"/>
  <c r="L22" i="56"/>
  <c r="L21" i="56"/>
  <c r="L20" i="56"/>
  <c r="L19" i="56"/>
  <c r="L18" i="56"/>
  <c r="L17" i="56"/>
  <c r="L16" i="56"/>
  <c r="L15" i="56"/>
  <c r="L14" i="56"/>
  <c r="L13" i="56"/>
  <c r="L12" i="56"/>
  <c r="L11" i="56"/>
  <c r="L10" i="56"/>
  <c r="L9" i="56"/>
  <c r="L8" i="56"/>
  <c r="L7" i="56"/>
  <c r="L6" i="56"/>
  <c r="B7" i="56"/>
  <c r="J104" i="1" l="1"/>
  <c r="B8" i="56"/>
  <c r="J96" i="1" l="1"/>
  <c r="J121" i="1"/>
  <c r="J100" i="1"/>
  <c r="J111" i="1"/>
  <c r="J75" i="1"/>
  <c r="K75" i="1" s="1"/>
  <c r="J130" i="1"/>
  <c r="K130" i="1" s="1"/>
  <c r="J120" i="1"/>
  <c r="K120" i="1" s="1"/>
  <c r="J82" i="1"/>
  <c r="J131" i="1"/>
  <c r="K131" i="1" s="1"/>
  <c r="J106" i="1"/>
  <c r="J81" i="1"/>
  <c r="J76" i="1"/>
  <c r="J128" i="1"/>
  <c r="K128" i="1" s="1"/>
  <c r="J129" i="1"/>
  <c r="K129" i="1" s="1"/>
  <c r="J99" i="1"/>
  <c r="J74" i="1"/>
  <c r="J90" i="1"/>
  <c r="J80" i="1"/>
  <c r="J87" i="1"/>
  <c r="J93" i="1"/>
  <c r="J119" i="1"/>
  <c r="J109" i="1"/>
  <c r="J70" i="1"/>
  <c r="J105" i="1"/>
  <c r="J103" i="1"/>
  <c r="B9" i="56"/>
  <c r="I26" i="57"/>
  <c r="K133" i="1" l="1"/>
  <c r="K143" i="1" s="1"/>
  <c r="E14" i="51" s="1"/>
  <c r="B10" i="56"/>
  <c r="B11" i="56" l="1"/>
  <c r="B12" i="56" l="1"/>
  <c r="K10" i="57"/>
  <c r="B13" i="56" l="1"/>
  <c r="B14" i="56" l="1"/>
  <c r="B15" i="56" l="1"/>
  <c r="I13" i="65"/>
  <c r="G119" i="1" s="1"/>
  <c r="K119" i="1" s="1"/>
  <c r="I10" i="65"/>
  <c r="G118" i="1" s="1"/>
  <c r="B16" i="56" l="1"/>
  <c r="I15" i="65"/>
  <c r="G121" i="1" s="1"/>
  <c r="K121" i="1" s="1"/>
  <c r="B17" i="56" l="1"/>
  <c r="B18" i="56" l="1"/>
  <c r="B19" i="56" l="1"/>
  <c r="B20" i="56" l="1"/>
  <c r="I39" i="58"/>
  <c r="G79" i="1" s="1"/>
  <c r="I34" i="58"/>
  <c r="G74" i="1" s="1"/>
  <c r="K74" i="1" s="1"/>
  <c r="I32" i="58"/>
  <c r="G73" i="1" l="1"/>
  <c r="B21" i="56"/>
  <c r="I36" i="58"/>
  <c r="G76" i="1" s="1"/>
  <c r="K76" i="1" s="1"/>
  <c r="B22" i="56" l="1"/>
  <c r="B23" i="56" l="1"/>
  <c r="B24" i="56" l="1"/>
  <c r="G23" i="58" l="1"/>
  <c r="B25" i="56"/>
  <c r="I10" i="58"/>
  <c r="G25" i="58" l="1"/>
  <c r="G28" i="58"/>
  <c r="I25" i="58"/>
  <c r="G67" i="1" s="1"/>
  <c r="B26" i="56"/>
  <c r="I23" i="58"/>
  <c r="G29" i="58" l="1"/>
  <c r="B27" i="56"/>
  <c r="I28" i="58"/>
  <c r="G64" i="1"/>
  <c r="K64" i="1" s="1"/>
  <c r="I29" i="58" l="1"/>
  <c r="G70" i="1" s="1"/>
  <c r="K70" i="1" s="1"/>
  <c r="B28" i="56"/>
  <c r="B29" i="56" l="1"/>
  <c r="G16" i="62" l="1"/>
  <c r="B30" i="56"/>
  <c r="I16" i="62" l="1"/>
  <c r="G19" i="1" s="1"/>
  <c r="I18" i="62"/>
  <c r="G21" i="1" s="1"/>
  <c r="I10" i="62"/>
  <c r="I41" i="58"/>
  <c r="G80" i="1" s="1"/>
  <c r="B31" i="56"/>
  <c r="I17" i="62" l="1"/>
  <c r="G20" i="1" s="1"/>
  <c r="K80" i="1"/>
  <c r="I43" i="58"/>
  <c r="G82" i="1" s="1"/>
  <c r="I42" i="58"/>
  <c r="G81" i="1" s="1"/>
  <c r="J73" i="1"/>
  <c r="K73" i="1" s="1"/>
  <c r="J79" i="1"/>
  <c r="K79" i="1" s="1"/>
  <c r="B32" i="56"/>
  <c r="J118" i="1"/>
  <c r="K118" i="1" s="1"/>
  <c r="K82" i="1" l="1"/>
  <c r="K81" i="1"/>
  <c r="K123" i="1"/>
  <c r="K142" i="1" s="1"/>
  <c r="E13" i="51" s="1"/>
  <c r="B33" i="56"/>
  <c r="B34" i="56" l="1"/>
  <c r="B35" i="56" l="1"/>
  <c r="B36" i="56" l="1"/>
  <c r="D14" i="53"/>
  <c r="C14" i="53"/>
  <c r="D13" i="53"/>
  <c r="C13" i="53"/>
  <c r="B37" i="56" l="1"/>
  <c r="B38" i="56" l="1"/>
  <c r="D15" i="53"/>
  <c r="C15" i="53"/>
  <c r="D10" i="51"/>
  <c r="C10" i="51"/>
  <c r="D11" i="53" l="1"/>
  <c r="C11" i="53"/>
  <c r="B39" i="56"/>
  <c r="B40" i="56" l="1"/>
  <c r="F15" i="53" l="1"/>
  <c r="B41" i="56"/>
  <c r="G15" i="53" l="1"/>
  <c r="I15" i="53"/>
  <c r="B42" i="56"/>
  <c r="B43" i="56" l="1"/>
  <c r="B44" i="56" l="1"/>
  <c r="B45" i="56" l="1"/>
  <c r="L45" i="56" l="1"/>
  <c r="P8" i="56" s="1"/>
  <c r="P7" i="56"/>
  <c r="P6" i="56" l="1"/>
  <c r="P10" i="56"/>
  <c r="I23" i="57" l="1"/>
  <c r="I24" i="57" s="1"/>
  <c r="I25" i="57" l="1"/>
  <c r="I28" i="57" s="1"/>
  <c r="I33" i="57" s="1"/>
  <c r="K33" i="57" l="1"/>
  <c r="I34" i="57"/>
  <c r="I35" i="57" s="1"/>
  <c r="I47" i="57"/>
  <c r="I51" i="57" s="1"/>
  <c r="K35" i="57" l="1"/>
  <c r="I37" i="57"/>
  <c r="K37" i="57" s="1"/>
  <c r="I36" i="57"/>
  <c r="K36" i="57" s="1"/>
  <c r="K34" i="57"/>
  <c r="I48" i="57"/>
  <c r="I49" i="57" s="1"/>
  <c r="I50" i="57"/>
  <c r="I30" i="57"/>
  <c r="I39" i="57"/>
  <c r="I41" i="57" s="1"/>
  <c r="I42" i="57" l="1"/>
  <c r="I43" i="57"/>
  <c r="G99" i="1" l="1"/>
  <c r="K99" i="1" s="1"/>
  <c r="G90" i="1"/>
  <c r="K90" i="1" s="1"/>
  <c r="G100" i="1" l="1"/>
  <c r="K100" i="1" s="1"/>
  <c r="G96" i="1"/>
  <c r="K96" i="1" s="1"/>
  <c r="G93" i="1" l="1"/>
  <c r="K93" i="1" s="1"/>
  <c r="K30" i="57"/>
  <c r="K28" i="57"/>
  <c r="K47" i="57" l="1"/>
  <c r="G87" i="1"/>
  <c r="K87" i="1" s="1"/>
  <c r="K39" i="57"/>
  <c r="K48" i="57" l="1"/>
  <c r="G109" i="1"/>
  <c r="K109" i="1" s="1"/>
  <c r="G110" i="1"/>
  <c r="K110" i="1" s="1"/>
  <c r="K49" i="57"/>
  <c r="K51" i="57"/>
  <c r="K50" i="57"/>
  <c r="K43" i="57"/>
  <c r="K42" i="57"/>
  <c r="G103" i="1"/>
  <c r="K103" i="1" s="1"/>
  <c r="K41" i="57"/>
  <c r="G111" i="1" l="1"/>
  <c r="K111" i="1" s="1"/>
  <c r="G104" i="1"/>
  <c r="K104" i="1" s="1"/>
  <c r="G106" i="1"/>
  <c r="K106" i="1" s="1"/>
  <c r="G105" i="1"/>
  <c r="K105" i="1" s="1"/>
  <c r="J16" i="1" l="1"/>
  <c r="K16" i="1" s="1"/>
  <c r="J20" i="1"/>
  <c r="K20" i="1" s="1"/>
  <c r="J19" i="1"/>
  <c r="K19" i="1" s="1"/>
  <c r="J21" i="1"/>
  <c r="K21" i="1" s="1"/>
  <c r="J18" i="1"/>
  <c r="K18" i="1" s="1"/>
  <c r="J17" i="1"/>
  <c r="K17" i="1" s="1"/>
  <c r="J67" i="1" l="1"/>
  <c r="K67" i="1" s="1"/>
  <c r="F14" i="53" l="1"/>
  <c r="I14" i="53" l="1"/>
  <c r="G14" i="53"/>
  <c r="K23" i="1" l="1"/>
  <c r="K139" i="1" s="1"/>
  <c r="E11" i="51"/>
  <c r="F12" i="53" l="1"/>
  <c r="G12" i="53"/>
  <c r="I12" i="53"/>
  <c r="K113" i="1"/>
  <c r="K141" i="1" s="1"/>
  <c r="E12" i="51" s="1"/>
  <c r="F13" i="53" l="1"/>
  <c r="E10" i="51"/>
  <c r="G13" i="53" l="1"/>
  <c r="I13" i="53"/>
  <c r="F11" i="53"/>
  <c r="I11" i="53" l="1"/>
  <c r="G11" i="53"/>
  <c r="K135" i="1" l="1"/>
  <c r="L49" i="1" l="1"/>
  <c r="L48" i="1"/>
  <c r="L47" i="1"/>
  <c r="L46" i="1"/>
  <c r="L50" i="1"/>
  <c r="L54" i="1"/>
  <c r="L55" i="1"/>
  <c r="L57" i="1"/>
  <c r="L56" i="1"/>
  <c r="L58" i="1"/>
  <c r="L53" i="1"/>
  <c r="L64" i="1"/>
  <c r="L28" i="1"/>
  <c r="K145" i="1"/>
  <c r="L80" i="1"/>
  <c r="L93" i="1"/>
  <c r="L75" i="1"/>
  <c r="L99" i="1"/>
  <c r="L118" i="1"/>
  <c r="L30" i="1"/>
  <c r="L129" i="1"/>
  <c r="L76" i="1"/>
  <c r="L16" i="1"/>
  <c r="L31" i="1"/>
  <c r="L19" i="1"/>
  <c r="L70" i="1"/>
  <c r="L82" i="1"/>
  <c r="L131" i="1"/>
  <c r="L111" i="1"/>
  <c r="L100" i="1"/>
  <c r="L81" i="1"/>
  <c r="L120" i="1"/>
  <c r="L34" i="1"/>
  <c r="L74" i="1"/>
  <c r="L79" i="1"/>
  <c r="L121" i="1"/>
  <c r="L128" i="1"/>
  <c r="L119" i="1"/>
  <c r="L21" i="1"/>
  <c r="L109" i="1"/>
  <c r="L104" i="1"/>
  <c r="L36" i="1"/>
  <c r="L130" i="1"/>
  <c r="L96" i="1"/>
  <c r="L18" i="1"/>
  <c r="L20" i="1"/>
  <c r="L90" i="1"/>
  <c r="L37" i="1"/>
  <c r="L103" i="1"/>
  <c r="L106" i="1"/>
  <c r="L67" i="1"/>
  <c r="L105" i="1"/>
  <c r="L17" i="1"/>
  <c r="L110" i="1"/>
  <c r="L87" i="1"/>
  <c r="L35" i="1"/>
  <c r="L73" i="1"/>
  <c r="L29" i="1"/>
  <c r="L133" i="1" l="1"/>
  <c r="L23" i="1"/>
  <c r="L139" i="1" s="1"/>
  <c r="L113" i="1"/>
  <c r="L39" i="1"/>
  <c r="L123" i="1"/>
  <c r="E16" i="51"/>
  <c r="F17" i="53" l="1"/>
  <c r="L143" i="1"/>
  <c r="F14" i="51" s="1"/>
  <c r="L140" i="1"/>
  <c r="F11" i="51" s="1"/>
  <c r="L141" i="1"/>
  <c r="L142" i="1"/>
  <c r="L135" i="1"/>
  <c r="F10" i="51"/>
  <c r="E12" i="53" l="1"/>
  <c r="F12" i="51"/>
  <c r="F13" i="51"/>
  <c r="E15" i="53"/>
  <c r="L145" i="1"/>
  <c r="E11" i="53"/>
  <c r="E13" i="53" l="1"/>
  <c r="E14" i="53"/>
  <c r="F16" i="51"/>
  <c r="I17" i="53"/>
  <c r="J17" i="53" s="1"/>
  <c r="G17" i="53"/>
  <c r="H17" i="53" s="1"/>
  <c r="E17" i="53" l="1"/>
  <c r="G18" i="53"/>
  <c r="I18" i="53" s="1"/>
  <c r="H18" i="53" l="1"/>
  <c r="J18" i="53" l="1"/>
</calcChain>
</file>

<file path=xl/sharedStrings.xml><?xml version="1.0" encoding="utf-8"?>
<sst xmlns="http://schemas.openxmlformats.org/spreadsheetml/2006/main" count="739" uniqueCount="441">
  <si>
    <t>ITEM</t>
  </si>
  <si>
    <t>SERVIÇO</t>
  </si>
  <si>
    <t>DMT</t>
  </si>
  <si>
    <t>UNID.</t>
  </si>
  <si>
    <t>QUANT.</t>
  </si>
  <si>
    <t>TOTAL</t>
  </si>
  <si>
    <t>PREÇO (R$)</t>
  </si>
  <si>
    <t>%</t>
  </si>
  <si>
    <t>SICRO / SINAPI</t>
  </si>
  <si>
    <t>PLANILHA ORÇAMENTÁRIA</t>
  </si>
  <si>
    <t>SEM DESONERAÇÃO</t>
  </si>
  <si>
    <t>SERVIÇOS PRELIMINARES</t>
  </si>
  <si>
    <t>TOTAL GERAL</t>
  </si>
  <si>
    <t>m²</t>
  </si>
  <si>
    <t>m</t>
  </si>
  <si>
    <t>un.</t>
  </si>
  <si>
    <t>m³</t>
  </si>
  <si>
    <t>m³.km</t>
  </si>
  <si>
    <t>QUADRO RESUMO</t>
  </si>
  <si>
    <t>ADMINISTRAÇÃO LOCAL</t>
  </si>
  <si>
    <t>ESCAVAÇÃO DE VALA</t>
  </si>
  <si>
    <t>LASTRO DE BRITA E PEDRA DE MÃO</t>
  </si>
  <si>
    <t>FORNECIMENTO DE TUBOS</t>
  </si>
  <si>
    <t>7758 - Insumo</t>
  </si>
  <si>
    <t>ASSENTAMENTO DE TUBOS</t>
  </si>
  <si>
    <t>t.km</t>
  </si>
  <si>
    <t>BOCA DE LOBO</t>
  </si>
  <si>
    <t>BOCA DE BUEIRO</t>
  </si>
  <si>
    <t>REGULARIZAÇÃO</t>
  </si>
  <si>
    <t>EXECUÇÃO DA BASE</t>
  </si>
  <si>
    <t>CORTE</t>
  </si>
  <si>
    <t>ATERRO</t>
  </si>
  <si>
    <t>SERVIÇOS COMPLEMENTARES</t>
  </si>
  <si>
    <t>Cone de sinalização em PVC rígido com faixa refletiva, H = 70cm / 76cm</t>
  </si>
  <si>
    <t>MEIO FIO E TENTO</t>
  </si>
  <si>
    <t>CÓDIGO</t>
  </si>
  <si>
    <t>h</t>
  </si>
  <si>
    <t>TRANSPORTE</t>
  </si>
  <si>
    <t>Segurança de trânsito de advertência de obra com placa (fundo laranja) sobre cavalete, conforme ABNT NBR 7678</t>
  </si>
  <si>
    <t>BLTC - Boca de lobo tripla, em concreto simples fck = 20MPa, incluindo forma, escavação, calçamento ao redor e grelha em FºFº tipo pesada, conforme projeto tipo</t>
  </si>
  <si>
    <t>LASTRO</t>
  </si>
  <si>
    <t>IMPRIMAÇÃO</t>
  </si>
  <si>
    <t>CBUQ</t>
  </si>
  <si>
    <t>VALOR</t>
  </si>
  <si>
    <t>VALOR GERAL</t>
  </si>
  <si>
    <t>TABELA RESUMO</t>
  </si>
  <si>
    <r>
      <t xml:space="preserve">TRECHO </t>
    </r>
    <r>
      <rPr>
        <b/>
        <sz val="8"/>
        <color rgb="FFFF0000"/>
        <rFont val="Arial"/>
        <family val="2"/>
      </rPr>
      <t>Nº</t>
    </r>
  </si>
  <si>
    <r>
      <t xml:space="preserve">EXTENSÃO </t>
    </r>
    <r>
      <rPr>
        <b/>
        <sz val="8"/>
        <color rgb="FFFF0000"/>
        <rFont val="Arial"/>
        <family val="2"/>
      </rPr>
      <t>(m)</t>
    </r>
  </si>
  <si>
    <r>
      <t xml:space="preserve">DIÂMETRO </t>
    </r>
    <r>
      <rPr>
        <b/>
        <sz val="8"/>
        <color rgb="FFFF0000"/>
        <rFont val="Arial"/>
        <family val="2"/>
      </rPr>
      <t>(m)</t>
    </r>
  </si>
  <si>
    <r>
      <t xml:space="preserve">N° DE LINHAS </t>
    </r>
    <r>
      <rPr>
        <b/>
        <sz val="8"/>
        <color rgb="FFFF0000"/>
        <rFont val="Arial"/>
        <family val="2"/>
      </rPr>
      <t>(un)</t>
    </r>
  </si>
  <si>
    <t>PS-1 / PS-2 / PVC</t>
  </si>
  <si>
    <t>PROFUNDIDADE</t>
  </si>
  <si>
    <t>MONTANTE (PV)</t>
  </si>
  <si>
    <t>MÉDIA</t>
  </si>
  <si>
    <t>BOLSA + ESPESSURA</t>
  </si>
  <si>
    <r>
      <t>MÉDIA + BOLSA</t>
    </r>
    <r>
      <rPr>
        <b/>
        <sz val="8"/>
        <color rgb="FFFF0000"/>
        <rFont val="Arial"/>
        <family val="2"/>
      </rPr>
      <t xml:space="preserve"> (H)</t>
    </r>
  </si>
  <si>
    <r>
      <t xml:space="preserve">TALUDE </t>
    </r>
    <r>
      <rPr>
        <b/>
        <sz val="8"/>
        <color rgb="FFFF0000"/>
        <rFont val="Arial"/>
        <family val="2"/>
      </rPr>
      <t>(1:V)</t>
    </r>
  </si>
  <si>
    <t>JUSANTE (PV)</t>
  </si>
  <si>
    <r>
      <t xml:space="preserve">BASE </t>
    </r>
    <r>
      <rPr>
        <b/>
        <sz val="8"/>
        <color rgb="FFFF0000"/>
        <rFont val="Arial"/>
        <family val="2"/>
      </rPr>
      <t>(m)</t>
    </r>
  </si>
  <si>
    <r>
      <t>ÁREA DO TUBO</t>
    </r>
    <r>
      <rPr>
        <b/>
        <sz val="8"/>
        <color rgb="FFFF0000"/>
        <rFont val="Arial"/>
        <family val="2"/>
      </rPr>
      <t xml:space="preserve"> (m²)</t>
    </r>
  </si>
  <si>
    <t>TOPO (BOCA DA VALA)</t>
  </si>
  <si>
    <t>INFERIOR H &lt; 4,50m (L = 2Ø)</t>
  </si>
  <si>
    <t>INFERIOR H &gt; 4,50m (L = 3Ø)</t>
  </si>
  <si>
    <r>
      <t xml:space="preserve">LASTRO DE BRITA </t>
    </r>
    <r>
      <rPr>
        <b/>
        <sz val="8"/>
        <color rgb="FFFF0000"/>
        <rFont val="Arial"/>
        <family val="2"/>
      </rPr>
      <t>(m³)</t>
    </r>
  </si>
  <si>
    <t>ESPESSURA</t>
  </si>
  <si>
    <t>VOLUME</t>
  </si>
  <si>
    <r>
      <t xml:space="preserve">LASTRO DE PEDRA DE MÃO </t>
    </r>
    <r>
      <rPr>
        <b/>
        <sz val="8"/>
        <color rgb="FFFF0000"/>
        <rFont val="Arial"/>
        <family val="2"/>
      </rPr>
      <t>(m³)</t>
    </r>
  </si>
  <si>
    <r>
      <t xml:space="preserve">TRANSPORTE DO BOTA FORA </t>
    </r>
    <r>
      <rPr>
        <b/>
        <sz val="8"/>
        <color rgb="FFFF0000"/>
        <rFont val="Arial"/>
        <family val="2"/>
      </rPr>
      <t>(m³.km)</t>
    </r>
  </si>
  <si>
    <r>
      <t xml:space="preserve">CARGA E DESCARGA (BOTA FORA) </t>
    </r>
    <r>
      <rPr>
        <b/>
        <sz val="8"/>
        <color rgb="FFFF0000"/>
        <rFont val="Arial"/>
        <family val="2"/>
      </rPr>
      <t>(m³)</t>
    </r>
  </si>
  <si>
    <t>MEMÓRIA DE CÁLCULO DE DRENAGEM DE ÁGUAS PLUVIAIS - DISPOSITIVOS ESTRUTURAIS</t>
  </si>
  <si>
    <r>
      <t xml:space="preserve">REDE </t>
    </r>
    <r>
      <rPr>
        <b/>
        <sz val="8"/>
        <color rgb="FFFF0000"/>
        <rFont val="Arial"/>
        <family val="2"/>
      </rPr>
      <t>(m)</t>
    </r>
  </si>
  <si>
    <t>CLASSE PA-1 Ø1,50m</t>
  </si>
  <si>
    <r>
      <t xml:space="preserve">ASSENTAMENTO </t>
    </r>
    <r>
      <rPr>
        <b/>
        <sz val="8"/>
        <color rgb="FFFF0000"/>
        <rFont val="Arial"/>
        <family val="2"/>
      </rPr>
      <t>(m)</t>
    </r>
  </si>
  <si>
    <r>
      <t>PESO DOS TUBOS</t>
    </r>
    <r>
      <rPr>
        <b/>
        <sz val="8"/>
        <color rgb="FFFF0000"/>
        <rFont val="Arial"/>
        <family val="2"/>
      </rPr>
      <t xml:space="preserve"> (t)</t>
    </r>
  </si>
  <si>
    <r>
      <t xml:space="preserve">TRANSPORTE DE BRITA </t>
    </r>
    <r>
      <rPr>
        <b/>
        <sz val="8"/>
        <color rgb="FFFF0000"/>
        <rFont val="Arial"/>
        <family val="2"/>
      </rPr>
      <t>(m³.km)</t>
    </r>
  </si>
  <si>
    <r>
      <t xml:space="preserve">BOCA DE LOBO    </t>
    </r>
    <r>
      <rPr>
        <b/>
        <sz val="8"/>
        <color rgb="FFFF0000"/>
        <rFont val="Arial"/>
        <family val="2"/>
      </rPr>
      <t>(un)</t>
    </r>
  </si>
  <si>
    <t>CONCRETO TRIPLA</t>
  </si>
  <si>
    <r>
      <t xml:space="preserve">BOCA DE BUEIRO    </t>
    </r>
    <r>
      <rPr>
        <b/>
        <sz val="8"/>
        <color rgb="FFFF0000"/>
        <rFont val="Arial"/>
        <family val="2"/>
      </rPr>
      <t>(un)</t>
    </r>
  </si>
  <si>
    <t>Ø1,50m</t>
  </si>
  <si>
    <r>
      <t xml:space="preserve">CARGA DE BRITA P/ BOCA DE LOBO </t>
    </r>
    <r>
      <rPr>
        <b/>
        <sz val="8"/>
        <color rgb="FFFF0000"/>
        <rFont val="Arial"/>
        <family val="2"/>
      </rPr>
      <t>(m³)</t>
    </r>
  </si>
  <si>
    <r>
      <t xml:space="preserve">CARGA DE BRITA P/ BOCA DE BUEIRO </t>
    </r>
    <r>
      <rPr>
        <b/>
        <sz val="8"/>
        <color rgb="FFFF0000"/>
        <rFont val="Arial"/>
        <family val="2"/>
      </rPr>
      <t>(m³)</t>
    </r>
  </si>
  <si>
    <t>CRONOGRAMA FÍSICO FINANCEIRO</t>
  </si>
  <si>
    <t>PREÇO TOTAL</t>
  </si>
  <si>
    <t>MÊS 01</t>
  </si>
  <si>
    <t>TOTAL MENSAL</t>
  </si>
  <si>
    <t>TOTAL MENSAL ACUMULADO</t>
  </si>
  <si>
    <t>MÊS 02</t>
  </si>
  <si>
    <t>NOME DA RUA</t>
  </si>
  <si>
    <r>
      <t>ÁREA DE REGULARIZAÇÃO</t>
    </r>
    <r>
      <rPr>
        <b/>
        <sz val="8"/>
        <color rgb="FFFF0000"/>
        <rFont val="Arial"/>
        <family val="2"/>
      </rPr>
      <t xml:space="preserve"> (m²)</t>
    </r>
  </si>
  <si>
    <r>
      <t>LARGURA</t>
    </r>
    <r>
      <rPr>
        <b/>
        <sz val="8"/>
        <color rgb="FFFF0000"/>
        <rFont val="Arial"/>
        <family val="2"/>
      </rPr>
      <t xml:space="preserve"> (m)</t>
    </r>
  </si>
  <si>
    <t>A</t>
  </si>
  <si>
    <t>C</t>
  </si>
  <si>
    <r>
      <t>ESPESSURA</t>
    </r>
    <r>
      <rPr>
        <b/>
        <sz val="8"/>
        <color rgb="FFFF0000"/>
        <rFont val="Arial"/>
        <family val="2"/>
      </rPr>
      <t xml:space="preserve"> (m)</t>
    </r>
  </si>
  <si>
    <r>
      <t>CASCALHO</t>
    </r>
    <r>
      <rPr>
        <b/>
        <sz val="8"/>
        <color rgb="FFFF0000"/>
        <rFont val="Arial"/>
        <family val="2"/>
      </rPr>
      <t xml:space="preserve"> (m³)</t>
    </r>
  </si>
  <si>
    <t>EXECUÇÃO E COMPACTAÇÃO</t>
  </si>
  <si>
    <r>
      <t>ESCAVAÇÃO DO MATERIAL</t>
    </r>
    <r>
      <rPr>
        <b/>
        <sz val="8"/>
        <color rgb="FFFF0000"/>
        <rFont val="Arial"/>
        <family val="2"/>
      </rPr>
      <t xml:space="preserve"> (m³)</t>
    </r>
  </si>
  <si>
    <t>AQUISIÇÃO DO MATERIAL</t>
  </si>
  <si>
    <r>
      <t>CASCALHO</t>
    </r>
    <r>
      <rPr>
        <b/>
        <sz val="8"/>
        <color rgb="FFFF0000"/>
        <rFont val="Arial"/>
        <family val="2"/>
      </rPr>
      <t xml:space="preserve"> (m³.km)</t>
    </r>
  </si>
  <si>
    <t>BASE</t>
  </si>
  <si>
    <r>
      <t xml:space="preserve">ÁREA DA IMPRIMAÇÃO </t>
    </r>
    <r>
      <rPr>
        <b/>
        <sz val="8"/>
        <color rgb="FFFF0000"/>
        <rFont val="Arial"/>
        <family val="2"/>
      </rPr>
      <t>(m²)</t>
    </r>
  </si>
  <si>
    <r>
      <t xml:space="preserve">ESPESSURA </t>
    </r>
    <r>
      <rPr>
        <b/>
        <sz val="8"/>
        <color rgb="FFFF0000"/>
        <rFont val="Arial"/>
        <family val="2"/>
      </rPr>
      <t>(m)</t>
    </r>
  </si>
  <si>
    <t>AQUISIÇÃO DA BASE</t>
  </si>
  <si>
    <t>ESCAVAÇÃO DA BASE</t>
  </si>
  <si>
    <t>TRANSPORTE DA BASE</t>
  </si>
  <si>
    <t>MEMÓRIA DE CÁLCULO DE SERVIÇOS COMPLEMENTARES</t>
  </si>
  <si>
    <r>
      <t>COM SARJETA</t>
    </r>
    <r>
      <rPr>
        <b/>
        <sz val="8"/>
        <color rgb="FFFF0000"/>
        <rFont val="Arial"/>
        <family val="2"/>
      </rPr>
      <t xml:space="preserve"> (m)</t>
    </r>
  </si>
  <si>
    <r>
      <t>CARGA DE BRITA P/ MEIO FIO E TENTO</t>
    </r>
    <r>
      <rPr>
        <b/>
        <sz val="8"/>
        <color rgb="FFFF0000"/>
        <rFont val="Arial"/>
        <family val="2"/>
      </rPr>
      <t xml:space="preserve"> (m³)</t>
    </r>
  </si>
  <si>
    <t>Cascalho em cava</t>
  </si>
  <si>
    <t>BOTA FORA</t>
  </si>
  <si>
    <t>TUBOS</t>
  </si>
  <si>
    <r>
      <t>ÁREA DE FECHAMENTO DE VALA</t>
    </r>
    <r>
      <rPr>
        <b/>
        <sz val="8"/>
        <color rgb="FFFF0000"/>
        <rFont val="Arial"/>
        <family val="2"/>
      </rPr>
      <t xml:space="preserve"> (m²)</t>
    </r>
  </si>
  <si>
    <t>3º QUARTIL</t>
  </si>
  <si>
    <t>MÉDIO</t>
  </si>
  <si>
    <t>1º QUARTIL</t>
  </si>
  <si>
    <t>LUCRO</t>
  </si>
  <si>
    <t>PIS</t>
  </si>
  <si>
    <t>COFINS</t>
  </si>
  <si>
    <t>TRECHO N°</t>
  </si>
  <si>
    <t>MONTANTE</t>
  </si>
  <si>
    <t>JUSANTE</t>
  </si>
  <si>
    <r>
      <t xml:space="preserve">COTA TERRENO </t>
    </r>
    <r>
      <rPr>
        <b/>
        <sz val="8"/>
        <color rgb="FFFF0000"/>
        <rFont val="Arial"/>
        <family val="2"/>
      </rPr>
      <t>(m)</t>
    </r>
  </si>
  <si>
    <t>NÃO DIGITAR NADA NESSA COLUNA</t>
  </si>
  <si>
    <t>B</t>
  </si>
  <si>
    <t>TRECHO À</t>
  </si>
  <si>
    <t>BACIA HIDROGRÁFICA</t>
  </si>
  <si>
    <r>
      <t xml:space="preserve">ÁREA </t>
    </r>
    <r>
      <rPr>
        <b/>
        <sz val="8"/>
        <color rgb="FFFF0000"/>
        <rFont val="Arial"/>
        <family val="2"/>
      </rPr>
      <t>(ha)</t>
    </r>
  </si>
  <si>
    <t>RUN OFF</t>
  </si>
  <si>
    <t>VERIFICAÇÃO DOS TRECHOS:</t>
  </si>
  <si>
    <t>TOTAL DOS MONTANTES:</t>
  </si>
  <si>
    <t>TRECHO QUE FALTA:</t>
  </si>
  <si>
    <t>TOTAL DOS TRECHOS:</t>
  </si>
  <si>
    <t>TOTAL DOS LANÇAMENTOS:</t>
  </si>
  <si>
    <t>MEMÓRIA DE CÁLCULO DE SERVIÇOS PRELIMINARES</t>
  </si>
  <si>
    <t>DRENAGEM DE ÁGUAS PLUVIAIS</t>
  </si>
  <si>
    <r>
      <t>EXTENSÃO</t>
    </r>
    <r>
      <rPr>
        <b/>
        <sz val="8"/>
        <color rgb="FFFF0000"/>
        <rFont val="Arial"/>
        <family val="2"/>
      </rPr>
      <t xml:space="preserve"> (m)</t>
    </r>
  </si>
  <si>
    <r>
      <t>PLACA DE OBRA</t>
    </r>
    <r>
      <rPr>
        <b/>
        <sz val="8"/>
        <color rgb="FFFF0000"/>
        <rFont val="Arial"/>
        <family val="2"/>
      </rPr>
      <t xml:space="preserve"> (m²)</t>
    </r>
  </si>
  <si>
    <r>
      <t>CONE DE SINALIZAÇÃO</t>
    </r>
    <r>
      <rPr>
        <b/>
        <sz val="8"/>
        <color rgb="FFFF0000"/>
        <rFont val="Arial"/>
        <family val="2"/>
      </rPr>
      <t xml:space="preserve"> (un)</t>
    </r>
  </si>
  <si>
    <r>
      <t>ESPALHAMENTO</t>
    </r>
    <r>
      <rPr>
        <b/>
        <sz val="8"/>
        <color rgb="FFFF0000"/>
        <rFont val="Arial"/>
        <family val="2"/>
      </rPr>
      <t xml:space="preserve"> (m³)</t>
    </r>
  </si>
  <si>
    <t>MESES</t>
  </si>
  <si>
    <t>DIAS</t>
  </si>
  <si>
    <t>HORAS</t>
  </si>
  <si>
    <t>Topógrafo com encargos complementares</t>
  </si>
  <si>
    <t>Auxiliar de topógrafo com encargos complementares</t>
  </si>
  <si>
    <t>MEMÓRIA DE CÁLCULO DE DRENAGEM DE ÁGUAS PLUVIAIS - FECHAMENTO DE VALA</t>
  </si>
  <si>
    <t>Espalhamento de material com trator esteiras</t>
  </si>
  <si>
    <t>Lançamento com uso de baldes, adensamento e acabamento de concreto em estruturas</t>
  </si>
  <si>
    <t>Lastro de concreto magro, aplicado em blocos de coroamento ou sapatas</t>
  </si>
  <si>
    <t>Demolição de lajes, de forma manual, sem reaproveitamento</t>
  </si>
  <si>
    <t>BDI</t>
  </si>
  <si>
    <t>UNITÁRIO    C/ BDI</t>
  </si>
  <si>
    <t>UNITÁRIO     S/ BDI</t>
  </si>
  <si>
    <r>
      <t>QUANTIDADE</t>
    </r>
    <r>
      <rPr>
        <b/>
        <sz val="8"/>
        <color rgb="FFFF0000"/>
        <rFont val="Arial"/>
        <family val="2"/>
      </rPr>
      <t xml:space="preserve"> (un)</t>
    </r>
  </si>
  <si>
    <r>
      <t>COMPRIMENTO</t>
    </r>
    <r>
      <rPr>
        <b/>
        <sz val="8"/>
        <color rgb="FFFF0000"/>
        <rFont val="Arial"/>
        <family val="2"/>
      </rPr>
      <t xml:space="preserve"> (m)</t>
    </r>
  </si>
  <si>
    <t>SEGURANÇA DE TRÂNSITO</t>
  </si>
  <si>
    <r>
      <t xml:space="preserve">CARGA E DESCARGA (BOTA FORA)  </t>
    </r>
    <r>
      <rPr>
        <b/>
        <sz val="8"/>
        <color rgb="FFFF0000"/>
        <rFont val="Arial"/>
        <family val="2"/>
      </rPr>
      <t>(m³)</t>
    </r>
  </si>
  <si>
    <t>Carga, manobra e descarga de solos e materiais granulares em caminhão basculante 10m³, carga com escavadeira hidráulica (caçamba de 1,20m³ / 155HP) e descarga livre</t>
  </si>
  <si>
    <t>Tubo de concreto armado para águas pluviais, classe PA-1, com encaixe ponta e bolsa, diâmetro nominal de 1.500mm</t>
  </si>
  <si>
    <t>TRANSPORTE DE TUBOS</t>
  </si>
  <si>
    <t>Escavação horizontal em solo de 1ª categoria, com trator de esteiras (100HP / lâmina: 2,19m³)</t>
  </si>
  <si>
    <r>
      <t xml:space="preserve">TRANSPORTE DE TUBOS DMT &lt;=30Km </t>
    </r>
    <r>
      <rPr>
        <b/>
        <sz val="8"/>
        <color rgb="FFFF0000"/>
        <rFont val="Arial"/>
        <family val="2"/>
      </rPr>
      <t>(t.km)</t>
    </r>
  </si>
  <si>
    <t>Preparo de fundo de vala com largura maior ou igual a 1,50m e menor que 2,50m, com camada de brita, lançamento manual</t>
  </si>
  <si>
    <t>DADOS DO CONTRATANTE</t>
  </si>
  <si>
    <t>CLIENTE:</t>
  </si>
  <si>
    <t>ENDEREÇO:</t>
  </si>
  <si>
    <t>DADOS DA OBRA</t>
  </si>
  <si>
    <t>OBRA:</t>
  </si>
  <si>
    <t>LOCAL:</t>
  </si>
  <si>
    <t>PAVIMENTAÇÃO ASFÁLTICA E DRENAGEM DE ÁGUAS PLUVIAIS</t>
  </si>
  <si>
    <t>13244 -   Insumo</t>
  </si>
  <si>
    <t>PROFISSIONAL</t>
  </si>
  <si>
    <t>DADOS DA CONTRATADA</t>
  </si>
  <si>
    <r>
      <t xml:space="preserve">PESO </t>
    </r>
    <r>
      <rPr>
        <b/>
        <sz val="8"/>
        <color rgb="FFFF0000"/>
        <rFont val="Arial"/>
        <family val="2"/>
      </rPr>
      <t>(%)</t>
    </r>
  </si>
  <si>
    <t>REFERÊNCIA</t>
  </si>
  <si>
    <r>
      <t xml:space="preserve">Transporte com caminhão basculante de 10m³, em via urbana pavimentada, DMT até 30km - </t>
    </r>
    <r>
      <rPr>
        <sz val="8"/>
        <color rgb="FFFF0000"/>
        <rFont val="Arial"/>
        <family val="2"/>
      </rPr>
      <t>CBUQ</t>
    </r>
  </si>
  <si>
    <r>
      <t xml:space="preserve">Execução e compactação de base e ou sub base para pavimentação de solos de comportamento laterítico (arenoso), exclusive solo, escavação, carga e transporte - </t>
    </r>
    <r>
      <rPr>
        <sz val="8"/>
        <color rgb="FFFF0000"/>
        <rFont val="Arial"/>
        <family val="2"/>
      </rPr>
      <t>CASCALHO</t>
    </r>
  </si>
  <si>
    <t>Encarregado geral com encargos complementares</t>
  </si>
  <si>
    <t>Engenheiro civil de obra junior com encargos complentares</t>
  </si>
  <si>
    <r>
      <t xml:space="preserve">Transporte com caminhão basculante de 10m³, em via urbana pavimentada, DMT até 30km - </t>
    </r>
    <r>
      <rPr>
        <sz val="8"/>
        <color rgb="FFFF0000"/>
        <rFont val="Arial"/>
        <family val="2"/>
      </rPr>
      <t>BOTA FORA</t>
    </r>
  </si>
  <si>
    <r>
      <t xml:space="preserve">Transporte com caminhão basculante de 10m³, em via urbana pavimentada, DMT até 30km - </t>
    </r>
    <r>
      <rPr>
        <sz val="8"/>
        <color rgb="FFFF0000"/>
        <rFont val="Arial"/>
        <family val="2"/>
      </rPr>
      <t>BRITA PARA BOCA DE LOBO</t>
    </r>
  </si>
  <si>
    <r>
      <t xml:space="preserve">Transporte com caminhão basculante de 10m³, em via urbana pavimentada, adicional para DMT excedente a 30km - </t>
    </r>
    <r>
      <rPr>
        <sz val="8"/>
        <color rgb="FFFF0000"/>
        <rFont val="Arial"/>
        <family val="2"/>
      </rPr>
      <t>BRITA PARA BOCA DE LOBO</t>
    </r>
  </si>
  <si>
    <r>
      <t xml:space="preserve">Transporte com caminhão basculante de 10m³, em via urbana pavimentada, DMT até 30km - </t>
    </r>
    <r>
      <rPr>
        <sz val="8"/>
        <color rgb="FFFF0000"/>
        <rFont val="Arial"/>
        <family val="2"/>
      </rPr>
      <t>BRITA PARA BOCA DE BUEIRO</t>
    </r>
  </si>
  <si>
    <r>
      <t xml:space="preserve">Transporte com caminhão basculante de 10m³, em via urbana pavimentada, adicional para DMT excedente a 30km - </t>
    </r>
    <r>
      <rPr>
        <sz val="8"/>
        <color rgb="FFFF0000"/>
        <rFont val="Arial"/>
        <family val="2"/>
      </rPr>
      <t>BRITA PARA BOCA DE BUEIRO</t>
    </r>
  </si>
  <si>
    <t>Regularização e compactação de subleito de solo predominantemente argiloso</t>
  </si>
  <si>
    <r>
      <t xml:space="preserve">Transporte com caminhão basculante de 10m³, em via urbana pavimentada, DMT até 30km - </t>
    </r>
    <r>
      <rPr>
        <sz val="8"/>
        <color rgb="FFFF0000"/>
        <rFont val="Arial"/>
        <family val="2"/>
      </rPr>
      <t>CASCALHO</t>
    </r>
  </si>
  <si>
    <r>
      <t xml:space="preserve">Transporte com caminhão basculante de 10m³, em via urbana pavimentada, adicional para DMT excedente a 30km - </t>
    </r>
    <r>
      <rPr>
        <sz val="8"/>
        <color rgb="FFFF0000"/>
        <rFont val="Arial"/>
        <family val="2"/>
      </rPr>
      <t>CASCALHO</t>
    </r>
  </si>
  <si>
    <r>
      <t xml:space="preserve">Transporte com caminhão basculante de 10m³, em via urbana pavimentada, adicional para DMT excedente a 30km - </t>
    </r>
    <r>
      <rPr>
        <sz val="8"/>
        <color rgb="FFFF0000"/>
        <rFont val="Arial"/>
        <family val="2"/>
      </rPr>
      <t>BRITA</t>
    </r>
  </si>
  <si>
    <r>
      <t xml:space="preserve">Transporte com caminhão basculante de 10m³, em via urbana pavimentada, DMT até 30km - </t>
    </r>
    <r>
      <rPr>
        <sz val="8"/>
        <color rgb="FFFF0000"/>
        <rFont val="Arial"/>
        <family val="2"/>
      </rPr>
      <t>BRITA</t>
    </r>
  </si>
  <si>
    <r>
      <t xml:space="preserve">Transporte com caminhão basculante de 10m³, em via urbana pavimentada, DMT até 30km - </t>
    </r>
    <r>
      <rPr>
        <sz val="8"/>
        <color rgb="FFFF0000"/>
        <rFont val="Arial"/>
        <family val="2"/>
      </rPr>
      <t>BRITA PARA MEIO FIO E TENTO</t>
    </r>
  </si>
  <si>
    <r>
      <t xml:space="preserve">Transporte com caminhão basculante de 10m³, em via urbana pavimentada, adicional para DMT excedente a 30km - </t>
    </r>
    <r>
      <rPr>
        <sz val="8"/>
        <color rgb="FFFF0000"/>
        <rFont val="Arial"/>
        <family val="2"/>
      </rPr>
      <t>BRITA PARA MEIO FIO E TENTO</t>
    </r>
  </si>
  <si>
    <r>
      <t xml:space="preserve">CARGA DE TUBOS </t>
    </r>
    <r>
      <rPr>
        <b/>
        <sz val="8"/>
        <color rgb="FFFF0000"/>
        <rFont val="Arial"/>
        <family val="2"/>
      </rPr>
      <t>(t)</t>
    </r>
  </si>
  <si>
    <r>
      <t>BRITA P/ CONCRETO 15MPa</t>
    </r>
    <r>
      <rPr>
        <b/>
        <sz val="8"/>
        <color rgb="FFFF0000"/>
        <rFont val="Arial"/>
        <family val="2"/>
      </rPr>
      <t xml:space="preserve"> (m³)</t>
    </r>
  </si>
  <si>
    <r>
      <t>BRITA P/ CONCRETO 20MPa</t>
    </r>
    <r>
      <rPr>
        <b/>
        <sz val="8"/>
        <color rgb="FFFF0000"/>
        <rFont val="Arial"/>
        <family val="2"/>
      </rPr>
      <t xml:space="preserve"> (m³)</t>
    </r>
  </si>
  <si>
    <r>
      <t>CONCRETO 20MPa P/ BLT</t>
    </r>
    <r>
      <rPr>
        <b/>
        <sz val="8"/>
        <color rgb="FFFF0000"/>
        <rFont val="Arial"/>
        <family val="2"/>
      </rPr>
      <t xml:space="preserve"> (m³)</t>
    </r>
  </si>
  <si>
    <r>
      <t>BRITA P/ CONCRETO CICLÓPICO</t>
    </r>
    <r>
      <rPr>
        <b/>
        <sz val="8"/>
        <color rgb="FFFF0000"/>
        <rFont val="Arial"/>
        <family val="2"/>
      </rPr>
      <t xml:space="preserve"> (m³)</t>
    </r>
  </si>
  <si>
    <r>
      <t>CONCRETO CICLÓPICO P/ BB Ø1,50m</t>
    </r>
    <r>
      <rPr>
        <b/>
        <sz val="8"/>
        <color rgb="FFFF0000"/>
        <rFont val="Arial"/>
        <family val="2"/>
      </rPr>
      <t xml:space="preserve"> (m³)</t>
    </r>
  </si>
  <si>
    <t>Escavação mecanizada de vala com prof. de 1,50m até 3,00m (média entre montante e jusante / um composição por trecho), com escavadeira hidráulica (1,20m³ / 155HP), larg. de 1,50m a 2,50m, em solo de 1ª categoria, em locais com nível alto de interferência</t>
  </si>
  <si>
    <r>
      <t>SEÇÃO DO MEIO FIO COM SARJETA</t>
    </r>
    <r>
      <rPr>
        <b/>
        <sz val="8"/>
        <color rgb="FFFF0000"/>
        <rFont val="Arial"/>
        <family val="2"/>
      </rPr>
      <t xml:space="preserve"> (m</t>
    </r>
    <r>
      <rPr>
        <sz val="8"/>
        <color rgb="FFFF0000"/>
        <rFont val="Arial"/>
        <family val="2"/>
      </rPr>
      <t>²</t>
    </r>
    <r>
      <rPr>
        <b/>
        <sz val="8"/>
        <color rgb="FFFF0000"/>
        <rFont val="Arial"/>
        <family val="2"/>
      </rPr>
      <t>)</t>
    </r>
  </si>
  <si>
    <t>BANCOS</t>
  </si>
  <si>
    <t>ENCARGOS SOCIAIS</t>
  </si>
  <si>
    <t>MARCELLA BERNARDO LIMA - CREA 61634 / D - MS</t>
  </si>
  <si>
    <t>FERNANDO PEREIRA KHALIL - CREA 17392 / D - MS</t>
  </si>
  <si>
    <t>CAMPO GRANDE/MS</t>
  </si>
  <si>
    <t>VANESSA CRISTINA DE SOUZA - CAU A229391-9</t>
  </si>
  <si>
    <t>ELEMENTO ENGENHARIA E ARQUITETURA LTDA - CREA 20196 - MS</t>
  </si>
  <si>
    <t>VERIFICAÇÃO DO BDI - ACÓRDÃO 2.622/2013</t>
  </si>
  <si>
    <t>DADOS INICIAIS</t>
  </si>
  <si>
    <t>TIPO DE OBRA:</t>
  </si>
  <si>
    <t>Construção de rodovias e ferrovias</t>
  </si>
  <si>
    <t>ENQUADRAMENTO NA DESONERAÇÃO CONFORME LEI N° 12.844/2013:*</t>
  </si>
  <si>
    <t>NÃO</t>
  </si>
  <si>
    <t>*Uso de encargos sociais desonerados na elaboração do orçamento</t>
  </si>
  <si>
    <t>ENQUADRAM-SE NO TIPO SELECIONADO:</t>
  </si>
  <si>
    <t>CÁLCULO DOS IMPOSTOS</t>
  </si>
  <si>
    <t>TIPO DE TRIBUTAÇÃO SOBRE O LUCRO:</t>
  </si>
  <si>
    <t>LUCRO PRESUMIDO</t>
  </si>
  <si>
    <t>Imposto</t>
  </si>
  <si>
    <t>Aliquota</t>
  </si>
  <si>
    <t>Base de cálculo</t>
  </si>
  <si>
    <t>ISS BRUTO % (LEI MUNICIPAL):</t>
  </si>
  <si>
    <t>% INCIDÊNCIA (M.OBRA)*</t>
  </si>
  <si>
    <t>,</t>
  </si>
  <si>
    <t>ISS LÍQUIDO</t>
  </si>
  <si>
    <t>TOTAL IMPOSTOS</t>
  </si>
  <si>
    <t>*Incidência do total do contrato que representa mão de obra para compor a base de cálculo conf. legislação municipal.</t>
  </si>
  <si>
    <t>VERIFICAÇÃO E CÁLCULO DO BDI</t>
  </si>
  <si>
    <t>ITEM COMPONENTE</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</si>
  <si>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</si>
  <si>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</si>
  <si>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</si>
  <si>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</si>
  <si>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</si>
  <si>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</si>
  <si>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</si>
  <si>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</si>
  <si>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</si>
  <si>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</si>
  <si>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</si>
  <si>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 (USO DE E.S. DESONERADOS):</t>
  </si>
  <si>
    <t>INSS SOBRE A RECEITA BRUTA:</t>
  </si>
  <si>
    <t>____________________________________</t>
  </si>
  <si>
    <t>Elemento Engenharia e Arquitetura
CNPJ: 33.545.436/0001-15</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</si>
  <si>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</si>
  <si>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</si>
  <si>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</si>
  <si>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</si>
  <si>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</si>
  <si>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</si>
  <si>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</si>
  <si>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</si>
  <si>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</si>
  <si>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</si>
  <si>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</si>
  <si>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</si>
  <si>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</si>
  <si>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</si>
  <si>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CONFINS</t>
  </si>
  <si>
    <t>BASE DE CÁLCULO</t>
  </si>
  <si>
    <t>RECEITA BRUTA (VALOR DA NOTA)</t>
  </si>
  <si>
    <t>LUCRO REAL</t>
  </si>
  <si>
    <t>Código da pesquisa</t>
  </si>
  <si>
    <t>1º Quartil</t>
  </si>
  <si>
    <t>Médio</t>
  </si>
  <si>
    <t>3º Quartil</t>
  </si>
  <si>
    <t>1 Quartil</t>
  </si>
  <si>
    <t>3 Quartil</t>
  </si>
  <si>
    <t>LOCAL</t>
  </si>
  <si>
    <t>CIDADE</t>
  </si>
  <si>
    <t>BDI SERVIÇO:</t>
  </si>
  <si>
    <t>Emulsão asfáltica a base d'água para imprimação</t>
  </si>
  <si>
    <r>
      <t xml:space="preserve">TRANSPORTE CM-IMPRIMA </t>
    </r>
    <r>
      <rPr>
        <b/>
        <sz val="8"/>
        <color rgb="FFFF0000"/>
        <rFont val="Arial"/>
        <family val="2"/>
      </rPr>
      <t>(t.km)</t>
    </r>
  </si>
  <si>
    <r>
      <t xml:space="preserve">EMULSÃO CM-IMPRIMA </t>
    </r>
    <r>
      <rPr>
        <b/>
        <sz val="8"/>
        <color rgb="FFFF0000"/>
        <rFont val="Arial"/>
        <family val="2"/>
      </rPr>
      <t>(t)</t>
    </r>
  </si>
  <si>
    <r>
      <t xml:space="preserve">AQUISIÇÃO </t>
    </r>
    <r>
      <rPr>
        <b/>
        <sz val="8"/>
        <color rgb="FFFF0000"/>
        <rFont val="Arial"/>
        <family val="2"/>
      </rPr>
      <t>(t)</t>
    </r>
  </si>
  <si>
    <r>
      <t xml:space="preserve">CARGA DE CBUQ </t>
    </r>
    <r>
      <rPr>
        <b/>
        <sz val="8"/>
        <color rgb="FFFF0000"/>
        <rFont val="Arial"/>
        <family val="2"/>
      </rPr>
      <t>(t)</t>
    </r>
  </si>
  <si>
    <r>
      <t xml:space="preserve">APLICAÇÃO </t>
    </r>
    <r>
      <rPr>
        <b/>
        <sz val="8"/>
        <color rgb="FFFF0000"/>
        <rFont val="Arial"/>
        <family val="2"/>
      </rPr>
      <t>(t)</t>
    </r>
  </si>
  <si>
    <r>
      <t xml:space="preserve">TRANSPORTE DE CBUQ </t>
    </r>
    <r>
      <rPr>
        <b/>
        <sz val="8"/>
        <color rgb="FFFF0000"/>
        <rFont val="Arial"/>
        <family val="2"/>
      </rPr>
      <t>(t.km)</t>
    </r>
  </si>
  <si>
    <r>
      <t xml:space="preserve">EMULSÃO </t>
    </r>
    <r>
      <rPr>
        <b/>
        <sz val="8"/>
        <color rgb="FFFF0000"/>
        <rFont val="Arial"/>
        <family val="2"/>
      </rPr>
      <t>(t/m³)</t>
    </r>
  </si>
  <si>
    <t>t</t>
  </si>
  <si>
    <t>1518 - Insumo</t>
  </si>
  <si>
    <t>Aplicação de concreto betuminoso usinado à quente (CBUQ), exclusive transporte e material</t>
  </si>
  <si>
    <t>GRECA ASFALTOS</t>
  </si>
  <si>
    <t>CM-IMPRIMA</t>
  </si>
  <si>
    <t>Concreto betuminoso usinado a quente (CBUQ) para pavimentação asfáltica, padrão DNIT, faixa "C", com CAP 50/70, aquisição posto usina</t>
  </si>
  <si>
    <r>
      <t xml:space="preserve">CONSUMO CM-IMPRIMA </t>
    </r>
    <r>
      <rPr>
        <b/>
        <sz val="8"/>
        <color rgb="FFFF0000"/>
        <rFont val="Arial"/>
        <family val="2"/>
      </rPr>
      <t>(t/m³)</t>
    </r>
  </si>
  <si>
    <t>QUADRO DE DISTÂNCIA MÉDIAS DE TRANSPORTE DE INSUMOS - DMT</t>
  </si>
  <si>
    <t>INSUMO</t>
  </si>
  <si>
    <t>USINA DE CBUQ</t>
  </si>
  <si>
    <t>EMULSÃO RR-2C</t>
  </si>
  <si>
    <t>JAZIDA DE CASCALHO</t>
  </si>
  <si>
    <t>PEDREIRA</t>
  </si>
  <si>
    <t>MEMÓRIA DE CÁLCULO DE DEMOLIÇÕES</t>
  </si>
  <si>
    <t>DEMOLIÇÕES</t>
  </si>
  <si>
    <t>DEMOLIÇÃO DE CONCRETO</t>
  </si>
  <si>
    <t>CONCRETO EXISTENTE</t>
  </si>
  <si>
    <t>01</t>
  </si>
  <si>
    <t>02</t>
  </si>
  <si>
    <t>03</t>
  </si>
  <si>
    <t>04</t>
  </si>
  <si>
    <t>05</t>
  </si>
  <si>
    <r>
      <rPr>
        <b/>
        <sz val="8"/>
        <rFont val="Arial"/>
        <family val="2"/>
      </rPr>
      <t xml:space="preserve">EXTENSÃO </t>
    </r>
    <r>
      <rPr>
        <b/>
        <sz val="8"/>
        <color rgb="FFFF0000"/>
        <rFont val="Arial"/>
        <family val="2"/>
      </rPr>
      <t>(m)</t>
    </r>
  </si>
  <si>
    <r>
      <t>VOLUME DE DEMOLIÇÃO DE CONCRETO</t>
    </r>
    <r>
      <rPr>
        <b/>
        <sz val="8"/>
        <color rgb="FFFF0000"/>
        <rFont val="Arial"/>
        <family val="2"/>
      </rPr>
      <t xml:space="preserve"> (m³)</t>
    </r>
  </si>
  <si>
    <r>
      <t>TRANSPORTE BOTA FORA</t>
    </r>
    <r>
      <rPr>
        <b/>
        <sz val="8"/>
        <color rgb="FFFF0000"/>
        <rFont val="Arial"/>
        <family val="2"/>
      </rPr>
      <t xml:space="preserve"> (m³.km)</t>
    </r>
  </si>
  <si>
    <t>Assentamento de tubo de concreto para redes coletoras de águas pluviais, diâmetro de 1.500mm, junta rígida, instalado em local com alto nível de interferência (não inclui fornecimento)</t>
  </si>
  <si>
    <t>DMT (km)</t>
  </si>
  <si>
    <t>Fornecimento e instalação de placa de obra com chapa galvanizada e estrutura de madeira</t>
  </si>
  <si>
    <t>NOME DA VIA</t>
  </si>
  <si>
    <t>ESTACA</t>
  </si>
  <si>
    <t>SEMI DISTÂNCIA</t>
  </si>
  <si>
    <t>ÁREA DA SEÇÃO (m²)</t>
  </si>
  <si>
    <r>
      <t xml:space="preserve">VOLUME PARCIAL GEOMÉTRICO </t>
    </r>
    <r>
      <rPr>
        <b/>
        <sz val="8"/>
        <color rgb="FFFF0000"/>
        <rFont val="Arial"/>
        <family val="2"/>
      </rPr>
      <t>(m³)</t>
    </r>
  </si>
  <si>
    <t>+</t>
  </si>
  <si>
    <t xml:space="preserve">RESUMO </t>
  </si>
  <si>
    <r>
      <t>ESCAVAÇÃO</t>
    </r>
    <r>
      <rPr>
        <b/>
        <sz val="8"/>
        <color rgb="FFFF0000"/>
        <rFont val="Arial"/>
        <family val="2"/>
      </rPr>
      <t xml:space="preserve"> (m³)</t>
    </r>
  </si>
  <si>
    <r>
      <t xml:space="preserve">ESPALHAMENTO (ATERRO) </t>
    </r>
    <r>
      <rPr>
        <b/>
        <sz val="8"/>
        <color rgb="FFFF0000"/>
        <rFont val="Arial"/>
        <family val="2"/>
      </rPr>
      <t>(m³)</t>
    </r>
  </si>
  <si>
    <r>
      <t xml:space="preserve">TRANSPORTE DE PEDRA DE MÃO </t>
    </r>
    <r>
      <rPr>
        <b/>
        <sz val="8"/>
        <color rgb="FFFF0000"/>
        <rFont val="Arial"/>
        <family val="2"/>
      </rPr>
      <t>(m³.km)</t>
    </r>
  </si>
  <si>
    <t>Execução e compactação de aterro com solo predominantemente arenoso, exclusive solo, escavação, carga e transporte</t>
  </si>
  <si>
    <t>MATERIAL (P=PEAD C=CONCRETO MET=METÁLICO)</t>
  </si>
  <si>
    <t>01.01</t>
  </si>
  <si>
    <t>10776 - Insumo</t>
  </si>
  <si>
    <t>01.02</t>
  </si>
  <si>
    <t>Locação de container 2,30m x 6,00m, alt 2,50m, para escritório, sem divisórias internas e sem sanitário (não inclui mobilização / desmobilização)</t>
  </si>
  <si>
    <t>mês</t>
  </si>
  <si>
    <t>IUSP0004 - AGESUL</t>
  </si>
  <si>
    <t>01.03</t>
  </si>
  <si>
    <t>Locação de uma unidade de banheiro químico (2,31m x 1,15m x 1,15m com uma higienização por semana, inclusive transporte, carga e descarga</t>
  </si>
  <si>
    <t>IUI00002 - AGESUL</t>
  </si>
  <si>
    <t>01.04</t>
  </si>
  <si>
    <t>Fornecimento e colocação de tela tapume de proteção, altura 1,20m, fabricada com polietileno reforçado, por processo de extrusão, fornecida na cor laranja, no tipo leve, rolo com as seguintes dimensões h = 1,20m e I = 50m</t>
  </si>
  <si>
    <t>IUI00003 - AGESUL</t>
  </si>
  <si>
    <t>01.05</t>
  </si>
  <si>
    <t>01.06</t>
  </si>
  <si>
    <t>PRELIMINARES</t>
  </si>
  <si>
    <r>
      <t>LOCAÇÃO DE CONTAINER</t>
    </r>
    <r>
      <rPr>
        <b/>
        <sz val="8"/>
        <color rgb="FFFF0000"/>
        <rFont val="Arial"/>
        <family val="2"/>
      </rPr>
      <t xml:space="preserve"> (un)</t>
    </r>
  </si>
  <si>
    <r>
      <t>LOCAÇÃO DE BANHEIRO QUÍMICO</t>
    </r>
    <r>
      <rPr>
        <b/>
        <sz val="8"/>
        <color rgb="FFFF0000"/>
        <rFont val="Arial"/>
        <family val="2"/>
      </rPr>
      <t xml:space="preserve"> (un)</t>
    </r>
  </si>
  <si>
    <r>
      <t>ISOLAMENTO DE OBRA</t>
    </r>
    <r>
      <rPr>
        <b/>
        <sz val="8"/>
        <color rgb="FFFF0000"/>
        <rFont val="Arial"/>
        <family val="2"/>
      </rPr>
      <t xml:space="preserve"> (m²)</t>
    </r>
  </si>
  <si>
    <r>
      <t>PLACA DE ADVERTÊNCIA</t>
    </r>
    <r>
      <rPr>
        <b/>
        <sz val="8"/>
        <color rgb="FFFF0000"/>
        <rFont val="Arial"/>
        <family val="2"/>
      </rPr>
      <t xml:space="preserve"> (un)</t>
    </r>
  </si>
  <si>
    <t>02.01</t>
  </si>
  <si>
    <t>03.01</t>
  </si>
  <si>
    <t>03.02</t>
  </si>
  <si>
    <t>03.03</t>
  </si>
  <si>
    <t>SICRO MS 01/2025</t>
  </si>
  <si>
    <t>04.01</t>
  </si>
  <si>
    <t>04.02</t>
  </si>
  <si>
    <t>04.03</t>
  </si>
  <si>
    <t>IUD30028 - AGESUL</t>
  </si>
  <si>
    <t>Enrocamento de pedra de mão, inclusive espalhamento e compactação mecânica, fornecimento e assentamento</t>
  </si>
  <si>
    <t>TERRAPLENAGEM</t>
  </si>
  <si>
    <t>DISPOSITIVOS ESTRUTURAIS</t>
  </si>
  <si>
    <t>IUD20008 - AGESUL</t>
  </si>
  <si>
    <r>
      <t xml:space="preserve">Transporte com caminhão carroceria com guindauto (munck), momento máximo de carga 11,7TM, em via urbana pavimentada, DMT até 30km - </t>
    </r>
    <r>
      <rPr>
        <sz val="8"/>
        <color rgb="FFFF0000"/>
        <rFont val="Arial"/>
        <family val="2"/>
      </rPr>
      <t>TUBOS E ADUELA</t>
    </r>
  </si>
  <si>
    <t>05.01</t>
  </si>
  <si>
    <t>05.02</t>
  </si>
  <si>
    <t>05.03</t>
  </si>
  <si>
    <t>05.04</t>
  </si>
  <si>
    <t>FECHAMENTO DE VALA</t>
  </si>
  <si>
    <t>MIUC00703 - AGESUL</t>
  </si>
  <si>
    <t>IUP30114 - AGESUL</t>
  </si>
  <si>
    <t>Execução de imprimação com emulsão asfáltica a base d'água.(exclusive material betuminoso)</t>
  </si>
  <si>
    <t>IUP20005 - AGESUL</t>
  </si>
  <si>
    <r>
      <t xml:space="preserve">Transporte com caminhão tanque de transporte de material asfáltico de 30.000L, em via urbana pavimentada, DMT até 30km - </t>
    </r>
    <r>
      <rPr>
        <sz val="8"/>
        <color rgb="FFFF0000"/>
        <rFont val="Arial"/>
        <family val="2"/>
      </rPr>
      <t>CM-IMPRIMA</t>
    </r>
  </si>
  <si>
    <r>
      <t xml:space="preserve">Transporte com caminhão tanque de transporte de material asfáltico de 30.000L, em via urbana pavimentada, adicional para DMT excedente a 30km - </t>
    </r>
    <r>
      <rPr>
        <sz val="8"/>
        <color rgb="FFFF0000"/>
        <rFont val="Arial"/>
        <family val="2"/>
      </rPr>
      <t>CM-IMPRIMA</t>
    </r>
  </si>
  <si>
    <t>IUP0007 - AGESUL</t>
  </si>
  <si>
    <t>Meio-fio com sarjeta, concreto fck=15 MPa, seção 615cm², moldado no local, inclusive escavação e pintura a cal em uma demão</t>
  </si>
  <si>
    <t>IUP30001 - AGESUL</t>
  </si>
  <si>
    <r>
      <t>PESO UNITÁRIO PA-1 Ø1,50m</t>
    </r>
    <r>
      <rPr>
        <b/>
        <sz val="8"/>
        <color rgb="FFFF0000"/>
        <rFont val="Arial"/>
        <family val="2"/>
      </rPr>
      <t xml:space="preserve"> (t)</t>
    </r>
  </si>
  <si>
    <t>HORISTA:  107,52%
MENSALISTA:  64,80%</t>
  </si>
  <si>
    <t>RUA ANTÔNIO MARIA COELHO, Nº 4.017 - SALA 03 - SANTA FÉ</t>
  </si>
  <si>
    <t>PREFEITURA MUNICIPAL DE JARDIM / MS</t>
  </si>
  <si>
    <t>RUA CEL. JUVÊNCIO, Nº 547 - CENTRO</t>
  </si>
  <si>
    <t>RUA RUBI, JARDIM / MS</t>
  </si>
  <si>
    <t>JARDIM/MS</t>
  </si>
  <si>
    <t>CALCÁRIO BODOQUENA</t>
  </si>
  <si>
    <t>BELA VISTA/MS</t>
  </si>
  <si>
    <t>ARTEFATOS OTTO FRANTZ</t>
  </si>
  <si>
    <t>USINA DE ASFALTO</t>
  </si>
  <si>
    <t>MEEL</t>
  </si>
  <si>
    <t>GUIA LOPES DA LAGUNA/MS</t>
  </si>
  <si>
    <t>02.02</t>
  </si>
  <si>
    <t>02.03</t>
  </si>
  <si>
    <t>02.04</t>
  </si>
  <si>
    <t>TUBULAÇÃO EXISTENTE</t>
  </si>
  <si>
    <t>02.05</t>
  </si>
  <si>
    <t>02.06</t>
  </si>
  <si>
    <t>02.07</t>
  </si>
  <si>
    <t>02.08</t>
  </si>
  <si>
    <t>03.01.01</t>
  </si>
  <si>
    <t>03.01.02</t>
  </si>
  <si>
    <t>03.01.03</t>
  </si>
  <si>
    <t>03.01.04</t>
  </si>
  <si>
    <t>03.01.05</t>
  </si>
  <si>
    <t>03.01.06</t>
  </si>
  <si>
    <t>03.01.07</t>
  </si>
  <si>
    <t>03.01.08</t>
  </si>
  <si>
    <t>03.01.09</t>
  </si>
  <si>
    <t>03.01.10</t>
  </si>
  <si>
    <t>03.01.11</t>
  </si>
  <si>
    <t>03.02.01</t>
  </si>
  <si>
    <t>03.02.02</t>
  </si>
  <si>
    <t>03.02.03</t>
  </si>
  <si>
    <t>03.02.04</t>
  </si>
  <si>
    <t>03.02.05</t>
  </si>
  <si>
    <t>03.02.06</t>
  </si>
  <si>
    <t>03.02.07</t>
  </si>
  <si>
    <t>03.02.08</t>
  </si>
  <si>
    <t>03.02.09</t>
  </si>
  <si>
    <t>03.02.10</t>
  </si>
  <si>
    <t>03.02.11</t>
  </si>
  <si>
    <t>Boca-de-bueiro duplo tubular D 150cm em concreto, alas com esconsidade de 0º, incluindo formas e materiais</t>
  </si>
  <si>
    <t>03.03.01</t>
  </si>
  <si>
    <t>03.03.02</t>
  </si>
  <si>
    <t>03.03.03</t>
  </si>
  <si>
    <t>03.03.04</t>
  </si>
  <si>
    <t>03.03.05</t>
  </si>
  <si>
    <t>03.03.06</t>
  </si>
  <si>
    <t>03.03.07</t>
  </si>
  <si>
    <t>03.03.08</t>
  </si>
  <si>
    <t>03.03.09</t>
  </si>
  <si>
    <t>03.03.10</t>
  </si>
  <si>
    <t>03.03.11</t>
  </si>
  <si>
    <t>03.03.12</t>
  </si>
  <si>
    <t>03.03.13</t>
  </si>
  <si>
    <t>04.04</t>
  </si>
  <si>
    <t>EQUIPE TÉCNICA</t>
  </si>
  <si>
    <t>DEMOLIÇÃO DE TUBULAÇÃO EXISTENTE</t>
  </si>
  <si>
    <t>MEMÓRIA DE CÁLCULO DE DRENAGEM DE ÁGUAS PLUVIAIS - TERRAPLENAGEM DO BDCC 2,00m x 2,00m</t>
  </si>
  <si>
    <r>
      <t xml:space="preserve">COMPACTAÇÃO (ATERRO) </t>
    </r>
    <r>
      <rPr>
        <b/>
        <sz val="8"/>
        <color rgb="FFFF0000"/>
        <rFont val="Arial"/>
        <family val="2"/>
      </rPr>
      <t>(m³)</t>
    </r>
  </si>
  <si>
    <r>
      <t xml:space="preserve">CONCRETO MAGRO </t>
    </r>
    <r>
      <rPr>
        <b/>
        <sz val="8"/>
        <color rgb="FFFF0000"/>
        <rFont val="Arial"/>
        <family val="2"/>
      </rPr>
      <t>(m³)</t>
    </r>
  </si>
  <si>
    <r>
      <t xml:space="preserve">LANÇAMENTO DE CONCRETO MAGRO </t>
    </r>
    <r>
      <rPr>
        <b/>
        <sz val="8"/>
        <color rgb="FFFF0000"/>
        <rFont val="Arial"/>
        <family val="2"/>
      </rPr>
      <t>(m³)</t>
    </r>
  </si>
  <si>
    <t>VOLUME DE ESCAVAÇÃO</t>
  </si>
  <si>
    <t>CUBAÇÃO TERRAPLENAGEM</t>
  </si>
  <si>
    <t>PS-1</t>
  </si>
  <si>
    <r>
      <t>PESO UNITÁRIO PA-1 Ø0,80m</t>
    </r>
    <r>
      <rPr>
        <b/>
        <sz val="8"/>
        <color rgb="FFFF0000"/>
        <rFont val="Arial"/>
        <family val="2"/>
      </rPr>
      <t xml:space="preserve"> (t)</t>
    </r>
  </si>
  <si>
    <r>
      <rPr>
        <b/>
        <sz val="8"/>
        <rFont val="Arial"/>
        <family val="2"/>
      </rPr>
      <t>N° DE LINHAS</t>
    </r>
    <r>
      <rPr>
        <b/>
        <sz val="8"/>
        <color rgb="FFFF0000"/>
        <rFont val="Arial"/>
        <family val="2"/>
      </rPr>
      <t xml:space="preserve"> (un)</t>
    </r>
  </si>
  <si>
    <t>ESCAVAÇÃO COMPENSADA</t>
  </si>
  <si>
    <r>
      <t>TRANSPORTE TUBULÇÃO</t>
    </r>
    <r>
      <rPr>
        <b/>
        <sz val="8"/>
        <color rgb="FFFF0000"/>
        <rFont val="Arial"/>
        <family val="2"/>
      </rPr>
      <t xml:space="preserve"> (m³.km)</t>
    </r>
  </si>
  <si>
    <r>
      <t xml:space="preserve">CARGA E DESCARGA (TUBULAÇÃO) </t>
    </r>
    <r>
      <rPr>
        <b/>
        <sz val="8"/>
        <color rgb="FFFF0000"/>
        <rFont val="Arial"/>
        <family val="2"/>
      </rPr>
      <t>(m³)</t>
    </r>
  </si>
  <si>
    <t>MEIO FIO</t>
  </si>
  <si>
    <t>RUA RUBI</t>
  </si>
  <si>
    <t>COMPOSIÇÃO MS: 05/2025
INSUMO MS: 05/2025
AGESUL MS: 05/2025</t>
  </si>
  <si>
    <t>IUD20055 - AGESUL</t>
  </si>
  <si>
    <t>Remoção de canalização, com diâmetro de 0,40 m a 1,00 m, exclusive bota-fora</t>
  </si>
  <si>
    <r>
      <rPr>
        <b/>
        <sz val="8"/>
        <rFont val="Arial"/>
        <family val="2"/>
      </rPr>
      <t xml:space="preserve">EXTENSÃO TOTAL </t>
    </r>
    <r>
      <rPr>
        <b/>
        <sz val="8"/>
        <color rgb="FFFF0000"/>
        <rFont val="Arial"/>
        <family val="2"/>
      </rPr>
      <t>(m)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</si>
</sst>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0.000"/>
    <numFmt numFmtId="165" formatCode="#,##0.0000"/>
    <numFmt numFmtId="166" formatCode="#,##0.00_ ;\-#,##0.00\ "/>
    <numFmt numFmtId="167" formatCode="0.000%"/>
    <numFmt numFmtId="168" formatCode="0.0%"/>
  </numFmts>
  <fonts count="33" x14ac:knownFonts="1">
    <font>
      <sz val="11"/>
      <color theme="1"/>
      <name val="Calibri"/>
      <family val="2"/>
      <scheme val="minor"/>
    </font>
    <font>
      <sz val="10"/>
      <color theme="1"/>
      <name val="Arial"/>
      <family val="2"/>
    </font>
    <font>
      <sz val="10"/>
      <color theme="1"/>
      <name val="Arial"/>
      <family val="2"/>
    </font>
    <font>
      <sz val="10"/>
      <color theme="1"/>
      <name val="Arial"/>
      <family val="2"/>
    </font>
    <font>
      <b/>
      <sz val="10"/>
      <color theme="1"/>
      <name val="Arial"/>
      <family val="2"/>
    </font>
    <font>
      <b/>
      <sz val="9"/>
      <color theme="1"/>
      <name val="Arial"/>
      <family val="2"/>
    </font>
    <font>
      <sz val="8"/>
      <color theme="1"/>
      <name val="Arial"/>
      <family val="2"/>
    </font>
    <font>
      <b/>
      <sz val="8"/>
      <color theme="1"/>
      <name val="Arial"/>
      <family val="2"/>
    </font>
    <font>
      <b/>
      <sz val="8"/>
      <color rgb="FFFF0000"/>
      <name val="Arial"/>
      <family val="2"/>
    </font>
    <font>
      <sz val="8"/>
      <color rgb="FFFF0000"/>
      <name val="Arial"/>
      <family val="2"/>
    </font>
    <font>
      <b/>
      <sz val="9"/>
      <color rgb="FFFF0000"/>
      <name val="Arial"/>
      <family val="2"/>
    </font>
    <font>
      <sz val="9"/>
      <color theme="1"/>
      <name val="Arial"/>
      <family val="2"/>
    </font>
    <font>
      <b/>
      <sz val="9"/>
      <name val="Arial"/>
      <family val="2"/>
    </font>
    <font>
      <sz val="10"/>
      <color rgb="FFFF0000"/>
      <name val="Arial"/>
      <family val="2"/>
    </font>
    <font>
      <sz val="10"/>
      <name val="Arial"/>
      <family val="2"/>
    </font>
    <font>
      <b/>
      <sz val="16"/>
      <name val="Arial"/>
      <family val="2"/>
    </font>
    <font>
      <b/>
      <sz val="12"/>
      <name val="Arial"/>
      <family val="2"/>
    </font>
    <font>
      <b/>
      <sz val="10"/>
      <name val="Arial"/>
      <family val="2"/>
    </font>
    <font>
      <b/>
      <sz val="10"/>
      <color indexed="12"/>
      <name val="Arial"/>
      <family val="2"/>
    </font>
    <font>
      <b/>
      <sz val="10"/>
      <color indexed="10"/>
      <name val="Arial"/>
      <family val="2"/>
    </font>
    <font>
      <sz val="9"/>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1"/>
      <color rgb="FFFF0000"/>
      <name val="Arial"/>
      <family val="2"/>
    </font>
    <font>
      <b/>
      <sz val="12"/>
      <color rgb="FFFF0000"/>
      <name val="Arial"/>
      <family val="2"/>
    </font>
    <font>
      <b/>
      <sz val="10"/>
      <color rgb="FFFF0000"/>
      <name val="Arial"/>
      <family val="2"/>
    </font>
    <font>
      <sz val="11"/>
      <name val="Arial"/>
      <family val="2"/>
    </font>
    <font>
      <sz val="10"/>
      <color rgb="FF000000"/>
      <name val="Arial"/>
      <family val="1"/>
    </font>
    <font>
      <b/>
      <sz val="8"/>
      <name val="Arial"/>
      <family val="2"/>
    </font>
    <font>
      <sz val="8"/>
      <name val="Calibri"/>
      <family val="2"/>
      <scheme val="minor"/>
    </font>
    <font>
      <sz val="10"/>
      <name val="MS Sans Serif"/>
      <family val="2"/>
    </font>
  </fonts>
  <fills count="15">
    <fill>
      <patternFill patternType="none"/>
    </fill>
    <fill>
      <patternFill patternType="gray125"/>
    </fill>
    <fill>
      <patternFill patternType="solid">
        <fgColor theme="0"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rgb="FFD8ECF6"/>
      </patternFill>
    </fill>
    <fill>
      <patternFill patternType="solid">
        <fgColor theme="0"/>
        <bgColor indexed="64"/>
      </patternFill>
    </fill>
    <fill>
      <patternFill patternType="solid">
        <fgColor theme="0" tint="-0.499984740745262"/>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CCCCCC"/>
      </left>
      <right/>
      <top/>
      <bottom/>
      <diagonal/>
    </border>
  </borders>
  <cellStyleXfs count="9">
    <xf numFmtId="0" fontId="0" fillId="0" borderId="0"/>
    <xf numFmtId="0" fontId="14" fillId="0" borderId="0"/>
    <xf numFmtId="43" fontId="14" fillId="0" borderId="0" applyFont="0" applyFill="0" applyBorder="0" applyAlignment="0" applyProtection="0"/>
    <xf numFmtId="9" fontId="14" fillId="0" borderId="0" applyFont="0" applyFill="0" applyBorder="0" applyAlignment="0" applyProtection="0"/>
    <xf numFmtId="9" fontId="29" fillId="12" borderId="33" applyFill="0" applyBorder="0">
      <alignment horizontal="right" vertical="top" wrapText="1"/>
    </xf>
    <xf numFmtId="43" fontId="14" fillId="0" borderId="0" applyFont="0" applyFill="0" applyBorder="0" applyAlignment="0" applyProtection="0"/>
    <xf numFmtId="0" fontId="32" fillId="0" borderId="0"/>
    <xf numFmtId="43" fontId="14" fillId="0" borderId="0" applyFont="0" applyFill="0" applyBorder="0" applyAlignment="0" applyProtection="0"/>
    <xf numFmtId="43" fontId="14" fillId="0" borderId="0" applyFont="0" applyFill="0" applyBorder="0" applyAlignment="0" applyProtection="0"/>
  </cellStyleXfs>
  <cellXfs count="383">
    <xf numFmtId="0" fontId="0" fillId="0" borderId="0" xfId="0"/>
    <xf numFmtId="0" fontId="3" fillId="0" borderId="0" xfId="0" applyFont="1"/>
    <xf numFmtId="0" fontId="4" fillId="0" borderId="0" xfId="0" applyFont="1"/>
    <xf numFmtId="0" fontId="4" fillId="0" borderId="0" xfId="0" applyFont="1" applyAlignment="1">
      <alignment horizontal="left" vertical="center"/>
    </xf>
    <xf numFmtId="0" fontId="2" fillId="0" borderId="0" xfId="0" applyFont="1" applyAlignment="1">
      <alignment horizontal="center" vertical="center"/>
    </xf>
    <xf numFmtId="0" fontId="3" fillId="0" borderId="10" xfId="0" applyFont="1" applyBorder="1"/>
    <xf numFmtId="0" fontId="4" fillId="0" borderId="14" xfId="0" applyFont="1" applyBorder="1" applyAlignment="1">
      <alignment horizontal="left" vertical="center"/>
    </xf>
    <xf numFmtId="0" fontId="3" fillId="0" borderId="14" xfId="0" applyFont="1" applyBorder="1"/>
    <xf numFmtId="0" fontId="6" fillId="0" borderId="0" xfId="0" applyFont="1" applyAlignment="1">
      <alignment horizontal="center" vertical="center"/>
    </xf>
    <xf numFmtId="0" fontId="7" fillId="0" borderId="0" xfId="0" applyFont="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0" borderId="1" xfId="0" applyFont="1" applyBorder="1" applyAlignment="1">
      <alignment horizontal="center" vertical="center"/>
    </xf>
    <xf numFmtId="3" fontId="7"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4" fontId="7" fillId="0" borderId="1" xfId="0" applyNumberFormat="1" applyFont="1" applyBorder="1" applyAlignment="1">
      <alignment horizontal="center" vertical="center"/>
    </xf>
    <xf numFmtId="4" fontId="7" fillId="5" borderId="2" xfId="0" applyNumberFormat="1" applyFont="1" applyFill="1" applyBorder="1" applyAlignment="1">
      <alignment horizontal="center" vertical="center"/>
    </xf>
    <xf numFmtId="4" fontId="7" fillId="5" borderId="9" xfId="0" applyNumberFormat="1" applyFont="1" applyFill="1" applyBorder="1" applyAlignment="1">
      <alignment horizontal="center" vertical="center"/>
    </xf>
    <xf numFmtId="4" fontId="7" fillId="5" borderId="3" xfId="0" applyNumberFormat="1" applyFont="1" applyFill="1" applyBorder="1" applyAlignment="1">
      <alignment horizontal="center" vertical="center"/>
    </xf>
    <xf numFmtId="3" fontId="6" fillId="0" borderId="1" xfId="0" applyNumberFormat="1" applyFont="1" applyBorder="1" applyAlignment="1">
      <alignment horizontal="center" vertical="center"/>
    </xf>
    <xf numFmtId="4" fontId="6" fillId="4" borderId="1" xfId="0" applyNumberFormat="1" applyFont="1" applyFill="1" applyBorder="1" applyAlignment="1">
      <alignment horizontal="center" vertical="center"/>
    </xf>
    <xf numFmtId="4" fontId="6" fillId="0" borderId="1" xfId="0" applyNumberFormat="1" applyFont="1" applyBorder="1" applyAlignment="1">
      <alignment horizontal="center" vertical="center"/>
    </xf>
    <xf numFmtId="3" fontId="7" fillId="0" borderId="1" xfId="0" applyNumberFormat="1" applyFont="1" applyBorder="1" applyAlignment="1">
      <alignment horizontal="center" vertical="center"/>
    </xf>
    <xf numFmtId="3" fontId="6" fillId="4" borderId="1" xfId="0" applyNumberFormat="1" applyFont="1" applyFill="1" applyBorder="1" applyAlignment="1">
      <alignment horizontal="center" vertical="center"/>
    </xf>
    <xf numFmtId="0" fontId="7" fillId="2" borderId="0" xfId="0" applyFont="1" applyFill="1" applyAlignment="1">
      <alignment horizontal="center" vertical="center" wrapText="1"/>
    </xf>
    <xf numFmtId="3" fontId="7" fillId="2" borderId="0" xfId="0" applyNumberFormat="1" applyFont="1" applyFill="1" applyAlignment="1">
      <alignment horizontal="center" vertical="center" wrapText="1"/>
    </xf>
    <xf numFmtId="0" fontId="7" fillId="2" borderId="0" xfId="0" applyFont="1" applyFill="1" applyAlignment="1">
      <alignment horizontal="center" vertical="center"/>
    </xf>
    <xf numFmtId="0" fontId="2" fillId="0" borderId="10" xfId="0" applyFont="1" applyBorder="1" applyAlignment="1">
      <alignment horizontal="left" vertical="center" wrapText="1"/>
    </xf>
    <xf numFmtId="0" fontId="2" fillId="0" borderId="10" xfId="0" applyFont="1" applyBorder="1" applyAlignment="1">
      <alignment horizontal="center" vertical="center"/>
    </xf>
    <xf numFmtId="4" fontId="7" fillId="6" borderId="1" xfId="0" applyNumberFormat="1" applyFont="1" applyFill="1" applyBorder="1" applyAlignment="1">
      <alignment horizontal="center" vertical="center"/>
    </xf>
    <xf numFmtId="4" fontId="7" fillId="5" borderId="1" xfId="0" applyNumberFormat="1" applyFont="1" applyFill="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4" fillId="0" borderId="10" xfId="0" applyFont="1" applyBorder="1" applyAlignment="1">
      <alignment horizontal="left" vertical="center"/>
    </xf>
    <xf numFmtId="3" fontId="7" fillId="2" borderId="1" xfId="0" applyNumberFormat="1" applyFont="1" applyFill="1" applyBorder="1" applyAlignment="1">
      <alignment horizontal="center" vertical="center"/>
    </xf>
    <xf numFmtId="4" fontId="7"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7"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5" fillId="3" borderId="11" xfId="0" applyFont="1" applyFill="1" applyBorder="1" applyAlignment="1">
      <alignment horizontal="center" vertical="center"/>
    </xf>
    <xf numFmtId="0" fontId="5" fillId="3" borderId="10" xfId="0" applyFont="1" applyFill="1" applyBorder="1" applyAlignment="1">
      <alignment horizontal="left" vertical="center"/>
    </xf>
    <xf numFmtId="0" fontId="5" fillId="3" borderId="10" xfId="0" applyFont="1" applyFill="1" applyBorder="1" applyAlignment="1">
      <alignment horizontal="center" vertical="center"/>
    </xf>
    <xf numFmtId="0" fontId="5" fillId="3" borderId="12" xfId="0" applyFont="1" applyFill="1" applyBorder="1" applyAlignment="1">
      <alignment horizontal="center" vertical="center"/>
    </xf>
    <xf numFmtId="0" fontId="11" fillId="0" borderId="0" xfId="0" applyFont="1"/>
    <xf numFmtId="0" fontId="6" fillId="0" borderId="2" xfId="0" applyFont="1" applyBorder="1" applyAlignment="1">
      <alignment horizontal="left" vertical="center"/>
    </xf>
    <xf numFmtId="4" fontId="6" fillId="0" borderId="2" xfId="0" applyNumberFormat="1" applyFont="1" applyBorder="1" applyAlignment="1">
      <alignment horizontal="right" vertical="center"/>
    </xf>
    <xf numFmtId="0" fontId="6" fillId="0" borderId="9" xfId="0" applyFont="1" applyBorder="1" applyAlignment="1">
      <alignment horizontal="center" vertical="center" wrapText="1"/>
    </xf>
    <xf numFmtId="4" fontId="6" fillId="0" borderId="9" xfId="0" applyNumberFormat="1" applyFont="1" applyBorder="1" applyAlignment="1">
      <alignment horizontal="center" vertical="center"/>
    </xf>
    <xf numFmtId="0" fontId="6" fillId="0" borderId="9" xfId="0" applyFont="1" applyBorder="1" applyAlignment="1">
      <alignment horizontal="left" vertical="center" wrapText="1"/>
    </xf>
    <xf numFmtId="0" fontId="6" fillId="0" borderId="9" xfId="0" applyFont="1" applyBorder="1" applyAlignment="1">
      <alignment horizontal="center" vertical="center"/>
    </xf>
    <xf numFmtId="4" fontId="6" fillId="0" borderId="9" xfId="0" applyNumberFormat="1" applyFont="1" applyBorder="1" applyAlignment="1">
      <alignment horizontal="right" vertical="center"/>
    </xf>
    <xf numFmtId="10" fontId="6" fillId="0" borderId="9" xfId="0" applyNumberFormat="1" applyFont="1" applyBorder="1" applyAlignment="1">
      <alignment horizontal="center" vertical="center"/>
    </xf>
    <xf numFmtId="0" fontId="6" fillId="0" borderId="9" xfId="0" quotePrefix="1" applyFont="1" applyBorder="1" applyAlignment="1">
      <alignment horizontal="center" vertical="center"/>
    </xf>
    <xf numFmtId="0" fontId="6" fillId="0" borderId="9" xfId="0" applyFont="1" applyBorder="1" applyAlignment="1">
      <alignment horizontal="left" vertical="center"/>
    </xf>
    <xf numFmtId="4" fontId="6" fillId="0" borderId="3" xfId="0" applyNumberFormat="1" applyFont="1" applyBorder="1" applyAlignment="1">
      <alignment horizontal="center" vertical="center"/>
    </xf>
    <xf numFmtId="0" fontId="6" fillId="0" borderId="3" xfId="0" quotePrefix="1" applyFont="1" applyBorder="1" applyAlignment="1">
      <alignment horizontal="center" vertical="center"/>
    </xf>
    <xf numFmtId="4" fontId="6" fillId="0" borderId="3" xfId="0" applyNumberFormat="1" applyFont="1" applyBorder="1" applyAlignment="1">
      <alignment horizontal="right" vertical="center"/>
    </xf>
    <xf numFmtId="0" fontId="6" fillId="0" borderId="1" xfId="0" applyFont="1" applyBorder="1" applyAlignment="1">
      <alignment horizontal="left" vertical="center"/>
    </xf>
    <xf numFmtId="10" fontId="6" fillId="0" borderId="1" xfId="0" applyNumberFormat="1" applyFont="1" applyBorder="1" applyAlignment="1">
      <alignment horizontal="center" vertical="center"/>
    </xf>
    <xf numFmtId="0" fontId="5" fillId="0" borderId="10" xfId="0" applyFont="1" applyBorder="1" applyAlignment="1">
      <alignment horizontal="left" vertical="center"/>
    </xf>
    <xf numFmtId="0" fontId="5" fillId="0" borderId="0" xfId="0" applyFont="1" applyAlignment="1">
      <alignment horizontal="left" vertical="center"/>
    </xf>
    <xf numFmtId="0" fontId="3" fillId="0" borderId="4"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left" vertical="center"/>
    </xf>
    <xf numFmtId="0" fontId="5" fillId="0" borderId="7" xfId="0" applyFont="1" applyBorder="1"/>
    <xf numFmtId="4" fontId="5" fillId="0" borderId="1" xfId="0" applyNumberFormat="1" applyFont="1" applyBorder="1" applyAlignment="1">
      <alignment horizontal="right" vertical="center" wrapText="1"/>
    </xf>
    <xf numFmtId="10" fontId="5" fillId="0" borderId="1" xfId="0" applyNumberFormat="1" applyFont="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left"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6" fillId="0" borderId="2" xfId="0" applyFont="1" applyBorder="1" applyAlignment="1">
      <alignment horizontal="center" vertical="center"/>
    </xf>
    <xf numFmtId="4" fontId="6" fillId="0" borderId="2" xfId="0" applyNumberFormat="1" applyFont="1" applyBorder="1" applyAlignment="1">
      <alignment horizontal="center" vertical="center"/>
    </xf>
    <xf numFmtId="10" fontId="6" fillId="0" borderId="2" xfId="0" applyNumberFormat="1" applyFont="1" applyBorder="1" applyAlignment="1">
      <alignment horizontal="center" vertical="center"/>
    </xf>
    <xf numFmtId="0" fontId="7" fillId="0" borderId="9" xfId="0" applyFont="1" applyBorder="1" applyAlignment="1">
      <alignment horizontal="left" vertical="center"/>
    </xf>
    <xf numFmtId="0" fontId="6" fillId="0" borderId="3" xfId="0" applyFont="1" applyBorder="1" applyAlignment="1">
      <alignment horizontal="center" vertical="center"/>
    </xf>
    <xf numFmtId="0" fontId="6" fillId="0" borderId="3" xfId="0" applyFont="1" applyBorder="1" applyAlignment="1">
      <alignment horizontal="left" vertical="center"/>
    </xf>
    <xf numFmtId="10" fontId="6" fillId="0" borderId="3" xfId="0" applyNumberFormat="1"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4" fontId="5" fillId="0" borderId="1" xfId="0" applyNumberFormat="1" applyFont="1" applyBorder="1" applyAlignment="1">
      <alignment horizontal="center" vertical="center"/>
    </xf>
    <xf numFmtId="0" fontId="6" fillId="0" borderId="2" xfId="0" applyFont="1" applyBorder="1" applyAlignment="1">
      <alignment horizontal="left" vertical="center" wrapText="1"/>
    </xf>
    <xf numFmtId="10" fontId="7" fillId="0" borderId="1" xfId="0" applyNumberFormat="1" applyFont="1" applyBorder="1" applyAlignment="1">
      <alignment horizontal="center" vertical="center"/>
    </xf>
    <xf numFmtId="0" fontId="6" fillId="0" borderId="0" xfId="0" applyFont="1"/>
    <xf numFmtId="4" fontId="7" fillId="0" borderId="0" xfId="0" applyNumberFormat="1" applyFont="1" applyAlignment="1">
      <alignment horizontal="right" vertical="center" wrapText="1"/>
    </xf>
    <xf numFmtId="0" fontId="7" fillId="0" borderId="0" xfId="0" applyFont="1" applyAlignment="1">
      <alignment horizontal="left" vertical="center"/>
    </xf>
    <xf numFmtId="4" fontId="7" fillId="0" borderId="0" xfId="0" applyNumberFormat="1" applyFont="1" applyAlignment="1">
      <alignment horizontal="center" vertical="center"/>
    </xf>
    <xf numFmtId="10" fontId="7" fillId="0" borderId="0" xfId="0" applyNumberFormat="1" applyFont="1" applyAlignment="1">
      <alignment horizontal="center" vertical="center" wrapText="1"/>
    </xf>
    <xf numFmtId="0" fontId="0" fillId="0" borderId="0" xfId="0" applyAlignment="1">
      <alignment horizontal="center" vertical="center"/>
    </xf>
    <xf numFmtId="4" fontId="2" fillId="0" borderId="0" xfId="0" applyNumberFormat="1" applyFont="1" applyAlignment="1">
      <alignment horizontal="center" vertical="center"/>
    </xf>
    <xf numFmtId="164" fontId="6" fillId="6" borderId="1" xfId="0" applyNumberFormat="1" applyFont="1" applyFill="1" applyBorder="1" applyAlignment="1">
      <alignment horizontal="center" vertical="center"/>
    </xf>
    <xf numFmtId="165" fontId="6" fillId="6" borderId="1" xfId="0" applyNumberFormat="1" applyFont="1" applyFill="1" applyBorder="1" applyAlignment="1">
      <alignment horizontal="center" vertical="center"/>
    </xf>
    <xf numFmtId="10" fontId="7" fillId="0" borderId="0" xfId="0" applyNumberFormat="1" applyFont="1" applyAlignment="1">
      <alignment horizontal="center" vertical="center"/>
    </xf>
    <xf numFmtId="0" fontId="14" fillId="0" borderId="0" xfId="1"/>
    <xf numFmtId="0" fontId="14" fillId="0" borderId="18" xfId="1" applyBorder="1"/>
    <xf numFmtId="0" fontId="14" fillId="0" borderId="20" xfId="1" applyBorder="1"/>
    <xf numFmtId="0" fontId="14" fillId="0" borderId="21" xfId="1" applyBorder="1"/>
    <xf numFmtId="0" fontId="16" fillId="0" borderId="0" xfId="1" applyFont="1" applyAlignment="1">
      <alignment horizontal="center" vertical="center"/>
    </xf>
    <xf numFmtId="0" fontId="14" fillId="0" borderId="22" xfId="1" applyBorder="1"/>
    <xf numFmtId="0" fontId="14" fillId="0" borderId="23" xfId="1" applyBorder="1"/>
    <xf numFmtId="0" fontId="16" fillId="0" borderId="24" xfId="1" applyFont="1" applyBorder="1" applyAlignment="1">
      <alignment horizontal="center" vertical="center"/>
    </xf>
    <xf numFmtId="0" fontId="14" fillId="0" borderId="25" xfId="1" applyBorder="1"/>
    <xf numFmtId="0" fontId="17" fillId="0" borderId="0" xfId="1" applyFont="1" applyAlignment="1">
      <alignment vertical="center"/>
    </xf>
    <xf numFmtId="0" fontId="12" fillId="0" borderId="0" xfId="1" applyFont="1" applyAlignment="1">
      <alignment vertical="center"/>
    </xf>
    <xf numFmtId="0" fontId="17" fillId="9" borderId="1" xfId="1" applyFont="1" applyFill="1" applyBorder="1" applyAlignment="1" applyProtection="1">
      <alignment horizontal="center"/>
      <protection locked="0"/>
    </xf>
    <xf numFmtId="0" fontId="19" fillId="0" borderId="0" xfId="1" applyFont="1"/>
    <xf numFmtId="0" fontId="20" fillId="0" borderId="0" xfId="1" applyFont="1" applyAlignment="1">
      <alignment vertical="center"/>
    </xf>
    <xf numFmtId="0" fontId="14" fillId="0" borderId="0" xfId="1" applyAlignment="1">
      <alignment vertical="center"/>
    </xf>
    <xf numFmtId="0" fontId="14" fillId="0" borderId="0" xfId="1" applyAlignment="1">
      <alignment horizontal="center" vertical="center"/>
    </xf>
    <xf numFmtId="0" fontId="17" fillId="0" borderId="0" xfId="1" applyFont="1" applyAlignment="1">
      <alignment horizontal="center" vertical="center"/>
    </xf>
    <xf numFmtId="10" fontId="17" fillId="0" borderId="0" xfId="1" applyNumberFormat="1" applyFont="1" applyAlignment="1">
      <alignment horizontal="center" vertical="center"/>
    </xf>
    <xf numFmtId="10" fontId="18" fillId="9" borderId="1" xfId="3" applyNumberFormat="1" applyFont="1" applyFill="1" applyBorder="1" applyAlignment="1" applyProtection="1">
      <alignment horizontal="center" vertical="center" wrapText="1"/>
      <protection locked="0"/>
    </xf>
    <xf numFmtId="0" fontId="17" fillId="0" borderId="0" xfId="1" quotePrefix="1" applyFont="1" applyAlignment="1">
      <alignment vertical="center"/>
    </xf>
    <xf numFmtId="10" fontId="18" fillId="0" borderId="0" xfId="3" applyNumberFormat="1" applyFont="1" applyFill="1" applyBorder="1" applyAlignment="1" applyProtection="1">
      <alignment vertical="center" wrapText="1"/>
    </xf>
    <xf numFmtId="10" fontId="17" fillId="0" borderId="0" xfId="3" applyNumberFormat="1" applyFont="1" applyFill="1" applyBorder="1" applyAlignment="1" applyProtection="1">
      <alignment vertical="center" wrapText="1"/>
    </xf>
    <xf numFmtId="167" fontId="21" fillId="0" borderId="0" xfId="1" applyNumberFormat="1" applyFont="1"/>
    <xf numFmtId="0" fontId="14" fillId="0" borderId="29" xfId="1" applyBorder="1"/>
    <xf numFmtId="0" fontId="14" fillId="0" borderId="30" xfId="1" applyBorder="1"/>
    <xf numFmtId="0" fontId="14" fillId="0" borderId="24" xfId="1" applyBorder="1"/>
    <xf numFmtId="0" fontId="22" fillId="0" borderId="0" xfId="1" applyFont="1" applyAlignment="1">
      <alignment horizontal="center" vertical="center" wrapText="1"/>
    </xf>
    <xf numFmtId="0" fontId="17" fillId="0" borderId="0" xfId="1" applyFont="1" applyAlignment="1">
      <alignment horizontal="center" vertical="center" wrapText="1"/>
    </xf>
    <xf numFmtId="0" fontId="14" fillId="0" borderId="0" xfId="1" applyAlignment="1">
      <alignment horizontal="center"/>
    </xf>
    <xf numFmtId="0" fontId="23" fillId="0" borderId="0" xfId="1" applyFont="1" applyAlignment="1">
      <alignment horizontal="left" vertical="center" wrapText="1"/>
    </xf>
    <xf numFmtId="10" fontId="23" fillId="0" borderId="0" xfId="3" applyNumberFormat="1" applyFont="1" applyBorder="1" applyAlignment="1" applyProtection="1">
      <alignment horizontal="center" vertical="center" wrapText="1"/>
    </xf>
    <xf numFmtId="10" fontId="19" fillId="9" borderId="0" xfId="3" applyNumberFormat="1" applyFont="1" applyFill="1" applyBorder="1" applyAlignment="1" applyProtection="1">
      <alignment horizontal="center" vertical="center" wrapText="1"/>
      <protection locked="0"/>
    </xf>
    <xf numFmtId="10" fontId="14" fillId="0" borderId="22" xfId="1" applyNumberFormat="1" applyBorder="1"/>
    <xf numFmtId="10" fontId="14" fillId="0" borderId="0" xfId="1" applyNumberFormat="1"/>
    <xf numFmtId="0" fontId="22" fillId="0" borderId="0" xfId="1" applyFont="1" applyAlignment="1">
      <alignment horizontal="left" vertical="center" wrapText="1"/>
    </xf>
    <xf numFmtId="167" fontId="17" fillId="0" borderId="0" xfId="3" applyNumberFormat="1" applyFont="1" applyFill="1" applyBorder="1" applyAlignment="1" applyProtection="1">
      <alignment horizontal="center" vertical="center" wrapText="1"/>
    </xf>
    <xf numFmtId="167" fontId="14" fillId="0" borderId="0" xfId="1" applyNumberFormat="1"/>
    <xf numFmtId="0" fontId="24" fillId="0" borderId="0" xfId="1" applyFont="1"/>
    <xf numFmtId="10" fontId="21" fillId="0" borderId="0" xfId="3" applyNumberFormat="1" applyFont="1" applyBorder="1" applyAlignment="1" applyProtection="1">
      <alignment horizontal="center"/>
    </xf>
    <xf numFmtId="0" fontId="27" fillId="0" borderId="0" xfId="1" applyFont="1" applyAlignment="1">
      <alignment horizontal="left" vertical="center" wrapText="1"/>
    </xf>
    <xf numFmtId="10" fontId="13" fillId="0" borderId="0" xfId="3" applyNumberFormat="1" applyFont="1" applyBorder="1" applyAlignment="1" applyProtection="1">
      <alignment horizontal="center" vertical="center" wrapText="1"/>
    </xf>
    <xf numFmtId="0" fontId="13" fillId="0" borderId="0" xfId="1" applyFont="1"/>
    <xf numFmtId="0" fontId="27" fillId="0" borderId="0" xfId="1" applyFont="1"/>
    <xf numFmtId="10" fontId="27" fillId="0" borderId="0" xfId="1" applyNumberFormat="1" applyFont="1" applyAlignment="1">
      <alignment horizontal="center" vertical="center"/>
    </xf>
    <xf numFmtId="167" fontId="26" fillId="0" borderId="0" xfId="1" applyNumberFormat="1" applyFont="1"/>
    <xf numFmtId="10" fontId="0" fillId="0" borderId="0" xfId="3" applyNumberFormat="1" applyFont="1" applyAlignment="1" applyProtection="1">
      <alignment horizontal="center"/>
    </xf>
    <xf numFmtId="168" fontId="14" fillId="0" borderId="0" xfId="1" applyNumberFormat="1" applyAlignment="1">
      <alignment horizontal="center"/>
    </xf>
    <xf numFmtId="0" fontId="17" fillId="0" borderId="0" xfId="1" applyFont="1" applyAlignment="1">
      <alignment horizontal="center"/>
    </xf>
    <xf numFmtId="10" fontId="0" fillId="0" borderId="0" xfId="3" applyNumberFormat="1" applyFont="1" applyProtection="1"/>
    <xf numFmtId="9" fontId="0" fillId="0" borderId="0" xfId="3" applyFont="1" applyProtection="1"/>
    <xf numFmtId="0" fontId="17" fillId="0" borderId="21" xfId="1" applyFont="1" applyBorder="1" applyAlignment="1">
      <alignment vertical="center"/>
    </xf>
    <xf numFmtId="0" fontId="14" fillId="0" borderId="0" xfId="1" applyAlignment="1">
      <alignment vertical="center" wrapText="1"/>
    </xf>
    <xf numFmtId="0" fontId="28" fillId="0" borderId="0" xfId="1" applyFont="1" applyAlignment="1">
      <alignment vertical="center" wrapText="1"/>
    </xf>
    <xf numFmtId="0" fontId="14" fillId="0" borderId="21" xfId="1" applyBorder="1" applyAlignment="1">
      <alignment vertical="center"/>
    </xf>
    <xf numFmtId="9" fontId="14" fillId="0" borderId="0" xfId="1" applyNumberFormat="1"/>
    <xf numFmtId="0" fontId="17" fillId="0" borderId="21" xfId="1" applyFont="1" applyBorder="1"/>
    <xf numFmtId="0" fontId="17" fillId="0" borderId="0" xfId="1" applyFont="1"/>
    <xf numFmtId="0" fontId="28" fillId="0" borderId="31" xfId="1" applyFont="1" applyBorder="1" applyAlignment="1">
      <alignment vertical="top" wrapText="1"/>
    </xf>
    <xf numFmtId="10" fontId="28" fillId="0" borderId="30" xfId="1" applyNumberFormat="1" applyFont="1" applyBorder="1" applyAlignment="1">
      <alignment horizontal="center" vertical="top" wrapText="1"/>
    </xf>
    <xf numFmtId="0" fontId="14" fillId="0" borderId="16" xfId="1" applyBorder="1"/>
    <xf numFmtId="0" fontId="28" fillId="0" borderId="17" xfId="1" applyFont="1" applyBorder="1" applyAlignment="1">
      <alignment vertical="top" wrapText="1"/>
    </xf>
    <xf numFmtId="10" fontId="28" fillId="0" borderId="32" xfId="1" applyNumberFormat="1" applyFont="1" applyBorder="1" applyAlignment="1">
      <alignment horizontal="center" vertical="top" wrapText="1"/>
    </xf>
    <xf numFmtId="0" fontId="14" fillId="0" borderId="21" xfId="1" applyBorder="1" applyAlignment="1">
      <alignment wrapText="1"/>
    </xf>
    <xf numFmtId="0" fontId="14" fillId="11" borderId="0" xfId="1" applyFill="1" applyAlignment="1">
      <alignment wrapText="1"/>
    </xf>
    <xf numFmtId="0" fontId="14" fillId="0" borderId="0" xfId="1" applyAlignment="1">
      <alignment wrapText="1"/>
    </xf>
    <xf numFmtId="0" fontId="14" fillId="0" borderId="22" xfId="1" applyBorder="1" applyAlignment="1">
      <alignment wrapText="1"/>
    </xf>
    <xf numFmtId="0" fontId="14" fillId="0" borderId="1" xfId="1" applyBorder="1"/>
    <xf numFmtId="0" fontId="14" fillId="0" borderId="1" xfId="1" applyBorder="1" applyAlignment="1">
      <alignment horizontal="center"/>
    </xf>
    <xf numFmtId="10" fontId="28" fillId="0" borderId="1" xfId="1" applyNumberFormat="1" applyFont="1" applyBorder="1" applyAlignment="1">
      <alignment horizontal="center" vertical="top" wrapText="1"/>
    </xf>
    <xf numFmtId="0" fontId="28" fillId="0" borderId="1" xfId="1" applyFont="1" applyBorder="1" applyAlignment="1">
      <alignment vertical="top" wrapText="1"/>
    </xf>
    <xf numFmtId="0" fontId="28" fillId="0" borderId="17" xfId="1" applyFont="1" applyBorder="1" applyAlignment="1">
      <alignment horizontal="center" vertical="top" wrapText="1"/>
    </xf>
    <xf numFmtId="0" fontId="28" fillId="0" borderId="32" xfId="1" applyFont="1" applyBorder="1" applyAlignment="1">
      <alignment horizontal="center" vertical="top" wrapText="1"/>
    </xf>
    <xf numFmtId="0" fontId="8" fillId="0" borderId="0" xfId="0" applyFont="1" applyAlignment="1">
      <alignment horizontal="center" vertical="center"/>
    </xf>
    <xf numFmtId="0" fontId="7" fillId="0" borderId="1" xfId="0" applyFont="1" applyBorder="1" applyAlignment="1">
      <alignment horizontal="center" vertical="center" wrapText="1"/>
    </xf>
    <xf numFmtId="164" fontId="6" fillId="4" borderId="1" xfId="0" applyNumberFormat="1" applyFont="1" applyFill="1" applyBorder="1" applyAlignment="1">
      <alignment horizontal="center" vertical="center"/>
    </xf>
    <xf numFmtId="165" fontId="6" fillId="4" borderId="1" xfId="0" applyNumberFormat="1" applyFont="1" applyFill="1" applyBorder="1" applyAlignment="1">
      <alignment horizontal="center" vertical="center"/>
    </xf>
    <xf numFmtId="3" fontId="6" fillId="7" borderId="1" xfId="0" applyNumberFormat="1" applyFont="1" applyFill="1" applyBorder="1" applyAlignment="1">
      <alignment horizontal="center" vertical="center"/>
    </xf>
    <xf numFmtId="4" fontId="6" fillId="13" borderId="9" xfId="0" applyNumberFormat="1" applyFont="1" applyFill="1" applyBorder="1" applyAlignment="1">
      <alignment horizontal="right" vertical="center"/>
    </xf>
    <xf numFmtId="0" fontId="7" fillId="2" borderId="1" xfId="0" quotePrefix="1" applyFont="1" applyFill="1" applyBorder="1" applyAlignment="1">
      <alignment horizontal="center" vertical="center" wrapText="1"/>
    </xf>
    <xf numFmtId="0" fontId="2" fillId="0" borderId="7" xfId="0" applyFont="1" applyBorder="1" applyAlignment="1">
      <alignment horizontal="center" vertical="center"/>
    </xf>
    <xf numFmtId="0" fontId="5" fillId="0" borderId="6" xfId="0" applyFont="1" applyBorder="1" applyAlignment="1">
      <alignment vertical="center"/>
    </xf>
    <xf numFmtId="4" fontId="5" fillId="0" borderId="8" xfId="0" applyNumberFormat="1" applyFont="1" applyBorder="1" applyAlignment="1">
      <alignment horizontal="right" vertical="center" wrapText="1"/>
    </xf>
    <xf numFmtId="0" fontId="2" fillId="0" borderId="6" xfId="0" applyFont="1" applyBorder="1" applyAlignment="1">
      <alignment horizontal="center" vertical="center"/>
    </xf>
    <xf numFmtId="4" fontId="3" fillId="0" borderId="0" xfId="0" applyNumberFormat="1" applyFont="1" applyAlignment="1">
      <alignment horizontal="center" vertical="center"/>
    </xf>
    <xf numFmtId="0" fontId="1" fillId="0" borderId="10" xfId="0" applyFont="1" applyBorder="1" applyAlignment="1">
      <alignment vertical="center"/>
    </xf>
    <xf numFmtId="0" fontId="1" fillId="0" borderId="12" xfId="0" applyFont="1" applyBorder="1" applyAlignment="1">
      <alignment vertical="center"/>
    </xf>
    <xf numFmtId="0" fontId="1" fillId="0" borderId="0" xfId="0" applyFont="1" applyAlignment="1">
      <alignment vertical="center"/>
    </xf>
    <xf numFmtId="0" fontId="1" fillId="0" borderId="5" xfId="0" applyFont="1" applyBorder="1" applyAlignment="1">
      <alignment vertical="center"/>
    </xf>
    <xf numFmtId="0" fontId="1" fillId="0" borderId="0" xfId="0" applyFont="1"/>
    <xf numFmtId="0" fontId="1" fillId="0" borderId="14" xfId="0" applyFont="1" applyBorder="1" applyAlignment="1">
      <alignment vertical="center"/>
    </xf>
    <xf numFmtId="0" fontId="1" fillId="0" borderId="15" xfId="0" applyFont="1" applyBorder="1" applyAlignment="1">
      <alignment vertical="center"/>
    </xf>
    <xf numFmtId="164" fontId="6" fillId="0" borderId="0" xfId="0" applyNumberFormat="1" applyFont="1" applyAlignment="1">
      <alignment horizontal="center" vertical="center"/>
    </xf>
    <xf numFmtId="164" fontId="1" fillId="0" borderId="0" xfId="0" applyNumberFormat="1" applyFont="1" applyAlignment="1">
      <alignment horizontal="center" vertical="center"/>
    </xf>
    <xf numFmtId="164" fontId="8" fillId="0" borderId="1" xfId="0" applyNumberFormat="1" applyFont="1" applyBorder="1" applyAlignment="1">
      <alignment horizontal="center" vertical="center"/>
    </xf>
    <xf numFmtId="3" fontId="7" fillId="2" borderId="1" xfId="0" applyNumberFormat="1" applyFont="1" applyFill="1" applyBorder="1" applyAlignment="1">
      <alignment horizontal="center" vertical="center" wrapText="1"/>
    </xf>
    <xf numFmtId="0" fontId="14" fillId="0" borderId="0" xfId="1" applyAlignment="1">
      <alignment horizontal="center" vertical="center"/>
    </xf>
    <xf numFmtId="0" fontId="17" fillId="0" borderId="0" xfId="1" applyFont="1" applyAlignment="1">
      <alignment horizontal="center" vertical="center"/>
    </xf>
    <xf numFmtId="0" fontId="17" fillId="0" borderId="0" xfId="1" applyFont="1" applyAlignment="1">
      <alignment horizontal="center" vertical="center" wrapText="1"/>
    </xf>
    <xf numFmtId="10" fontId="18" fillId="9" borderId="1" xfId="3" applyNumberFormat="1" applyFont="1" applyFill="1" applyBorder="1" applyAlignment="1" applyProtection="1">
      <alignment horizontal="center" vertical="center" wrapText="1"/>
      <protection locked="0"/>
    </xf>
    <xf numFmtId="0" fontId="17" fillId="0" borderId="0" xfId="1" applyFont="1" applyAlignment="1">
      <alignment horizontal="center"/>
    </xf>
    <xf numFmtId="10" fontId="21" fillId="0" borderId="0" xfId="3" applyNumberFormat="1" applyFont="1" applyBorder="1" applyAlignment="1" applyProtection="1">
      <alignment horizontal="center"/>
    </xf>
    <xf numFmtId="0" fontId="14" fillId="0" borderId="0" xfId="1" applyAlignment="1">
      <alignment horizontal="center"/>
    </xf>
    <xf numFmtId="4" fontId="6" fillId="0" borderId="1" xfId="0" applyNumberFormat="1" applyFont="1" applyBorder="1" applyAlignment="1">
      <alignment horizontal="center" vertical="center"/>
    </xf>
    <xf numFmtId="4" fontId="7" fillId="0" borderId="1" xfId="0" applyNumberFormat="1" applyFont="1" applyBorder="1" applyAlignment="1">
      <alignment horizontal="center" vertical="center"/>
    </xf>
    <xf numFmtId="0" fontId="6" fillId="0" borderId="2" xfId="0" applyFont="1" applyBorder="1" applyAlignment="1">
      <alignment horizontal="center" vertical="center"/>
    </xf>
    <xf numFmtId="3" fontId="6" fillId="0" borderId="1" xfId="0" applyNumberFormat="1" applyFont="1" applyBorder="1" applyAlignment="1">
      <alignment horizontal="center" vertical="center"/>
    </xf>
    <xf numFmtId="4" fontId="6" fillId="0" borderId="2" xfId="0" applyNumberFormat="1" applyFont="1" applyBorder="1" applyAlignment="1">
      <alignment horizontal="center" vertical="center"/>
    </xf>
    <xf numFmtId="4" fontId="6" fillId="0" borderId="3" xfId="0" applyNumberFormat="1" applyFont="1" applyBorder="1" applyAlignment="1">
      <alignment horizontal="center" vertical="center"/>
    </xf>
    <xf numFmtId="4" fontId="6" fillId="0" borderId="9" xfId="0" applyNumberFormat="1" applyFont="1" applyBorder="1" applyAlignment="1">
      <alignment horizontal="center" vertical="center"/>
    </xf>
    <xf numFmtId="4" fontId="6" fillId="0" borderId="9" xfId="0" quotePrefix="1" applyNumberFormat="1" applyFont="1" applyBorder="1" applyAlignment="1">
      <alignment horizontal="center" vertical="center"/>
    </xf>
    <xf numFmtId="3" fontId="5" fillId="3" borderId="10" xfId="0" quotePrefix="1" applyNumberFormat="1" applyFont="1" applyFill="1" applyBorder="1" applyAlignment="1">
      <alignment horizontal="center" vertical="center"/>
    </xf>
    <xf numFmtId="4" fontId="6" fillId="0" borderId="9" xfId="0" applyNumberFormat="1" applyFont="1" applyFill="1" applyBorder="1" applyAlignment="1">
      <alignment horizontal="right" vertical="center"/>
    </xf>
    <xf numFmtId="0" fontId="5" fillId="4" borderId="9" xfId="0" applyFont="1" applyFill="1" applyBorder="1" applyAlignment="1">
      <alignment horizontal="center" vertical="center"/>
    </xf>
    <xf numFmtId="0" fontId="5" fillId="4" borderId="9" xfId="0" applyFont="1" applyFill="1" applyBorder="1" applyAlignment="1">
      <alignment horizontal="left" vertical="center"/>
    </xf>
    <xf numFmtId="10" fontId="6" fillId="0" borderId="0" xfId="0" applyNumberFormat="1" applyFont="1" applyAlignment="1">
      <alignment horizontal="center" vertical="center"/>
    </xf>
    <xf numFmtId="4" fontId="6"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5" fillId="0" borderId="6" xfId="0" applyFont="1" applyBorder="1"/>
    <xf numFmtId="0" fontId="7" fillId="0" borderId="0" xfId="0" applyFont="1" applyAlignment="1">
      <alignment horizontal="center" vertical="center" wrapText="1"/>
    </xf>
    <xf numFmtId="4" fontId="6" fillId="0" borderId="1" xfId="0" applyNumberFormat="1" applyFont="1" applyFill="1" applyBorder="1" applyAlignment="1">
      <alignment horizontal="center" vertical="center"/>
    </xf>
    <xf numFmtId="3"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2" borderId="8" xfId="0" applyFont="1" applyFill="1" applyBorder="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xf>
    <xf numFmtId="0" fontId="1" fillId="0" borderId="0" xfId="0" applyFont="1"/>
    <xf numFmtId="0" fontId="1"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6" fillId="0" borderId="1" xfId="0" applyFont="1" applyBorder="1" applyAlignment="1">
      <alignment horizontal="center" vertical="center"/>
    </xf>
    <xf numFmtId="3" fontId="7"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4" fontId="7" fillId="0" borderId="1" xfId="0" applyNumberFormat="1" applyFont="1" applyBorder="1" applyAlignment="1">
      <alignment horizontal="center" vertical="center"/>
    </xf>
    <xf numFmtId="4" fontId="7" fillId="5" borderId="2" xfId="0" applyNumberFormat="1" applyFont="1" applyFill="1" applyBorder="1" applyAlignment="1">
      <alignment horizontal="center" vertical="center"/>
    </xf>
    <xf numFmtId="4" fontId="7" fillId="5" borderId="9" xfId="0" applyNumberFormat="1" applyFont="1" applyFill="1" applyBorder="1" applyAlignment="1">
      <alignment horizontal="center" vertical="center"/>
    </xf>
    <xf numFmtId="4" fontId="7" fillId="5" borderId="3" xfId="0" applyNumberFormat="1" applyFont="1" applyFill="1" applyBorder="1" applyAlignment="1">
      <alignment horizontal="center" vertical="center"/>
    </xf>
    <xf numFmtId="3"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1" fillId="0" borderId="10" xfId="0" applyFont="1" applyBorder="1" applyAlignment="1">
      <alignment horizontal="center" vertical="center"/>
    </xf>
    <xf numFmtId="4" fontId="7" fillId="5" borderId="1" xfId="0" applyNumberFormat="1" applyFont="1" applyFill="1" applyBorder="1" applyAlignment="1">
      <alignment horizontal="center" vertical="center"/>
    </xf>
    <xf numFmtId="164" fontId="6" fillId="0" borderId="1" xfId="0" applyNumberFormat="1" applyFont="1" applyBorder="1" applyAlignment="1">
      <alignment horizontal="center" vertical="center"/>
    </xf>
    <xf numFmtId="0" fontId="1" fillId="0" borderId="12" xfId="0" applyFont="1" applyBorder="1" applyAlignment="1">
      <alignment horizontal="center" vertical="center"/>
    </xf>
    <xf numFmtId="0" fontId="1" fillId="0" borderId="5"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1" fillId="0" borderId="0" xfId="0" applyFont="1"/>
    <xf numFmtId="0" fontId="6" fillId="0" borderId="2" xfId="0" applyFont="1" applyBorder="1" applyAlignment="1">
      <alignment horizontal="left" vertical="center"/>
    </xf>
    <xf numFmtId="4" fontId="6" fillId="0" borderId="2" xfId="0" applyNumberFormat="1" applyFont="1" applyBorder="1" applyAlignment="1">
      <alignment horizontal="right" vertical="center"/>
    </xf>
    <xf numFmtId="0" fontId="6" fillId="0" borderId="9" xfId="0" applyFont="1" applyBorder="1" applyAlignment="1">
      <alignment horizontal="center" vertical="center" wrapText="1"/>
    </xf>
    <xf numFmtId="4" fontId="6" fillId="0" borderId="9" xfId="0" applyNumberFormat="1" applyFont="1" applyBorder="1" applyAlignment="1">
      <alignment horizontal="center" vertical="center"/>
    </xf>
    <xf numFmtId="0" fontId="6" fillId="0" borderId="9" xfId="0" applyFont="1" applyBorder="1" applyAlignment="1">
      <alignment horizontal="left" vertical="center" wrapText="1"/>
    </xf>
    <xf numFmtId="0" fontId="6" fillId="0" borderId="9" xfId="0" applyFont="1" applyBorder="1" applyAlignment="1">
      <alignment horizontal="center" vertical="center"/>
    </xf>
    <xf numFmtId="4" fontId="6" fillId="0" borderId="9" xfId="0" applyNumberFormat="1" applyFont="1" applyBorder="1" applyAlignment="1">
      <alignment horizontal="right" vertical="center"/>
    </xf>
    <xf numFmtId="10" fontId="6" fillId="0" borderId="9" xfId="0" applyNumberFormat="1" applyFont="1" applyBorder="1" applyAlignment="1">
      <alignment horizontal="center" vertical="center"/>
    </xf>
    <xf numFmtId="0" fontId="6" fillId="0" borderId="9" xfId="0" quotePrefix="1" applyFont="1" applyBorder="1" applyAlignment="1">
      <alignment horizontal="center" vertical="center"/>
    </xf>
    <xf numFmtId="0" fontId="6" fillId="0" borderId="9" xfId="0" applyFont="1" applyBorder="1" applyAlignment="1">
      <alignment horizontal="left" vertical="center"/>
    </xf>
    <xf numFmtId="4" fontId="6" fillId="0" borderId="3" xfId="0" applyNumberFormat="1" applyFont="1" applyBorder="1" applyAlignment="1">
      <alignment horizontal="center" vertical="center"/>
    </xf>
    <xf numFmtId="0" fontId="6" fillId="0" borderId="3" xfId="0" quotePrefix="1" applyFont="1" applyBorder="1" applyAlignment="1">
      <alignment horizontal="center" vertical="center"/>
    </xf>
    <xf numFmtId="4" fontId="6" fillId="0" borderId="3" xfId="0" applyNumberFormat="1" applyFont="1" applyBorder="1" applyAlignment="1">
      <alignment horizontal="right" vertical="center"/>
    </xf>
    <xf numFmtId="0" fontId="5" fillId="0" borderId="10" xfId="0" applyFont="1" applyBorder="1" applyAlignment="1">
      <alignment horizontal="left" vertical="center"/>
    </xf>
    <xf numFmtId="0" fontId="5" fillId="0" borderId="0" xfId="0" applyFont="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left" vertical="center"/>
    </xf>
    <xf numFmtId="0" fontId="6" fillId="0" borderId="2" xfId="0" applyFont="1" applyBorder="1" applyAlignment="1">
      <alignment horizontal="center" vertical="center"/>
    </xf>
    <xf numFmtId="4" fontId="6" fillId="0" borderId="2" xfId="0" applyNumberFormat="1" applyFont="1" applyBorder="1" applyAlignment="1">
      <alignment horizontal="center" vertical="center"/>
    </xf>
    <xf numFmtId="10" fontId="6" fillId="0" borderId="2" xfId="0" applyNumberFormat="1" applyFont="1" applyBorder="1" applyAlignment="1">
      <alignment horizontal="center" vertical="center"/>
    </xf>
    <xf numFmtId="0" fontId="7" fillId="0" borderId="9" xfId="0" applyFont="1" applyBorder="1" applyAlignment="1">
      <alignment horizontal="left" vertical="center"/>
    </xf>
    <xf numFmtId="0" fontId="6" fillId="0" borderId="3" xfId="0" applyFont="1" applyBorder="1" applyAlignment="1">
      <alignment horizontal="center" vertical="center"/>
    </xf>
    <xf numFmtId="0" fontId="6" fillId="0" borderId="3" xfId="0" applyFont="1" applyBorder="1" applyAlignment="1">
      <alignment horizontal="left" vertical="center"/>
    </xf>
    <xf numFmtId="10" fontId="6" fillId="0" borderId="3" xfId="0" applyNumberFormat="1"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10" fontId="10" fillId="0" borderId="15" xfId="0" applyNumberFormat="1" applyFont="1" applyBorder="1" applyAlignment="1">
      <alignment horizontal="center" vertical="center"/>
    </xf>
    <xf numFmtId="4" fontId="6" fillId="13" borderId="9" xfId="0" applyNumberFormat="1" applyFont="1" applyFill="1" applyBorder="1" applyAlignment="1">
      <alignment horizontal="right" vertical="center"/>
    </xf>
    <xf numFmtId="0" fontId="5" fillId="0" borderId="14" xfId="0" applyFont="1" applyBorder="1"/>
    <xf numFmtId="0" fontId="5" fillId="0" borderId="13" xfId="0" applyFont="1" applyBorder="1" applyAlignment="1">
      <alignment vertical="center"/>
    </xf>
    <xf numFmtId="4" fontId="5" fillId="0" borderId="15" xfId="0" applyNumberFormat="1" applyFont="1" applyBorder="1" applyAlignment="1">
      <alignment horizontal="right" vertical="center" wrapText="1"/>
    </xf>
    <xf numFmtId="10" fontId="5" fillId="0" borderId="3" xfId="0" applyNumberFormat="1" applyFont="1" applyBorder="1" applyAlignment="1">
      <alignment horizontal="center" vertical="center"/>
    </xf>
    <xf numFmtId="0" fontId="7" fillId="2" borderId="8" xfId="0" applyFont="1" applyFill="1" applyBorder="1" applyAlignment="1">
      <alignment horizontal="center" vertical="center" wrapText="1"/>
    </xf>
    <xf numFmtId="4" fontId="6" fillId="0" borderId="9" xfId="0" quotePrefix="1" applyNumberFormat="1" applyFont="1" applyBorder="1" applyAlignment="1">
      <alignment horizontal="center" vertical="center"/>
    </xf>
    <xf numFmtId="4" fontId="5" fillId="3" borderId="10" xfId="0" quotePrefix="1" applyNumberFormat="1" applyFont="1" applyFill="1" applyBorder="1" applyAlignment="1">
      <alignment horizontal="center" vertical="center"/>
    </xf>
    <xf numFmtId="3" fontId="5" fillId="4" borderId="9" xfId="0" quotePrefix="1" applyNumberFormat="1" applyFont="1" applyFill="1" applyBorder="1" applyAlignment="1">
      <alignment horizontal="center" vertical="center"/>
    </xf>
    <xf numFmtId="4" fontId="5" fillId="3" borderId="7" xfId="0" quotePrefix="1" applyNumberFormat="1" applyFont="1" applyFill="1" applyBorder="1" applyAlignment="1">
      <alignment horizontal="center" vertical="center"/>
    </xf>
    <xf numFmtId="0" fontId="5" fillId="0" borderId="13" xfId="0" applyFont="1" applyBorder="1"/>
    <xf numFmtId="4" fontId="6" fillId="0" borderId="1" xfId="0" applyNumberFormat="1" applyFont="1" applyBorder="1" applyAlignment="1">
      <alignment horizontal="center" vertical="center"/>
    </xf>
    <xf numFmtId="0" fontId="7" fillId="2" borderId="1" xfId="0" applyFont="1" applyFill="1" applyBorder="1" applyAlignment="1">
      <alignment horizontal="center" vertical="center"/>
    </xf>
    <xf numFmtId="4" fontId="7"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4" fontId="7"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8" borderId="6" xfId="0" applyFont="1" applyFill="1" applyBorder="1" applyAlignment="1">
      <alignment horizontal="center" vertical="center"/>
    </xf>
    <xf numFmtId="0" fontId="7" fillId="8" borderId="7" xfId="0" applyFont="1" applyFill="1" applyBorder="1" applyAlignment="1">
      <alignment horizontal="center" vertical="center"/>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5" fillId="0" borderId="0" xfId="0" applyFont="1" applyAlignment="1">
      <alignment horizontal="center" vertical="center"/>
    </xf>
    <xf numFmtId="3" fontId="7" fillId="2" borderId="1" xfId="0" applyNumberFormat="1" applyFont="1" applyFill="1" applyBorder="1" applyAlignment="1">
      <alignment horizontal="center" vertical="center" wrapText="1"/>
    </xf>
    <xf numFmtId="0" fontId="10" fillId="0" borderId="14" xfId="0" applyFont="1" applyBorder="1" applyAlignment="1">
      <alignment horizontal="right" vertical="center"/>
    </xf>
    <xf numFmtId="0" fontId="5" fillId="0" borderId="14" xfId="0" applyFont="1" applyBorder="1" applyAlignment="1">
      <alignment horizontal="right" vertical="center"/>
    </xf>
    <xf numFmtId="0" fontId="5" fillId="0" borderId="7" xfId="0" applyFont="1" applyBorder="1" applyAlignment="1">
      <alignment horizontal="right" vertical="center"/>
    </xf>
    <xf numFmtId="0" fontId="5" fillId="0" borderId="14" xfId="0" applyFont="1" applyBorder="1" applyAlignment="1">
      <alignment horizontal="center" vertical="center"/>
    </xf>
    <xf numFmtId="0" fontId="5" fillId="0" borderId="7" xfId="0" applyFont="1" applyBorder="1" applyAlignment="1">
      <alignment horizontal="center" vertical="center"/>
    </xf>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xf>
    <xf numFmtId="0" fontId="5" fillId="0" borderId="12" xfId="0" applyFont="1" applyBorder="1" applyAlignment="1">
      <alignment horizontal="center"/>
    </xf>
    <xf numFmtId="0" fontId="5" fillId="0" borderId="10" xfId="0" applyFont="1" applyBorder="1" applyAlignment="1">
      <alignment horizontal="center" vertical="center"/>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17" fillId="0" borderId="0" xfId="1" applyFont="1" applyAlignment="1">
      <alignment horizontal="left" vertical="center" wrapText="1"/>
    </xf>
    <xf numFmtId="0" fontId="14" fillId="0" borderId="0" xfId="1" applyAlignment="1">
      <alignment horizontal="center" vertical="center"/>
    </xf>
    <xf numFmtId="0" fontId="17" fillId="0" borderId="16" xfId="1" applyFont="1" applyBorder="1" applyAlignment="1">
      <alignment horizontal="center" vertical="center"/>
    </xf>
    <xf numFmtId="0" fontId="15" fillId="0" borderId="19" xfId="1" applyFont="1" applyBorder="1" applyAlignment="1">
      <alignment horizontal="center" vertical="center"/>
    </xf>
    <xf numFmtId="0" fontId="17" fillId="0" borderId="0" xfId="1" applyFont="1" applyAlignment="1">
      <alignment horizontal="center" vertical="center"/>
    </xf>
    <xf numFmtId="166" fontId="18" fillId="9" borderId="6" xfId="2" applyNumberFormat="1" applyFont="1" applyFill="1" applyBorder="1" applyAlignment="1" applyProtection="1">
      <alignment horizontal="left" vertical="center" wrapText="1"/>
      <protection locked="0"/>
    </xf>
    <xf numFmtId="166" fontId="18" fillId="9" borderId="7" xfId="2" applyNumberFormat="1" applyFont="1" applyFill="1" applyBorder="1" applyAlignment="1" applyProtection="1">
      <alignment horizontal="left" vertical="center" wrapText="1"/>
      <protection locked="0"/>
    </xf>
    <xf numFmtId="166" fontId="18" fillId="9" borderId="8" xfId="2" applyNumberFormat="1" applyFont="1" applyFill="1" applyBorder="1" applyAlignment="1" applyProtection="1">
      <alignment horizontal="left" vertical="center" wrapText="1"/>
      <protection locked="0"/>
    </xf>
    <xf numFmtId="0" fontId="14" fillId="10" borderId="26" xfId="1" applyFill="1" applyBorder="1" applyAlignment="1">
      <alignment horizontal="left" vertical="top" wrapText="1"/>
    </xf>
    <xf numFmtId="0" fontId="14" fillId="10" borderId="27" xfId="1" applyFill="1" applyBorder="1" applyAlignment="1">
      <alignment horizontal="left" vertical="top" wrapText="1"/>
    </xf>
    <xf numFmtId="0" fontId="14" fillId="10" borderId="28" xfId="1" applyFill="1" applyBorder="1" applyAlignment="1">
      <alignment horizontal="left" vertical="top" wrapText="1"/>
    </xf>
    <xf numFmtId="0" fontId="17" fillId="9" borderId="1" xfId="1" applyFont="1" applyFill="1" applyBorder="1" applyAlignment="1" applyProtection="1">
      <alignment horizontal="center" vertical="center"/>
      <protection locked="0"/>
    </xf>
    <xf numFmtId="0" fontId="17" fillId="0" borderId="0" xfId="1" applyFont="1" applyAlignment="1">
      <alignment horizontal="center" vertical="center" wrapText="1"/>
    </xf>
    <xf numFmtId="10" fontId="18" fillId="9" borderId="1" xfId="3" applyNumberFormat="1" applyFont="1" applyFill="1" applyBorder="1" applyAlignment="1" applyProtection="1">
      <alignment horizontal="center" vertical="center" wrapText="1"/>
      <protection locked="0"/>
    </xf>
    <xf numFmtId="0" fontId="17" fillId="0" borderId="0" xfId="1" applyFont="1" applyAlignment="1">
      <alignment horizontal="center"/>
    </xf>
    <xf numFmtId="0" fontId="14" fillId="0" borderId="0" xfId="1" applyAlignment="1">
      <alignment horizontal="left" vertical="center" wrapText="1"/>
    </xf>
    <xf numFmtId="0" fontId="14" fillId="0" borderId="16" xfId="1" applyBorder="1" applyAlignment="1">
      <alignment horizontal="center"/>
    </xf>
    <xf numFmtId="10" fontId="21" fillId="0" borderId="0" xfId="3" applyNumberFormat="1" applyFont="1" applyBorder="1" applyAlignment="1" applyProtection="1">
      <alignment horizontal="center"/>
    </xf>
    <xf numFmtId="0" fontId="19" fillId="0" borderId="0" xfId="1" applyFont="1" applyAlignment="1">
      <alignment horizontal="center"/>
    </xf>
    <xf numFmtId="0" fontId="25" fillId="0" borderId="0" xfId="1" applyFont="1" applyAlignment="1">
      <alignment vertical="center" wrapText="1"/>
    </xf>
    <xf numFmtId="10" fontId="26" fillId="0" borderId="0" xfId="3" applyNumberFormat="1" applyFont="1" applyBorder="1" applyAlignment="1" applyProtection="1">
      <alignment horizontal="center" vertical="center"/>
    </xf>
    <xf numFmtId="0" fontId="27" fillId="0" borderId="0" xfId="1" applyFont="1" applyAlignment="1">
      <alignment horizontal="center"/>
    </xf>
    <xf numFmtId="0" fontId="14" fillId="0" borderId="21" xfId="1" applyBorder="1" applyAlignment="1">
      <alignment horizontal="center"/>
    </xf>
    <xf numFmtId="0" fontId="14" fillId="0" borderId="0" xfId="1" applyAlignment="1">
      <alignment horizontal="center"/>
    </xf>
    <xf numFmtId="0" fontId="14" fillId="0" borderId="22" xfId="1" applyBorder="1" applyAlignment="1">
      <alignment horizontal="center"/>
    </xf>
    <xf numFmtId="0" fontId="14" fillId="0" borderId="21" xfId="1" applyBorder="1" applyAlignment="1">
      <alignment horizontal="center" wrapText="1"/>
    </xf>
    <xf numFmtId="0" fontId="14" fillId="0" borderId="29" xfId="1" applyBorder="1" applyAlignment="1">
      <alignment horizontal="center"/>
    </xf>
    <xf numFmtId="0" fontId="14" fillId="0" borderId="30" xfId="1" applyBorder="1" applyAlignment="1">
      <alignment horizontal="center"/>
    </xf>
    <xf numFmtId="0" fontId="17" fillId="0" borderId="23" xfId="1" applyFont="1" applyBorder="1" applyAlignment="1">
      <alignment horizontal="center"/>
    </xf>
    <xf numFmtId="0" fontId="17" fillId="0" borderId="24" xfId="1" applyFont="1" applyBorder="1" applyAlignment="1">
      <alignment horizontal="center"/>
    </xf>
    <xf numFmtId="0" fontId="17" fillId="0" borderId="25" xfId="1" applyFont="1" applyBorder="1" applyAlignment="1">
      <alignment horizontal="center"/>
    </xf>
    <xf numFmtId="0" fontId="14" fillId="0" borderId="21" xfId="1" applyBorder="1" applyAlignment="1">
      <alignment horizontal="left" wrapText="1"/>
    </xf>
    <xf numFmtId="0" fontId="14" fillId="0" borderId="0" xfId="1" applyAlignment="1">
      <alignment horizontal="left" wrapText="1"/>
    </xf>
    <xf numFmtId="0" fontId="14" fillId="0" borderId="22" xfId="1" applyBorder="1" applyAlignment="1">
      <alignment horizontal="left" wrapText="1"/>
    </xf>
    <xf numFmtId="0" fontId="7" fillId="14" borderId="1" xfId="0" applyFont="1" applyFill="1" applyBorder="1" applyAlignment="1">
      <alignment horizontal="center" vertical="center" textRotation="90" wrapText="1"/>
    </xf>
    <xf numFmtId="0" fontId="5" fillId="0" borderId="1" xfId="0" applyFont="1" applyBorder="1" applyAlignment="1">
      <alignment horizontal="center" vertical="center"/>
    </xf>
    <xf numFmtId="0" fontId="7" fillId="2" borderId="1" xfId="0" applyFont="1" applyFill="1" applyBorder="1" applyAlignment="1">
      <alignment horizontal="center" vertical="center"/>
    </xf>
    <xf numFmtId="0" fontId="30" fillId="14" borderId="2" xfId="0" applyFont="1" applyFill="1" applyBorder="1" applyAlignment="1">
      <alignment horizontal="center" vertical="center" textRotation="90" wrapText="1"/>
    </xf>
    <xf numFmtId="0" fontId="30" fillId="14" borderId="9" xfId="0" applyFont="1" applyFill="1" applyBorder="1" applyAlignment="1">
      <alignment horizontal="center" vertical="center" textRotation="90" wrapText="1"/>
    </xf>
    <xf numFmtId="0" fontId="30" fillId="14" borderId="3" xfId="0" applyFont="1" applyFill="1" applyBorder="1" applyAlignment="1">
      <alignment horizontal="center" vertical="center" textRotation="90"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4" fontId="7"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8" fillId="2" borderId="1" xfId="0" applyFont="1" applyFill="1" applyBorder="1" applyAlignment="1">
      <alignment horizontal="center" vertical="center"/>
    </xf>
    <xf numFmtId="0" fontId="7" fillId="14" borderId="2" xfId="0" applyFont="1" applyFill="1" applyBorder="1" applyAlignment="1">
      <alignment horizontal="center" vertical="center" textRotation="90" wrapText="1"/>
    </xf>
    <xf numFmtId="0" fontId="7" fillId="14" borderId="9" xfId="0" applyFont="1" applyFill="1" applyBorder="1" applyAlignment="1">
      <alignment horizontal="center" vertical="center" textRotation="90" wrapText="1"/>
    </xf>
    <xf numFmtId="0" fontId="7" fillId="14" borderId="3" xfId="0" applyFont="1" applyFill="1" applyBorder="1" applyAlignment="1">
      <alignment horizontal="center" vertical="center" textRotation="90" wrapText="1"/>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6"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7" borderId="1" xfId="0" applyFont="1" applyFill="1" applyBorder="1" applyAlignment="1">
      <alignment horizontal="center" vertical="center" wrapText="1"/>
    </xf>
    <xf numFmtId="0" fontId="7" fillId="0" borderId="0" xfId="0" applyFont="1" applyAlignment="1">
      <alignment horizontal="center" vertical="center" wrapText="1"/>
    </xf>
    <xf numFmtId="3" fontId="7" fillId="0" borderId="1" xfId="0" applyNumberFormat="1" applyFont="1" applyBorder="1" applyAlignment="1">
      <alignment horizontal="center" vertical="center" wrapText="1"/>
    </xf>
    <xf numFmtId="3" fontId="7" fillId="0" borderId="12"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3" fontId="7" fillId="0" borderId="15" xfId="0" applyNumberFormat="1" applyFont="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4" fontId="11" fillId="0" borderId="0" xfId="0" applyNumberFormat="1" applyFont="1"/>
    <xf numFmtId="0" fontId="5" fillId="0" borderId="0" xfId="0" applyFont="1" applyBorder="1" applyAlignment="1">
      <alignment horizontal="left" vertical="center"/>
    </xf>
    <xf numFmtId="0" fontId="2" fillId="0" borderId="0" xfId="0" applyFont="1" applyBorder="1" applyAlignment="1">
      <alignment horizontal="center" vertical="center"/>
    </xf>
  </cellXfs>
  <cellStyles count="9">
    <cellStyle name="Estilo 1" xfId="4"/>
    <cellStyle name="Normal" xfId="0" builtinId="0"/>
    <cellStyle name="Normal 2" xfId="1"/>
    <cellStyle name="Normal 3 57" xfId="6"/>
    <cellStyle name="Porcentagem 2" xfId="3"/>
    <cellStyle name="Vírgula 2" xfId="2"/>
    <cellStyle name="Vírgula 2 2" xfId="5"/>
    <cellStyle name="Vírgula 2 2 2" xfId="8"/>
    <cellStyle name="Vírgula 2 3" xfId="7"/>
  </cellStyles>
  <dxfs count="4">
    <dxf>
      <font>
        <b/>
        <i val="0"/>
        <condense val="0"/>
        <extend val="0"/>
        <color indexed="57"/>
      </font>
      <fill>
        <patternFill patternType="solid">
          <bgColor indexed="26"/>
        </patternFill>
      </fill>
    </dxf>
    <dxf>
      <font>
        <condense val="0"/>
        <extend val="0"/>
        <color indexed="9"/>
      </font>
    </dxf>
    <dxf>
      <font>
        <b/>
        <i val="0"/>
        <condense val="0"/>
        <extend val="0"/>
        <color indexed="57"/>
      </font>
      <fill>
        <patternFill patternType="solid">
          <bgColor indexed="26"/>
        </patternFill>
      </fill>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w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15713" name="Object 1" hidden="1">
              <a:extLst>
                <a:ext uri="{63B3BB69-23CF-44E3-9099-C40C66FF867C}">
                  <a14:compatExt spid="_x0000_s115713"/>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15714" name="Object 2" hidden="1">
              <a:extLst>
                <a:ext uri="{63B3BB69-23CF-44E3-9099-C40C66FF867C}">
                  <a14:compatExt spid="_x0000_s115714"/>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15715" name="CommandButton1" hidden="1">
              <a:extLst>
                <a:ext uri="{63B3BB69-23CF-44E3-9099-C40C66FF867C}">
                  <a14:compatExt spid="_x0000_s115715"/>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80</xdr:col>
          <xdr:colOff>0</xdr:colOff>
          <xdr:row>239</xdr:row>
          <xdr:rowOff>0</xdr:rowOff>
        </xdr:from>
        <xdr:to>
          <xdr:col>80</xdr:col>
          <xdr:colOff>0</xdr:colOff>
          <xdr:row>240</xdr:row>
          <xdr:rowOff>76200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0300-000001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44</xdr:row>
          <xdr:rowOff>133350</xdr:rowOff>
        </xdr:from>
        <xdr:to>
          <xdr:col>6</xdr:col>
          <xdr:colOff>695325</xdr:colOff>
          <xdr:row>48</xdr:row>
          <xdr:rowOff>0</xdr:rowOff>
        </xdr:to>
        <xdr:sp macro="" textlink="">
          <xdr:nvSpPr>
            <xdr:cNvPr id="143362" name="Object 2" hidden="1">
              <a:extLst>
                <a:ext uri="{63B3BB69-23CF-44E3-9099-C40C66FF867C}">
                  <a14:compatExt spid="_x0000_s143362"/>
                </a:ext>
                <a:ext uri="{FF2B5EF4-FFF2-40B4-BE49-F238E27FC236}">
                  <a16:creationId xmlns:a16="http://schemas.microsoft.com/office/drawing/2014/main" id="{00000000-0008-0000-0300-000002C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6</xdr:row>
          <xdr:rowOff>0</xdr:rowOff>
        </xdr:from>
        <xdr:to>
          <xdr:col>13</xdr:col>
          <xdr:colOff>762000</xdr:colOff>
          <xdr:row>7</xdr:row>
          <xdr:rowOff>0</xdr:rowOff>
        </xdr:to>
        <xdr:sp macro="" textlink="">
          <xdr:nvSpPr>
            <xdr:cNvPr id="143363" name="CommandButton1" hidden="1">
              <a:extLst>
                <a:ext uri="{63B3BB69-23CF-44E3-9099-C40C66FF867C}">
                  <a14:compatExt spid="_x0000_s143363"/>
                </a:ext>
                <a:ext uri="{FF2B5EF4-FFF2-40B4-BE49-F238E27FC236}">
                  <a16:creationId xmlns:a16="http://schemas.microsoft.com/office/drawing/2014/main" id="{00000000-0008-0000-0300-000003C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oleObject2.bin"/><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3.vml"/><Relationship Id="rId7" Type="http://schemas.openxmlformats.org/officeDocument/2006/relationships/control" Target="../activeX/activeX2.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oleObject" Target="../embeddings/oleObject4.bin"/><Relationship Id="rId5" Type="http://schemas.openxmlformats.org/officeDocument/2006/relationships/image" Target="../media/image2.wmf"/><Relationship Id="rId4" Type="http://schemas.openxmlformats.org/officeDocument/2006/relationships/oleObject" Target="../embeddings/oleObject3.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5"/>
  <sheetViews>
    <sheetView showGridLines="0" view="pageBreakPreview" zoomScaleNormal="100" zoomScaleSheetLayoutView="100" workbookViewId="0">
      <selection activeCell="C15" sqref="C15"/>
    </sheetView>
  </sheetViews>
  <sheetFormatPr defaultRowHeight="15" x14ac:dyDescent="0.25"/>
  <cols>
    <col min="1" max="1" width="1.7109375" customWidth="1"/>
    <col min="2" max="2" width="30.7109375" customWidth="1"/>
    <col min="3" max="3" width="55.7109375" customWidth="1"/>
    <col min="6" max="6" width="15.7109375" customWidth="1"/>
  </cols>
  <sheetData>
    <row r="1" spans="2:3" ht="5.0999999999999996" customHeight="1" x14ac:dyDescent="0.25"/>
    <row r="2" spans="2:3" ht="15" customHeight="1" x14ac:dyDescent="0.25">
      <c r="B2" s="290" t="s">
        <v>161</v>
      </c>
      <c r="C2" s="291"/>
    </row>
    <row r="3" spans="2:3" ht="14.1" customHeight="1" x14ac:dyDescent="0.25">
      <c r="B3" s="39" t="s">
        <v>162</v>
      </c>
      <c r="C3" s="220" t="s">
        <v>366</v>
      </c>
    </row>
    <row r="4" spans="2:3" ht="14.1" customHeight="1" x14ac:dyDescent="0.25">
      <c r="B4" s="39" t="s">
        <v>163</v>
      </c>
      <c r="C4" s="220" t="s">
        <v>367</v>
      </c>
    </row>
    <row r="5" spans="2:3" ht="5.0999999999999996" customHeight="1" x14ac:dyDescent="0.25">
      <c r="C5" s="90"/>
    </row>
    <row r="6" spans="2:3" ht="14.1" customHeight="1" x14ac:dyDescent="0.25">
      <c r="B6" s="290" t="s">
        <v>164</v>
      </c>
      <c r="C6" s="291"/>
    </row>
    <row r="7" spans="2:3" ht="14.1" customHeight="1" x14ac:dyDescent="0.25">
      <c r="B7" s="39" t="s">
        <v>165</v>
      </c>
      <c r="C7" s="221" t="s">
        <v>167</v>
      </c>
    </row>
    <row r="8" spans="2:3" ht="14.1" customHeight="1" x14ac:dyDescent="0.25">
      <c r="B8" s="39" t="s">
        <v>166</v>
      </c>
      <c r="C8" s="221" t="s">
        <v>368</v>
      </c>
    </row>
    <row r="9" spans="2:3" ht="14.1" customHeight="1" x14ac:dyDescent="0.25">
      <c r="B9" s="289" t="s">
        <v>172</v>
      </c>
      <c r="C9" s="39" t="s">
        <v>10</v>
      </c>
    </row>
    <row r="10" spans="2:3" ht="14.1" customHeight="1" x14ac:dyDescent="0.25">
      <c r="B10" s="289"/>
      <c r="C10" s="292" t="s">
        <v>364</v>
      </c>
    </row>
    <row r="11" spans="2:3" ht="14.1" customHeight="1" x14ac:dyDescent="0.25">
      <c r="B11" s="289"/>
      <c r="C11" s="295"/>
    </row>
    <row r="12" spans="2:3" ht="14.1" customHeight="1" x14ac:dyDescent="0.25">
      <c r="B12" s="289"/>
      <c r="C12" s="292" t="s">
        <v>437</v>
      </c>
    </row>
    <row r="13" spans="2:3" ht="14.1" customHeight="1" x14ac:dyDescent="0.25">
      <c r="B13" s="289"/>
      <c r="C13" s="293"/>
    </row>
    <row r="14" spans="2:3" ht="14.1" customHeight="1" x14ac:dyDescent="0.25">
      <c r="B14" s="289"/>
      <c r="C14" s="294"/>
    </row>
    <row r="15" spans="2:3" ht="14.1" customHeight="1" x14ac:dyDescent="0.25">
      <c r="B15" s="289"/>
      <c r="C15" s="39" t="s">
        <v>339</v>
      </c>
    </row>
    <row r="16" spans="2:3" ht="14.1" customHeight="1" x14ac:dyDescent="0.25">
      <c r="B16" s="39" t="s">
        <v>267</v>
      </c>
      <c r="C16" s="84">
        <f>'BDI SERVIÇO'!$F$50</f>
        <v>0.24030000000000001</v>
      </c>
    </row>
    <row r="17" spans="2:3" ht="5.0999999999999996" customHeight="1" x14ac:dyDescent="0.25"/>
    <row r="18" spans="2:3" ht="14.1" customHeight="1" x14ac:dyDescent="0.25">
      <c r="B18" s="290" t="s">
        <v>170</v>
      </c>
      <c r="C18" s="291"/>
    </row>
    <row r="19" spans="2:3" ht="14.1" customHeight="1" x14ac:dyDescent="0.25">
      <c r="B19" s="39" t="s">
        <v>162</v>
      </c>
      <c r="C19" s="39" t="s">
        <v>203</v>
      </c>
    </row>
    <row r="20" spans="2:3" ht="14.1" customHeight="1" x14ac:dyDescent="0.25">
      <c r="B20" s="39" t="s">
        <v>163</v>
      </c>
      <c r="C20" s="211" t="s">
        <v>365</v>
      </c>
    </row>
    <row r="21" spans="2:3" ht="14.1" customHeight="1" x14ac:dyDescent="0.25">
      <c r="B21" s="289" t="s">
        <v>169</v>
      </c>
      <c r="C21" s="39" t="s">
        <v>199</v>
      </c>
    </row>
    <row r="22" spans="2:3" ht="14.1" customHeight="1" x14ac:dyDescent="0.25">
      <c r="B22" s="289"/>
      <c r="C22" s="39" t="s">
        <v>202</v>
      </c>
    </row>
    <row r="23" spans="2:3" ht="14.1" customHeight="1" x14ac:dyDescent="0.25">
      <c r="B23" s="289"/>
      <c r="C23" s="39" t="s">
        <v>200</v>
      </c>
    </row>
    <row r="24" spans="2:3" ht="14.1" customHeight="1" x14ac:dyDescent="0.25"/>
    <row r="25" spans="2:3" ht="14.1" customHeight="1" x14ac:dyDescent="0.25"/>
  </sheetData>
  <mergeCells count="7">
    <mergeCell ref="B21:B23"/>
    <mergeCell ref="B9:B15"/>
    <mergeCell ref="B2:C2"/>
    <mergeCell ref="B6:C6"/>
    <mergeCell ref="B18:C18"/>
    <mergeCell ref="C12:C14"/>
    <mergeCell ref="C10:C1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19"/>
  <sheetViews>
    <sheetView showGridLines="0" view="pageBreakPreview" zoomScaleNormal="100" zoomScaleSheetLayoutView="100" workbookViewId="0">
      <pane ySplit="11" topLeftCell="A12" activePane="bottomLeft" state="frozen"/>
      <selection activeCell="B2" sqref="B2:C2"/>
      <selection pane="bottomLeft" activeCell="B2" sqref="B2"/>
    </sheetView>
  </sheetViews>
  <sheetFormatPr defaultRowHeight="15" x14ac:dyDescent="0.25"/>
  <cols>
    <col min="1" max="1" width="1.7109375" customWidth="1"/>
    <col min="2" max="2" width="18.7109375" customWidth="1"/>
    <col min="3" max="4" width="28.7109375" customWidth="1"/>
    <col min="5" max="5" width="15.7109375" customWidth="1"/>
  </cols>
  <sheetData>
    <row r="1" spans="2:5" ht="5.0999999999999996" customHeight="1" x14ac:dyDescent="0.25"/>
    <row r="2" spans="2:5" ht="14.1" customHeight="1" x14ac:dyDescent="0.25">
      <c r="B2" s="80" t="str">
        <f>DADOS!$B$3</f>
        <v>CLIENTE:</v>
      </c>
      <c r="C2" s="61" t="str">
        <f>DADOS!$C$3</f>
        <v>PREFEITURA MUNICIPAL DE JARDIM / MS</v>
      </c>
      <c r="D2" s="28"/>
      <c r="E2" s="31"/>
    </row>
    <row r="3" spans="2:5" ht="14.1" customHeight="1" x14ac:dyDescent="0.25">
      <c r="B3" s="81" t="str">
        <f>DADOS!$B$4</f>
        <v>ENDEREÇO:</v>
      </c>
      <c r="C3" s="62" t="str">
        <f>DADOS!$C$4</f>
        <v>RUA CEL. JUVÊNCIO, Nº 547 - CENTRO</v>
      </c>
      <c r="D3" s="4"/>
      <c r="E3" s="32"/>
    </row>
    <row r="4" spans="2:5" ht="14.1" customHeight="1" x14ac:dyDescent="0.25">
      <c r="B4" s="63"/>
      <c r="C4" s="62"/>
      <c r="D4" s="4"/>
      <c r="E4" s="32"/>
    </row>
    <row r="5" spans="2:5" ht="14.1" customHeight="1" x14ac:dyDescent="0.25">
      <c r="B5" s="81" t="str">
        <f>DADOS!$B$7</f>
        <v>OBRA:</v>
      </c>
      <c r="C5" s="62" t="str">
        <f>DADOS!$C$7</f>
        <v>PAVIMENTAÇÃO ASFÁLTICA E DRENAGEM DE ÁGUAS PLUVIAIS</v>
      </c>
      <c r="D5" s="4"/>
      <c r="E5" s="32"/>
    </row>
    <row r="6" spans="2:5" ht="14.1" customHeight="1" x14ac:dyDescent="0.25">
      <c r="B6" s="64" t="str">
        <f>DADOS!$B$8</f>
        <v>LOCAL:</v>
      </c>
      <c r="C6" s="65" t="str">
        <f>DADOS!$C$8</f>
        <v>RUA RUBI, JARDIM / MS</v>
      </c>
      <c r="D6" s="33"/>
      <c r="E6" s="34"/>
    </row>
    <row r="7" spans="2:5" ht="5.0999999999999996" customHeight="1" x14ac:dyDescent="0.25"/>
    <row r="8" spans="2:5" s="4" customFormat="1" ht="15" customHeight="1" x14ac:dyDescent="0.25">
      <c r="B8" s="296" t="s">
        <v>283</v>
      </c>
      <c r="C8" s="296"/>
      <c r="D8" s="296"/>
      <c r="E8" s="296"/>
    </row>
    <row r="9" spans="2:5" ht="5.0999999999999996" customHeight="1" x14ac:dyDescent="0.25"/>
    <row r="10" spans="2:5" ht="20.100000000000001" customHeight="1" x14ac:dyDescent="0.25">
      <c r="B10" s="297" t="s">
        <v>284</v>
      </c>
      <c r="C10" s="297" t="s">
        <v>265</v>
      </c>
      <c r="D10" s="297" t="s">
        <v>266</v>
      </c>
      <c r="E10" s="297" t="s">
        <v>302</v>
      </c>
    </row>
    <row r="11" spans="2:5" ht="20.100000000000001" customHeight="1" x14ac:dyDescent="0.25">
      <c r="B11" s="297"/>
      <c r="C11" s="297"/>
      <c r="D11" s="297"/>
      <c r="E11" s="297"/>
    </row>
    <row r="12" spans="2:5" ht="5.0999999999999996" customHeight="1" x14ac:dyDescent="0.25">
      <c r="B12" s="167"/>
      <c r="C12" s="167"/>
      <c r="D12" s="167"/>
    </row>
    <row r="13" spans="2:5" ht="14.1" customHeight="1" x14ac:dyDescent="0.25">
      <c r="B13" s="168" t="s">
        <v>108</v>
      </c>
      <c r="C13" s="228" t="s">
        <v>265</v>
      </c>
      <c r="D13" s="228" t="s">
        <v>369</v>
      </c>
      <c r="E13" s="236">
        <v>4.9000000000000004</v>
      </c>
    </row>
    <row r="14" spans="2:5" ht="14.1" customHeight="1" x14ac:dyDescent="0.25">
      <c r="B14" s="168" t="s">
        <v>288</v>
      </c>
      <c r="C14" s="228" t="s">
        <v>370</v>
      </c>
      <c r="D14" s="228" t="s">
        <v>371</v>
      </c>
      <c r="E14" s="236">
        <v>53.6</v>
      </c>
    </row>
    <row r="15" spans="2:5" ht="14.1" customHeight="1" x14ac:dyDescent="0.25">
      <c r="B15" s="168" t="s">
        <v>109</v>
      </c>
      <c r="C15" s="228" t="s">
        <v>372</v>
      </c>
      <c r="D15" s="228" t="s">
        <v>369</v>
      </c>
      <c r="E15" s="236">
        <v>3.6</v>
      </c>
    </row>
    <row r="16" spans="2:5" ht="14.1" customHeight="1" x14ac:dyDescent="0.25">
      <c r="B16" s="168" t="s">
        <v>287</v>
      </c>
      <c r="C16" s="228" t="s">
        <v>370</v>
      </c>
      <c r="D16" s="228" t="s">
        <v>371</v>
      </c>
      <c r="E16" s="236">
        <v>53.6</v>
      </c>
    </row>
    <row r="17" spans="2:5" ht="14.1" customHeight="1" x14ac:dyDescent="0.25">
      <c r="B17" s="168" t="s">
        <v>280</v>
      </c>
      <c r="C17" s="228" t="s">
        <v>279</v>
      </c>
      <c r="D17" s="228" t="s">
        <v>201</v>
      </c>
      <c r="E17" s="236">
        <v>236</v>
      </c>
    </row>
    <row r="18" spans="2:5" ht="14.1" customHeight="1" x14ac:dyDescent="0.25">
      <c r="B18" s="168" t="s">
        <v>286</v>
      </c>
      <c r="C18" s="228" t="s">
        <v>373</v>
      </c>
      <c r="D18" s="228" t="s">
        <v>201</v>
      </c>
      <c r="E18" s="236">
        <v>241</v>
      </c>
    </row>
    <row r="19" spans="2:5" ht="14.1" customHeight="1" x14ac:dyDescent="0.25">
      <c r="B19" s="168" t="s">
        <v>285</v>
      </c>
      <c r="C19" s="228" t="s">
        <v>374</v>
      </c>
      <c r="D19" s="228" t="s">
        <v>375</v>
      </c>
      <c r="E19" s="236">
        <v>7.4</v>
      </c>
    </row>
  </sheetData>
  <mergeCells count="5">
    <mergeCell ref="B8:E8"/>
    <mergeCell ref="B10:B11"/>
    <mergeCell ref="C10:C11"/>
    <mergeCell ref="D10:D11"/>
    <mergeCell ref="E10:E11"/>
  </mergeCells>
  <printOptions horizontalCentered="1"/>
  <pageMargins left="0.39370078740157483" right="0.39370078740157483" top="0.39370078740157483" bottom="0.39370078740157483" header="0.31496062992125984" footer="0.31496062992125984"/>
  <pageSetup paperSize="9" fitToHeight="11"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P146"/>
  <sheetViews>
    <sheetView showGridLines="0" tabSelected="1" view="pageBreakPreview" zoomScaleSheetLayoutView="100" workbookViewId="0">
      <pane ySplit="11" topLeftCell="A12" activePane="bottomLeft" state="frozen"/>
      <selection activeCell="B2" sqref="B2"/>
      <selection pane="bottomLeft" activeCell="B2" sqref="B2"/>
    </sheetView>
  </sheetViews>
  <sheetFormatPr defaultRowHeight="12.75" x14ac:dyDescent="0.2"/>
  <cols>
    <col min="1" max="1" width="1.7109375" style="1" customWidth="1"/>
    <col min="2" max="2" width="10.7109375" style="1" customWidth="1"/>
    <col min="3" max="3" width="8.7109375" style="1" customWidth="1"/>
    <col min="4" max="4" width="60.7109375" style="1" customWidth="1"/>
    <col min="5" max="6" width="6.7109375" style="1" customWidth="1"/>
    <col min="7" max="7" width="9.7109375" style="1" customWidth="1"/>
    <col min="8" max="8" width="10.7109375" style="1" customWidth="1"/>
    <col min="9" max="9" width="8.7109375" style="1" customWidth="1"/>
    <col min="10" max="10" width="10.7109375" style="1" customWidth="1"/>
    <col min="11" max="11" width="13.7109375" style="1" customWidth="1"/>
    <col min="12" max="12" width="8.7109375" style="1" customWidth="1"/>
    <col min="13" max="13" width="9.140625" style="1"/>
    <col min="14" max="14" width="9.85546875" style="1" bestFit="1" customWidth="1"/>
    <col min="15" max="16384" width="9.140625" style="1"/>
  </cols>
  <sheetData>
    <row r="1" spans="2:12" ht="5.0999999999999996" customHeight="1" x14ac:dyDescent="0.2"/>
    <row r="2" spans="2:12" ht="14.1" customHeight="1" x14ac:dyDescent="0.2">
      <c r="B2" s="80" t="str">
        <f>DADOS!$B$3</f>
        <v>CLIENTE:</v>
      </c>
      <c r="C2" s="61" t="str">
        <f>DADOS!$C$3</f>
        <v>PREFEITURA MUNICIPAL DE JARDIM / MS</v>
      </c>
      <c r="D2" s="5"/>
      <c r="E2" s="5"/>
      <c r="F2" s="5"/>
      <c r="G2" s="5"/>
      <c r="H2" s="310" t="s">
        <v>198</v>
      </c>
      <c r="I2" s="310"/>
      <c r="J2" s="310"/>
      <c r="K2" s="308" t="s">
        <v>197</v>
      </c>
      <c r="L2" s="309"/>
    </row>
    <row r="3" spans="2:12" ht="14.1" customHeight="1" x14ac:dyDescent="0.2">
      <c r="B3" s="81" t="str">
        <f>DADOS!$B$4</f>
        <v>ENDEREÇO:</v>
      </c>
      <c r="C3" s="62" t="str">
        <f>DADOS!$C$4</f>
        <v>RUA CEL. JUVÊNCIO, Nº 547 - CENTRO</v>
      </c>
      <c r="D3" s="3"/>
      <c r="H3" s="311" t="str">
        <f>DADOS!$C$9</f>
        <v>SEM DESONERAÇÃO</v>
      </c>
      <c r="I3" s="311"/>
      <c r="J3" s="311"/>
      <c r="K3" s="311" t="str">
        <f>DADOS!$C$12</f>
        <v>COMPOSIÇÃO MS: 05/2025
INSUMO MS: 05/2025
AGESUL MS: 05/2025</v>
      </c>
      <c r="L3" s="312"/>
    </row>
    <row r="4" spans="2:12" ht="14.1" customHeight="1" x14ac:dyDescent="0.2">
      <c r="B4" s="63"/>
      <c r="C4" s="62"/>
      <c r="D4" s="3"/>
      <c r="H4" s="311" t="str">
        <f>DADOS!$C$10</f>
        <v>HORISTA:  107,52%
MENSALISTA:  64,80%</v>
      </c>
      <c r="I4" s="311"/>
      <c r="J4" s="311"/>
      <c r="K4" s="311"/>
      <c r="L4" s="312"/>
    </row>
    <row r="5" spans="2:12" ht="14.1" customHeight="1" x14ac:dyDescent="0.2">
      <c r="B5" s="81" t="str">
        <f>DADOS!$B$7</f>
        <v>OBRA:</v>
      </c>
      <c r="C5" s="62" t="str">
        <f>DADOS!$C$7</f>
        <v>PAVIMENTAÇÃO ASFÁLTICA E DRENAGEM DE ÁGUAS PLUVIAIS</v>
      </c>
      <c r="D5" s="3"/>
      <c r="H5" s="311"/>
      <c r="I5" s="311"/>
      <c r="J5" s="311"/>
      <c r="K5" s="311"/>
      <c r="L5" s="312"/>
    </row>
    <row r="6" spans="2:12" ht="14.1" customHeight="1" x14ac:dyDescent="0.2">
      <c r="B6" s="64" t="str">
        <f>DADOS!$B$8</f>
        <v>LOCAL:</v>
      </c>
      <c r="C6" s="65" t="str">
        <f>DADOS!$C$8</f>
        <v>RUA RUBI, JARDIM / MS</v>
      </c>
      <c r="D6" s="6"/>
      <c r="E6" s="7"/>
      <c r="F6" s="7"/>
      <c r="G6" s="7"/>
      <c r="H6" s="7"/>
      <c r="I6" s="7"/>
      <c r="J6" s="298" t="str">
        <f>DADOS!B16</f>
        <v>BDI SERVIÇO:</v>
      </c>
      <c r="K6" s="298"/>
      <c r="L6" s="271">
        <f>DADOS!$C$16</f>
        <v>0.24030000000000001</v>
      </c>
    </row>
    <row r="7" spans="2:12" ht="5.0999999999999996" customHeight="1" x14ac:dyDescent="0.2"/>
    <row r="8" spans="2:12" s="2" customFormat="1" ht="15" customHeight="1" x14ac:dyDescent="0.2">
      <c r="B8" s="303" t="s">
        <v>9</v>
      </c>
      <c r="C8" s="303"/>
      <c r="D8" s="303"/>
      <c r="E8" s="303"/>
      <c r="F8" s="303"/>
      <c r="G8" s="303"/>
      <c r="H8" s="303"/>
      <c r="I8" s="303"/>
      <c r="J8" s="303"/>
      <c r="K8" s="303"/>
      <c r="L8" s="303"/>
    </row>
    <row r="9" spans="2:12" ht="5.0999999999999996" customHeight="1" x14ac:dyDescent="0.2"/>
    <row r="10" spans="2:12" ht="14.1" customHeight="1" x14ac:dyDescent="0.2">
      <c r="B10" s="305" t="s">
        <v>8</v>
      </c>
      <c r="C10" s="304" t="s">
        <v>0</v>
      </c>
      <c r="D10" s="304" t="s">
        <v>1</v>
      </c>
      <c r="E10" s="304" t="s">
        <v>2</v>
      </c>
      <c r="F10" s="304" t="s">
        <v>3</v>
      </c>
      <c r="G10" s="304" t="s">
        <v>4</v>
      </c>
      <c r="H10" s="304" t="s">
        <v>6</v>
      </c>
      <c r="I10" s="304"/>
      <c r="J10" s="304"/>
      <c r="K10" s="304"/>
      <c r="L10" s="304" t="s">
        <v>7</v>
      </c>
    </row>
    <row r="11" spans="2:12" ht="27.95" customHeight="1" x14ac:dyDescent="0.2">
      <c r="B11" s="305"/>
      <c r="C11" s="304"/>
      <c r="D11" s="304"/>
      <c r="E11" s="304"/>
      <c r="F11" s="304"/>
      <c r="G11" s="304"/>
      <c r="H11" s="40" t="s">
        <v>150</v>
      </c>
      <c r="I11" s="40" t="s">
        <v>148</v>
      </c>
      <c r="J11" s="40" t="s">
        <v>149</v>
      </c>
      <c r="K11" s="38" t="s">
        <v>5</v>
      </c>
      <c r="L11" s="304"/>
    </row>
    <row r="12" spans="2:12" ht="5.0999999999999996" customHeight="1" x14ac:dyDescent="0.2"/>
    <row r="13" spans="2:12" s="45" customFormat="1" ht="15" customHeight="1" x14ac:dyDescent="0.2">
      <c r="B13" s="41"/>
      <c r="C13" s="205" t="s">
        <v>293</v>
      </c>
      <c r="D13" s="42" t="s">
        <v>11</v>
      </c>
      <c r="E13" s="43"/>
      <c r="F13" s="43"/>
      <c r="G13" s="43"/>
      <c r="H13" s="43"/>
      <c r="I13" s="43"/>
      <c r="J13" s="43"/>
      <c r="K13" s="43"/>
      <c r="L13" s="44"/>
    </row>
    <row r="14" spans="2:12" ht="12.95" customHeight="1" x14ac:dyDescent="0.2">
      <c r="B14" s="199"/>
      <c r="C14" s="201"/>
      <c r="D14" s="46"/>
      <c r="E14" s="201"/>
      <c r="F14" s="199"/>
      <c r="G14" s="47"/>
      <c r="H14" s="47"/>
      <c r="I14" s="47"/>
      <c r="J14" s="47"/>
      <c r="K14" s="47"/>
      <c r="L14" s="75"/>
    </row>
    <row r="15" spans="2:12" ht="12.95" customHeight="1" x14ac:dyDescent="0.2">
      <c r="B15" s="51"/>
      <c r="C15" s="203"/>
      <c r="D15" s="76" t="s">
        <v>330</v>
      </c>
      <c r="E15" s="203"/>
      <c r="F15" s="51"/>
      <c r="G15" s="52"/>
      <c r="H15" s="52"/>
      <c r="I15" s="52"/>
      <c r="J15" s="52"/>
      <c r="K15" s="52"/>
      <c r="L15" s="53"/>
    </row>
    <row r="16" spans="2:12" ht="26.1" customHeight="1" x14ac:dyDescent="0.2">
      <c r="B16" s="48">
        <v>103689</v>
      </c>
      <c r="C16" s="204" t="s">
        <v>316</v>
      </c>
      <c r="D16" s="50" t="s">
        <v>303</v>
      </c>
      <c r="E16" s="203"/>
      <c r="F16" s="51" t="s">
        <v>13</v>
      </c>
      <c r="G16" s="52">
        <f>'Serv. Preliminares'!I11</f>
        <v>8</v>
      </c>
      <c r="H16" s="206">
        <v>455.21</v>
      </c>
      <c r="I16" s="52">
        <f t="shared" ref="I16:I21" si="0">TRUNC((H16*$L$6),2)</f>
        <v>109.38</v>
      </c>
      <c r="J16" s="52">
        <f>H16+I16</f>
        <v>564.58999999999992</v>
      </c>
      <c r="K16" s="52">
        <f t="shared" ref="K16:K20" si="1">TRUNC((G16*J16),2)</f>
        <v>4516.72</v>
      </c>
      <c r="L16" s="53">
        <f>K16/$K$135</f>
        <v>1.9878010894459005E-2</v>
      </c>
    </row>
    <row r="17" spans="2:12" ht="26.1" customHeight="1" x14ac:dyDescent="0.2">
      <c r="B17" s="48" t="s">
        <v>317</v>
      </c>
      <c r="C17" s="204" t="s">
        <v>318</v>
      </c>
      <c r="D17" s="50" t="s">
        <v>319</v>
      </c>
      <c r="E17" s="203"/>
      <c r="F17" s="51" t="s">
        <v>320</v>
      </c>
      <c r="G17" s="52">
        <f>'Serv. Preliminares'!I14</f>
        <v>2</v>
      </c>
      <c r="H17" s="206">
        <v>706.05</v>
      </c>
      <c r="I17" s="251">
        <f t="shared" si="0"/>
        <v>169.66</v>
      </c>
      <c r="J17" s="52">
        <f t="shared" ref="J17:J21" si="2">H17+I17</f>
        <v>875.70999999999992</v>
      </c>
      <c r="K17" s="52">
        <f t="shared" si="1"/>
        <v>1751.42</v>
      </c>
      <c r="L17" s="53">
        <f>K17/$K$135</f>
        <v>7.7079707931360349E-3</v>
      </c>
    </row>
    <row r="18" spans="2:12" ht="26.1" customHeight="1" x14ac:dyDescent="0.2">
      <c r="B18" s="48" t="s">
        <v>321</v>
      </c>
      <c r="C18" s="204" t="s">
        <v>322</v>
      </c>
      <c r="D18" s="50" t="s">
        <v>323</v>
      </c>
      <c r="E18" s="203"/>
      <c r="F18" s="51" t="s">
        <v>320</v>
      </c>
      <c r="G18" s="52">
        <f>'Serv. Preliminares'!I15</f>
        <v>2</v>
      </c>
      <c r="H18" s="206">
        <v>1580</v>
      </c>
      <c r="I18" s="52">
        <f t="shared" si="0"/>
        <v>379.67</v>
      </c>
      <c r="J18" s="52">
        <f>H18+I18</f>
        <v>1959.67</v>
      </c>
      <c r="K18" s="52">
        <f t="shared" si="1"/>
        <v>3919.34</v>
      </c>
      <c r="L18" s="53">
        <f>K18/$K$135</f>
        <v>1.7248951278602383E-2</v>
      </c>
    </row>
    <row r="19" spans="2:12" ht="39" customHeight="1" x14ac:dyDescent="0.2">
      <c r="B19" s="48" t="s">
        <v>324</v>
      </c>
      <c r="C19" s="204" t="s">
        <v>325</v>
      </c>
      <c r="D19" s="50" t="s">
        <v>326</v>
      </c>
      <c r="E19" s="203"/>
      <c r="F19" s="51" t="s">
        <v>13</v>
      </c>
      <c r="G19" s="52">
        <f>'Serv. Preliminares'!I16</f>
        <v>14.4</v>
      </c>
      <c r="H19" s="206">
        <v>7.64</v>
      </c>
      <c r="I19" s="52">
        <f t="shared" si="0"/>
        <v>1.83</v>
      </c>
      <c r="J19" s="52">
        <f>H19+I19</f>
        <v>9.4699999999999989</v>
      </c>
      <c r="K19" s="52">
        <f t="shared" si="1"/>
        <v>136.36000000000001</v>
      </c>
      <c r="L19" s="53">
        <f>K19/$K$135</f>
        <v>6.0011813120326924E-4</v>
      </c>
    </row>
    <row r="20" spans="2:12" ht="26.1" customHeight="1" x14ac:dyDescent="0.2">
      <c r="B20" s="48" t="s">
        <v>327</v>
      </c>
      <c r="C20" s="204" t="s">
        <v>328</v>
      </c>
      <c r="D20" s="50" t="s">
        <v>38</v>
      </c>
      <c r="E20" s="203"/>
      <c r="F20" s="54" t="s">
        <v>15</v>
      </c>
      <c r="G20" s="52">
        <f>'Serv. Preliminares'!I17</f>
        <v>1</v>
      </c>
      <c r="H20" s="206">
        <v>1282.5</v>
      </c>
      <c r="I20" s="52">
        <f t="shared" si="0"/>
        <v>308.18</v>
      </c>
      <c r="J20" s="52">
        <f>H20+I20</f>
        <v>1590.68</v>
      </c>
      <c r="K20" s="52">
        <f t="shared" si="1"/>
        <v>1590.68</v>
      </c>
      <c r="L20" s="53">
        <f>K20/$K$135</f>
        <v>7.0005566804225297E-3</v>
      </c>
    </row>
    <row r="21" spans="2:12" ht="26.1" customHeight="1" x14ac:dyDescent="0.2">
      <c r="B21" s="48" t="s">
        <v>168</v>
      </c>
      <c r="C21" s="204" t="s">
        <v>329</v>
      </c>
      <c r="D21" s="50" t="s">
        <v>33</v>
      </c>
      <c r="E21" s="203"/>
      <c r="F21" s="54" t="s">
        <v>15</v>
      </c>
      <c r="G21" s="52">
        <f>'Serv. Preliminares'!I18</f>
        <v>1</v>
      </c>
      <c r="H21" s="206">
        <v>41.45</v>
      </c>
      <c r="I21" s="251">
        <f t="shared" si="0"/>
        <v>9.9600000000000009</v>
      </c>
      <c r="J21" s="52">
        <f t="shared" si="2"/>
        <v>51.410000000000004</v>
      </c>
      <c r="K21" s="52">
        <f t="shared" ref="K21" si="3">TRUNC((G21*J21),2)</f>
        <v>51.41</v>
      </c>
      <c r="L21" s="53">
        <f>K21/$K$135</f>
        <v>2.2625456970636599E-4</v>
      </c>
    </row>
    <row r="22" spans="2:12" ht="12.95" customHeight="1" x14ac:dyDescent="0.2">
      <c r="B22" s="77"/>
      <c r="C22" s="202"/>
      <c r="D22" s="78"/>
      <c r="E22" s="202"/>
      <c r="F22" s="77"/>
      <c r="G22" s="58"/>
      <c r="H22" s="58"/>
      <c r="I22" s="58"/>
      <c r="J22" s="58"/>
      <c r="K22" s="58"/>
      <c r="L22" s="79"/>
    </row>
    <row r="23" spans="2:12" s="45" customFormat="1" ht="15" customHeight="1" x14ac:dyDescent="0.2">
      <c r="B23" s="214"/>
      <c r="C23" s="66"/>
      <c r="D23" s="66"/>
      <c r="E23" s="300" t="str">
        <f>CONCATENATE("SUBTOTAL ",C13)</f>
        <v>SUBTOTAL 01</v>
      </c>
      <c r="F23" s="300"/>
      <c r="G23" s="300"/>
      <c r="H23" s="175"/>
      <c r="I23" s="302"/>
      <c r="J23" s="302"/>
      <c r="K23" s="176">
        <f>SUM(K13:K22)</f>
        <v>11965.93</v>
      </c>
      <c r="L23" s="68">
        <f>SUM(L13:L22)</f>
        <v>5.2661862347529585E-2</v>
      </c>
    </row>
    <row r="24" spans="2:12" ht="5.0999999999999996" customHeight="1" x14ac:dyDescent="0.2"/>
    <row r="25" spans="2:12" s="45" customFormat="1" ht="15" customHeight="1" x14ac:dyDescent="0.2">
      <c r="B25" s="41"/>
      <c r="C25" s="279" t="s">
        <v>294</v>
      </c>
      <c r="D25" s="42" t="s">
        <v>290</v>
      </c>
      <c r="E25" s="43"/>
      <c r="F25" s="43"/>
      <c r="G25" s="43"/>
      <c r="H25" s="43"/>
      <c r="I25" s="43"/>
      <c r="J25" s="43"/>
      <c r="K25" s="43"/>
      <c r="L25" s="44"/>
    </row>
    <row r="26" spans="2:12" ht="12.95" customHeight="1" x14ac:dyDescent="0.2">
      <c r="B26" s="73"/>
      <c r="C26" s="74"/>
      <c r="D26" s="46"/>
      <c r="E26" s="74"/>
      <c r="F26" s="73"/>
      <c r="G26" s="47"/>
      <c r="H26" s="47"/>
      <c r="I26" s="47"/>
      <c r="J26" s="47"/>
      <c r="K26" s="47"/>
      <c r="L26" s="75"/>
    </row>
    <row r="27" spans="2:12" ht="12.95" customHeight="1" x14ac:dyDescent="0.2">
      <c r="B27" s="51"/>
      <c r="C27" s="49"/>
      <c r="D27" s="76" t="s">
        <v>292</v>
      </c>
      <c r="E27" s="49"/>
      <c r="F27" s="51"/>
      <c r="G27" s="52"/>
      <c r="H27" s="52"/>
      <c r="I27" s="52"/>
      <c r="J27" s="52"/>
      <c r="K27" s="52"/>
      <c r="L27" s="53"/>
    </row>
    <row r="28" spans="2:12" ht="12.95" customHeight="1" x14ac:dyDescent="0.2">
      <c r="B28" s="48">
        <v>97628</v>
      </c>
      <c r="C28" s="278" t="s">
        <v>335</v>
      </c>
      <c r="D28" s="50" t="s">
        <v>147</v>
      </c>
      <c r="E28" s="49"/>
      <c r="F28" s="51" t="s">
        <v>16</v>
      </c>
      <c r="G28" s="52">
        <f>Demolições!I10</f>
        <v>8.68</v>
      </c>
      <c r="H28" s="52">
        <v>255.79</v>
      </c>
      <c r="I28" s="52">
        <f>TRUNC((H28*$L$6),2)</f>
        <v>61.46</v>
      </c>
      <c r="J28" s="52">
        <f t="shared" ref="J28:J31" si="4">H28+I28</f>
        <v>317.25</v>
      </c>
      <c r="K28" s="52">
        <f t="shared" ref="K28:K31" si="5">TRUNC((G28*J28),2)</f>
        <v>2753.73</v>
      </c>
      <c r="L28" s="53">
        <f>K28/$K$135</f>
        <v>1.2119120720433986E-2</v>
      </c>
    </row>
    <row r="29" spans="2:12" ht="26.1" customHeight="1" x14ac:dyDescent="0.2">
      <c r="B29" s="48">
        <v>100978</v>
      </c>
      <c r="C29" s="278" t="s">
        <v>376</v>
      </c>
      <c r="D29" s="50" t="s">
        <v>155</v>
      </c>
      <c r="E29" s="49"/>
      <c r="F29" s="51" t="s">
        <v>16</v>
      </c>
      <c r="G29" s="52">
        <f>Demolições!I11</f>
        <v>11.28</v>
      </c>
      <c r="H29" s="52">
        <v>6.86</v>
      </c>
      <c r="I29" s="52">
        <f>TRUNC((H29*$L$6),2)</f>
        <v>1.64</v>
      </c>
      <c r="J29" s="52">
        <f t="shared" si="4"/>
        <v>8.5</v>
      </c>
      <c r="K29" s="52">
        <f t="shared" si="5"/>
        <v>95.88</v>
      </c>
      <c r="L29" s="53">
        <f>K29/$K$135</f>
        <v>4.2196631284665181E-4</v>
      </c>
    </row>
    <row r="30" spans="2:12" ht="26.1" customHeight="1" x14ac:dyDescent="0.2">
      <c r="B30" s="48">
        <v>95875</v>
      </c>
      <c r="C30" s="278" t="s">
        <v>377</v>
      </c>
      <c r="D30" s="50" t="s">
        <v>177</v>
      </c>
      <c r="E30" s="49">
        <f>Demolições!$E$12</f>
        <v>4.9000000000000004</v>
      </c>
      <c r="F30" s="51" t="s">
        <v>17</v>
      </c>
      <c r="G30" s="52">
        <f>Demolições!I12</f>
        <v>55.27</v>
      </c>
      <c r="H30" s="52">
        <v>2.4700000000000002</v>
      </c>
      <c r="I30" s="52">
        <f>TRUNC((H30*$L$6),2)</f>
        <v>0.59</v>
      </c>
      <c r="J30" s="52">
        <f t="shared" si="4"/>
        <v>3.06</v>
      </c>
      <c r="K30" s="52">
        <f t="shared" si="5"/>
        <v>169.12</v>
      </c>
      <c r="L30" s="53">
        <f>K30/$K$135</f>
        <v>7.4429435574286361E-4</v>
      </c>
    </row>
    <row r="31" spans="2:12" ht="12.95" customHeight="1" x14ac:dyDescent="0.2">
      <c r="B31" s="48">
        <v>100574</v>
      </c>
      <c r="C31" s="278" t="s">
        <v>378</v>
      </c>
      <c r="D31" s="50" t="s">
        <v>144</v>
      </c>
      <c r="E31" s="49"/>
      <c r="F31" s="51" t="s">
        <v>16</v>
      </c>
      <c r="G31" s="52">
        <f>Demolições!I13</f>
        <v>11.28</v>
      </c>
      <c r="H31" s="52">
        <v>1.38</v>
      </c>
      <c r="I31" s="52">
        <f>TRUNC((H31*$L$6),2)</f>
        <v>0.33</v>
      </c>
      <c r="J31" s="52">
        <f t="shared" si="4"/>
        <v>1.71</v>
      </c>
      <c r="K31" s="52">
        <f t="shared" si="5"/>
        <v>19.28</v>
      </c>
      <c r="L31" s="53">
        <f>K31/$K$135</f>
        <v>8.4850964869456077E-5</v>
      </c>
    </row>
    <row r="32" spans="2:12" ht="12.95" customHeight="1" x14ac:dyDescent="0.2">
      <c r="B32" s="48"/>
      <c r="C32" s="49"/>
      <c r="D32" s="50"/>
      <c r="E32" s="49"/>
      <c r="F32" s="51"/>
      <c r="G32" s="52"/>
      <c r="H32" s="172"/>
      <c r="I32" s="52"/>
      <c r="J32" s="52"/>
      <c r="K32" s="52"/>
      <c r="L32" s="53"/>
    </row>
    <row r="33" spans="2:14" ht="12.95" customHeight="1" x14ac:dyDescent="0.2">
      <c r="B33" s="51"/>
      <c r="C33" s="49"/>
      <c r="D33" s="76" t="s">
        <v>379</v>
      </c>
      <c r="E33" s="49"/>
      <c r="F33" s="51"/>
      <c r="G33" s="52"/>
      <c r="H33" s="52"/>
      <c r="I33" s="52"/>
      <c r="J33" s="52"/>
      <c r="K33" s="52"/>
      <c r="L33" s="53"/>
    </row>
    <row r="34" spans="2:14" ht="26.1" customHeight="1" x14ac:dyDescent="0.2">
      <c r="B34" s="48" t="s">
        <v>438</v>
      </c>
      <c r="C34" s="278" t="s">
        <v>380</v>
      </c>
      <c r="D34" s="249" t="s">
        <v>439</v>
      </c>
      <c r="E34" s="49"/>
      <c r="F34" s="51" t="s">
        <v>14</v>
      </c>
      <c r="G34" s="52">
        <f>Demolições!I18</f>
        <v>33.299999999999997</v>
      </c>
      <c r="H34" s="52">
        <v>9.26</v>
      </c>
      <c r="I34" s="52">
        <f>TRUNC((H34*$L$6),2)</f>
        <v>2.2200000000000002</v>
      </c>
      <c r="J34" s="52">
        <f t="shared" ref="J34" si="6">H34+I34</f>
        <v>11.48</v>
      </c>
      <c r="K34" s="52">
        <f t="shared" ref="K34" si="7">TRUNC((G34*J34),2)</f>
        <v>382.28</v>
      </c>
      <c r="L34" s="53">
        <f>K34/$K$135</f>
        <v>1.6824080316543393E-3</v>
      </c>
    </row>
    <row r="35" spans="2:14" ht="26.1" customHeight="1" x14ac:dyDescent="0.2">
      <c r="B35" s="48">
        <v>100978</v>
      </c>
      <c r="C35" s="278" t="s">
        <v>381</v>
      </c>
      <c r="D35" s="50" t="s">
        <v>155</v>
      </c>
      <c r="E35" s="49"/>
      <c r="F35" s="51" t="s">
        <v>16</v>
      </c>
      <c r="G35" s="52">
        <f>Demolições!I19</f>
        <v>17.75</v>
      </c>
      <c r="H35" s="52">
        <v>6.86</v>
      </c>
      <c r="I35" s="52">
        <f>TRUNC((H35*$L$6),2)</f>
        <v>1.64</v>
      </c>
      <c r="J35" s="52">
        <f t="shared" ref="J35:J37" si="8">H35+I35</f>
        <v>8.5</v>
      </c>
      <c r="K35" s="52">
        <f t="shared" ref="K35:K37" si="9">TRUNC((G35*J35),2)</f>
        <v>150.87</v>
      </c>
      <c r="L35" s="53">
        <f>K35/$K$135</f>
        <v>6.6397640403811399E-4</v>
      </c>
    </row>
    <row r="36" spans="2:14" ht="26.1" customHeight="1" x14ac:dyDescent="0.2">
      <c r="B36" s="48">
        <v>95875</v>
      </c>
      <c r="C36" s="278" t="s">
        <v>382</v>
      </c>
      <c r="D36" s="50" t="s">
        <v>177</v>
      </c>
      <c r="E36" s="49">
        <f>Demolições!$E$20</f>
        <v>4.9000000000000004</v>
      </c>
      <c r="F36" s="51" t="s">
        <v>17</v>
      </c>
      <c r="G36" s="52">
        <f>Demolições!I20</f>
        <v>86.97</v>
      </c>
      <c r="H36" s="52">
        <v>2.4700000000000002</v>
      </c>
      <c r="I36" s="52">
        <f>TRUNC((H36*$L$6),2)</f>
        <v>0.59</v>
      </c>
      <c r="J36" s="52">
        <f t="shared" si="8"/>
        <v>3.06</v>
      </c>
      <c r="K36" s="52">
        <f t="shared" si="9"/>
        <v>266.12</v>
      </c>
      <c r="L36" s="53">
        <f>K36/$K$135</f>
        <v>1.1711897702831769E-3</v>
      </c>
    </row>
    <row r="37" spans="2:14" ht="12.95" customHeight="1" x14ac:dyDescent="0.2">
      <c r="B37" s="48">
        <v>100574</v>
      </c>
      <c r="C37" s="278" t="s">
        <v>383</v>
      </c>
      <c r="D37" s="50" t="s">
        <v>144</v>
      </c>
      <c r="E37" s="49"/>
      <c r="F37" s="51" t="s">
        <v>16</v>
      </c>
      <c r="G37" s="52">
        <f>Demolições!I21</f>
        <v>17.75</v>
      </c>
      <c r="H37" s="52">
        <v>1.38</v>
      </c>
      <c r="I37" s="52">
        <f>TRUNC((H37*$L$6),2)</f>
        <v>0.33</v>
      </c>
      <c r="J37" s="52">
        <f t="shared" si="8"/>
        <v>1.71</v>
      </c>
      <c r="K37" s="52">
        <f t="shared" si="9"/>
        <v>30.35</v>
      </c>
      <c r="L37" s="53">
        <f>K37/$K$135</f>
        <v>1.3356985393091244E-4</v>
      </c>
    </row>
    <row r="38" spans="2:14" ht="12.95" customHeight="1" x14ac:dyDescent="0.2">
      <c r="B38" s="48"/>
      <c r="C38" s="49"/>
      <c r="D38" s="50"/>
      <c r="E38" s="49"/>
      <c r="F38" s="51"/>
      <c r="G38" s="52"/>
      <c r="H38" s="172"/>
      <c r="I38" s="52"/>
      <c r="J38" s="52"/>
      <c r="K38" s="52"/>
      <c r="L38" s="53"/>
    </row>
    <row r="39" spans="2:14" s="45" customFormat="1" ht="15" customHeight="1" x14ac:dyDescent="0.2">
      <c r="B39" s="214"/>
      <c r="C39" s="66"/>
      <c r="D39" s="66"/>
      <c r="E39" s="300" t="str">
        <f>CONCATENATE("SUBTOTAL ",C25)</f>
        <v>SUBTOTAL 02</v>
      </c>
      <c r="F39" s="300"/>
      <c r="G39" s="300"/>
      <c r="H39" s="175"/>
      <c r="I39" s="302"/>
      <c r="J39" s="302"/>
      <c r="K39" s="176">
        <f>SUM(K25:K38)</f>
        <v>3867.6299999999997</v>
      </c>
      <c r="L39" s="68">
        <f>SUM(L25:L38)</f>
        <v>1.7021376413799499E-2</v>
      </c>
    </row>
    <row r="40" spans="2:14" ht="5.0999999999999996" customHeight="1" x14ac:dyDescent="0.2"/>
    <row r="41" spans="2:14" s="45" customFormat="1" ht="15" customHeight="1" x14ac:dyDescent="0.2">
      <c r="B41" s="41"/>
      <c r="C41" s="279" t="s">
        <v>295</v>
      </c>
      <c r="D41" s="42" t="s">
        <v>133</v>
      </c>
      <c r="E41" s="43"/>
      <c r="F41" s="43"/>
      <c r="G41" s="43"/>
      <c r="H41" s="43"/>
      <c r="I41" s="43"/>
      <c r="J41" s="43"/>
      <c r="K41" s="43"/>
      <c r="L41" s="44"/>
    </row>
    <row r="42" spans="2:14" ht="12.95" customHeight="1" x14ac:dyDescent="0.2">
      <c r="B42" s="73"/>
      <c r="C42" s="74"/>
      <c r="D42" s="46"/>
      <c r="E42" s="74"/>
      <c r="F42" s="73"/>
      <c r="G42" s="47"/>
      <c r="H42" s="47"/>
      <c r="I42" s="47"/>
      <c r="J42" s="47"/>
      <c r="K42" s="47"/>
      <c r="L42" s="75"/>
    </row>
    <row r="43" spans="2:14" s="183" customFormat="1" ht="12.95" customHeight="1" x14ac:dyDescent="0.2">
      <c r="B43" s="207"/>
      <c r="C43" s="280" t="s">
        <v>336</v>
      </c>
      <c r="D43" s="208" t="s">
        <v>345</v>
      </c>
      <c r="E43" s="207"/>
      <c r="F43" s="207"/>
      <c r="G43" s="207"/>
      <c r="H43" s="207"/>
      <c r="I43" s="207"/>
      <c r="J43" s="207"/>
      <c r="K43" s="207"/>
      <c r="L43" s="207"/>
      <c r="N43" s="209"/>
    </row>
    <row r="44" spans="2:14" ht="12.95" customHeight="1" x14ac:dyDescent="0.2">
      <c r="B44" s="51"/>
      <c r="C44" s="203"/>
      <c r="D44" s="55"/>
      <c r="E44" s="203"/>
      <c r="F44" s="51"/>
      <c r="G44" s="52"/>
      <c r="H44" s="52"/>
      <c r="I44" s="52"/>
      <c r="J44" s="52"/>
      <c r="K44" s="52"/>
      <c r="L44" s="53"/>
    </row>
    <row r="45" spans="2:14" ht="12.95" customHeight="1" x14ac:dyDescent="0.2">
      <c r="B45" s="51"/>
      <c r="C45" s="49"/>
      <c r="D45" s="76" t="s">
        <v>20</v>
      </c>
      <c r="E45" s="49"/>
      <c r="F45" s="51"/>
      <c r="G45" s="52"/>
      <c r="H45" s="52"/>
      <c r="I45" s="52"/>
      <c r="J45" s="52"/>
      <c r="K45" s="52"/>
      <c r="L45" s="53"/>
    </row>
    <row r="46" spans="2:14" s="222" customFormat="1" ht="51.95" customHeight="1" x14ac:dyDescent="0.2">
      <c r="B46" s="250">
        <v>102278</v>
      </c>
      <c r="C46" s="278" t="s">
        <v>384</v>
      </c>
      <c r="D46" s="249" t="s">
        <v>195</v>
      </c>
      <c r="E46" s="248"/>
      <c r="F46" s="250" t="s">
        <v>13</v>
      </c>
      <c r="G46" s="251">
        <f>'Dre-Terraplenagem'!I23</f>
        <v>1058.3699999999999</v>
      </c>
      <c r="H46" s="206">
        <v>8.57</v>
      </c>
      <c r="I46" s="251">
        <f t="shared" ref="I46:I49" si="10">TRUNC((H46*$L$6),2)</f>
        <v>2.0499999999999998</v>
      </c>
      <c r="J46" s="251">
        <f t="shared" ref="J46:J49" si="11">H46+I46</f>
        <v>10.620000000000001</v>
      </c>
      <c r="K46" s="251">
        <f t="shared" ref="K46:K49" si="12">TRUNC((G46*J46),2)</f>
        <v>11239.88</v>
      </c>
      <c r="L46" s="252">
        <f>K46/$K$135</f>
        <v>4.9466528164777063E-2</v>
      </c>
    </row>
    <row r="47" spans="2:14" s="244" customFormat="1" ht="26.1" customHeight="1" x14ac:dyDescent="0.2">
      <c r="B47" s="247">
        <v>100978</v>
      </c>
      <c r="C47" s="278" t="s">
        <v>385</v>
      </c>
      <c r="D47" s="249" t="s">
        <v>155</v>
      </c>
      <c r="E47" s="248"/>
      <c r="F47" s="250" t="s">
        <v>16</v>
      </c>
      <c r="G47" s="251">
        <f>'Dre-Terraplenagem'!I24</f>
        <v>1375.88</v>
      </c>
      <c r="H47" s="206">
        <v>6.86</v>
      </c>
      <c r="I47" s="251">
        <f t="shared" si="10"/>
        <v>1.64</v>
      </c>
      <c r="J47" s="251">
        <f t="shared" si="11"/>
        <v>8.5</v>
      </c>
      <c r="K47" s="251">
        <f t="shared" si="12"/>
        <v>11694.98</v>
      </c>
      <c r="L47" s="252">
        <f>K47/$K$135</f>
        <v>5.1469415826192494E-2</v>
      </c>
    </row>
    <row r="48" spans="2:14" s="244" customFormat="1" ht="26.1" customHeight="1" x14ac:dyDescent="0.2">
      <c r="B48" s="247">
        <v>95875</v>
      </c>
      <c r="C48" s="278" t="s">
        <v>386</v>
      </c>
      <c r="D48" s="249" t="s">
        <v>177</v>
      </c>
      <c r="E48" s="248">
        <f>'Dre-Terraplenagem'!$E$25</f>
        <v>4.9000000000000004</v>
      </c>
      <c r="F48" s="250" t="s">
        <v>17</v>
      </c>
      <c r="G48" s="251">
        <f>'Dre-Terraplenagem'!I25</f>
        <v>6741.81</v>
      </c>
      <c r="H48" s="206">
        <v>2.4700000000000002</v>
      </c>
      <c r="I48" s="251">
        <f t="shared" si="10"/>
        <v>0.59</v>
      </c>
      <c r="J48" s="251">
        <f t="shared" si="11"/>
        <v>3.06</v>
      </c>
      <c r="K48" s="251">
        <f t="shared" si="12"/>
        <v>20629.93</v>
      </c>
      <c r="L48" s="252">
        <f>K48/$K$135</f>
        <v>9.0791984734924155E-2</v>
      </c>
    </row>
    <row r="49" spans="2:14" s="244" customFormat="1" ht="12.95" customHeight="1" x14ac:dyDescent="0.2">
      <c r="B49" s="247">
        <v>100574</v>
      </c>
      <c r="C49" s="278" t="s">
        <v>387</v>
      </c>
      <c r="D49" s="249" t="s">
        <v>144</v>
      </c>
      <c r="E49" s="248"/>
      <c r="F49" s="250" t="s">
        <v>16</v>
      </c>
      <c r="G49" s="251">
        <f>'Dre-Terraplenagem'!I26</f>
        <v>1375.88</v>
      </c>
      <c r="H49" s="206">
        <v>1.38</v>
      </c>
      <c r="I49" s="251">
        <f t="shared" si="10"/>
        <v>0.33</v>
      </c>
      <c r="J49" s="251">
        <f t="shared" si="11"/>
        <v>1.71</v>
      </c>
      <c r="K49" s="251">
        <f t="shared" si="12"/>
        <v>2352.75</v>
      </c>
      <c r="L49" s="252">
        <f>K49/$K$135</f>
        <v>1.0354414294430122E-2</v>
      </c>
    </row>
    <row r="50" spans="2:14" s="222" customFormat="1" ht="26.1" customHeight="1" x14ac:dyDescent="0.2">
      <c r="B50" s="250">
        <v>96386</v>
      </c>
      <c r="C50" s="278" t="s">
        <v>388</v>
      </c>
      <c r="D50" s="249" t="s">
        <v>314</v>
      </c>
      <c r="E50" s="248"/>
      <c r="F50" s="250" t="s">
        <v>16</v>
      </c>
      <c r="G50" s="251">
        <f>'Dre-Terraplenagem'!I27</f>
        <v>508.2</v>
      </c>
      <c r="H50" s="206">
        <v>6.6</v>
      </c>
      <c r="I50" s="251">
        <f t="shared" ref="I50" si="13">TRUNC((H50*$L$6),2)</f>
        <v>1.58</v>
      </c>
      <c r="J50" s="251">
        <f t="shared" ref="J50" si="14">H50+I50</f>
        <v>8.18</v>
      </c>
      <c r="K50" s="251">
        <f t="shared" ref="K50" si="15">TRUNC((G50*J50),2)</f>
        <v>4157.07</v>
      </c>
      <c r="L50" s="252">
        <f>K50/$K$135</f>
        <v>1.8295197122918553E-2</v>
      </c>
    </row>
    <row r="51" spans="2:14" s="222" customFormat="1" ht="12.95" customHeight="1" x14ac:dyDescent="0.2">
      <c r="B51" s="250"/>
      <c r="C51" s="248"/>
      <c r="D51" s="249"/>
      <c r="E51" s="248"/>
      <c r="F51" s="250"/>
      <c r="G51" s="251"/>
      <c r="H51" s="206"/>
      <c r="I51" s="251"/>
      <c r="J51" s="251"/>
      <c r="K51" s="251"/>
      <c r="L51" s="252"/>
    </row>
    <row r="52" spans="2:14" s="222" customFormat="1" ht="12.95" customHeight="1" x14ac:dyDescent="0.2">
      <c r="B52" s="250"/>
      <c r="C52" s="248"/>
      <c r="D52" s="265" t="s">
        <v>21</v>
      </c>
      <c r="E52" s="248"/>
      <c r="F52" s="250"/>
      <c r="G52" s="251"/>
      <c r="H52" s="206"/>
      <c r="I52" s="251"/>
      <c r="J52" s="251"/>
      <c r="K52" s="251"/>
      <c r="L52" s="252"/>
    </row>
    <row r="53" spans="2:14" s="222" customFormat="1" ht="26.1" customHeight="1" x14ac:dyDescent="0.2">
      <c r="B53" s="250">
        <v>101621</v>
      </c>
      <c r="C53" s="278" t="s">
        <v>389</v>
      </c>
      <c r="D53" s="249" t="s">
        <v>160</v>
      </c>
      <c r="E53" s="248"/>
      <c r="F53" s="250" t="s">
        <v>16</v>
      </c>
      <c r="G53" s="251">
        <f>'Dre-Terraplenagem'!I30</f>
        <v>14.4</v>
      </c>
      <c r="H53" s="206">
        <v>255.56</v>
      </c>
      <c r="I53" s="251">
        <f t="shared" ref="I53:I58" si="16">TRUNC((H53*$L$6),2)</f>
        <v>61.41</v>
      </c>
      <c r="J53" s="251">
        <f>H53+I53</f>
        <v>316.97000000000003</v>
      </c>
      <c r="K53" s="251">
        <f>TRUNC((G53*J53),2)</f>
        <v>4564.3599999999997</v>
      </c>
      <c r="L53" s="252">
        <f>K53/$K$135</f>
        <v>2.0087673755785813E-2</v>
      </c>
    </row>
    <row r="54" spans="2:14" s="222" customFormat="1" ht="26.1" customHeight="1" x14ac:dyDescent="0.2">
      <c r="B54" s="247" t="s">
        <v>343</v>
      </c>
      <c r="C54" s="278" t="s">
        <v>390</v>
      </c>
      <c r="D54" s="249" t="s">
        <v>344</v>
      </c>
      <c r="E54" s="248"/>
      <c r="F54" s="250" t="s">
        <v>16</v>
      </c>
      <c r="G54" s="251">
        <f>'Dre-Terraplenagem'!I32</f>
        <v>72</v>
      </c>
      <c r="H54" s="206">
        <v>122.75</v>
      </c>
      <c r="I54" s="251">
        <f t="shared" si="16"/>
        <v>29.49</v>
      </c>
      <c r="J54" s="251">
        <f t="shared" ref="J54" si="17">H54+I54</f>
        <v>152.24</v>
      </c>
      <c r="K54" s="251">
        <f t="shared" ref="K54" si="18">TRUNC((G54*J54),2)</f>
        <v>10961.28</v>
      </c>
      <c r="L54" s="252">
        <f>K54/$K$135</f>
        <v>4.8240414118478812E-2</v>
      </c>
    </row>
    <row r="55" spans="2:14" s="222" customFormat="1" ht="12.95" customHeight="1" x14ac:dyDescent="0.2">
      <c r="B55" s="250">
        <v>96616</v>
      </c>
      <c r="C55" s="278" t="s">
        <v>391</v>
      </c>
      <c r="D55" s="249" t="s">
        <v>146</v>
      </c>
      <c r="E55" s="248"/>
      <c r="F55" s="250" t="s">
        <v>16</v>
      </c>
      <c r="G55" s="251">
        <f>'Dre-Terraplenagem'!I34</f>
        <v>14.4</v>
      </c>
      <c r="H55" s="206">
        <v>756.29</v>
      </c>
      <c r="I55" s="251">
        <f t="shared" si="16"/>
        <v>181.73</v>
      </c>
      <c r="J55" s="251">
        <f>H55+I55</f>
        <v>938.02</v>
      </c>
      <c r="K55" s="251">
        <f>TRUNC((G55*J55),2)</f>
        <v>13507.48</v>
      </c>
      <c r="L55" s="252">
        <f>K55/$K$135</f>
        <v>5.9446198700979273E-2</v>
      </c>
    </row>
    <row r="56" spans="2:14" s="222" customFormat="1" ht="26.1" customHeight="1" x14ac:dyDescent="0.2">
      <c r="B56" s="250">
        <v>103670</v>
      </c>
      <c r="C56" s="278" t="s">
        <v>392</v>
      </c>
      <c r="D56" s="249" t="s">
        <v>145</v>
      </c>
      <c r="E56" s="248"/>
      <c r="F56" s="250" t="s">
        <v>16</v>
      </c>
      <c r="G56" s="251">
        <f>'Dre-Terraplenagem'!I35</f>
        <v>14.4</v>
      </c>
      <c r="H56" s="206">
        <v>280.85000000000002</v>
      </c>
      <c r="I56" s="251">
        <f t="shared" si="16"/>
        <v>67.48</v>
      </c>
      <c r="J56" s="251">
        <f>H56+I56</f>
        <v>348.33000000000004</v>
      </c>
      <c r="K56" s="251">
        <f>TRUNC((G56*J56),2)</f>
        <v>5015.95</v>
      </c>
      <c r="L56" s="252">
        <f>K56/$K$135</f>
        <v>2.2075113964571999E-2</v>
      </c>
    </row>
    <row r="57" spans="2:14" s="222" customFormat="1" ht="26.1" customHeight="1" x14ac:dyDescent="0.2">
      <c r="B57" s="250">
        <v>95875</v>
      </c>
      <c r="C57" s="278" t="s">
        <v>393</v>
      </c>
      <c r="D57" s="249" t="s">
        <v>186</v>
      </c>
      <c r="E57" s="248">
        <f>'Dre-Terraplenagem'!$E$36</f>
        <v>30</v>
      </c>
      <c r="F57" s="250" t="s">
        <v>17</v>
      </c>
      <c r="G57" s="251">
        <f>'Dre-Terraplenagem'!I36</f>
        <v>3024</v>
      </c>
      <c r="H57" s="206">
        <v>2.4700000000000002</v>
      </c>
      <c r="I57" s="251">
        <f t="shared" si="16"/>
        <v>0.59</v>
      </c>
      <c r="J57" s="251">
        <f t="shared" ref="J57:J58" si="19">H57+I57</f>
        <v>3.06</v>
      </c>
      <c r="K57" s="251">
        <f t="shared" ref="K57:K58" si="20">TRUNC((G57*J57),2)</f>
        <v>9253.44</v>
      </c>
      <c r="L57" s="252">
        <f>K57/$K$135</f>
        <v>4.072423819303006E-2</v>
      </c>
    </row>
    <row r="58" spans="2:14" s="222" customFormat="1" ht="26.1" customHeight="1" x14ac:dyDescent="0.2">
      <c r="B58" s="250">
        <v>93590</v>
      </c>
      <c r="C58" s="278" t="s">
        <v>394</v>
      </c>
      <c r="D58" s="249" t="s">
        <v>185</v>
      </c>
      <c r="E58" s="248">
        <f>'Dre-Terraplenagem'!$E$37</f>
        <v>23.6</v>
      </c>
      <c r="F58" s="250" t="s">
        <v>17</v>
      </c>
      <c r="G58" s="251">
        <f>'Dre-Terraplenagem'!I37</f>
        <v>2378.88</v>
      </c>
      <c r="H58" s="206">
        <v>0.97</v>
      </c>
      <c r="I58" s="251">
        <f t="shared" si="16"/>
        <v>0.23</v>
      </c>
      <c r="J58" s="251">
        <f t="shared" si="19"/>
        <v>1.2</v>
      </c>
      <c r="K58" s="251">
        <f t="shared" si="20"/>
        <v>2854.65</v>
      </c>
      <c r="L58" s="252">
        <f>K58/$K$135</f>
        <v>1.2563267990902115E-2</v>
      </c>
    </row>
    <row r="59" spans="2:14" s="222" customFormat="1" ht="12.95" customHeight="1" x14ac:dyDescent="0.2">
      <c r="B59" s="250"/>
      <c r="C59" s="248"/>
      <c r="D59" s="254"/>
      <c r="E59" s="248"/>
      <c r="F59" s="253"/>
      <c r="G59" s="251"/>
      <c r="H59" s="272"/>
      <c r="I59" s="251"/>
      <c r="J59" s="251"/>
      <c r="K59" s="251"/>
      <c r="L59" s="252"/>
    </row>
    <row r="60" spans="2:14" ht="12.95" customHeight="1" x14ac:dyDescent="0.2">
      <c r="B60" s="51"/>
      <c r="C60" s="203"/>
      <c r="D60" s="55"/>
      <c r="E60" s="203"/>
      <c r="F60" s="51"/>
      <c r="G60" s="52"/>
      <c r="H60" s="52"/>
      <c r="I60" s="52"/>
      <c r="J60" s="52"/>
      <c r="K60" s="52"/>
      <c r="L60" s="53"/>
    </row>
    <row r="61" spans="2:14" s="183" customFormat="1" ht="12.95" customHeight="1" x14ac:dyDescent="0.2">
      <c r="B61" s="207"/>
      <c r="C61" s="280" t="s">
        <v>337</v>
      </c>
      <c r="D61" s="208" t="s">
        <v>346</v>
      </c>
      <c r="E61" s="207"/>
      <c r="F61" s="207"/>
      <c r="G61" s="207"/>
      <c r="H61" s="207"/>
      <c r="I61" s="207"/>
      <c r="J61" s="207"/>
      <c r="K61" s="207"/>
      <c r="L61" s="207"/>
      <c r="N61" s="209"/>
    </row>
    <row r="62" spans="2:14" ht="12.95" customHeight="1" x14ac:dyDescent="0.2">
      <c r="B62" s="51"/>
      <c r="C62" s="203"/>
      <c r="D62" s="55"/>
      <c r="E62" s="203"/>
      <c r="F62" s="51"/>
      <c r="G62" s="52"/>
      <c r="H62" s="52"/>
      <c r="I62" s="52"/>
      <c r="J62" s="52"/>
      <c r="K62" s="52"/>
      <c r="L62" s="53"/>
    </row>
    <row r="63" spans="2:14" ht="12.95" customHeight="1" x14ac:dyDescent="0.2">
      <c r="B63" s="51"/>
      <c r="C63" s="203"/>
      <c r="D63" s="76" t="s">
        <v>22</v>
      </c>
      <c r="E63" s="203"/>
      <c r="F63" s="51"/>
      <c r="G63" s="52"/>
      <c r="H63" s="52"/>
      <c r="I63" s="52"/>
      <c r="J63" s="52"/>
      <c r="K63" s="52"/>
      <c r="L63" s="53"/>
    </row>
    <row r="64" spans="2:14" ht="26.1" customHeight="1" x14ac:dyDescent="0.2">
      <c r="B64" s="48" t="s">
        <v>23</v>
      </c>
      <c r="C64" s="278" t="s">
        <v>395</v>
      </c>
      <c r="D64" s="50" t="s">
        <v>156</v>
      </c>
      <c r="E64" s="49"/>
      <c r="F64" s="51" t="s">
        <v>14</v>
      </c>
      <c r="G64" s="52">
        <f>'Dre-Disp. Estruturais'!I23</f>
        <v>24</v>
      </c>
      <c r="H64" s="52">
        <v>1046.18</v>
      </c>
      <c r="I64" s="251">
        <f>TRUNC((H64*$L$6),2)</f>
        <v>251.39</v>
      </c>
      <c r="J64" s="52">
        <f t="shared" ref="J64" si="21">H64+I64</f>
        <v>1297.5700000000002</v>
      </c>
      <c r="K64" s="52">
        <f t="shared" ref="K64" si="22">TRUNC((G64*J64),2)</f>
        <v>31141.68</v>
      </c>
      <c r="L64" s="53">
        <f>K64/$K$135</f>
        <v>0.13705402467094618</v>
      </c>
    </row>
    <row r="65" spans="2:12" ht="12.95" customHeight="1" x14ac:dyDescent="0.2">
      <c r="B65" s="51"/>
      <c r="C65" s="49"/>
      <c r="D65" s="55"/>
      <c r="E65" s="49"/>
      <c r="F65" s="54"/>
      <c r="G65" s="52"/>
      <c r="H65" s="172"/>
      <c r="I65" s="52"/>
      <c r="J65" s="52"/>
      <c r="K65" s="52"/>
      <c r="L65" s="53"/>
    </row>
    <row r="66" spans="2:12" ht="12.95" customHeight="1" x14ac:dyDescent="0.2">
      <c r="B66" s="51"/>
      <c r="C66" s="49"/>
      <c r="D66" s="76" t="s">
        <v>24</v>
      </c>
      <c r="E66" s="49"/>
      <c r="F66" s="51"/>
      <c r="G66" s="52"/>
      <c r="H66" s="172"/>
      <c r="I66" s="52"/>
      <c r="J66" s="52"/>
      <c r="K66" s="52"/>
      <c r="L66" s="53"/>
    </row>
    <row r="67" spans="2:12" ht="39" customHeight="1" x14ac:dyDescent="0.2">
      <c r="B67" s="51">
        <v>92832</v>
      </c>
      <c r="C67" s="278" t="s">
        <v>396</v>
      </c>
      <c r="D67" s="50" t="s">
        <v>301</v>
      </c>
      <c r="E67" s="49"/>
      <c r="F67" s="51" t="s">
        <v>14</v>
      </c>
      <c r="G67" s="52">
        <f>'Dre-Disp. Estruturais'!I25</f>
        <v>24</v>
      </c>
      <c r="H67" s="52">
        <v>160.94999999999999</v>
      </c>
      <c r="I67" s="52">
        <f>TRUNC((H67*$L$6),2)</f>
        <v>38.67</v>
      </c>
      <c r="J67" s="52">
        <f t="shared" ref="J67" si="23">H67+I67</f>
        <v>199.62</v>
      </c>
      <c r="K67" s="52">
        <f t="shared" ref="K67" si="24">TRUNC((G67*J67),2)</f>
        <v>4790.88</v>
      </c>
      <c r="L67" s="53">
        <f>K67/$K$135</f>
        <v>2.1084584573328822E-2</v>
      </c>
    </row>
    <row r="68" spans="2:12" ht="12.95" customHeight="1" x14ac:dyDescent="0.2">
      <c r="B68" s="51"/>
      <c r="C68" s="49"/>
      <c r="D68" s="55"/>
      <c r="E68" s="49"/>
      <c r="F68" s="54"/>
      <c r="G68" s="52"/>
      <c r="H68" s="172"/>
      <c r="I68" s="52"/>
      <c r="J68" s="52"/>
      <c r="K68" s="52"/>
      <c r="L68" s="53"/>
    </row>
    <row r="69" spans="2:12" ht="12.95" customHeight="1" x14ac:dyDescent="0.2">
      <c r="B69" s="51"/>
      <c r="C69" s="49"/>
      <c r="D69" s="76" t="s">
        <v>157</v>
      </c>
      <c r="E69" s="49"/>
      <c r="F69" s="51"/>
      <c r="G69" s="52"/>
      <c r="H69" s="172"/>
      <c r="I69" s="52"/>
      <c r="J69" s="52"/>
      <c r="K69" s="52"/>
      <c r="L69" s="53"/>
    </row>
    <row r="70" spans="2:12" ht="26.1" customHeight="1" x14ac:dyDescent="0.2">
      <c r="B70" s="51">
        <v>100952</v>
      </c>
      <c r="C70" s="278" t="s">
        <v>397</v>
      </c>
      <c r="D70" s="50" t="s">
        <v>348</v>
      </c>
      <c r="E70" s="49">
        <f>'Dre-Disp. Estruturais'!$E$29</f>
        <v>3.6</v>
      </c>
      <c r="F70" s="51" t="s">
        <v>25</v>
      </c>
      <c r="G70" s="52">
        <f>'Dre-Disp. Estruturais'!I29</f>
        <v>167</v>
      </c>
      <c r="H70" s="52">
        <v>2.82</v>
      </c>
      <c r="I70" s="52">
        <f>TRUNC((H70*$L$6),2)</f>
        <v>0.67</v>
      </c>
      <c r="J70" s="52">
        <f t="shared" ref="J70" si="25">H70+I70</f>
        <v>3.4899999999999998</v>
      </c>
      <c r="K70" s="52">
        <f t="shared" ref="K70" si="26">TRUNC((G70*J70),2)</f>
        <v>582.83000000000004</v>
      </c>
      <c r="L70" s="53">
        <f>K70/$K$135</f>
        <v>2.565025303675575E-3</v>
      </c>
    </row>
    <row r="71" spans="2:12" ht="12.95" customHeight="1" x14ac:dyDescent="0.2">
      <c r="B71" s="51"/>
      <c r="C71" s="49"/>
      <c r="D71" s="55"/>
      <c r="E71" s="49"/>
      <c r="F71" s="54"/>
      <c r="G71" s="52"/>
      <c r="H71" s="172"/>
      <c r="I71" s="52"/>
      <c r="J71" s="52"/>
      <c r="K71" s="52"/>
      <c r="L71" s="53"/>
    </row>
    <row r="72" spans="2:12" ht="12.95" customHeight="1" x14ac:dyDescent="0.2">
      <c r="B72" s="51"/>
      <c r="C72" s="49"/>
      <c r="D72" s="76" t="s">
        <v>26</v>
      </c>
      <c r="E72" s="49"/>
      <c r="F72" s="51"/>
      <c r="G72" s="52"/>
      <c r="H72" s="172"/>
      <c r="I72" s="52"/>
      <c r="J72" s="52"/>
      <c r="K72" s="52"/>
      <c r="L72" s="53"/>
    </row>
    <row r="73" spans="2:12" ht="26.1" customHeight="1" x14ac:dyDescent="0.2">
      <c r="B73" s="48" t="s">
        <v>347</v>
      </c>
      <c r="C73" s="278" t="s">
        <v>398</v>
      </c>
      <c r="D73" s="50" t="s">
        <v>39</v>
      </c>
      <c r="E73" s="49"/>
      <c r="F73" s="51" t="s">
        <v>15</v>
      </c>
      <c r="G73" s="52">
        <f>'Dre-Disp. Estruturais'!I32</f>
        <v>2</v>
      </c>
      <c r="H73" s="52">
        <v>4725.3500000000004</v>
      </c>
      <c r="I73" s="52">
        <f>TRUNC((H73*$L$6),2)</f>
        <v>1135.5</v>
      </c>
      <c r="J73" s="52">
        <f t="shared" ref="J73" si="27">H73+I73</f>
        <v>5860.85</v>
      </c>
      <c r="K73" s="52">
        <f t="shared" ref="K73:K76" si="28">TRUNC((G73*J73),2)</f>
        <v>11721.7</v>
      </c>
      <c r="L73" s="53">
        <f>K73/$K$135</f>
        <v>5.1587010109455565E-2</v>
      </c>
    </row>
    <row r="74" spans="2:12" ht="26.1" customHeight="1" x14ac:dyDescent="0.2">
      <c r="B74" s="48">
        <v>100978</v>
      </c>
      <c r="C74" s="278" t="s">
        <v>399</v>
      </c>
      <c r="D74" s="50" t="s">
        <v>155</v>
      </c>
      <c r="E74" s="49"/>
      <c r="F74" s="51" t="s">
        <v>16</v>
      </c>
      <c r="G74" s="52">
        <f>'Dre-Disp. Estruturais'!I34</f>
        <v>2.13</v>
      </c>
      <c r="H74" s="52">
        <v>6.86</v>
      </c>
      <c r="I74" s="52">
        <f>TRUNC((H74*$L$6),2)</f>
        <v>1.64</v>
      </c>
      <c r="J74" s="52">
        <f t="shared" ref="J74:J76" si="29">H74+I74</f>
        <v>8.5</v>
      </c>
      <c r="K74" s="52">
        <f t="shared" si="28"/>
        <v>18.100000000000001</v>
      </c>
      <c r="L74" s="53">
        <f>K74/$K$135</f>
        <v>7.9657804156491437E-5</v>
      </c>
    </row>
    <row r="75" spans="2:12" ht="26.1" customHeight="1" x14ac:dyDescent="0.2">
      <c r="B75" s="51">
        <v>95875</v>
      </c>
      <c r="C75" s="278" t="s">
        <v>400</v>
      </c>
      <c r="D75" s="50" t="s">
        <v>178</v>
      </c>
      <c r="E75" s="49">
        <f>'Dre-Disp. Estruturais'!$E$35</f>
        <v>30</v>
      </c>
      <c r="F75" s="51" t="s">
        <v>17</v>
      </c>
      <c r="G75" s="52">
        <f>'Dre-Disp. Estruturais'!I35</f>
        <v>63.9</v>
      </c>
      <c r="H75" s="52">
        <v>2.4700000000000002</v>
      </c>
      <c r="I75" s="52">
        <f>TRUNC((H75*$L$6),2)</f>
        <v>0.59</v>
      </c>
      <c r="J75" s="52">
        <f t="shared" si="29"/>
        <v>3.06</v>
      </c>
      <c r="K75" s="52">
        <f t="shared" si="28"/>
        <v>195.53</v>
      </c>
      <c r="L75" s="53">
        <f>K75/$K$135</f>
        <v>8.6052433407286019E-4</v>
      </c>
    </row>
    <row r="76" spans="2:12" ht="26.1" customHeight="1" x14ac:dyDescent="0.2">
      <c r="B76" s="51">
        <v>93590</v>
      </c>
      <c r="C76" s="278" t="s">
        <v>401</v>
      </c>
      <c r="D76" s="50" t="s">
        <v>179</v>
      </c>
      <c r="E76" s="49">
        <f>'Dre-Disp. Estruturais'!$E$36</f>
        <v>23.6</v>
      </c>
      <c r="F76" s="51" t="s">
        <v>17</v>
      </c>
      <c r="G76" s="52">
        <f>'Dre-Disp. Estruturais'!I36</f>
        <v>50.26</v>
      </c>
      <c r="H76" s="52">
        <v>0.97</v>
      </c>
      <c r="I76" s="52">
        <f>TRUNC((H76*$L$6),2)</f>
        <v>0.23</v>
      </c>
      <c r="J76" s="52">
        <f t="shared" si="29"/>
        <v>1.2</v>
      </c>
      <c r="K76" s="52">
        <f t="shared" si="28"/>
        <v>60.31</v>
      </c>
      <c r="L76" s="53">
        <f>K76/$K$135</f>
        <v>2.6542332423635351E-4</v>
      </c>
    </row>
    <row r="77" spans="2:12" ht="15" customHeight="1" x14ac:dyDescent="0.2">
      <c r="B77" s="51"/>
      <c r="C77" s="49"/>
      <c r="D77" s="55"/>
      <c r="E77" s="49"/>
      <c r="F77" s="54"/>
      <c r="G77" s="52"/>
      <c r="H77" s="172"/>
      <c r="I77" s="52"/>
      <c r="J77" s="52"/>
      <c r="K77" s="52"/>
      <c r="L77" s="53"/>
    </row>
    <row r="78" spans="2:12" ht="15" customHeight="1" x14ac:dyDescent="0.2">
      <c r="B78" s="51"/>
      <c r="C78" s="49"/>
      <c r="D78" s="76" t="s">
        <v>27</v>
      </c>
      <c r="E78" s="49"/>
      <c r="F78" s="51"/>
      <c r="G78" s="52"/>
      <c r="H78" s="172"/>
      <c r="I78" s="52"/>
      <c r="J78" s="52"/>
      <c r="K78" s="52"/>
      <c r="L78" s="53"/>
    </row>
    <row r="79" spans="2:12" ht="26.1" customHeight="1" x14ac:dyDescent="0.2">
      <c r="B79" s="48">
        <v>102746</v>
      </c>
      <c r="C79" s="278" t="s">
        <v>402</v>
      </c>
      <c r="D79" s="50" t="s">
        <v>406</v>
      </c>
      <c r="E79" s="49"/>
      <c r="F79" s="51" t="s">
        <v>15</v>
      </c>
      <c r="G79" s="52">
        <f>'Dre-Disp. Estruturais'!I39</f>
        <v>2</v>
      </c>
      <c r="H79" s="52">
        <v>17031.310000000001</v>
      </c>
      <c r="I79" s="52">
        <f>TRUNC((H79*$L$6),2)</f>
        <v>4092.62</v>
      </c>
      <c r="J79" s="52">
        <f t="shared" ref="J79" si="30">H79+I79</f>
        <v>21123.93</v>
      </c>
      <c r="K79" s="52">
        <f t="shared" ref="K79:K82" si="31">TRUNC((G79*J79),2)</f>
        <v>42247.86</v>
      </c>
      <c r="L79" s="53">
        <f>K79/$K$135</f>
        <v>0.18593214132104244</v>
      </c>
    </row>
    <row r="80" spans="2:12" ht="26.1" customHeight="1" x14ac:dyDescent="0.2">
      <c r="B80" s="48">
        <v>100978</v>
      </c>
      <c r="C80" s="278" t="s">
        <v>403</v>
      </c>
      <c r="D80" s="50" t="s">
        <v>155</v>
      </c>
      <c r="E80" s="49"/>
      <c r="F80" s="51" t="s">
        <v>16</v>
      </c>
      <c r="G80" s="52">
        <f>'Dre-Disp. Estruturais'!I41</f>
        <v>16.91</v>
      </c>
      <c r="H80" s="52">
        <v>6.86</v>
      </c>
      <c r="I80" s="52">
        <f>TRUNC((H80*$L$6),2)</f>
        <v>1.64</v>
      </c>
      <c r="J80" s="52">
        <f t="shared" ref="J80:J82" si="32">H80+I80</f>
        <v>8.5</v>
      </c>
      <c r="K80" s="52">
        <f t="shared" si="31"/>
        <v>143.72999999999999</v>
      </c>
      <c r="L80" s="53">
        <f>K80/$K$135</f>
        <v>6.325533807410228E-4</v>
      </c>
    </row>
    <row r="81" spans="2:14" ht="26.1" customHeight="1" x14ac:dyDescent="0.2">
      <c r="B81" s="51">
        <v>95875</v>
      </c>
      <c r="C81" s="278" t="s">
        <v>404</v>
      </c>
      <c r="D81" s="50" t="s">
        <v>180</v>
      </c>
      <c r="E81" s="49">
        <f>'Dre-Disp. Estruturais'!$E$42</f>
        <v>30</v>
      </c>
      <c r="F81" s="51" t="s">
        <v>17</v>
      </c>
      <c r="G81" s="52">
        <f>'Dre-Disp. Estruturais'!I42</f>
        <v>507.3</v>
      </c>
      <c r="H81" s="52">
        <v>2.4700000000000002</v>
      </c>
      <c r="I81" s="52">
        <f>TRUNC((H81*$L$6),2)</f>
        <v>0.59</v>
      </c>
      <c r="J81" s="52">
        <f t="shared" si="32"/>
        <v>3.06</v>
      </c>
      <c r="K81" s="52">
        <f t="shared" si="31"/>
        <v>1552.33</v>
      </c>
      <c r="L81" s="53">
        <f>K81/$K$135</f>
        <v>6.8317789572511787E-3</v>
      </c>
    </row>
    <row r="82" spans="2:14" ht="26.1" customHeight="1" x14ac:dyDescent="0.2">
      <c r="B82" s="51">
        <v>93590</v>
      </c>
      <c r="C82" s="278" t="s">
        <v>405</v>
      </c>
      <c r="D82" s="50" t="s">
        <v>181</v>
      </c>
      <c r="E82" s="49">
        <f>'Dre-Disp. Estruturais'!$E$43</f>
        <v>23.6</v>
      </c>
      <c r="F82" s="51" t="s">
        <v>17</v>
      </c>
      <c r="G82" s="52">
        <f>'Dre-Disp. Estruturais'!I43</f>
        <v>399.07</v>
      </c>
      <c r="H82" s="52">
        <v>0.97</v>
      </c>
      <c r="I82" s="52">
        <f>TRUNC((H82*$L$6),2)</f>
        <v>0.23</v>
      </c>
      <c r="J82" s="52">
        <f t="shared" si="32"/>
        <v>1.2</v>
      </c>
      <c r="K82" s="52">
        <f t="shared" si="31"/>
        <v>478.88</v>
      </c>
      <c r="L82" s="53">
        <f>K82/$K$135</f>
        <v>2.1075430527326307E-3</v>
      </c>
    </row>
    <row r="83" spans="2:14" ht="12.95" customHeight="1" x14ac:dyDescent="0.2">
      <c r="B83" s="51"/>
      <c r="C83" s="203"/>
      <c r="D83" s="55"/>
      <c r="E83" s="203"/>
      <c r="F83" s="51"/>
      <c r="G83" s="52"/>
      <c r="H83" s="52"/>
      <c r="I83" s="52"/>
      <c r="J83" s="52"/>
      <c r="K83" s="52"/>
      <c r="L83" s="53"/>
    </row>
    <row r="84" spans="2:14" s="183" customFormat="1" ht="12.95" customHeight="1" x14ac:dyDescent="0.2">
      <c r="B84" s="207"/>
      <c r="C84" s="280" t="s">
        <v>338</v>
      </c>
      <c r="D84" s="208" t="s">
        <v>353</v>
      </c>
      <c r="E84" s="207"/>
      <c r="F84" s="207"/>
      <c r="G84" s="207"/>
      <c r="H84" s="207"/>
      <c r="I84" s="207"/>
      <c r="J84" s="207"/>
      <c r="K84" s="207"/>
      <c r="L84" s="207"/>
      <c r="N84" s="209"/>
    </row>
    <row r="85" spans="2:14" ht="12.95" customHeight="1" x14ac:dyDescent="0.2">
      <c r="B85" s="51"/>
      <c r="C85" s="203"/>
      <c r="D85" s="55"/>
      <c r="E85" s="203"/>
      <c r="F85" s="51"/>
      <c r="G85" s="52"/>
      <c r="H85" s="52"/>
      <c r="I85" s="52"/>
      <c r="J85" s="52"/>
      <c r="K85" s="52"/>
      <c r="L85" s="53"/>
    </row>
    <row r="86" spans="2:14" ht="12.95" customHeight="1" x14ac:dyDescent="0.2">
      <c r="B86" s="51"/>
      <c r="C86" s="49"/>
      <c r="D86" s="76" t="s">
        <v>28</v>
      </c>
      <c r="E86" s="49"/>
      <c r="F86" s="51"/>
      <c r="G86" s="52"/>
      <c r="H86" s="52"/>
      <c r="I86" s="52"/>
      <c r="J86" s="52"/>
      <c r="K86" s="52"/>
      <c r="L86" s="53"/>
    </row>
    <row r="87" spans="2:14" ht="12.95" customHeight="1" x14ac:dyDescent="0.2">
      <c r="B87" s="51">
        <v>100576</v>
      </c>
      <c r="C87" s="278" t="s">
        <v>407</v>
      </c>
      <c r="D87" s="50" t="s">
        <v>182</v>
      </c>
      <c r="E87" s="49"/>
      <c r="F87" s="51" t="s">
        <v>13</v>
      </c>
      <c r="G87" s="52">
        <f>'Dre-Fech de Vala'!K30</f>
        <v>96.72</v>
      </c>
      <c r="H87" s="52">
        <v>2.0299999999999998</v>
      </c>
      <c r="I87" s="52">
        <f>TRUNC((H87*$L$6),2)</f>
        <v>0.48</v>
      </c>
      <c r="J87" s="52">
        <f t="shared" ref="J87" si="33">H87+I87</f>
        <v>2.5099999999999998</v>
      </c>
      <c r="K87" s="52">
        <f t="shared" ref="K87" si="34">TRUNC((G87*J87),2)</f>
        <v>242.76</v>
      </c>
      <c r="L87" s="53">
        <f>K87/$K$135</f>
        <v>1.0683827921010973E-3</v>
      </c>
    </row>
    <row r="88" spans="2:14" ht="12.95" customHeight="1" x14ac:dyDescent="0.2">
      <c r="B88" s="51"/>
      <c r="C88" s="49"/>
      <c r="D88" s="55"/>
      <c r="E88" s="49"/>
      <c r="F88" s="54"/>
      <c r="G88" s="52"/>
      <c r="H88" s="172"/>
      <c r="I88" s="52"/>
      <c r="J88" s="52"/>
      <c r="K88" s="52"/>
      <c r="L88" s="53"/>
    </row>
    <row r="89" spans="2:14" ht="12.95" customHeight="1" x14ac:dyDescent="0.2">
      <c r="B89" s="51"/>
      <c r="C89" s="49"/>
      <c r="D89" s="76" t="s">
        <v>29</v>
      </c>
      <c r="E89" s="49"/>
      <c r="F89" s="51"/>
      <c r="G89" s="52"/>
      <c r="H89" s="172"/>
      <c r="I89" s="52"/>
      <c r="J89" s="52"/>
      <c r="K89" s="52"/>
      <c r="L89" s="53"/>
    </row>
    <row r="90" spans="2:14" ht="39" customHeight="1" x14ac:dyDescent="0.2">
      <c r="B90" s="51">
        <v>96388</v>
      </c>
      <c r="C90" s="278" t="s">
        <v>408</v>
      </c>
      <c r="D90" s="50" t="s">
        <v>174</v>
      </c>
      <c r="E90" s="49"/>
      <c r="F90" s="51" t="s">
        <v>16</v>
      </c>
      <c r="G90" s="52">
        <f>'Dre-Fech de Vala'!K33</f>
        <v>14.5</v>
      </c>
      <c r="H90" s="52">
        <v>8.9700000000000006</v>
      </c>
      <c r="I90" s="52">
        <f>TRUNC((H90*$L$6),2)</f>
        <v>2.15</v>
      </c>
      <c r="J90" s="52">
        <f t="shared" ref="J90" si="35">H90+I90</f>
        <v>11.120000000000001</v>
      </c>
      <c r="K90" s="52">
        <f t="shared" ref="K90" si="36">TRUNC((G90*J90),2)</f>
        <v>161.24</v>
      </c>
      <c r="L90" s="53">
        <f>K90/$K$135</f>
        <v>7.0961460454103205E-4</v>
      </c>
    </row>
    <row r="91" spans="2:14" ht="12.95" customHeight="1" x14ac:dyDescent="0.2">
      <c r="B91" s="51"/>
      <c r="C91" s="49"/>
      <c r="D91" s="55"/>
      <c r="E91" s="49"/>
      <c r="F91" s="54"/>
      <c r="G91" s="52"/>
      <c r="H91" s="172"/>
      <c r="I91" s="52"/>
      <c r="J91" s="52"/>
      <c r="K91" s="52"/>
      <c r="L91" s="53"/>
    </row>
    <row r="92" spans="2:14" ht="12.95" customHeight="1" x14ac:dyDescent="0.2">
      <c r="B92" s="51"/>
      <c r="C92" s="49"/>
      <c r="D92" s="76" t="s">
        <v>102</v>
      </c>
      <c r="E92" s="49"/>
      <c r="F92" s="51"/>
      <c r="G92" s="52"/>
      <c r="H92" s="172"/>
      <c r="I92" s="52"/>
      <c r="J92" s="52"/>
      <c r="K92" s="52"/>
      <c r="L92" s="53"/>
    </row>
    <row r="93" spans="2:14" ht="26.1" customHeight="1" x14ac:dyDescent="0.2">
      <c r="B93" s="51">
        <v>101114</v>
      </c>
      <c r="C93" s="278" t="s">
        <v>409</v>
      </c>
      <c r="D93" s="50" t="s">
        <v>158</v>
      </c>
      <c r="E93" s="49"/>
      <c r="F93" s="51" t="s">
        <v>16</v>
      </c>
      <c r="G93" s="52">
        <f>'Dre-Fech de Vala'!K34</f>
        <v>18.850000000000001</v>
      </c>
      <c r="H93" s="52">
        <v>4.45</v>
      </c>
      <c r="I93" s="52">
        <f>TRUNC((H93*$L$6),2)</f>
        <v>1.06</v>
      </c>
      <c r="J93" s="52">
        <f t="shared" ref="J93" si="37">H93+I93</f>
        <v>5.51</v>
      </c>
      <c r="K93" s="52">
        <f t="shared" ref="K93" si="38">TRUNC((G93*J93),2)</f>
        <v>103.86</v>
      </c>
      <c r="L93" s="53">
        <f>K93/$K$135</f>
        <v>4.5708616241398894E-4</v>
      </c>
    </row>
    <row r="94" spans="2:14" ht="12.95" customHeight="1" x14ac:dyDescent="0.2">
      <c r="B94" s="51"/>
      <c r="C94" s="49"/>
      <c r="D94" s="55"/>
      <c r="E94" s="49"/>
      <c r="F94" s="54"/>
      <c r="G94" s="52"/>
      <c r="H94" s="172"/>
      <c r="I94" s="52"/>
      <c r="J94" s="52"/>
      <c r="K94" s="52"/>
      <c r="L94" s="53"/>
    </row>
    <row r="95" spans="2:14" ht="12.95" customHeight="1" x14ac:dyDescent="0.2">
      <c r="B95" s="51"/>
      <c r="C95" s="49"/>
      <c r="D95" s="76" t="s">
        <v>101</v>
      </c>
      <c r="E95" s="49"/>
      <c r="F95" s="51"/>
      <c r="G95" s="52"/>
      <c r="H95" s="172"/>
      <c r="I95" s="52"/>
      <c r="J95" s="52"/>
      <c r="K95" s="52"/>
      <c r="L95" s="53"/>
    </row>
    <row r="96" spans="2:14" ht="26.1" customHeight="1" x14ac:dyDescent="0.2">
      <c r="B96" s="48" t="s">
        <v>354</v>
      </c>
      <c r="C96" s="278" t="s">
        <v>410</v>
      </c>
      <c r="D96" s="50" t="s">
        <v>107</v>
      </c>
      <c r="E96" s="49"/>
      <c r="F96" s="51" t="s">
        <v>16</v>
      </c>
      <c r="G96" s="52">
        <f>'Dre-Fech de Vala'!K35</f>
        <v>18.850000000000001</v>
      </c>
      <c r="H96" s="206">
        <v>58.42</v>
      </c>
      <c r="I96" s="251">
        <f>TRUNC((H96*$L$6),2)</f>
        <v>14.03</v>
      </c>
      <c r="J96" s="52">
        <f t="shared" ref="J96" si="39">H96+I96</f>
        <v>72.45</v>
      </c>
      <c r="K96" s="52">
        <f t="shared" ref="K96" si="40">TRUNC((G96*J96),2)</f>
        <v>1365.68</v>
      </c>
      <c r="L96" s="53">
        <f>K96/$K$135</f>
        <v>6.010335358035206E-3</v>
      </c>
    </row>
    <row r="97" spans="2:12" ht="12.95" customHeight="1" x14ac:dyDescent="0.2">
      <c r="B97" s="51"/>
      <c r="C97" s="203"/>
      <c r="D97" s="55"/>
      <c r="E97" s="203"/>
      <c r="F97" s="54"/>
      <c r="G97" s="52"/>
      <c r="H97" s="172"/>
      <c r="I97" s="52"/>
      <c r="J97" s="52"/>
      <c r="K97" s="52"/>
      <c r="L97" s="53"/>
    </row>
    <row r="98" spans="2:12" ht="12.95" customHeight="1" x14ac:dyDescent="0.2">
      <c r="B98" s="51"/>
      <c r="C98" s="49"/>
      <c r="D98" s="76" t="s">
        <v>103</v>
      </c>
      <c r="E98" s="49"/>
      <c r="F98" s="51"/>
      <c r="G98" s="52"/>
      <c r="H98" s="172"/>
      <c r="I98" s="52"/>
      <c r="J98" s="52"/>
      <c r="K98" s="52"/>
      <c r="L98" s="53"/>
    </row>
    <row r="99" spans="2:12" ht="26.1" customHeight="1" x14ac:dyDescent="0.2">
      <c r="B99" s="51">
        <v>95875</v>
      </c>
      <c r="C99" s="278" t="s">
        <v>411</v>
      </c>
      <c r="D99" s="50" t="s">
        <v>183</v>
      </c>
      <c r="E99" s="49">
        <f>'Dre-Fech de Vala'!$G$36</f>
        <v>30</v>
      </c>
      <c r="F99" s="51" t="s">
        <v>17</v>
      </c>
      <c r="G99" s="52">
        <f>'Dre-Fech de Vala'!K36</f>
        <v>565.5</v>
      </c>
      <c r="H99" s="52">
        <v>2.4700000000000002</v>
      </c>
      <c r="I99" s="52">
        <f>TRUNC((H99*$L$6),2)</f>
        <v>0.59</v>
      </c>
      <c r="J99" s="52">
        <f t="shared" ref="J99:J100" si="41">H99+I99</f>
        <v>3.06</v>
      </c>
      <c r="K99" s="52">
        <f t="shared" ref="K99:K100" si="42">TRUNC((G99*J99),2)</f>
        <v>1730.43</v>
      </c>
      <c r="L99" s="53">
        <f>K99/$K$135</f>
        <v>7.6155941462164346E-3</v>
      </c>
    </row>
    <row r="100" spans="2:12" ht="26.1" customHeight="1" x14ac:dyDescent="0.2">
      <c r="B100" s="51">
        <v>93590</v>
      </c>
      <c r="C100" s="278" t="s">
        <v>412</v>
      </c>
      <c r="D100" s="50" t="s">
        <v>184</v>
      </c>
      <c r="E100" s="49">
        <f>'Dre-Fech de Vala'!$G$37</f>
        <v>23.6</v>
      </c>
      <c r="F100" s="51" t="s">
        <v>17</v>
      </c>
      <c r="G100" s="52">
        <f>'Dre-Fech de Vala'!K37</f>
        <v>444.86</v>
      </c>
      <c r="H100" s="52">
        <v>0.97</v>
      </c>
      <c r="I100" s="52">
        <f>TRUNC((H100*$L$6),2)</f>
        <v>0.23</v>
      </c>
      <c r="J100" s="52">
        <f t="shared" si="41"/>
        <v>1.2</v>
      </c>
      <c r="K100" s="52">
        <f t="shared" si="42"/>
        <v>533.83000000000004</v>
      </c>
      <c r="L100" s="53">
        <f>K100/$K$135</f>
        <v>2.3493771045778908E-3</v>
      </c>
    </row>
    <row r="101" spans="2:12" ht="12.95" customHeight="1" x14ac:dyDescent="0.2">
      <c r="B101" s="51"/>
      <c r="C101" s="203"/>
      <c r="D101" s="55"/>
      <c r="E101" s="203"/>
      <c r="F101" s="54"/>
      <c r="G101" s="52"/>
      <c r="H101" s="172"/>
      <c r="I101" s="52"/>
      <c r="J101" s="52"/>
      <c r="K101" s="52"/>
      <c r="L101" s="53"/>
    </row>
    <row r="102" spans="2:12" ht="12.95" customHeight="1" x14ac:dyDescent="0.2">
      <c r="B102" s="51"/>
      <c r="C102" s="49"/>
      <c r="D102" s="76" t="s">
        <v>41</v>
      </c>
      <c r="E102" s="49"/>
      <c r="F102" s="51"/>
      <c r="G102" s="52"/>
      <c r="H102" s="172"/>
      <c r="I102" s="52"/>
      <c r="J102" s="52"/>
      <c r="K102" s="52"/>
      <c r="L102" s="53"/>
    </row>
    <row r="103" spans="2:12" ht="26.1" customHeight="1" x14ac:dyDescent="0.2">
      <c r="B103" s="48" t="s">
        <v>355</v>
      </c>
      <c r="C103" s="278" t="s">
        <v>413</v>
      </c>
      <c r="D103" s="50" t="s">
        <v>356</v>
      </c>
      <c r="E103" s="49"/>
      <c r="F103" s="51" t="s">
        <v>13</v>
      </c>
      <c r="G103" s="52">
        <f>'Dre-Fech de Vala'!K39</f>
        <v>96.72</v>
      </c>
      <c r="H103" s="52">
        <v>0.65</v>
      </c>
      <c r="I103" s="52">
        <f>TRUNC((H103*$L$6),2)</f>
        <v>0.15</v>
      </c>
      <c r="J103" s="52">
        <f t="shared" ref="J103" si="43">H103+I103</f>
        <v>0.8</v>
      </c>
      <c r="K103" s="52">
        <f t="shared" ref="K103:K106" si="44">TRUNC((G103*J103),2)</f>
        <v>77.37</v>
      </c>
      <c r="L103" s="53">
        <f>K103/$K$135</f>
        <v>3.4050410539158797E-4</v>
      </c>
    </row>
    <row r="104" spans="2:12" ht="26.1" customHeight="1" x14ac:dyDescent="0.2">
      <c r="B104" s="48" t="s">
        <v>360</v>
      </c>
      <c r="C104" s="278" t="s">
        <v>414</v>
      </c>
      <c r="D104" s="50" t="s">
        <v>268</v>
      </c>
      <c r="E104" s="49"/>
      <c r="F104" s="51" t="s">
        <v>276</v>
      </c>
      <c r="G104" s="52">
        <f>'Dre-Fech de Vala'!K41</f>
        <v>0.11</v>
      </c>
      <c r="H104" s="52">
        <v>4507.5</v>
      </c>
      <c r="I104" s="251">
        <f>TRUNC((H104*$L$6),2)</f>
        <v>1083.1500000000001</v>
      </c>
      <c r="J104" s="52">
        <f t="shared" ref="J104" si="45">H104+I104</f>
        <v>5590.65</v>
      </c>
      <c r="K104" s="52">
        <f t="shared" si="44"/>
        <v>614.97</v>
      </c>
      <c r="L104" s="53">
        <f>K104/$K$135</f>
        <v>2.7064729183490354E-3</v>
      </c>
    </row>
    <row r="105" spans="2:12" ht="26.1" customHeight="1" x14ac:dyDescent="0.2">
      <c r="B105" s="51">
        <v>102330</v>
      </c>
      <c r="C105" s="278" t="s">
        <v>415</v>
      </c>
      <c r="D105" s="50" t="s">
        <v>358</v>
      </c>
      <c r="E105" s="49">
        <f>'Dre-Fech de Vala'!$G$42</f>
        <v>30</v>
      </c>
      <c r="F105" s="51" t="s">
        <v>25</v>
      </c>
      <c r="G105" s="52">
        <f>'Dre-Fech de Vala'!K42</f>
        <v>3.3</v>
      </c>
      <c r="H105" s="52">
        <v>1.43</v>
      </c>
      <c r="I105" s="52">
        <f>TRUNC((H105*$L$6),2)</f>
        <v>0.34</v>
      </c>
      <c r="J105" s="52">
        <f t="shared" ref="J105" si="46">H105+I105</f>
        <v>1.77</v>
      </c>
      <c r="K105" s="52">
        <f t="shared" si="44"/>
        <v>5.84</v>
      </c>
      <c r="L105" s="53">
        <f>K105/$K$135</f>
        <v>2.5701744545519886E-5</v>
      </c>
    </row>
    <row r="106" spans="2:12" ht="26.1" customHeight="1" x14ac:dyDescent="0.2">
      <c r="B106" s="51">
        <v>102331</v>
      </c>
      <c r="C106" s="278" t="s">
        <v>416</v>
      </c>
      <c r="D106" s="50" t="s">
        <v>359</v>
      </c>
      <c r="E106" s="49">
        <f>'Dre-Fech de Vala'!$G$43</f>
        <v>206</v>
      </c>
      <c r="F106" s="51" t="s">
        <v>25</v>
      </c>
      <c r="G106" s="52">
        <f>'Dre-Fech de Vala'!K43</f>
        <v>22.66</v>
      </c>
      <c r="H106" s="52">
        <v>0.56000000000000005</v>
      </c>
      <c r="I106" s="52">
        <f>TRUNC((H106*$L$6),2)</f>
        <v>0.13</v>
      </c>
      <c r="J106" s="52">
        <f t="shared" ref="J106" si="47">H106+I106</f>
        <v>0.69000000000000006</v>
      </c>
      <c r="K106" s="52">
        <f t="shared" si="44"/>
        <v>15.63</v>
      </c>
      <c r="L106" s="53">
        <f>K106/$K$135</f>
        <v>6.878737452850614E-5</v>
      </c>
    </row>
    <row r="107" spans="2:12" ht="12.95" customHeight="1" x14ac:dyDescent="0.2">
      <c r="B107" s="51"/>
      <c r="C107" s="49"/>
      <c r="D107" s="55"/>
      <c r="E107" s="49"/>
      <c r="F107" s="54"/>
      <c r="G107" s="52"/>
      <c r="H107" s="172"/>
      <c r="I107" s="52"/>
      <c r="J107" s="52"/>
      <c r="K107" s="52"/>
      <c r="L107" s="53"/>
    </row>
    <row r="108" spans="2:12" ht="12.95" customHeight="1" x14ac:dyDescent="0.2">
      <c r="B108" s="51"/>
      <c r="C108" s="49"/>
      <c r="D108" s="76" t="s">
        <v>42</v>
      </c>
      <c r="E108" s="49"/>
      <c r="F108" s="51"/>
      <c r="G108" s="52"/>
      <c r="H108" s="172"/>
      <c r="I108" s="52"/>
      <c r="J108" s="52"/>
      <c r="K108" s="52"/>
      <c r="L108" s="53"/>
    </row>
    <row r="109" spans="2:12" ht="26.1" customHeight="1" x14ac:dyDescent="0.2">
      <c r="B109" s="48" t="s">
        <v>277</v>
      </c>
      <c r="C109" s="278" t="s">
        <v>417</v>
      </c>
      <c r="D109" s="50" t="s">
        <v>281</v>
      </c>
      <c r="E109" s="49"/>
      <c r="F109" s="51" t="s">
        <v>276</v>
      </c>
      <c r="G109" s="52">
        <f>'Dre-Fech de Vala'!K47</f>
        <v>7.41</v>
      </c>
      <c r="H109" s="52">
        <v>639.5</v>
      </c>
      <c r="I109" s="251">
        <f>TRUNC((H109*$L$6),2)</f>
        <v>153.66999999999999</v>
      </c>
      <c r="J109" s="52">
        <f t="shared" ref="J109:J111" si="48">H109+I109</f>
        <v>793.17</v>
      </c>
      <c r="K109" s="52">
        <f t="shared" ref="K109:K111" si="49">TRUNC((G109*J109),2)</f>
        <v>5877.38</v>
      </c>
      <c r="L109" s="53">
        <f>K109/$K$135</f>
        <v>2.5866253314545836E-2</v>
      </c>
    </row>
    <row r="110" spans="2:12" ht="26.1" customHeight="1" x14ac:dyDescent="0.2">
      <c r="B110" s="48" t="s">
        <v>357</v>
      </c>
      <c r="C110" s="278" t="s">
        <v>418</v>
      </c>
      <c r="D110" s="50" t="s">
        <v>278</v>
      </c>
      <c r="E110" s="49"/>
      <c r="F110" s="51" t="s">
        <v>276</v>
      </c>
      <c r="G110" s="52">
        <f>'Dre-Fech de Vala'!K48</f>
        <v>7.41</v>
      </c>
      <c r="H110" s="52">
        <v>47.28</v>
      </c>
      <c r="I110" s="52">
        <f>TRUNC((H110*$L$6),2)</f>
        <v>11.36</v>
      </c>
      <c r="J110" s="52">
        <f t="shared" ref="J110" si="50">H110+I110</f>
        <v>58.64</v>
      </c>
      <c r="K110" s="52">
        <f t="shared" si="49"/>
        <v>434.52</v>
      </c>
      <c r="L110" s="53">
        <f>K110/$K$135</f>
        <v>1.9123154177944008E-3</v>
      </c>
    </row>
    <row r="111" spans="2:12" ht="26.1" customHeight="1" x14ac:dyDescent="0.2">
      <c r="B111" s="51">
        <v>95878</v>
      </c>
      <c r="C111" s="278" t="s">
        <v>419</v>
      </c>
      <c r="D111" s="50" t="s">
        <v>173</v>
      </c>
      <c r="E111" s="49">
        <f>'Dre-Fech de Vala'!$G$50</f>
        <v>7.4</v>
      </c>
      <c r="F111" s="51" t="s">
        <v>25</v>
      </c>
      <c r="G111" s="52">
        <f>'Dre-Fech de Vala'!K50</f>
        <v>54.83</v>
      </c>
      <c r="H111" s="52">
        <v>1.66</v>
      </c>
      <c r="I111" s="52">
        <f>TRUNC((H111*$L$6),2)</f>
        <v>0.39</v>
      </c>
      <c r="J111" s="52">
        <f t="shared" si="48"/>
        <v>2.0499999999999998</v>
      </c>
      <c r="K111" s="52">
        <f t="shared" si="49"/>
        <v>112.4</v>
      </c>
      <c r="L111" s="53">
        <f>K111/$K$135</f>
        <v>4.9467056282815681E-4</v>
      </c>
    </row>
    <row r="112" spans="2:12" ht="12.95" customHeight="1" x14ac:dyDescent="0.2">
      <c r="B112" s="77"/>
      <c r="C112" s="56"/>
      <c r="D112" s="78"/>
      <c r="E112" s="56"/>
      <c r="F112" s="57"/>
      <c r="G112" s="58"/>
      <c r="H112" s="58"/>
      <c r="I112" s="58"/>
      <c r="J112" s="58"/>
      <c r="K112" s="58"/>
      <c r="L112" s="79"/>
    </row>
    <row r="113" spans="2:16" s="45" customFormat="1" ht="15" customHeight="1" x14ac:dyDescent="0.2">
      <c r="B113" s="214"/>
      <c r="C113" s="66"/>
      <c r="D113" s="66"/>
      <c r="E113" s="300" t="str">
        <f>CONCATENATE("SUBTOTAL ",C41)</f>
        <v>SUBTOTAL 03</v>
      </c>
      <c r="F113" s="300"/>
      <c r="G113" s="300"/>
      <c r="H113" s="175"/>
      <c r="I113" s="302"/>
      <c r="J113" s="302"/>
      <c r="K113" s="176">
        <f>SUM(K41:K112)</f>
        <v>200441.50999999992</v>
      </c>
      <c r="L113" s="68">
        <f>SUM(L41:L112)</f>
        <v>0.88213980930449831</v>
      </c>
    </row>
    <row r="114" spans="2:16" ht="5.0999999999999996" customHeight="1" x14ac:dyDescent="0.2"/>
    <row r="115" spans="2:16" s="45" customFormat="1" ht="15" customHeight="1" x14ac:dyDescent="0.2">
      <c r="B115" s="69"/>
      <c r="C115" s="281" t="s">
        <v>296</v>
      </c>
      <c r="D115" s="70" t="s">
        <v>32</v>
      </c>
      <c r="E115" s="71"/>
      <c r="F115" s="71"/>
      <c r="G115" s="71"/>
      <c r="H115" s="71"/>
      <c r="I115" s="71"/>
      <c r="J115" s="71"/>
      <c r="K115" s="71"/>
      <c r="L115" s="72"/>
    </row>
    <row r="116" spans="2:16" ht="12.75" customHeight="1" x14ac:dyDescent="0.2">
      <c r="B116" s="73"/>
      <c r="C116" s="74"/>
      <c r="D116" s="46"/>
      <c r="E116" s="74"/>
      <c r="F116" s="73"/>
      <c r="G116" s="47"/>
      <c r="H116" s="47"/>
      <c r="I116" s="47"/>
      <c r="J116" s="47"/>
      <c r="K116" s="47"/>
      <c r="L116" s="75"/>
    </row>
    <row r="117" spans="2:16" ht="12.95" customHeight="1" x14ac:dyDescent="0.2">
      <c r="B117" s="51"/>
      <c r="C117" s="49"/>
      <c r="D117" s="76" t="s">
        <v>34</v>
      </c>
      <c r="E117" s="49"/>
      <c r="F117" s="51"/>
      <c r="G117" s="52"/>
      <c r="H117" s="52"/>
      <c r="I117" s="52"/>
      <c r="J117" s="52"/>
      <c r="K117" s="52"/>
      <c r="L117" s="53"/>
    </row>
    <row r="118" spans="2:16" ht="26.1" customHeight="1" x14ac:dyDescent="0.2">
      <c r="B118" s="48" t="s">
        <v>362</v>
      </c>
      <c r="C118" s="278" t="s">
        <v>340</v>
      </c>
      <c r="D118" s="50" t="s">
        <v>361</v>
      </c>
      <c r="E118" s="49"/>
      <c r="F118" s="54" t="s">
        <v>14</v>
      </c>
      <c r="G118" s="52">
        <f>'Serv. Complementares'!I10</f>
        <v>11</v>
      </c>
      <c r="H118" s="52">
        <v>57.15</v>
      </c>
      <c r="I118" s="52">
        <f>TRUNC((H118*$L$6),2)</f>
        <v>13.73</v>
      </c>
      <c r="J118" s="52">
        <f t="shared" ref="J118" si="51">H118+I118</f>
        <v>70.88</v>
      </c>
      <c r="K118" s="52">
        <f t="shared" ref="K118:K121" si="52">TRUNC((G118*J118),2)</f>
        <v>779.68</v>
      </c>
      <c r="L118" s="53">
        <f>K118/$K$135</f>
        <v>3.4313589361731072E-3</v>
      </c>
    </row>
    <row r="119" spans="2:16" ht="26.1" customHeight="1" x14ac:dyDescent="0.2">
      <c r="B119" s="48">
        <v>100978</v>
      </c>
      <c r="C119" s="278" t="s">
        <v>341</v>
      </c>
      <c r="D119" s="50" t="s">
        <v>155</v>
      </c>
      <c r="E119" s="49"/>
      <c r="F119" s="51" t="s">
        <v>16</v>
      </c>
      <c r="G119" s="52">
        <f>'Serv. Complementares'!I13</f>
        <v>0.39</v>
      </c>
      <c r="H119" s="52">
        <v>6.86</v>
      </c>
      <c r="I119" s="52">
        <f>TRUNC((H119*$L$6),2)</f>
        <v>1.64</v>
      </c>
      <c r="J119" s="52">
        <f t="shared" ref="J119:J121" si="53">H119+I119</f>
        <v>8.5</v>
      </c>
      <c r="K119" s="52">
        <f t="shared" si="52"/>
        <v>3.31</v>
      </c>
      <c r="L119" s="53">
        <f>K119/$K$135</f>
        <v>1.4567255898231307E-5</v>
      </c>
    </row>
    <row r="120" spans="2:16" ht="26.1" customHeight="1" x14ac:dyDescent="0.2">
      <c r="B120" s="51">
        <v>95875</v>
      </c>
      <c r="C120" s="278" t="s">
        <v>342</v>
      </c>
      <c r="D120" s="50" t="s">
        <v>187</v>
      </c>
      <c r="E120" s="49">
        <f>'Serv. Complementares'!$E$14</f>
        <v>30</v>
      </c>
      <c r="F120" s="51" t="s">
        <v>17</v>
      </c>
      <c r="G120" s="52">
        <f>'Serv. Complementares'!I14</f>
        <v>11.7</v>
      </c>
      <c r="H120" s="52">
        <v>2.4700000000000002</v>
      </c>
      <c r="I120" s="52">
        <f>TRUNC((H120*$L$6),2)</f>
        <v>0.59</v>
      </c>
      <c r="J120" s="52">
        <f t="shared" si="53"/>
        <v>3.06</v>
      </c>
      <c r="K120" s="52">
        <f t="shared" si="52"/>
        <v>35.799999999999997</v>
      </c>
      <c r="L120" s="53">
        <f>K120/$K$135</f>
        <v>1.5755521485096095E-4</v>
      </c>
    </row>
    <row r="121" spans="2:16" ht="26.1" customHeight="1" x14ac:dyDescent="0.2">
      <c r="B121" s="51">
        <v>93590</v>
      </c>
      <c r="C121" s="278" t="s">
        <v>420</v>
      </c>
      <c r="D121" s="50" t="s">
        <v>188</v>
      </c>
      <c r="E121" s="49">
        <f>'Serv. Complementares'!$E$15</f>
        <v>23.6</v>
      </c>
      <c r="F121" s="51" t="s">
        <v>17</v>
      </c>
      <c r="G121" s="52">
        <f>'Serv. Complementares'!I15</f>
        <v>9.1999999999999993</v>
      </c>
      <c r="H121" s="52">
        <v>0.97</v>
      </c>
      <c r="I121" s="52">
        <f>TRUNC((H121*$L$6),2)</f>
        <v>0.23</v>
      </c>
      <c r="J121" s="52">
        <f t="shared" si="53"/>
        <v>1.2</v>
      </c>
      <c r="K121" s="52">
        <f t="shared" si="52"/>
        <v>11.04</v>
      </c>
      <c r="L121" s="53">
        <f>K121/$K$135</f>
        <v>4.8586859551804718E-5</v>
      </c>
    </row>
    <row r="122" spans="2:16" ht="12.95" customHeight="1" x14ac:dyDescent="0.2">
      <c r="B122" s="77"/>
      <c r="C122" s="56"/>
      <c r="D122" s="78"/>
      <c r="E122" s="56"/>
      <c r="F122" s="57"/>
      <c r="G122" s="58"/>
      <c r="H122" s="58"/>
      <c r="I122" s="58"/>
      <c r="J122" s="58"/>
      <c r="K122" s="58"/>
      <c r="L122" s="79"/>
    </row>
    <row r="123" spans="2:16" s="45" customFormat="1" ht="15" customHeight="1" x14ac:dyDescent="0.2">
      <c r="B123" s="214"/>
      <c r="C123" s="66"/>
      <c r="D123" s="66"/>
      <c r="E123" s="300" t="str">
        <f>CONCATENATE("SUBTOTAL ",C115)</f>
        <v>SUBTOTAL 04</v>
      </c>
      <c r="F123" s="300"/>
      <c r="G123" s="300"/>
      <c r="H123" s="175"/>
      <c r="I123" s="302"/>
      <c r="J123" s="302"/>
      <c r="K123" s="176">
        <f>SUM(K115:K122)</f>
        <v>829.82999999999981</v>
      </c>
      <c r="L123" s="68">
        <f>SUM(L115:L122)</f>
        <v>3.6520682664741046E-3</v>
      </c>
    </row>
    <row r="124" spans="2:16" ht="5.0999999999999996" customHeight="1" x14ac:dyDescent="0.2"/>
    <row r="125" spans="2:16" s="45" customFormat="1" ht="15" customHeight="1" x14ac:dyDescent="0.2">
      <c r="B125" s="41"/>
      <c r="C125" s="279" t="s">
        <v>297</v>
      </c>
      <c r="D125" s="42" t="s">
        <v>19</v>
      </c>
      <c r="E125" s="43"/>
      <c r="F125" s="43"/>
      <c r="G125" s="43"/>
      <c r="H125" s="43"/>
      <c r="I125" s="43"/>
      <c r="J125" s="43"/>
      <c r="K125" s="43"/>
      <c r="L125" s="44"/>
    </row>
    <row r="126" spans="2:16" ht="12.75" customHeight="1" x14ac:dyDescent="0.2">
      <c r="B126" s="262"/>
      <c r="C126" s="263"/>
      <c r="D126" s="245"/>
      <c r="E126" s="263"/>
      <c r="F126" s="262"/>
      <c r="G126" s="246"/>
      <c r="H126" s="246"/>
      <c r="I126" s="246"/>
      <c r="J126" s="246"/>
      <c r="K126" s="246"/>
      <c r="L126" s="264"/>
    </row>
    <row r="127" spans="2:16" ht="12.95" customHeight="1" x14ac:dyDescent="0.2">
      <c r="B127" s="250"/>
      <c r="C127" s="248"/>
      <c r="D127" s="265" t="s">
        <v>421</v>
      </c>
      <c r="E127" s="248"/>
      <c r="F127" s="250"/>
      <c r="G127" s="251"/>
      <c r="H127" s="251"/>
      <c r="I127" s="251"/>
      <c r="J127" s="251"/>
      <c r="K127" s="251"/>
      <c r="L127" s="252"/>
      <c r="N127" s="12" t="s">
        <v>140</v>
      </c>
      <c r="O127" s="12" t="s">
        <v>139</v>
      </c>
      <c r="P127" s="12" t="s">
        <v>138</v>
      </c>
    </row>
    <row r="128" spans="2:16" ht="12.95" customHeight="1" x14ac:dyDescent="0.2">
      <c r="B128" s="247">
        <v>90777</v>
      </c>
      <c r="C128" s="278" t="s">
        <v>349</v>
      </c>
      <c r="D128" s="254" t="s">
        <v>176</v>
      </c>
      <c r="E128" s="248"/>
      <c r="F128" s="250" t="s">
        <v>36</v>
      </c>
      <c r="G128" s="251">
        <f t="shared" ref="G128:G131" si="54">ROUND((N128*O128*P128),2)</f>
        <v>22</v>
      </c>
      <c r="H128" s="251">
        <v>125.79</v>
      </c>
      <c r="I128" s="251">
        <f>TRUNC((H128*$L$6),2)</f>
        <v>30.22</v>
      </c>
      <c r="J128" s="251">
        <f>H128+I128</f>
        <v>156.01</v>
      </c>
      <c r="K128" s="251">
        <f>TRUNC((G128*J128),2)</f>
        <v>3432.22</v>
      </c>
      <c r="L128" s="252">
        <f>K128/$K$135</f>
        <v>1.51051441205521E-2</v>
      </c>
      <c r="N128" s="12">
        <v>0.5</v>
      </c>
      <c r="O128" s="12">
        <v>22</v>
      </c>
      <c r="P128" s="12">
        <v>2</v>
      </c>
    </row>
    <row r="129" spans="1:16" ht="12.95" customHeight="1" x14ac:dyDescent="0.2">
      <c r="B129" s="247">
        <v>90776</v>
      </c>
      <c r="C129" s="278" t="s">
        <v>350</v>
      </c>
      <c r="D129" s="249" t="s">
        <v>175</v>
      </c>
      <c r="E129" s="248"/>
      <c r="F129" s="250" t="s">
        <v>36</v>
      </c>
      <c r="G129" s="251">
        <f t="shared" si="54"/>
        <v>176</v>
      </c>
      <c r="H129" s="251">
        <v>29.44</v>
      </c>
      <c r="I129" s="251">
        <f>TRUNC((H129*$L$6),2)</f>
        <v>7.07</v>
      </c>
      <c r="J129" s="251">
        <f t="shared" ref="J129:J130" si="55">H129+I129</f>
        <v>36.510000000000005</v>
      </c>
      <c r="K129" s="251">
        <f>TRUNC((G129*J129),2)</f>
        <v>6425.76</v>
      </c>
      <c r="L129" s="252">
        <f>K129/$K$135</f>
        <v>2.8279664731304773E-2</v>
      </c>
      <c r="N129" s="12">
        <v>4</v>
      </c>
      <c r="O129" s="12">
        <v>22</v>
      </c>
      <c r="P129" s="12">
        <f>$P$128</f>
        <v>2</v>
      </c>
    </row>
    <row r="130" spans="1:16" ht="12.95" customHeight="1" x14ac:dyDescent="0.2">
      <c r="B130" s="247">
        <v>90781</v>
      </c>
      <c r="C130" s="278" t="s">
        <v>351</v>
      </c>
      <c r="D130" s="249" t="s">
        <v>141</v>
      </c>
      <c r="E130" s="248"/>
      <c r="F130" s="250" t="s">
        <v>36</v>
      </c>
      <c r="G130" s="251">
        <f t="shared" si="54"/>
        <v>5.5</v>
      </c>
      <c r="H130" s="251">
        <v>25.34</v>
      </c>
      <c r="I130" s="251">
        <f>TRUNC((H130*$L$6),2)</f>
        <v>6.08</v>
      </c>
      <c r="J130" s="251">
        <f t="shared" si="55"/>
        <v>31.42</v>
      </c>
      <c r="K130" s="251">
        <f t="shared" ref="K130" si="56">TRUNC((G130*J130),2)</f>
        <v>172.81</v>
      </c>
      <c r="L130" s="252">
        <f>K130/$K$135</f>
        <v>7.6053398543001567E-4</v>
      </c>
      <c r="N130" s="12">
        <v>0.5</v>
      </c>
      <c r="O130" s="12">
        <v>22</v>
      </c>
      <c r="P130" s="12">
        <v>0.5</v>
      </c>
    </row>
    <row r="131" spans="1:16" ht="12.95" customHeight="1" x14ac:dyDescent="0.2">
      <c r="B131" s="247">
        <v>88253</v>
      </c>
      <c r="C131" s="278" t="s">
        <v>352</v>
      </c>
      <c r="D131" s="249" t="s">
        <v>142</v>
      </c>
      <c r="E131" s="248"/>
      <c r="F131" s="250" t="s">
        <v>36</v>
      </c>
      <c r="G131" s="251">
        <f t="shared" si="54"/>
        <v>5.5</v>
      </c>
      <c r="H131" s="251">
        <v>12.65</v>
      </c>
      <c r="I131" s="251">
        <f>TRUNC((H131*$L$6),2)</f>
        <v>3.03</v>
      </c>
      <c r="J131" s="251">
        <f t="shared" ref="J131" si="57">H131+I131</f>
        <v>15.68</v>
      </c>
      <c r="K131" s="251">
        <f>TRUNC((G131*J131),2)</f>
        <v>86.24</v>
      </c>
      <c r="L131" s="252">
        <f>K131/$K$135</f>
        <v>3.7954083041192378E-4</v>
      </c>
      <c r="N131" s="12">
        <v>0.5</v>
      </c>
      <c r="O131" s="12">
        <v>22</v>
      </c>
      <c r="P131" s="12">
        <v>0.5</v>
      </c>
    </row>
    <row r="132" spans="1:16" ht="12.95" customHeight="1" x14ac:dyDescent="0.2">
      <c r="B132" s="266"/>
      <c r="C132" s="255"/>
      <c r="D132" s="267"/>
      <c r="E132" s="255"/>
      <c r="F132" s="256"/>
      <c r="G132" s="257"/>
      <c r="H132" s="257"/>
      <c r="I132" s="257"/>
      <c r="J132" s="257"/>
      <c r="K132" s="257"/>
      <c r="L132" s="268"/>
    </row>
    <row r="133" spans="1:16" s="45" customFormat="1" ht="15" customHeight="1" x14ac:dyDescent="0.2">
      <c r="B133" s="282"/>
      <c r="C133" s="273"/>
      <c r="D133" s="273"/>
      <c r="E133" s="299" t="str">
        <f>CONCATENATE("SUBTOTAL ",C125)</f>
        <v>SUBTOTAL 05</v>
      </c>
      <c r="F133" s="299"/>
      <c r="G133" s="299"/>
      <c r="H133" s="274"/>
      <c r="I133" s="301"/>
      <c r="J133" s="301"/>
      <c r="K133" s="275">
        <f>SUM(K125:K132)</f>
        <v>10117.029999999999</v>
      </c>
      <c r="L133" s="276">
        <f>SUM(L125:L132)</f>
        <v>4.4524883667698814E-2</v>
      </c>
    </row>
    <row r="134" spans="1:16" ht="5.0999999999999996" customHeight="1" x14ac:dyDescent="0.2"/>
    <row r="135" spans="1:16" s="45" customFormat="1" ht="20.100000000000001" customHeight="1" x14ac:dyDescent="0.2">
      <c r="B135" s="306" t="s">
        <v>12</v>
      </c>
      <c r="C135" s="302"/>
      <c r="D135" s="302"/>
      <c r="E135" s="302"/>
      <c r="F135" s="302"/>
      <c r="G135" s="302"/>
      <c r="H135" s="302"/>
      <c r="I135" s="302"/>
      <c r="J135" s="307"/>
      <c r="K135" s="67">
        <f>SUM(K12:K134)/2</f>
        <v>227221.92999999993</v>
      </c>
      <c r="L135" s="68">
        <f>SUM(L12:L134)/2</f>
        <v>1.0000000000000004</v>
      </c>
      <c r="N135" s="380">
        <f>K135-K34</f>
        <v>226839.64999999994</v>
      </c>
    </row>
    <row r="136" spans="1:16" x14ac:dyDescent="0.2">
      <c r="A136" s="85"/>
      <c r="B136" s="85"/>
      <c r="C136" s="85"/>
      <c r="D136" s="85"/>
      <c r="E136" s="85"/>
      <c r="F136" s="85"/>
      <c r="G136" s="85"/>
      <c r="H136" s="85"/>
      <c r="I136" s="85"/>
      <c r="J136" s="85"/>
      <c r="K136" s="85"/>
      <c r="L136" s="85"/>
    </row>
    <row r="137" spans="1:16" ht="14.1" customHeight="1" x14ac:dyDescent="0.2">
      <c r="A137" s="85"/>
      <c r="B137" s="85"/>
      <c r="C137" s="85"/>
      <c r="D137" s="87" t="s">
        <v>18</v>
      </c>
      <c r="E137" s="85"/>
      <c r="F137" s="85"/>
      <c r="G137" s="85"/>
      <c r="H137" s="85"/>
      <c r="I137" s="85"/>
      <c r="J137" s="85"/>
      <c r="K137" s="85"/>
      <c r="L137" s="85"/>
    </row>
    <row r="138" spans="1:16" ht="5.0999999999999996" customHeight="1" x14ac:dyDescent="0.2">
      <c r="A138" s="85"/>
      <c r="B138" s="85"/>
      <c r="C138" s="85"/>
      <c r="D138" s="85"/>
      <c r="E138" s="85"/>
      <c r="F138" s="85"/>
      <c r="G138" s="85"/>
      <c r="H138" s="85"/>
      <c r="I138" s="85"/>
      <c r="J138" s="85"/>
      <c r="K138" s="85"/>
      <c r="L138" s="85"/>
    </row>
    <row r="139" spans="1:16" ht="14.1" customHeight="1" x14ac:dyDescent="0.2">
      <c r="A139" s="85"/>
      <c r="B139" s="85"/>
      <c r="C139" s="88" t="str">
        <f>C13</f>
        <v>01</v>
      </c>
      <c r="D139" s="87" t="str">
        <f>D13</f>
        <v>SERVIÇOS PRELIMINARES</v>
      </c>
      <c r="E139" s="85"/>
      <c r="F139" s="85"/>
      <c r="G139" s="85"/>
      <c r="H139" s="85"/>
      <c r="I139" s="85"/>
      <c r="J139" s="85"/>
      <c r="K139" s="86">
        <f>K23</f>
        <v>11965.93</v>
      </c>
      <c r="L139" s="89">
        <f>L23</f>
        <v>5.2661862347529585E-2</v>
      </c>
    </row>
    <row r="140" spans="1:16" ht="14.1" customHeight="1" x14ac:dyDescent="0.2">
      <c r="A140" s="85"/>
      <c r="B140" s="85"/>
      <c r="C140" s="88" t="str">
        <f>C25</f>
        <v>02</v>
      </c>
      <c r="D140" s="87" t="str">
        <f>D25</f>
        <v>DEMOLIÇÕES</v>
      </c>
      <c r="E140" s="85"/>
      <c r="F140" s="85"/>
      <c r="G140" s="85"/>
      <c r="H140" s="85"/>
      <c r="I140" s="85"/>
      <c r="J140" s="85"/>
      <c r="K140" s="86">
        <f>K39</f>
        <v>3867.6299999999997</v>
      </c>
      <c r="L140" s="89">
        <f>L39</f>
        <v>1.7021376413799499E-2</v>
      </c>
    </row>
    <row r="141" spans="1:16" ht="14.1" customHeight="1" x14ac:dyDescent="0.2">
      <c r="A141" s="85"/>
      <c r="B141" s="85"/>
      <c r="C141" s="88" t="str">
        <f>C41</f>
        <v>03</v>
      </c>
      <c r="D141" s="87" t="str">
        <f>D41</f>
        <v>DRENAGEM DE ÁGUAS PLUVIAIS</v>
      </c>
      <c r="E141" s="85"/>
      <c r="F141" s="85"/>
      <c r="G141" s="85"/>
      <c r="H141" s="85"/>
      <c r="I141" s="85"/>
      <c r="J141" s="85"/>
      <c r="K141" s="86">
        <f>K113</f>
        <v>200441.50999999992</v>
      </c>
      <c r="L141" s="89">
        <f>L113</f>
        <v>0.88213980930449831</v>
      </c>
    </row>
    <row r="142" spans="1:16" ht="14.1" customHeight="1" x14ac:dyDescent="0.2">
      <c r="A142" s="85"/>
      <c r="B142" s="85"/>
      <c r="C142" s="88" t="str">
        <f>C115</f>
        <v>04</v>
      </c>
      <c r="D142" s="87" t="str">
        <f>D115</f>
        <v>SERVIÇOS COMPLEMENTARES</v>
      </c>
      <c r="E142" s="85"/>
      <c r="F142" s="85"/>
      <c r="G142" s="85"/>
      <c r="H142" s="85"/>
      <c r="I142" s="85"/>
      <c r="J142" s="85"/>
      <c r="K142" s="86">
        <f>K123</f>
        <v>829.82999999999981</v>
      </c>
      <c r="L142" s="89">
        <f>L123</f>
        <v>3.6520682664741046E-3</v>
      </c>
    </row>
    <row r="143" spans="1:16" ht="14.1" customHeight="1" x14ac:dyDescent="0.2">
      <c r="A143" s="85"/>
      <c r="B143" s="85"/>
      <c r="C143" s="88" t="str">
        <f>C125</f>
        <v>05</v>
      </c>
      <c r="D143" s="87" t="str">
        <f>D125</f>
        <v>ADMINISTRAÇÃO LOCAL</v>
      </c>
      <c r="E143" s="85"/>
      <c r="F143" s="85"/>
      <c r="G143" s="85"/>
      <c r="H143" s="85"/>
      <c r="I143" s="85"/>
      <c r="J143" s="85"/>
      <c r="K143" s="86">
        <f>K133</f>
        <v>10117.029999999999</v>
      </c>
      <c r="L143" s="89">
        <f>L133</f>
        <v>4.4524883667698814E-2</v>
      </c>
    </row>
    <row r="144" spans="1:16" ht="5.0999999999999996" customHeight="1" x14ac:dyDescent="0.2">
      <c r="A144" s="85"/>
      <c r="B144" s="85"/>
      <c r="C144" s="85"/>
      <c r="D144" s="85"/>
      <c r="E144" s="85"/>
      <c r="F144" s="85"/>
      <c r="G144" s="85"/>
      <c r="H144" s="85"/>
      <c r="I144" s="85"/>
      <c r="J144" s="85"/>
      <c r="K144" s="85"/>
      <c r="L144" s="85"/>
    </row>
    <row r="145" spans="1:12" s="85" customFormat="1" ht="15" customHeight="1" x14ac:dyDescent="0.2">
      <c r="K145" s="86">
        <f>SUM(K138:K144)</f>
        <v>227221.92999999991</v>
      </c>
      <c r="L145" s="89">
        <f>SUM(L138:L144)</f>
        <v>1.0000000000000004</v>
      </c>
    </row>
    <row r="146" spans="1:12" x14ac:dyDescent="0.2">
      <c r="A146" s="85"/>
      <c r="B146" s="85"/>
      <c r="C146" s="85"/>
      <c r="D146" s="85"/>
      <c r="E146" s="85"/>
      <c r="F146" s="85"/>
      <c r="G146" s="85"/>
      <c r="H146" s="85"/>
      <c r="I146" s="85"/>
      <c r="J146" s="85"/>
      <c r="K146" s="85"/>
      <c r="L146" s="85"/>
    </row>
  </sheetData>
  <mergeCells count="26">
    <mergeCell ref="K2:L2"/>
    <mergeCell ref="H2:J2"/>
    <mergeCell ref="H3:J3"/>
    <mergeCell ref="H4:J5"/>
    <mergeCell ref="K3:L5"/>
    <mergeCell ref="B135:J135"/>
    <mergeCell ref="I113:J113"/>
    <mergeCell ref="I23:J23"/>
    <mergeCell ref="I39:J39"/>
    <mergeCell ref="E113:G113"/>
    <mergeCell ref="E23:G23"/>
    <mergeCell ref="E39:G39"/>
    <mergeCell ref="J6:K6"/>
    <mergeCell ref="E133:G133"/>
    <mergeCell ref="E123:G123"/>
    <mergeCell ref="I133:J133"/>
    <mergeCell ref="I123:J123"/>
    <mergeCell ref="B8:L8"/>
    <mergeCell ref="C10:C11"/>
    <mergeCell ref="D10:D11"/>
    <mergeCell ref="E10:E11"/>
    <mergeCell ref="F10:F11"/>
    <mergeCell ref="G10:G11"/>
    <mergeCell ref="H10:K10"/>
    <mergeCell ref="B10:B11"/>
    <mergeCell ref="L10:L11"/>
  </mergeCells>
  <phoneticPr fontId="31"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rowBreaks count="1" manualBreakCount="1">
    <brk id="80" min="1" max="11" man="1"/>
  </rowBreaks>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3"/>
  <dimension ref="B1:CJ312"/>
  <sheetViews>
    <sheetView showGridLines="0" view="pageBreakPreview" zoomScaleNormal="100" zoomScaleSheetLayoutView="100" workbookViewId="0">
      <selection activeCell="G42" sqref="G42"/>
    </sheetView>
  </sheetViews>
  <sheetFormatPr defaultColWidth="10.28515625" defaultRowHeight="12.75" x14ac:dyDescent="0.2"/>
  <cols>
    <col min="1" max="1" width="1.7109375" style="95" customWidth="1"/>
    <col min="2" max="2" width="2.28515625" style="95" customWidth="1"/>
    <col min="3" max="3" width="35.85546875" style="95" customWidth="1"/>
    <col min="4" max="7" width="14.7109375" style="95" customWidth="1"/>
    <col min="8" max="8" width="2.28515625" style="95" customWidth="1"/>
    <col min="9" max="9" width="3.28515625" style="95" customWidth="1"/>
    <col min="10" max="10" width="23.140625" style="95" hidden="1" customWidth="1"/>
    <col min="11" max="11" width="47.7109375" style="95" hidden="1" customWidth="1"/>
    <col min="12" max="13" width="10.28515625" style="95"/>
    <col min="14" max="14" width="18.7109375" style="95" bestFit="1" customWidth="1"/>
    <col min="15" max="15" width="0" style="95" hidden="1" customWidth="1"/>
    <col min="16" max="16" width="15.42578125" style="95" hidden="1" customWidth="1"/>
    <col min="17" max="17" width="41.7109375" style="95" hidden="1" customWidth="1"/>
    <col min="18" max="18" width="18.85546875" style="95" hidden="1" customWidth="1"/>
    <col min="19" max="25" width="11.7109375" style="95" hidden="1" customWidth="1"/>
    <col min="26" max="38" width="0" style="95" hidden="1" customWidth="1"/>
    <col min="39" max="39" width="13.85546875" style="95" hidden="1" customWidth="1"/>
    <col min="40" max="40" width="38.7109375" style="95" hidden="1" customWidth="1"/>
    <col min="41" max="41" width="11.85546875" style="95" hidden="1" customWidth="1"/>
    <col min="42" max="42" width="8.7109375" style="95" hidden="1" customWidth="1"/>
    <col min="43" max="43" width="11.85546875" style="95" hidden="1" customWidth="1"/>
    <col min="44" max="44" width="9.28515625" style="95" hidden="1" customWidth="1"/>
    <col min="45" max="45" width="11.85546875" style="95" hidden="1" customWidth="1"/>
    <col min="46" max="46" width="7.28515625" style="95" hidden="1" customWidth="1"/>
    <col min="47" max="72" width="10.28515625" style="95"/>
    <col min="73" max="73" width="22.7109375" style="95" bestFit="1" customWidth="1"/>
    <col min="74" max="74" width="29" style="95" customWidth="1"/>
    <col min="75" max="75" width="9.5703125" style="95" customWidth="1"/>
    <col min="76" max="76" width="11.5703125" style="95" customWidth="1"/>
    <col min="77" max="77" width="10.7109375" style="95" customWidth="1"/>
    <col min="78" max="78" width="10.28515625" style="95"/>
    <col min="79" max="82" width="2.42578125" style="95" customWidth="1"/>
    <col min="83" max="83" width="4.85546875" style="95" bestFit="1" customWidth="1"/>
    <col min="84" max="84" width="29.42578125" style="95" bestFit="1" customWidth="1"/>
    <col min="85" max="85" width="17" style="95" bestFit="1" customWidth="1"/>
    <col min="86" max="86" width="14.42578125" style="95" bestFit="1" customWidth="1"/>
    <col min="87" max="87" width="17" style="95" bestFit="1" customWidth="1"/>
    <col min="88" max="88" width="8.85546875" style="95" customWidth="1"/>
    <col min="89" max="98" width="2.42578125" style="95" customWidth="1"/>
    <col min="99" max="16384" width="10.28515625" style="95"/>
  </cols>
  <sheetData>
    <row r="1" spans="2:12" ht="5.0999999999999996" customHeight="1" thickBot="1" x14ac:dyDescent="0.25"/>
    <row r="2" spans="2:12" ht="21" thickBot="1" x14ac:dyDescent="0.25">
      <c r="B2" s="96"/>
      <c r="C2" s="316" t="s">
        <v>204</v>
      </c>
      <c r="D2" s="316"/>
      <c r="E2" s="316"/>
      <c r="F2" s="316"/>
      <c r="G2" s="316"/>
      <c r="H2" s="97"/>
    </row>
    <row r="3" spans="2:12" ht="3.75" customHeight="1" thickTop="1" thickBot="1" x14ac:dyDescent="0.25">
      <c r="B3" s="98"/>
      <c r="C3" s="99"/>
      <c r="D3" s="99"/>
      <c r="E3" s="99"/>
      <c r="F3" s="99"/>
      <c r="G3" s="99"/>
      <c r="H3" s="100"/>
    </row>
    <row r="4" spans="2:12" ht="3.75" customHeight="1" x14ac:dyDescent="0.2">
      <c r="B4" s="101"/>
      <c r="C4" s="102"/>
      <c r="D4" s="102"/>
      <c r="E4" s="102"/>
      <c r="F4" s="102"/>
      <c r="G4" s="102"/>
      <c r="H4" s="103"/>
    </row>
    <row r="5" spans="2:12" ht="14.25" customHeight="1" x14ac:dyDescent="0.2">
      <c r="B5" s="98"/>
      <c r="C5" s="317" t="s">
        <v>205</v>
      </c>
      <c r="D5" s="317"/>
      <c r="E5" s="317"/>
      <c r="F5" s="317"/>
      <c r="G5" s="317"/>
      <c r="H5" s="100"/>
    </row>
    <row r="6" spans="2:12" ht="3.75" customHeight="1" x14ac:dyDescent="0.2">
      <c r="B6" s="98"/>
      <c r="C6" s="104"/>
      <c r="D6" s="104"/>
      <c r="E6" s="104"/>
      <c r="F6" s="104"/>
      <c r="G6" s="104"/>
      <c r="H6" s="100"/>
    </row>
    <row r="7" spans="2:12" ht="38.25" customHeight="1" x14ac:dyDescent="0.2">
      <c r="B7" s="98"/>
      <c r="C7" s="105" t="s">
        <v>206</v>
      </c>
      <c r="D7" s="318" t="s">
        <v>207</v>
      </c>
      <c r="E7" s="319"/>
      <c r="F7" s="319"/>
      <c r="G7" s="320"/>
      <c r="H7" s="100"/>
    </row>
    <row r="8" spans="2:12" x14ac:dyDescent="0.2">
      <c r="B8" s="98"/>
      <c r="C8" s="104"/>
      <c r="H8" s="100"/>
    </row>
    <row r="9" spans="2:12" x14ac:dyDescent="0.2">
      <c r="B9" s="98"/>
      <c r="C9" s="105" t="s">
        <v>208</v>
      </c>
      <c r="G9" s="106" t="s">
        <v>209</v>
      </c>
      <c r="H9" s="100"/>
      <c r="L9" s="107" t="str">
        <f>IF(G9="","PREENCHER SE A OBRA POSSUI FOLHA DE PAGAMENTO DESONERADA","")</f>
        <v/>
      </c>
    </row>
    <row r="10" spans="2:12" x14ac:dyDescent="0.2">
      <c r="B10" s="98"/>
      <c r="C10" s="108" t="s">
        <v>210</v>
      </c>
      <c r="H10" s="100"/>
    </row>
    <row r="11" spans="2:12" x14ac:dyDescent="0.2">
      <c r="B11" s="98"/>
      <c r="C11" s="104"/>
      <c r="D11" s="104"/>
      <c r="E11" s="104"/>
      <c r="F11" s="109"/>
      <c r="G11" s="104"/>
      <c r="H11" s="100"/>
    </row>
    <row r="12" spans="2:12" x14ac:dyDescent="0.2">
      <c r="B12" s="98"/>
      <c r="C12" s="104" t="s">
        <v>211</v>
      </c>
      <c r="D12" s="104"/>
      <c r="E12" s="104"/>
      <c r="F12" s="109"/>
      <c r="G12" s="104"/>
      <c r="H12" s="100"/>
    </row>
    <row r="13" spans="2:12" ht="81" customHeight="1" x14ac:dyDescent="0.2">
      <c r="B13" s="98"/>
      <c r="C13" s="321" t="str">
        <f>VLOOKUP(BV295,BW257:BX262,2,0)</f>
        <v>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D13" s="322"/>
      <c r="E13" s="322"/>
      <c r="F13" s="322"/>
      <c r="G13" s="323"/>
      <c r="H13" s="100"/>
    </row>
    <row r="14" spans="2:12" ht="3.75" customHeight="1" x14ac:dyDescent="0.2">
      <c r="B14" s="98"/>
      <c r="C14" s="104"/>
      <c r="D14" s="104"/>
      <c r="E14" s="104"/>
      <c r="F14" s="109"/>
      <c r="G14" s="104"/>
      <c r="H14" s="100"/>
    </row>
    <row r="15" spans="2:12" x14ac:dyDescent="0.2">
      <c r="B15" s="98"/>
      <c r="C15" s="104" t="s">
        <v>212</v>
      </c>
      <c r="D15" s="104"/>
      <c r="E15" s="104"/>
      <c r="F15" s="109"/>
      <c r="G15" s="104"/>
      <c r="H15" s="100"/>
    </row>
    <row r="16" spans="2:12" ht="3.75" customHeight="1" x14ac:dyDescent="0.2">
      <c r="B16" s="98"/>
      <c r="C16" s="104"/>
      <c r="D16" s="104"/>
      <c r="E16" s="104"/>
      <c r="F16" s="109"/>
      <c r="G16" s="104"/>
      <c r="H16" s="100"/>
    </row>
    <row r="17" spans="2:49" x14ac:dyDescent="0.2">
      <c r="B17" s="98"/>
      <c r="C17" s="104" t="s">
        <v>213</v>
      </c>
      <c r="D17" s="104"/>
      <c r="E17" s="104"/>
      <c r="F17" s="324" t="s">
        <v>214</v>
      </c>
      <c r="G17" s="324"/>
      <c r="H17" s="100"/>
      <c r="L17" s="313" t="str">
        <f>IF(F17="LUCRO REAL","PARA CÁLCULO DO IMPOSTO PREENCHER O % ADOTADO DE LUCRO NO CÁLCULO DO BDI - CELULA F40","")</f>
        <v/>
      </c>
      <c r="M17" s="313"/>
      <c r="N17" s="313"/>
      <c r="O17" s="313"/>
      <c r="P17" s="313"/>
      <c r="Q17" s="313"/>
      <c r="R17" s="313"/>
      <c r="S17" s="313"/>
      <c r="T17" s="313"/>
      <c r="U17" s="313"/>
      <c r="V17" s="313"/>
      <c r="W17" s="313"/>
      <c r="X17" s="313"/>
      <c r="Y17" s="313"/>
      <c r="Z17" s="313"/>
      <c r="AA17" s="313"/>
      <c r="AB17" s="313"/>
      <c r="AC17" s="313"/>
      <c r="AD17" s="313"/>
      <c r="AE17" s="313"/>
      <c r="AF17" s="313"/>
      <c r="AG17" s="313"/>
      <c r="AH17" s="313"/>
      <c r="AI17" s="313"/>
      <c r="AJ17" s="313"/>
      <c r="AK17" s="313"/>
      <c r="AL17" s="313"/>
      <c r="AM17" s="313"/>
      <c r="AN17" s="313"/>
      <c r="AO17" s="313"/>
      <c r="AP17" s="313"/>
      <c r="AQ17" s="313"/>
      <c r="AR17" s="313"/>
      <c r="AS17" s="313"/>
      <c r="AT17" s="313"/>
      <c r="AU17" s="313"/>
      <c r="AV17" s="313"/>
      <c r="AW17" s="313"/>
    </row>
    <row r="18" spans="2:49" ht="3.75" customHeight="1" x14ac:dyDescent="0.2">
      <c r="B18" s="98"/>
      <c r="C18" s="104"/>
      <c r="D18" s="104"/>
      <c r="E18" s="104"/>
      <c r="F18" s="110"/>
      <c r="G18" s="110"/>
      <c r="H18" s="100"/>
      <c r="L18" s="313"/>
      <c r="M18" s="313"/>
      <c r="N18" s="313"/>
      <c r="O18" s="313"/>
      <c r="P18" s="313"/>
      <c r="Q18" s="313"/>
      <c r="R18" s="313"/>
      <c r="S18" s="313"/>
      <c r="T18" s="313"/>
      <c r="U18" s="313"/>
      <c r="V18" s="313"/>
      <c r="W18" s="313"/>
      <c r="X18" s="313"/>
      <c r="Y18" s="313"/>
      <c r="Z18" s="313"/>
      <c r="AA18" s="313"/>
      <c r="AB18" s="313"/>
      <c r="AC18" s="313"/>
      <c r="AD18" s="313"/>
      <c r="AE18" s="313"/>
      <c r="AF18" s="313"/>
      <c r="AG18" s="313"/>
      <c r="AH18" s="313"/>
      <c r="AI18" s="313"/>
      <c r="AJ18" s="313"/>
      <c r="AK18" s="313"/>
      <c r="AL18" s="313"/>
      <c r="AM18" s="313"/>
      <c r="AN18" s="313"/>
      <c r="AO18" s="313"/>
      <c r="AP18" s="313"/>
      <c r="AQ18" s="313"/>
      <c r="AR18" s="313"/>
      <c r="AS18" s="313"/>
      <c r="AT18" s="313"/>
      <c r="AU18" s="313"/>
      <c r="AV18" s="313"/>
      <c r="AW18" s="313"/>
    </row>
    <row r="19" spans="2:49" x14ac:dyDescent="0.2">
      <c r="B19" s="98"/>
      <c r="C19" s="110" t="s">
        <v>215</v>
      </c>
      <c r="D19" s="110" t="s">
        <v>216</v>
      </c>
      <c r="E19" s="314" t="s">
        <v>217</v>
      </c>
      <c r="F19" s="314"/>
      <c r="G19" s="314"/>
      <c r="H19" s="100"/>
      <c r="L19" s="313"/>
      <c r="M19" s="313"/>
      <c r="N19" s="313"/>
      <c r="O19" s="313"/>
      <c r="P19" s="313"/>
      <c r="Q19" s="313"/>
      <c r="R19" s="313"/>
      <c r="S19" s="313"/>
      <c r="T19" s="313"/>
      <c r="U19" s="313"/>
      <c r="V19" s="313"/>
      <c r="W19" s="313"/>
      <c r="X19" s="313"/>
      <c r="Y19" s="313"/>
      <c r="Z19" s="313"/>
      <c r="AA19" s="313"/>
      <c r="AB19" s="313"/>
      <c r="AC19" s="313"/>
      <c r="AD19" s="313"/>
      <c r="AE19" s="313"/>
      <c r="AF19" s="313"/>
      <c r="AG19" s="313"/>
      <c r="AH19" s="313"/>
      <c r="AI19" s="313"/>
      <c r="AJ19" s="313"/>
      <c r="AK19" s="313"/>
      <c r="AL19" s="313"/>
      <c r="AM19" s="313"/>
      <c r="AN19" s="313"/>
      <c r="AO19" s="313"/>
      <c r="AP19" s="313"/>
      <c r="AQ19" s="313"/>
      <c r="AR19" s="313"/>
      <c r="AS19" s="313"/>
      <c r="AT19" s="313"/>
      <c r="AU19" s="313"/>
      <c r="AV19" s="313"/>
      <c r="AW19" s="313"/>
    </row>
    <row r="20" spans="2:49" x14ac:dyDescent="0.2">
      <c r="B20" s="98"/>
      <c r="C20" s="111" t="s">
        <v>115</v>
      </c>
      <c r="D20" s="112">
        <f>VLOOKUP($F$17,$CF$266:$CI$267,2,0)</f>
        <v>6.4999999999999997E-3</v>
      </c>
      <c r="E20" s="317" t="str">
        <f>VLOOKUP(F17,CF266:CI267,4,0)</f>
        <v>RECEITA BRUTA (VALOR DA NOTA)</v>
      </c>
      <c r="F20" s="317"/>
      <c r="G20" s="317"/>
      <c r="H20" s="100"/>
    </row>
    <row r="21" spans="2:49" x14ac:dyDescent="0.2">
      <c r="B21" s="98"/>
      <c r="C21" s="111" t="s">
        <v>116</v>
      </c>
      <c r="D21" s="112">
        <f>VLOOKUP($F$17,$CF$266:$CI$267,3,0)</f>
        <v>0.03</v>
      </c>
      <c r="E21" s="317"/>
      <c r="F21" s="317"/>
      <c r="G21" s="317"/>
      <c r="H21" s="100"/>
    </row>
    <row r="22" spans="2:49" x14ac:dyDescent="0.2">
      <c r="B22" s="98"/>
      <c r="C22" s="104"/>
      <c r="D22" s="104"/>
      <c r="E22" s="104"/>
      <c r="F22" s="110"/>
      <c r="G22" s="110"/>
      <c r="H22" s="100"/>
    </row>
    <row r="23" spans="2:49" x14ac:dyDescent="0.2">
      <c r="B23" s="98"/>
      <c r="C23" s="104" t="s">
        <v>218</v>
      </c>
      <c r="D23" s="104"/>
      <c r="E23" s="325" t="s">
        <v>219</v>
      </c>
      <c r="F23" s="325"/>
      <c r="G23" s="325"/>
      <c r="H23" s="100"/>
    </row>
    <row r="24" spans="2:49" x14ac:dyDescent="0.2">
      <c r="B24" s="98"/>
      <c r="C24" s="113">
        <v>0.05</v>
      </c>
      <c r="D24" s="114"/>
      <c r="E24" s="326">
        <v>0.4</v>
      </c>
      <c r="F24" s="326"/>
      <c r="G24" s="326"/>
      <c r="H24" s="100"/>
    </row>
    <row r="25" spans="2:49" ht="3.75" customHeight="1" x14ac:dyDescent="0.2">
      <c r="B25" s="98"/>
      <c r="D25" s="104"/>
      <c r="E25" s="104" t="s">
        <v>220</v>
      </c>
      <c r="F25" s="104"/>
      <c r="G25" s="104"/>
      <c r="H25" s="100"/>
    </row>
    <row r="26" spans="2:49" x14ac:dyDescent="0.2">
      <c r="B26" s="98"/>
      <c r="C26" s="104" t="s">
        <v>221</v>
      </c>
      <c r="D26" s="112">
        <f>+C24*E24</f>
        <v>2.0000000000000004E-2</v>
      </c>
      <c r="E26" s="115"/>
      <c r="F26" s="116"/>
      <c r="H26" s="100"/>
    </row>
    <row r="27" spans="2:49" ht="3.75" customHeight="1" x14ac:dyDescent="0.2">
      <c r="B27" s="98"/>
      <c r="D27" s="112"/>
      <c r="H27" s="100"/>
    </row>
    <row r="28" spans="2:49" ht="15.75" x14ac:dyDescent="0.25">
      <c r="B28" s="98"/>
      <c r="E28" s="327" t="s">
        <v>222</v>
      </c>
      <c r="F28" s="327"/>
      <c r="G28" s="117">
        <f>VLOOKUP(F17,CF266:CJ267,5,0)</f>
        <v>5.6500000000000002E-2</v>
      </c>
      <c r="H28" s="100"/>
    </row>
    <row r="29" spans="2:49" ht="3.75" customHeight="1" x14ac:dyDescent="0.2">
      <c r="B29" s="98"/>
      <c r="D29" s="112"/>
      <c r="H29" s="100"/>
    </row>
    <row r="30" spans="2:49" ht="26.25" customHeight="1" x14ac:dyDescent="0.2">
      <c r="B30" s="98"/>
      <c r="C30" s="328" t="s">
        <v>223</v>
      </c>
      <c r="D30" s="328"/>
      <c r="E30" s="328"/>
      <c r="F30" s="328"/>
      <c r="G30" s="328"/>
      <c r="H30" s="100"/>
    </row>
    <row r="31" spans="2:49" ht="3.75" customHeight="1" thickBot="1" x14ac:dyDescent="0.25">
      <c r="B31" s="118"/>
      <c r="C31" s="315"/>
      <c r="D31" s="315"/>
      <c r="E31" s="315"/>
      <c r="F31" s="315"/>
      <c r="G31" s="315"/>
      <c r="H31" s="119"/>
    </row>
    <row r="32" spans="2:49" ht="6.75" customHeight="1" thickBot="1" x14ac:dyDescent="0.25">
      <c r="B32" s="98"/>
      <c r="H32" s="100"/>
    </row>
    <row r="33" spans="2:10" x14ac:dyDescent="0.2">
      <c r="B33" s="101"/>
      <c r="C33" s="120"/>
      <c r="D33" s="120"/>
      <c r="E33" s="120"/>
      <c r="F33" s="120"/>
      <c r="G33" s="120"/>
      <c r="H33" s="103"/>
    </row>
    <row r="34" spans="2:10" x14ac:dyDescent="0.2">
      <c r="B34" s="98"/>
      <c r="C34" s="327" t="s">
        <v>224</v>
      </c>
      <c r="D34" s="327"/>
      <c r="E34" s="327"/>
      <c r="F34" s="327"/>
      <c r="G34" s="327"/>
      <c r="H34" s="100"/>
    </row>
    <row r="35" spans="2:10" x14ac:dyDescent="0.2">
      <c r="B35" s="98"/>
      <c r="C35" s="327"/>
      <c r="D35" s="327"/>
      <c r="E35" s="327"/>
      <c r="F35" s="327"/>
      <c r="G35" s="327"/>
      <c r="H35" s="100"/>
    </row>
    <row r="36" spans="2:10" x14ac:dyDescent="0.2">
      <c r="B36" s="98"/>
      <c r="C36" s="121" t="s">
        <v>225</v>
      </c>
      <c r="D36" s="121" t="s">
        <v>113</v>
      </c>
      <c r="E36" s="121" t="s">
        <v>112</v>
      </c>
      <c r="F36" s="121" t="s">
        <v>111</v>
      </c>
      <c r="G36" s="122" t="s">
        <v>226</v>
      </c>
      <c r="H36" s="100"/>
      <c r="J36" s="123" t="s">
        <v>227</v>
      </c>
    </row>
    <row r="37" spans="2:10" x14ac:dyDescent="0.2">
      <c r="B37" s="98"/>
      <c r="C37" s="124" t="s">
        <v>228</v>
      </c>
      <c r="D37" s="125">
        <f t="shared" ref="D37:F41" si="0">BW296</f>
        <v>3.7999999999999999E-2</v>
      </c>
      <c r="E37" s="125">
        <f t="shared" si="0"/>
        <v>4.0099999999999997E-2</v>
      </c>
      <c r="F37" s="125">
        <f t="shared" si="0"/>
        <v>4.6699999999999998E-2</v>
      </c>
      <c r="G37" s="126">
        <v>4.6699999999999998E-2</v>
      </c>
      <c r="H37" s="127"/>
      <c r="I37" s="128"/>
      <c r="J37" s="128">
        <f>TRUNC(G37,4)</f>
        <v>4.6699999999999998E-2</v>
      </c>
    </row>
    <row r="38" spans="2:10" ht="23.45" customHeight="1" x14ac:dyDescent="0.2">
      <c r="B38" s="98"/>
      <c r="C38" s="124" t="s">
        <v>229</v>
      </c>
      <c r="D38" s="125">
        <f t="shared" si="0"/>
        <v>3.2000000000000002E-3</v>
      </c>
      <c r="E38" s="125">
        <f t="shared" si="0"/>
        <v>4.0000000000000001E-3</v>
      </c>
      <c r="F38" s="125">
        <f t="shared" si="0"/>
        <v>7.4000000000000003E-3</v>
      </c>
      <c r="G38" s="126">
        <v>7.4000000000000003E-3</v>
      </c>
      <c r="H38" s="127"/>
      <c r="I38" s="128"/>
      <c r="J38" s="128">
        <f>TRUNC(G38,4)</f>
        <v>7.4000000000000003E-3</v>
      </c>
    </row>
    <row r="39" spans="2:10" x14ac:dyDescent="0.2">
      <c r="B39" s="98"/>
      <c r="C39" s="124" t="s">
        <v>230</v>
      </c>
      <c r="D39" s="125">
        <f t="shared" si="0"/>
        <v>5.0000000000000001E-3</v>
      </c>
      <c r="E39" s="125">
        <f t="shared" si="0"/>
        <v>5.5999999999999999E-3</v>
      </c>
      <c r="F39" s="125">
        <f t="shared" si="0"/>
        <v>9.7000000000000003E-3</v>
      </c>
      <c r="G39" s="126">
        <v>9.7000000000000003E-3</v>
      </c>
      <c r="H39" s="127"/>
      <c r="I39" s="128"/>
      <c r="J39" s="128">
        <f>TRUNC(G39,4)</f>
        <v>9.7000000000000003E-3</v>
      </c>
    </row>
    <row r="40" spans="2:10" x14ac:dyDescent="0.2">
      <c r="B40" s="98"/>
      <c r="C40" s="124" t="s">
        <v>231</v>
      </c>
      <c r="D40" s="125">
        <f t="shared" si="0"/>
        <v>1.0200000000000001E-2</v>
      </c>
      <c r="E40" s="125">
        <f t="shared" si="0"/>
        <v>1.11E-2</v>
      </c>
      <c r="F40" s="125">
        <f t="shared" si="0"/>
        <v>1.21E-2</v>
      </c>
      <c r="G40" s="126">
        <v>1.21E-2</v>
      </c>
      <c r="H40" s="127"/>
      <c r="I40" s="128"/>
      <c r="J40" s="128">
        <f>TRUNC(G40,4)</f>
        <v>1.21E-2</v>
      </c>
    </row>
    <row r="41" spans="2:10" x14ac:dyDescent="0.2">
      <c r="B41" s="98"/>
      <c r="C41" s="124" t="s">
        <v>232</v>
      </c>
      <c r="D41" s="125">
        <f t="shared" si="0"/>
        <v>6.6400000000000001E-2</v>
      </c>
      <c r="E41" s="125">
        <f t="shared" si="0"/>
        <v>7.2999999999999995E-2</v>
      </c>
      <c r="F41" s="125">
        <f t="shared" si="0"/>
        <v>8.6900000000000005E-2</v>
      </c>
      <c r="G41" s="126">
        <v>8.6900000000000005E-2</v>
      </c>
      <c r="H41" s="127"/>
      <c r="I41" s="128"/>
      <c r="J41" s="128">
        <f>TRUNC(G41,4)</f>
        <v>8.6900000000000005E-2</v>
      </c>
    </row>
    <row r="42" spans="2:10" ht="3.75" customHeight="1" x14ac:dyDescent="0.2">
      <c r="B42" s="98"/>
      <c r="C42" s="124"/>
      <c r="D42" s="125"/>
      <c r="E42" s="125"/>
      <c r="F42" s="125"/>
      <c r="H42" s="127"/>
      <c r="I42" s="128"/>
    </row>
    <row r="43" spans="2:10" x14ac:dyDescent="0.2">
      <c r="B43" s="98"/>
      <c r="C43" s="129" t="s">
        <v>233</v>
      </c>
      <c r="D43" s="125"/>
      <c r="E43" s="125"/>
      <c r="F43" s="125"/>
      <c r="G43" s="130">
        <f>G28</f>
        <v>5.6500000000000002E-2</v>
      </c>
      <c r="H43" s="127"/>
      <c r="I43" s="128"/>
      <c r="J43" s="131">
        <f>TRUNC(G43,5)</f>
        <v>5.6500000000000002E-2</v>
      </c>
    </row>
    <row r="44" spans="2:10" ht="3.75" customHeight="1" x14ac:dyDescent="0.2">
      <c r="B44" s="98"/>
      <c r="C44" s="129"/>
      <c r="D44" s="125"/>
      <c r="E44" s="125"/>
      <c r="F44" s="125"/>
      <c r="G44" s="130"/>
      <c r="H44" s="127"/>
      <c r="I44" s="128"/>
      <c r="J44" s="131"/>
    </row>
    <row r="45" spans="2:10" x14ac:dyDescent="0.2">
      <c r="B45" s="98"/>
      <c r="H45" s="127"/>
      <c r="I45" s="128"/>
    </row>
    <row r="46" spans="2:10" x14ac:dyDescent="0.2">
      <c r="B46" s="98"/>
      <c r="H46" s="100"/>
    </row>
    <row r="47" spans="2:10" x14ac:dyDescent="0.2">
      <c r="B47" s="98"/>
      <c r="H47" s="100"/>
    </row>
    <row r="48" spans="2:10" x14ac:dyDescent="0.2">
      <c r="B48" s="98"/>
      <c r="H48" s="100"/>
    </row>
    <row r="49" spans="2:10" x14ac:dyDescent="0.2">
      <c r="B49" s="98"/>
      <c r="H49" s="100"/>
    </row>
    <row r="50" spans="2:10" ht="15.75" x14ac:dyDescent="0.25">
      <c r="B50" s="98"/>
      <c r="C50" s="132" t="s">
        <v>234</v>
      </c>
      <c r="F50" s="330">
        <f>TRUNC((((1+J37+J38+J39)*(1+J40)*(1+J41))/(1-J43))-1,4)</f>
        <v>0.24030000000000001</v>
      </c>
      <c r="G50" s="330"/>
      <c r="H50" s="100"/>
    </row>
    <row r="51" spans="2:10" ht="3.75" customHeight="1" x14ac:dyDescent="0.25">
      <c r="B51" s="98"/>
      <c r="C51" s="132"/>
      <c r="F51" s="133"/>
      <c r="G51" s="133"/>
      <c r="H51" s="100"/>
    </row>
    <row r="52" spans="2:10" x14ac:dyDescent="0.2">
      <c r="B52" s="98"/>
      <c r="C52" s="331" t="str">
        <f>IF(F50&lt;D54,"ERRO - BDI INFERIOR AO 1º QUARTIL",IF(F50&gt;F54,"ERRO - BDI SUPERIOR AO 3º QUARTIL",""))</f>
        <v/>
      </c>
      <c r="D52" s="331"/>
      <c r="E52" s="331"/>
      <c r="F52" s="331"/>
      <c r="G52" s="331"/>
      <c r="H52" s="100"/>
    </row>
    <row r="53" spans="2:10" x14ac:dyDescent="0.2">
      <c r="B53" s="98"/>
      <c r="D53" s="121" t="s">
        <v>113</v>
      </c>
      <c r="E53" s="121" t="s">
        <v>112</v>
      </c>
      <c r="F53" s="121" t="s">
        <v>111</v>
      </c>
      <c r="H53" s="100"/>
    </row>
    <row r="54" spans="2:10" x14ac:dyDescent="0.2">
      <c r="B54" s="98"/>
      <c r="C54" s="129" t="s">
        <v>235</v>
      </c>
      <c r="D54" s="125">
        <f>BW295</f>
        <v>0.19600000000000001</v>
      </c>
      <c r="E54" s="125">
        <f>BX295</f>
        <v>0.2097</v>
      </c>
      <c r="F54" s="125">
        <f>BY295</f>
        <v>0.24229999999999999</v>
      </c>
      <c r="H54" s="100"/>
    </row>
    <row r="55" spans="2:10" ht="3.75" customHeight="1" x14ac:dyDescent="0.2">
      <c r="B55" s="98"/>
      <c r="C55" s="129"/>
      <c r="D55" s="125"/>
      <c r="E55" s="125"/>
      <c r="F55" s="125"/>
      <c r="H55" s="100"/>
    </row>
    <row r="56" spans="2:10" x14ac:dyDescent="0.2">
      <c r="B56" s="98"/>
      <c r="C56" s="327" t="s">
        <v>236</v>
      </c>
      <c r="D56" s="327"/>
      <c r="E56" s="327"/>
      <c r="F56" s="327"/>
      <c r="G56" s="327"/>
      <c r="H56" s="100"/>
    </row>
    <row r="57" spans="2:10" ht="3.75" customHeight="1" x14ac:dyDescent="0.2">
      <c r="B57" s="98"/>
      <c r="C57" s="111"/>
      <c r="D57" s="111"/>
      <c r="E57" s="111"/>
      <c r="F57" s="111"/>
      <c r="G57" s="111"/>
      <c r="H57" s="100"/>
    </row>
    <row r="58" spans="2:10" ht="37.5" customHeight="1" x14ac:dyDescent="0.2">
      <c r="B58" s="98"/>
      <c r="C58" s="332" t="s">
        <v>237</v>
      </c>
      <c r="D58" s="332"/>
      <c r="E58" s="332"/>
      <c r="F58" s="333">
        <f>TRUNC((((1+J37+J38+J39)*(1+J40)*(1+J41))/(1-J60))-1,4)</f>
        <v>0.3024</v>
      </c>
      <c r="G58" s="333"/>
      <c r="H58" s="100"/>
    </row>
    <row r="59" spans="2:10" ht="3.75" customHeight="1" x14ac:dyDescent="0.2">
      <c r="B59" s="98"/>
      <c r="C59" s="134"/>
      <c r="D59" s="135"/>
      <c r="E59" s="135"/>
      <c r="F59" s="135"/>
      <c r="G59" s="136"/>
      <c r="H59" s="100"/>
    </row>
    <row r="60" spans="2:10" ht="15.75" x14ac:dyDescent="0.25">
      <c r="B60" s="98"/>
      <c r="C60" s="137" t="s">
        <v>238</v>
      </c>
      <c r="D60" s="138">
        <v>4.4999999999999998E-2</v>
      </c>
      <c r="E60" s="334" t="s">
        <v>222</v>
      </c>
      <c r="F60" s="334"/>
      <c r="G60" s="139">
        <f>+G28+D60</f>
        <v>0.10150000000000001</v>
      </c>
      <c r="H60" s="100"/>
      <c r="J60" s="131">
        <f>TRUNC(G60,5)</f>
        <v>0.10150000000000001</v>
      </c>
    </row>
    <row r="61" spans="2:10" ht="3.75" customHeight="1" x14ac:dyDescent="0.2">
      <c r="B61" s="98"/>
      <c r="C61" s="134"/>
      <c r="D61" s="135"/>
      <c r="E61" s="135"/>
      <c r="F61" s="135"/>
      <c r="G61" s="136"/>
      <c r="H61" s="100"/>
    </row>
    <row r="62" spans="2:10" x14ac:dyDescent="0.2">
      <c r="B62" s="98"/>
      <c r="C62" s="136"/>
      <c r="D62" s="136"/>
      <c r="E62" s="136"/>
      <c r="F62" s="136"/>
      <c r="G62" s="136"/>
      <c r="H62" s="100"/>
    </row>
    <row r="63" spans="2:10" ht="15" x14ac:dyDescent="0.25">
      <c r="B63" s="98"/>
      <c r="C63" s="136"/>
      <c r="D63" s="136"/>
      <c r="E63" s="136"/>
      <c r="F63" s="136"/>
      <c r="G63" s="136"/>
      <c r="H63" s="100"/>
      <c r="J63" s="140"/>
    </row>
    <row r="64" spans="2:10" ht="15" x14ac:dyDescent="0.25">
      <c r="B64" s="98"/>
      <c r="C64" s="136"/>
      <c r="D64" s="136"/>
      <c r="E64" s="136"/>
      <c r="F64" s="136"/>
      <c r="G64" s="136"/>
      <c r="H64" s="100"/>
      <c r="J64" s="140"/>
    </row>
    <row r="65" spans="2:10" x14ac:dyDescent="0.2">
      <c r="B65" s="335" t="s">
        <v>239</v>
      </c>
      <c r="C65" s="336"/>
      <c r="D65" s="336"/>
      <c r="E65" s="336"/>
      <c r="F65" s="336"/>
      <c r="G65" s="336"/>
      <c r="H65" s="337"/>
      <c r="J65" s="141"/>
    </row>
    <row r="66" spans="2:10" ht="25.5" customHeight="1" x14ac:dyDescent="0.25">
      <c r="B66" s="338" t="s">
        <v>240</v>
      </c>
      <c r="C66" s="336"/>
      <c r="D66" s="336"/>
      <c r="E66" s="336"/>
      <c r="F66" s="336"/>
      <c r="G66" s="336"/>
      <c r="H66" s="337"/>
      <c r="J66" s="140"/>
    </row>
    <row r="67" spans="2:10" ht="15.75" thickBot="1" x14ac:dyDescent="0.3">
      <c r="B67" s="339"/>
      <c r="C67" s="329"/>
      <c r="D67" s="329"/>
      <c r="E67" s="329"/>
      <c r="F67" s="329"/>
      <c r="G67" s="329"/>
      <c r="H67" s="340"/>
      <c r="J67" s="140"/>
    </row>
    <row r="73" spans="2:10" x14ac:dyDescent="0.2">
      <c r="J73" s="142"/>
    </row>
    <row r="74" spans="2:10" ht="15" x14ac:dyDescent="0.25">
      <c r="J74" s="143"/>
    </row>
    <row r="75" spans="2:10" ht="15" x14ac:dyDescent="0.25">
      <c r="J75" s="143"/>
    </row>
    <row r="76" spans="2:10" ht="15" x14ac:dyDescent="0.25">
      <c r="J76" s="143"/>
    </row>
    <row r="77" spans="2:10" ht="15" x14ac:dyDescent="0.25">
      <c r="J77" s="143"/>
    </row>
    <row r="78" spans="2:10" ht="15" x14ac:dyDescent="0.25">
      <c r="J78" s="143"/>
    </row>
    <row r="79" spans="2:10" ht="15" x14ac:dyDescent="0.25">
      <c r="J79" s="143"/>
    </row>
    <row r="80" spans="2:10" ht="15" x14ac:dyDescent="0.25">
      <c r="J80" s="143"/>
    </row>
    <row r="81" spans="10:16" ht="15" x14ac:dyDescent="0.25">
      <c r="J81" s="143"/>
    </row>
    <row r="82" spans="10:16" ht="15" x14ac:dyDescent="0.25">
      <c r="J82" s="143"/>
    </row>
    <row r="83" spans="10:16" ht="15" x14ac:dyDescent="0.25">
      <c r="J83" s="144"/>
    </row>
    <row r="84" spans="10:16" ht="15" x14ac:dyDescent="0.25">
      <c r="J84" s="144"/>
    </row>
    <row r="85" spans="10:16" ht="15" x14ac:dyDescent="0.25">
      <c r="J85" s="144"/>
    </row>
    <row r="89" spans="10:16" ht="15" x14ac:dyDescent="0.25">
      <c r="O89" s="143"/>
      <c r="P89" s="128"/>
    </row>
    <row r="90" spans="10:16" ht="15" x14ac:dyDescent="0.25">
      <c r="O90" s="143"/>
      <c r="P90" s="128"/>
    </row>
    <row r="91" spans="10:16" ht="15" x14ac:dyDescent="0.25">
      <c r="O91" s="143"/>
      <c r="P91" s="128"/>
    </row>
    <row r="92" spans="10:16" ht="15" x14ac:dyDescent="0.25">
      <c r="O92" s="143"/>
      <c r="P92" s="128"/>
    </row>
    <row r="93" spans="10:16" ht="15" x14ac:dyDescent="0.25">
      <c r="O93" s="143"/>
      <c r="P93" s="128"/>
    </row>
    <row r="94" spans="10:16" ht="15" x14ac:dyDescent="0.25">
      <c r="O94" s="143"/>
      <c r="P94" s="128"/>
    </row>
    <row r="95" spans="10:16" ht="15" x14ac:dyDescent="0.25">
      <c r="O95" s="143"/>
      <c r="P95" s="128"/>
    </row>
    <row r="96" spans="10:16" ht="15" x14ac:dyDescent="0.25">
      <c r="O96" s="143"/>
      <c r="P96" s="128"/>
    </row>
    <row r="97" spans="15:16" ht="15" x14ac:dyDescent="0.25">
      <c r="O97" s="143"/>
      <c r="P97" s="128"/>
    </row>
    <row r="98" spans="15:16" ht="15" x14ac:dyDescent="0.25">
      <c r="O98" s="143"/>
      <c r="P98" s="128"/>
    </row>
    <row r="99" spans="15:16" ht="15" x14ac:dyDescent="0.25">
      <c r="O99" s="143"/>
      <c r="P99" s="128"/>
    </row>
    <row r="100" spans="15:16" ht="15" x14ac:dyDescent="0.25">
      <c r="O100" s="143"/>
    </row>
    <row r="101" spans="15:16" ht="15" x14ac:dyDescent="0.25">
      <c r="O101" s="143"/>
    </row>
    <row r="102" spans="15:16" ht="15" x14ac:dyDescent="0.25">
      <c r="O102" s="143"/>
    </row>
    <row r="103" spans="15:16" ht="15" x14ac:dyDescent="0.25">
      <c r="O103" s="143"/>
    </row>
    <row r="254" spans="73:77" ht="13.5" thickBot="1" x14ac:dyDescent="0.25"/>
    <row r="255" spans="73:77" x14ac:dyDescent="0.2">
      <c r="BU255" s="341" t="s">
        <v>241</v>
      </c>
      <c r="BV255" s="342"/>
      <c r="BW255" s="342"/>
      <c r="BX255" s="342"/>
      <c r="BY255" s="343"/>
    </row>
    <row r="256" spans="73:77" x14ac:dyDescent="0.2">
      <c r="BU256" s="98"/>
      <c r="BV256" s="95" t="s">
        <v>242</v>
      </c>
      <c r="BW256" s="95" t="s">
        <v>35</v>
      </c>
      <c r="BX256" s="95" t="s">
        <v>243</v>
      </c>
      <c r="BY256" s="100"/>
    </row>
    <row r="257" spans="73:88" x14ac:dyDescent="0.2">
      <c r="BU257" s="145">
        <v>100</v>
      </c>
      <c r="BV257" s="146" t="s">
        <v>244</v>
      </c>
      <c r="BW257" s="104">
        <f t="shared" ref="BW257:BW262" si="1">+BU257</f>
        <v>100</v>
      </c>
      <c r="BX257" s="109" t="s">
        <v>245</v>
      </c>
      <c r="BY257" s="100"/>
    </row>
    <row r="258" spans="73:88" ht="25.5" x14ac:dyDescent="0.2">
      <c r="BU258" s="145">
        <v>200</v>
      </c>
      <c r="BV258" s="146" t="s">
        <v>207</v>
      </c>
      <c r="BW258" s="104">
        <f t="shared" si="1"/>
        <v>200</v>
      </c>
      <c r="BX258" s="109" t="s">
        <v>246</v>
      </c>
      <c r="BY258" s="100"/>
    </row>
    <row r="259" spans="73:88" ht="57" x14ac:dyDescent="0.2">
      <c r="BU259" s="145">
        <v>300</v>
      </c>
      <c r="BV259" s="147" t="s">
        <v>247</v>
      </c>
      <c r="BW259" s="104">
        <f t="shared" si="1"/>
        <v>300</v>
      </c>
      <c r="BX259" s="109" t="s">
        <v>248</v>
      </c>
      <c r="BY259" s="100"/>
    </row>
    <row r="260" spans="73:88" ht="57" x14ac:dyDescent="0.2">
      <c r="BU260" s="145">
        <v>400</v>
      </c>
      <c r="BV260" s="147" t="s">
        <v>249</v>
      </c>
      <c r="BW260" s="104">
        <f t="shared" si="1"/>
        <v>400</v>
      </c>
      <c r="BX260" s="109" t="s">
        <v>250</v>
      </c>
      <c r="BY260" s="100"/>
    </row>
    <row r="261" spans="73:88" x14ac:dyDescent="0.2">
      <c r="BU261" s="145">
        <v>500</v>
      </c>
      <c r="BV261" s="146" t="s">
        <v>251</v>
      </c>
      <c r="BW261" s="104">
        <f t="shared" si="1"/>
        <v>500</v>
      </c>
      <c r="BX261" s="109" t="s">
        <v>252</v>
      </c>
      <c r="BY261" s="100"/>
    </row>
    <row r="262" spans="73:88" ht="25.5" x14ac:dyDescent="0.2">
      <c r="BU262" s="145">
        <v>600</v>
      </c>
      <c r="BV262" s="146" t="s">
        <v>253</v>
      </c>
      <c r="BW262" s="104">
        <f t="shared" si="1"/>
        <v>600</v>
      </c>
      <c r="BX262" s="109" t="s">
        <v>254</v>
      </c>
      <c r="BY262" s="100"/>
    </row>
    <row r="263" spans="73:88" x14ac:dyDescent="0.2">
      <c r="BU263" s="145"/>
      <c r="BV263" s="104"/>
      <c r="BW263" s="104"/>
      <c r="BX263" s="109"/>
      <c r="BY263" s="100"/>
    </row>
    <row r="264" spans="73:88" x14ac:dyDescent="0.2">
      <c r="BU264" s="148"/>
      <c r="BV264" s="109"/>
      <c r="BW264" s="109"/>
      <c r="BX264" s="109"/>
      <c r="BY264" s="100"/>
    </row>
    <row r="265" spans="73:88" x14ac:dyDescent="0.2">
      <c r="BU265" s="148"/>
      <c r="BV265" s="109"/>
      <c r="BW265" s="109"/>
      <c r="BX265" s="109"/>
      <c r="BY265" s="100"/>
      <c r="CG265" s="95" t="s">
        <v>115</v>
      </c>
      <c r="CH265" s="95" t="s">
        <v>255</v>
      </c>
      <c r="CI265" s="95" t="s">
        <v>256</v>
      </c>
    </row>
    <row r="266" spans="73:88" x14ac:dyDescent="0.2">
      <c r="BU266" s="98"/>
      <c r="BY266" s="100"/>
      <c r="CF266" s="95" t="s">
        <v>214</v>
      </c>
      <c r="CG266" s="128">
        <v>6.4999999999999997E-3</v>
      </c>
      <c r="CH266" s="149">
        <v>0.03</v>
      </c>
      <c r="CI266" s="95" t="s">
        <v>257</v>
      </c>
      <c r="CJ266" s="128">
        <f>(D20+D21)+D26</f>
        <v>5.6500000000000002E-2</v>
      </c>
    </row>
    <row r="267" spans="73:88" x14ac:dyDescent="0.2">
      <c r="BU267" s="98"/>
      <c r="BY267" s="100"/>
      <c r="CF267" s="95" t="s">
        <v>258</v>
      </c>
      <c r="CG267" s="128">
        <v>1.6500000000000001E-2</v>
      </c>
      <c r="CH267" s="128">
        <v>7.5999999999999998E-2</v>
      </c>
      <c r="CI267" s="95" t="s">
        <v>114</v>
      </c>
      <c r="CJ267" s="128">
        <f>(D20+D21)*(G41/(1+G41))+D26</f>
        <v>2.2918253749194963E-2</v>
      </c>
    </row>
    <row r="268" spans="73:88" x14ac:dyDescent="0.2">
      <c r="BU268" s="98"/>
      <c r="BY268" s="100"/>
    </row>
    <row r="269" spans="73:88" x14ac:dyDescent="0.2">
      <c r="BU269" s="150"/>
      <c r="BV269" s="151"/>
      <c r="BW269" s="151"/>
      <c r="BY269" s="100"/>
    </row>
    <row r="270" spans="73:88" x14ac:dyDescent="0.2">
      <c r="BU270" s="98"/>
      <c r="BY270" s="100"/>
    </row>
    <row r="271" spans="73:88" ht="13.5" thickBot="1" x14ac:dyDescent="0.25">
      <c r="BU271" s="98"/>
      <c r="BY271" s="100"/>
      <c r="CE271" s="95">
        <f>BU257</f>
        <v>100</v>
      </c>
      <c r="CF271" s="329" t="str">
        <f>BV257</f>
        <v>Construção de edificios</v>
      </c>
      <c r="CG271" s="329"/>
      <c r="CH271" s="329"/>
      <c r="CI271" s="329"/>
    </row>
    <row r="272" spans="73:88" ht="15" thickBot="1" x14ac:dyDescent="0.25">
      <c r="BU272" s="98"/>
      <c r="BY272" s="100"/>
      <c r="CE272" s="95">
        <f>+CE271+1</f>
        <v>101</v>
      </c>
      <c r="CF272" s="152" t="s">
        <v>228</v>
      </c>
      <c r="CG272" s="153">
        <v>0.03</v>
      </c>
      <c r="CH272" s="153">
        <v>0.04</v>
      </c>
      <c r="CI272" s="153">
        <v>5.5E-2</v>
      </c>
    </row>
    <row r="273" spans="73:87" ht="15" thickBot="1" x14ac:dyDescent="0.25">
      <c r="BU273" s="98"/>
      <c r="BY273" s="100"/>
      <c r="CE273" s="95">
        <f>+CE272+1</f>
        <v>102</v>
      </c>
      <c r="CF273" s="152" t="s">
        <v>229</v>
      </c>
      <c r="CG273" s="153">
        <v>8.0000000000000002E-3</v>
      </c>
      <c r="CH273" s="153">
        <v>8.0000000000000002E-3</v>
      </c>
      <c r="CI273" s="153">
        <v>0.01</v>
      </c>
    </row>
    <row r="274" spans="73:87" ht="15" thickBot="1" x14ac:dyDescent="0.25">
      <c r="BU274" s="98"/>
      <c r="BY274" s="100"/>
      <c r="CE274" s="95">
        <f>+CE273+1</f>
        <v>103</v>
      </c>
      <c r="CF274" s="152" t="s">
        <v>230</v>
      </c>
      <c r="CG274" s="153">
        <v>9.7000000000000003E-3</v>
      </c>
      <c r="CH274" s="153">
        <v>1.2699999999999999E-2</v>
      </c>
      <c r="CI274" s="153">
        <v>1.2699999999999999E-2</v>
      </c>
    </row>
    <row r="275" spans="73:87" ht="15" thickBot="1" x14ac:dyDescent="0.25">
      <c r="BU275" s="150"/>
      <c r="BV275" s="151"/>
      <c r="BW275" s="151"/>
      <c r="BY275" s="100"/>
      <c r="CE275" s="95">
        <f>+CE274+1</f>
        <v>104</v>
      </c>
      <c r="CF275" s="152" t="s">
        <v>231</v>
      </c>
      <c r="CG275" s="153">
        <v>5.8999999999999999E-3</v>
      </c>
      <c r="CH275" s="153">
        <v>1.23E-2</v>
      </c>
      <c r="CI275" s="153">
        <v>1.3899999999999999E-2</v>
      </c>
    </row>
    <row r="276" spans="73:87" ht="15" thickBot="1" x14ac:dyDescent="0.25">
      <c r="BU276" s="98"/>
      <c r="BY276" s="100"/>
      <c r="CE276" s="95">
        <f>+CE275+1</f>
        <v>105</v>
      </c>
      <c r="CF276" s="152" t="s">
        <v>232</v>
      </c>
      <c r="CG276" s="153">
        <v>6.1600000000000002E-2</v>
      </c>
      <c r="CH276" s="153">
        <v>7.3999999999999996E-2</v>
      </c>
      <c r="CI276" s="153">
        <v>8.9599999999999999E-2</v>
      </c>
    </row>
    <row r="277" spans="73:87" x14ac:dyDescent="0.2">
      <c r="BU277" s="98"/>
      <c r="BY277" s="100"/>
    </row>
    <row r="278" spans="73:87" x14ac:dyDescent="0.2">
      <c r="BU278" s="98"/>
      <c r="BY278" s="100"/>
    </row>
    <row r="279" spans="73:87" ht="13.5" thickBot="1" x14ac:dyDescent="0.25">
      <c r="BU279" s="98"/>
      <c r="BY279" s="100"/>
      <c r="CE279" s="95">
        <f>BU258</f>
        <v>200</v>
      </c>
      <c r="CF279" s="329" t="str">
        <f>BV258</f>
        <v>Construção de rodovias e ferrovias</v>
      </c>
      <c r="CG279" s="329"/>
      <c r="CH279" s="329"/>
      <c r="CI279" s="329"/>
    </row>
    <row r="280" spans="73:87" ht="15" thickBot="1" x14ac:dyDescent="0.25">
      <c r="BU280" s="98"/>
      <c r="BY280" s="100"/>
      <c r="CE280" s="95">
        <f>+CE279+1</f>
        <v>201</v>
      </c>
      <c r="CF280" s="152" t="s">
        <v>228</v>
      </c>
      <c r="CG280" s="153">
        <v>3.7999999999999999E-2</v>
      </c>
      <c r="CH280" s="153">
        <v>4.0099999999999997E-2</v>
      </c>
      <c r="CI280" s="153">
        <v>4.6699999999999998E-2</v>
      </c>
    </row>
    <row r="281" spans="73:87" ht="15" thickBot="1" x14ac:dyDescent="0.25">
      <c r="BU281" s="98"/>
      <c r="BY281" s="100"/>
      <c r="CE281" s="95">
        <f>+CE280+1</f>
        <v>202</v>
      </c>
      <c r="CF281" s="152" t="s">
        <v>229</v>
      </c>
      <c r="CG281" s="153">
        <v>3.2000000000000002E-3</v>
      </c>
      <c r="CH281" s="153">
        <v>4.0000000000000001E-3</v>
      </c>
      <c r="CI281" s="153">
        <v>7.4000000000000003E-3</v>
      </c>
    </row>
    <row r="282" spans="73:87" ht="15" thickBot="1" x14ac:dyDescent="0.25">
      <c r="BU282" s="341"/>
      <c r="BV282" s="342"/>
      <c r="BW282" s="342"/>
      <c r="BX282" s="342"/>
      <c r="BY282" s="343"/>
      <c r="CE282" s="95">
        <f>+CE281+1</f>
        <v>203</v>
      </c>
      <c r="CF282" s="152" t="s">
        <v>230</v>
      </c>
      <c r="CG282" s="153">
        <v>5.0000000000000001E-3</v>
      </c>
      <c r="CH282" s="153">
        <v>5.5999999999999999E-3</v>
      </c>
      <c r="CI282" s="153">
        <v>9.7000000000000003E-3</v>
      </c>
    </row>
    <row r="283" spans="73:87" ht="15" thickBot="1" x14ac:dyDescent="0.25">
      <c r="BU283" s="98"/>
      <c r="BY283" s="100"/>
      <c r="CE283" s="95">
        <f>+CE282+1</f>
        <v>204</v>
      </c>
      <c r="CF283" s="152" t="s">
        <v>231</v>
      </c>
      <c r="CG283" s="153">
        <v>1.0200000000000001E-2</v>
      </c>
      <c r="CH283" s="153">
        <v>1.11E-2</v>
      </c>
      <c r="CI283" s="153">
        <v>1.21E-2</v>
      </c>
    </row>
    <row r="284" spans="73:87" ht="15" thickBot="1" x14ac:dyDescent="0.25">
      <c r="BU284" s="98"/>
      <c r="BY284" s="100"/>
      <c r="CE284" s="95">
        <f>+CE283+1</f>
        <v>205</v>
      </c>
      <c r="CF284" s="152" t="s">
        <v>232</v>
      </c>
      <c r="CG284" s="153">
        <v>6.6400000000000001E-2</v>
      </c>
      <c r="CH284" s="153">
        <v>7.2999999999999995E-2</v>
      </c>
      <c r="CI284" s="153">
        <v>8.6900000000000005E-2</v>
      </c>
    </row>
    <row r="285" spans="73:87" x14ac:dyDescent="0.2">
      <c r="BU285" s="98"/>
      <c r="BY285" s="100"/>
    </row>
    <row r="286" spans="73:87" ht="13.5" thickBot="1" x14ac:dyDescent="0.25">
      <c r="BU286" s="118"/>
      <c r="BV286" s="154"/>
      <c r="BW286" s="154"/>
      <c r="BX286" s="154"/>
      <c r="BY286" s="119"/>
    </row>
    <row r="287" spans="73:87" ht="13.5" thickBot="1" x14ac:dyDescent="0.25">
      <c r="BU287" s="341"/>
      <c r="BV287" s="342"/>
      <c r="BW287" s="342"/>
      <c r="BX287" s="342"/>
      <c r="BY287" s="343"/>
      <c r="CE287" s="95">
        <f>BU259</f>
        <v>300</v>
      </c>
      <c r="CF287" s="329" t="str">
        <f>BV259</f>
        <v>Construção de Redes de Abastecimento de Água, Coleta de Esgoto e Construções Correlatas</v>
      </c>
      <c r="CG287" s="329"/>
      <c r="CH287" s="329"/>
      <c r="CI287" s="329"/>
    </row>
    <row r="288" spans="73:87" ht="15" thickBot="1" x14ac:dyDescent="0.25">
      <c r="BU288" s="344"/>
      <c r="BV288" s="345"/>
      <c r="BW288" s="345"/>
      <c r="BX288" s="345"/>
      <c r="BY288" s="346"/>
      <c r="CE288" s="95">
        <f>+CE287+1</f>
        <v>301</v>
      </c>
      <c r="CF288" s="155" t="s">
        <v>228</v>
      </c>
      <c r="CG288" s="156">
        <v>3.4299999999999997E-2</v>
      </c>
      <c r="CH288" s="156">
        <v>4.9299999999999997E-2</v>
      </c>
      <c r="CI288" s="156">
        <v>6.7100000000000007E-2</v>
      </c>
    </row>
    <row r="289" spans="73:87" ht="15" thickBot="1" x14ac:dyDescent="0.25">
      <c r="BU289" s="344"/>
      <c r="BV289" s="345"/>
      <c r="BW289" s="345"/>
      <c r="BX289" s="345"/>
      <c r="BY289" s="346"/>
      <c r="CE289" s="95">
        <f>+CE288+1</f>
        <v>302</v>
      </c>
      <c r="CF289" s="152" t="s">
        <v>229</v>
      </c>
      <c r="CG289" s="153">
        <v>2.8E-3</v>
      </c>
      <c r="CH289" s="153">
        <v>4.8999999999999998E-3</v>
      </c>
      <c r="CI289" s="153">
        <v>7.4999999999999997E-3</v>
      </c>
    </row>
    <row r="290" spans="73:87" ht="27" customHeight="1" thickBot="1" x14ac:dyDescent="0.25">
      <c r="BU290" s="157"/>
      <c r="BV290" s="158"/>
      <c r="BW290" s="159"/>
      <c r="BX290" s="159"/>
      <c r="BY290" s="160"/>
      <c r="CE290" s="95">
        <f>+CE289+1</f>
        <v>303</v>
      </c>
      <c r="CF290" s="152" t="s">
        <v>230</v>
      </c>
      <c r="CG290" s="153">
        <v>0.01</v>
      </c>
      <c r="CH290" s="153">
        <v>1.3899999999999999E-2</v>
      </c>
      <c r="CI290" s="153">
        <v>1.7399999999999999E-2</v>
      </c>
    </row>
    <row r="291" spans="73:87" ht="15" thickBot="1" x14ac:dyDescent="0.25">
      <c r="BU291" s="98"/>
      <c r="BY291" s="100"/>
      <c r="CE291" s="95">
        <f>+CE290+1</f>
        <v>304</v>
      </c>
      <c r="CF291" s="152" t="s">
        <v>231</v>
      </c>
      <c r="CG291" s="153">
        <v>9.4000000000000004E-3</v>
      </c>
      <c r="CH291" s="153">
        <v>9.9000000000000008E-3</v>
      </c>
      <c r="CI291" s="153">
        <v>1.17E-2</v>
      </c>
    </row>
    <row r="292" spans="73:87" ht="15" thickBot="1" x14ac:dyDescent="0.25">
      <c r="BU292" s="118"/>
      <c r="BV292" s="154"/>
      <c r="BW292" s="154"/>
      <c r="BX292" s="154"/>
      <c r="BY292" s="119"/>
      <c r="CE292" s="95">
        <f>+CE291+1</f>
        <v>305</v>
      </c>
      <c r="CF292" s="152" t="s">
        <v>232</v>
      </c>
      <c r="CG292" s="153">
        <v>6.7400000000000002E-2</v>
      </c>
      <c r="CH292" s="153">
        <v>8.0399999999999999E-2</v>
      </c>
      <c r="CI292" s="153">
        <v>9.4E-2</v>
      </c>
    </row>
    <row r="293" spans="73:87" x14ac:dyDescent="0.2">
      <c r="BU293" s="341"/>
      <c r="BV293" s="342"/>
      <c r="BW293" s="342"/>
      <c r="BX293" s="342"/>
      <c r="BY293" s="343"/>
    </row>
    <row r="294" spans="73:87" ht="13.5" thickBot="1" x14ac:dyDescent="0.25">
      <c r="BU294" s="161"/>
      <c r="BV294" s="162" t="s">
        <v>259</v>
      </c>
      <c r="BW294" s="162" t="s">
        <v>260</v>
      </c>
      <c r="BX294" s="162" t="s">
        <v>261</v>
      </c>
      <c r="BY294" s="162" t="s">
        <v>262</v>
      </c>
      <c r="CE294" s="95">
        <f>BU260</f>
        <v>400</v>
      </c>
      <c r="CF294" s="329" t="str">
        <f>BV260</f>
        <v>Construção e Manutenção de Estações e Redes de Distribuição de Energia Elétrica</v>
      </c>
      <c r="CG294" s="329"/>
      <c r="CH294" s="329"/>
      <c r="CI294" s="329"/>
    </row>
    <row r="295" spans="73:87" ht="15" thickBot="1" x14ac:dyDescent="0.25">
      <c r="BU295" s="161" t="s">
        <v>148</v>
      </c>
      <c r="BV295" s="162">
        <f>VLOOKUP(D7,BV257:BW262,2,0)</f>
        <v>200</v>
      </c>
      <c r="BW295" s="163">
        <f>VLOOKUP($BV295,$BU$306:$BY$311,3,0)</f>
        <v>0.19600000000000001</v>
      </c>
      <c r="BX295" s="163">
        <f>VLOOKUP($BV295,$BU$306:$BY$311,4,0)</f>
        <v>0.2097</v>
      </c>
      <c r="BY295" s="163">
        <f>VLOOKUP($BV295,$BU$306:$BY$311,5,0)</f>
        <v>0.24229999999999999</v>
      </c>
      <c r="CE295" s="95">
        <f>+CE294+1</f>
        <v>401</v>
      </c>
      <c r="CF295" s="155" t="s">
        <v>228</v>
      </c>
      <c r="CG295" s="156">
        <v>5.2900000000000003E-2</v>
      </c>
      <c r="CH295" s="156">
        <v>5.9200000000000003E-2</v>
      </c>
      <c r="CI295" s="156">
        <v>7.9299999999999995E-2</v>
      </c>
    </row>
    <row r="296" spans="73:87" ht="15" thickBot="1" x14ac:dyDescent="0.25">
      <c r="BU296" s="164" t="s">
        <v>228</v>
      </c>
      <c r="BV296" s="162">
        <f>+BV295+1</f>
        <v>201</v>
      </c>
      <c r="BW296" s="163">
        <f>VLOOKUP($BV296,$CE$271:$CI$312,3,0)</f>
        <v>3.7999999999999999E-2</v>
      </c>
      <c r="BX296" s="163">
        <f>VLOOKUP($BV296,$CE$271:$CI$312,4,0)</f>
        <v>4.0099999999999997E-2</v>
      </c>
      <c r="BY296" s="163">
        <f>VLOOKUP($BV296,$CE$271:$CI$312,5,0)</f>
        <v>4.6699999999999998E-2</v>
      </c>
      <c r="CE296" s="95">
        <f>+CE295+1</f>
        <v>402</v>
      </c>
      <c r="CF296" s="152" t="s">
        <v>229</v>
      </c>
      <c r="CG296" s="153">
        <v>2.5000000000000001E-3</v>
      </c>
      <c r="CH296" s="153">
        <v>5.1000000000000004E-3</v>
      </c>
      <c r="CI296" s="153">
        <v>5.5999999999999999E-3</v>
      </c>
    </row>
    <row r="297" spans="73:87" ht="15" thickBot="1" x14ac:dyDescent="0.25">
      <c r="BU297" s="164" t="s">
        <v>229</v>
      </c>
      <c r="BV297" s="162">
        <f>+BV296+1</f>
        <v>202</v>
      </c>
      <c r="BW297" s="163">
        <f>VLOOKUP($BV297,$CE$271:$CI$312,3,0)</f>
        <v>3.2000000000000002E-3</v>
      </c>
      <c r="BX297" s="163">
        <f>VLOOKUP($BV297,$CE$271:$CI$312,4,0)</f>
        <v>4.0000000000000001E-3</v>
      </c>
      <c r="BY297" s="163">
        <f>VLOOKUP($BV297,$CE$271:$CI$312,5,0)</f>
        <v>7.4000000000000003E-3</v>
      </c>
      <c r="CE297" s="95">
        <f>+CE296+1</f>
        <v>403</v>
      </c>
      <c r="CF297" s="152" t="s">
        <v>230</v>
      </c>
      <c r="CG297" s="153">
        <v>0.01</v>
      </c>
      <c r="CH297" s="153">
        <v>1.4800000000000001E-2</v>
      </c>
      <c r="CI297" s="153">
        <v>1.9699999999999999E-2</v>
      </c>
    </row>
    <row r="298" spans="73:87" ht="15" thickBot="1" x14ac:dyDescent="0.25">
      <c r="BU298" s="164" t="s">
        <v>230</v>
      </c>
      <c r="BV298" s="162">
        <f>+BV297+1</f>
        <v>203</v>
      </c>
      <c r="BW298" s="163">
        <f>VLOOKUP($BV298,$CE$271:$CI$312,3,0)</f>
        <v>5.0000000000000001E-3</v>
      </c>
      <c r="BX298" s="163">
        <f>VLOOKUP($BV298,$CE$271:$CI$312,4,0)</f>
        <v>5.5999999999999999E-3</v>
      </c>
      <c r="BY298" s="163">
        <f>VLOOKUP($BV298,$CE$271:$CI$312,5,0)</f>
        <v>9.7000000000000003E-3</v>
      </c>
      <c r="CE298" s="95">
        <f>+CE297+1</f>
        <v>404</v>
      </c>
      <c r="CF298" s="152" t="s">
        <v>231</v>
      </c>
      <c r="CG298" s="153">
        <v>1.01E-2</v>
      </c>
      <c r="CH298" s="153">
        <v>1.0699999999999999E-2</v>
      </c>
      <c r="CI298" s="153">
        <v>1.11E-2</v>
      </c>
    </row>
    <row r="299" spans="73:87" ht="15" thickBot="1" x14ac:dyDescent="0.25">
      <c r="BU299" s="164" t="s">
        <v>231</v>
      </c>
      <c r="BV299" s="162">
        <f>+BV298+1</f>
        <v>204</v>
      </c>
      <c r="BW299" s="163">
        <f>VLOOKUP($BV299,$CE$271:$CI$312,3,0)</f>
        <v>1.0200000000000001E-2</v>
      </c>
      <c r="BX299" s="163">
        <f>VLOOKUP($BV299,$CE$271:$CI$312,4,0)</f>
        <v>1.11E-2</v>
      </c>
      <c r="BY299" s="163">
        <f>VLOOKUP($BV299,$CE$271:$CI$312,5,0)</f>
        <v>1.21E-2</v>
      </c>
      <c r="CE299" s="95">
        <f>+CE298+1</f>
        <v>405</v>
      </c>
      <c r="CF299" s="152" t="s">
        <v>232</v>
      </c>
      <c r="CG299" s="153">
        <v>0.08</v>
      </c>
      <c r="CH299" s="153">
        <v>8.3099999999999993E-2</v>
      </c>
      <c r="CI299" s="153">
        <v>9.5100000000000004E-2</v>
      </c>
    </row>
    <row r="300" spans="73:87" ht="15" thickBot="1" x14ac:dyDescent="0.25">
      <c r="BU300" s="164" t="s">
        <v>232</v>
      </c>
      <c r="BV300" s="162">
        <f>+BV299+1</f>
        <v>205</v>
      </c>
      <c r="BW300" s="163">
        <f>VLOOKUP($BV300,$CE$271:$CI$312,3,0)</f>
        <v>6.6400000000000001E-2</v>
      </c>
      <c r="BX300" s="163">
        <f>VLOOKUP($BV300,$CE$271:$CI$312,4,0)</f>
        <v>7.2999999999999995E-2</v>
      </c>
      <c r="BY300" s="163">
        <f>VLOOKUP($BV300,$CE$271:$CI$312,5,0)</f>
        <v>8.6900000000000005E-2</v>
      </c>
      <c r="CE300" s="95">
        <f>BU261</f>
        <v>500</v>
      </c>
      <c r="CF300" s="329" t="str">
        <f>BV261</f>
        <v>Portuárias, Marítimas e Fluviais</v>
      </c>
      <c r="CG300" s="329"/>
      <c r="CH300" s="329"/>
      <c r="CI300" s="329"/>
    </row>
    <row r="301" spans="73:87" ht="15" thickBot="1" x14ac:dyDescent="0.25">
      <c r="BU301" s="98"/>
      <c r="BY301" s="100"/>
      <c r="CE301" s="95">
        <f>+CE300+1</f>
        <v>501</v>
      </c>
      <c r="CF301" s="155" t="s">
        <v>228</v>
      </c>
      <c r="CG301" s="156">
        <v>0.04</v>
      </c>
      <c r="CH301" s="156">
        <v>5.5199999999999999E-2</v>
      </c>
      <c r="CI301" s="156">
        <v>7.85E-2</v>
      </c>
    </row>
    <row r="302" spans="73:87" ht="15" thickBot="1" x14ac:dyDescent="0.25">
      <c r="CE302" s="95">
        <f>+CE301+1</f>
        <v>502</v>
      </c>
      <c r="CF302" s="152" t="s">
        <v>229</v>
      </c>
      <c r="CG302" s="153">
        <v>8.0999999999999996E-3</v>
      </c>
      <c r="CH302" s="153">
        <v>1.2200000000000001E-2</v>
      </c>
      <c r="CI302" s="153">
        <v>1.9900000000000001E-2</v>
      </c>
    </row>
    <row r="303" spans="73:87" ht="15" thickBot="1" x14ac:dyDescent="0.25">
      <c r="CE303" s="95">
        <f>+CE302+1</f>
        <v>503</v>
      </c>
      <c r="CF303" s="152" t="s">
        <v>230</v>
      </c>
      <c r="CG303" s="153">
        <v>1.46E-2</v>
      </c>
      <c r="CH303" s="153">
        <v>2.3199999999999998E-2</v>
      </c>
      <c r="CI303" s="153">
        <v>3.1600000000000003E-2</v>
      </c>
    </row>
    <row r="304" spans="73:87" ht="15" thickBot="1" x14ac:dyDescent="0.25">
      <c r="CE304" s="95">
        <f>+CE303+1</f>
        <v>504</v>
      </c>
      <c r="CF304" s="152" t="s">
        <v>231</v>
      </c>
      <c r="CG304" s="153">
        <v>9.4000000000000004E-3</v>
      </c>
      <c r="CH304" s="153">
        <v>1.0200000000000001E-2</v>
      </c>
      <c r="CI304" s="153">
        <v>1.3299999999999999E-2</v>
      </c>
    </row>
    <row r="305" spans="73:87" ht="15" thickBot="1" x14ac:dyDescent="0.25">
      <c r="BW305" s="165" t="s">
        <v>263</v>
      </c>
      <c r="BX305" s="166" t="s">
        <v>261</v>
      </c>
      <c r="BY305" s="166" t="s">
        <v>264</v>
      </c>
      <c r="CE305" s="95">
        <f>+CE304+1</f>
        <v>505</v>
      </c>
      <c r="CF305" s="152" t="s">
        <v>232</v>
      </c>
      <c r="CG305" s="153">
        <v>7.1400000000000005E-2</v>
      </c>
      <c r="CH305" s="153">
        <v>8.4000000000000005E-2</v>
      </c>
      <c r="CI305" s="153">
        <v>0.1043</v>
      </c>
    </row>
    <row r="306" spans="73:87" ht="15" thickBot="1" x14ac:dyDescent="0.25">
      <c r="BU306" s="95">
        <f>BU257</f>
        <v>100</v>
      </c>
      <c r="BV306" s="155" t="str">
        <f t="shared" ref="BV306:BV311" si="2">VLOOKUP(BU306,BU257:BV262,2,0)</f>
        <v>Construção de edificios</v>
      </c>
      <c r="BW306" s="156">
        <v>0.2034</v>
      </c>
      <c r="BX306" s="156">
        <v>0.22120000000000001</v>
      </c>
      <c r="BY306" s="156">
        <v>0.25</v>
      </c>
    </row>
    <row r="307" spans="73:87" ht="29.25" thickBot="1" x14ac:dyDescent="0.25">
      <c r="BU307" s="95">
        <v>200</v>
      </c>
      <c r="BV307" s="155" t="str">
        <f t="shared" si="2"/>
        <v>Construção de rodovias e ferrovias</v>
      </c>
      <c r="BW307" s="153">
        <v>0.19600000000000001</v>
      </c>
      <c r="BX307" s="153">
        <v>0.2097</v>
      </c>
      <c r="BY307" s="153">
        <v>0.24229999999999999</v>
      </c>
      <c r="CE307" s="95">
        <f>BU262</f>
        <v>600</v>
      </c>
      <c r="CF307" s="329" t="str">
        <f>BV262</f>
        <v>Fornecimento de Materiais e Equipamentos</v>
      </c>
      <c r="CG307" s="329"/>
      <c r="CH307" s="329"/>
      <c r="CI307" s="329"/>
    </row>
    <row r="308" spans="73:87" ht="57.75" thickBot="1" x14ac:dyDescent="0.25">
      <c r="BU308" s="95">
        <f>BU259</f>
        <v>300</v>
      </c>
      <c r="BV308" s="155" t="str">
        <f t="shared" si="2"/>
        <v>Construção de Redes de Abastecimento de Água, Coleta de Esgoto e Construções Correlatas</v>
      </c>
      <c r="BW308" s="153">
        <v>0.20760000000000001</v>
      </c>
      <c r="BX308" s="153">
        <v>0.24179999999999999</v>
      </c>
      <c r="BY308" s="153">
        <v>0.26440000000000002</v>
      </c>
      <c r="CE308" s="95">
        <f>+CE307+1</f>
        <v>601</v>
      </c>
      <c r="CF308" s="155" t="s">
        <v>228</v>
      </c>
      <c r="CG308" s="156">
        <v>1.4999999999999999E-2</v>
      </c>
      <c r="CH308" s="156">
        <v>3.4500000000000003E-2</v>
      </c>
      <c r="CI308" s="156">
        <v>4.4900000000000002E-2</v>
      </c>
    </row>
    <row r="309" spans="73:87" ht="57.75" thickBot="1" x14ac:dyDescent="0.25">
      <c r="BU309" s="95">
        <v>400</v>
      </c>
      <c r="BV309" s="155" t="str">
        <f t="shared" si="2"/>
        <v>Construção e Manutenção de Estações e Redes de Distribuição de Energia Elétrica</v>
      </c>
      <c r="BW309" s="153">
        <v>0.24</v>
      </c>
      <c r="BX309" s="153">
        <v>0.25840000000000002</v>
      </c>
      <c r="BY309" s="153">
        <v>0.27860000000000001</v>
      </c>
      <c r="CE309" s="95">
        <f>+CE308+1</f>
        <v>602</v>
      </c>
      <c r="CF309" s="152" t="s">
        <v>229</v>
      </c>
      <c r="CG309" s="153">
        <v>3.0000000000000001E-3</v>
      </c>
      <c r="CH309" s="153">
        <v>4.7999999999999996E-3</v>
      </c>
      <c r="CI309" s="153">
        <v>8.2000000000000007E-3</v>
      </c>
    </row>
    <row r="310" spans="73:87" ht="29.25" thickBot="1" x14ac:dyDescent="0.25">
      <c r="BU310" s="95">
        <v>500</v>
      </c>
      <c r="BV310" s="155" t="str">
        <f t="shared" si="2"/>
        <v>Portuárias, Marítimas e Fluviais</v>
      </c>
      <c r="BW310" s="153">
        <v>0.22800000000000001</v>
      </c>
      <c r="BX310" s="153">
        <v>0.27479999999999999</v>
      </c>
      <c r="BY310" s="153">
        <v>0.3095</v>
      </c>
      <c r="CE310" s="95">
        <f>+CE309+1</f>
        <v>603</v>
      </c>
      <c r="CF310" s="152" t="s">
        <v>230</v>
      </c>
      <c r="CG310" s="153">
        <v>5.5999999999999999E-3</v>
      </c>
      <c r="CH310" s="153">
        <v>8.5000000000000006E-3</v>
      </c>
      <c r="CI310" s="153">
        <v>8.8999999999999999E-3</v>
      </c>
    </row>
    <row r="311" spans="73:87" ht="29.25" thickBot="1" x14ac:dyDescent="0.25">
      <c r="BU311" s="95">
        <v>600</v>
      </c>
      <c r="BV311" s="155" t="str">
        <f t="shared" si="2"/>
        <v>Fornecimento de Materiais e Equipamentos</v>
      </c>
      <c r="BW311" s="153">
        <v>0.111</v>
      </c>
      <c r="BX311" s="153">
        <v>0.14019999999999999</v>
      </c>
      <c r="BY311" s="153">
        <v>0.16800000000000001</v>
      </c>
      <c r="CE311" s="95">
        <f>+CE310+1</f>
        <v>604</v>
      </c>
      <c r="CF311" s="152" t="s">
        <v>231</v>
      </c>
      <c r="CG311" s="153">
        <v>8.5000000000000006E-3</v>
      </c>
      <c r="CH311" s="153">
        <v>8.5000000000000006E-3</v>
      </c>
      <c r="CI311" s="153">
        <v>1.11E-2</v>
      </c>
    </row>
    <row r="312" spans="73:87" ht="15" thickBot="1" x14ac:dyDescent="0.25">
      <c r="CE312" s="95">
        <f>+CE311+1</f>
        <v>605</v>
      </c>
      <c r="CF312" s="152" t="s">
        <v>232</v>
      </c>
      <c r="CG312" s="153">
        <v>3.5000000000000003E-2</v>
      </c>
      <c r="CH312" s="153">
        <v>5.11E-2</v>
      </c>
      <c r="CI312" s="153">
        <v>6.2199999999999998E-2</v>
      </c>
    </row>
  </sheetData>
  <sheetProtection formatCells="0" formatColumns="0" formatRows="0" selectLockedCells="1"/>
  <mergeCells count="36">
    <mergeCell ref="BU293:BY293"/>
    <mergeCell ref="CF294:CI294"/>
    <mergeCell ref="CF300:CI300"/>
    <mergeCell ref="CF307:CI307"/>
    <mergeCell ref="CF279:CI279"/>
    <mergeCell ref="BU282:BY282"/>
    <mergeCell ref="BU287:BY287"/>
    <mergeCell ref="CF287:CI287"/>
    <mergeCell ref="BU288:BY288"/>
    <mergeCell ref="BU289:BY289"/>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L17:AW19"/>
    <mergeCell ref="E19:G19"/>
    <mergeCell ref="C31:G31"/>
    <mergeCell ref="C2:G2"/>
    <mergeCell ref="C5:G5"/>
    <mergeCell ref="D7:G7"/>
    <mergeCell ref="C13:G13"/>
    <mergeCell ref="F17:G17"/>
    <mergeCell ref="E20:G21"/>
    <mergeCell ref="E23:G23"/>
    <mergeCell ref="E24:G24"/>
    <mergeCell ref="E28:F28"/>
    <mergeCell ref="C30:G30"/>
  </mergeCells>
  <conditionalFormatting sqref="C56:G60">
    <cfRule type="expression" dxfId="3" priority="2" stopIfTrue="1">
      <formula>OR($G$9="NÃO",$G$9="")</formula>
    </cfRule>
  </conditionalFormatting>
  <conditionalFormatting sqref="G37:G41">
    <cfRule type="cellIs" dxfId="2" priority="1" stopIfTrue="1" operator="between">
      <formula>$D37</formula>
      <formula>$F37</formula>
    </cfRule>
  </conditionalFormatting>
  <dataValidations count="5">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formula1>D37</formula1>
      <formula2>F37</formula2>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formula1>$CF$266:$CF$267</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formula1>$BV$257:$BV$262</formula1>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formula1>"SIM, NÃO"</formula1>
    </dataValidation>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formula1>D43</formula1>
      <formula2>F43</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15713"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15713" r:id="rId4"/>
      </mc:Fallback>
    </mc:AlternateContent>
    <mc:AlternateContent xmlns:mc="http://schemas.openxmlformats.org/markup-compatibility/2006">
      <mc:Choice Requires="x14">
        <oleObject progId="Equation.3" shapeId="115714"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15714" r:id="rId6"/>
      </mc:Fallback>
    </mc:AlternateContent>
  </oleObjects>
  <controls>
    <mc:AlternateContent xmlns:mc="http://schemas.openxmlformats.org/markup-compatibility/2006">
      <mc:Choice Requires="x14">
        <control shapeId="115715" r:id="rId7" name="CommandButton1">
          <controlPr defaultSize="0" autoLine="0" autoPict="0" r:id="rId8">
            <anchor moveWithCells="1">
              <from>
                <xdr:col>11</xdr:col>
                <xdr:colOff>47625</xdr:colOff>
                <xdr:row>6</xdr:row>
                <xdr:rowOff>0</xdr:rowOff>
              </from>
              <to>
                <xdr:col>13</xdr:col>
                <xdr:colOff>762000</xdr:colOff>
                <xdr:row>7</xdr:row>
                <xdr:rowOff>0</xdr:rowOff>
              </to>
            </anchor>
          </controlPr>
        </control>
      </mc:Choice>
      <mc:Fallback>
        <control shapeId="115715" r:id="rId7"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4"/>
  <dimension ref="B1:CJ312"/>
  <sheetViews>
    <sheetView showGridLines="0" view="pageBreakPreview" topLeftCell="A16" zoomScaleNormal="100" zoomScaleSheetLayoutView="100" workbookViewId="0">
      <selection activeCell="G42" sqref="G42"/>
    </sheetView>
  </sheetViews>
  <sheetFormatPr defaultColWidth="10.28515625" defaultRowHeight="12.75" x14ac:dyDescent="0.2"/>
  <cols>
    <col min="1" max="1" width="1.7109375" style="95" customWidth="1"/>
    <col min="2" max="2" width="2.28515625" style="95" customWidth="1"/>
    <col min="3" max="3" width="35.85546875" style="95" customWidth="1"/>
    <col min="4" max="7" width="14.7109375" style="95" customWidth="1"/>
    <col min="8" max="8" width="2.28515625" style="95" customWidth="1"/>
    <col min="9" max="9" width="3.28515625" style="95" customWidth="1"/>
    <col min="10" max="10" width="23.140625" style="95" hidden="1" customWidth="1"/>
    <col min="11" max="11" width="47.7109375" style="95" hidden="1" customWidth="1"/>
    <col min="12" max="13" width="10.28515625" style="95"/>
    <col min="14" max="14" width="18.7109375" style="95" bestFit="1" customWidth="1"/>
    <col min="15" max="15" width="0" style="95" hidden="1" customWidth="1"/>
    <col min="16" max="16" width="15.42578125" style="95" hidden="1" customWidth="1"/>
    <col min="17" max="17" width="41.7109375" style="95" hidden="1" customWidth="1"/>
    <col min="18" max="18" width="18.85546875" style="95" hidden="1" customWidth="1"/>
    <col min="19" max="25" width="11.7109375" style="95" hidden="1" customWidth="1"/>
    <col min="26" max="38" width="0" style="95" hidden="1" customWidth="1"/>
    <col min="39" max="39" width="13.85546875" style="95" hidden="1" customWidth="1"/>
    <col min="40" max="40" width="38.7109375" style="95" hidden="1" customWidth="1"/>
    <col min="41" max="41" width="11.85546875" style="95" hidden="1" customWidth="1"/>
    <col min="42" max="42" width="8.7109375" style="95" hidden="1" customWidth="1"/>
    <col min="43" max="43" width="11.85546875" style="95" hidden="1" customWidth="1"/>
    <col min="44" max="44" width="9.28515625" style="95" hidden="1" customWidth="1"/>
    <col min="45" max="45" width="11.85546875" style="95" hidden="1" customWidth="1"/>
    <col min="46" max="46" width="7.28515625" style="95" hidden="1" customWidth="1"/>
    <col min="47" max="72" width="10.28515625" style="95"/>
    <col min="73" max="73" width="22.7109375" style="95" bestFit="1" customWidth="1"/>
    <col min="74" max="74" width="29" style="95" customWidth="1"/>
    <col min="75" max="75" width="9.5703125" style="95" customWidth="1"/>
    <col min="76" max="76" width="11.5703125" style="95" customWidth="1"/>
    <col min="77" max="77" width="10.7109375" style="95" customWidth="1"/>
    <col min="78" max="78" width="10.28515625" style="95"/>
    <col min="79" max="82" width="2.42578125" style="95" customWidth="1"/>
    <col min="83" max="83" width="4.85546875" style="95" bestFit="1" customWidth="1"/>
    <col min="84" max="84" width="29.42578125" style="95" bestFit="1" customWidth="1"/>
    <col min="85" max="85" width="17" style="95" bestFit="1" customWidth="1"/>
    <col min="86" max="86" width="14.42578125" style="95" bestFit="1" customWidth="1"/>
    <col min="87" max="87" width="17" style="95" bestFit="1" customWidth="1"/>
    <col min="88" max="88" width="8.85546875" style="95" customWidth="1"/>
    <col min="89" max="98" width="2.42578125" style="95" customWidth="1"/>
    <col min="99" max="16384" width="10.28515625" style="95"/>
  </cols>
  <sheetData>
    <row r="1" spans="2:12" ht="5.0999999999999996" customHeight="1" thickBot="1" x14ac:dyDescent="0.25"/>
    <row r="2" spans="2:12" ht="21" thickBot="1" x14ac:dyDescent="0.25">
      <c r="B2" s="96"/>
      <c r="C2" s="316" t="s">
        <v>204</v>
      </c>
      <c r="D2" s="316"/>
      <c r="E2" s="316"/>
      <c r="F2" s="316"/>
      <c r="G2" s="316"/>
      <c r="H2" s="97"/>
    </row>
    <row r="3" spans="2:12" ht="3.75" customHeight="1" thickTop="1" thickBot="1" x14ac:dyDescent="0.25">
      <c r="B3" s="98"/>
      <c r="C3" s="99"/>
      <c r="D3" s="99"/>
      <c r="E3" s="99"/>
      <c r="F3" s="99"/>
      <c r="G3" s="99"/>
      <c r="H3" s="100"/>
    </row>
    <row r="4" spans="2:12" ht="3.75" customHeight="1" x14ac:dyDescent="0.2">
      <c r="B4" s="101"/>
      <c r="C4" s="102"/>
      <c r="D4" s="102"/>
      <c r="E4" s="102"/>
      <c r="F4" s="102"/>
      <c r="G4" s="102"/>
      <c r="H4" s="103"/>
    </row>
    <row r="5" spans="2:12" ht="14.25" customHeight="1" x14ac:dyDescent="0.2">
      <c r="B5" s="98"/>
      <c r="C5" s="317" t="s">
        <v>205</v>
      </c>
      <c r="D5" s="317"/>
      <c r="E5" s="317"/>
      <c r="F5" s="317"/>
      <c r="G5" s="317"/>
      <c r="H5" s="100"/>
    </row>
    <row r="6" spans="2:12" ht="3.75" customHeight="1" x14ac:dyDescent="0.2">
      <c r="B6" s="98"/>
      <c r="C6" s="104"/>
      <c r="D6" s="104"/>
      <c r="E6" s="104"/>
      <c r="F6" s="104"/>
      <c r="G6" s="104"/>
      <c r="H6" s="100"/>
    </row>
    <row r="7" spans="2:12" ht="38.25" customHeight="1" x14ac:dyDescent="0.2">
      <c r="B7" s="98"/>
      <c r="C7" s="105" t="s">
        <v>206</v>
      </c>
      <c r="D7" s="318" t="s">
        <v>253</v>
      </c>
      <c r="E7" s="319"/>
      <c r="F7" s="319"/>
      <c r="G7" s="320"/>
      <c r="H7" s="100"/>
    </row>
    <row r="8" spans="2:12" x14ac:dyDescent="0.2">
      <c r="B8" s="98"/>
      <c r="C8" s="104"/>
      <c r="H8" s="100"/>
    </row>
    <row r="9" spans="2:12" x14ac:dyDescent="0.2">
      <c r="B9" s="98"/>
      <c r="C9" s="105" t="s">
        <v>208</v>
      </c>
      <c r="G9" s="106" t="s">
        <v>209</v>
      </c>
      <c r="H9" s="100"/>
      <c r="L9" s="107" t="str">
        <f>IF(G9="","PREENCHER SE A OBRA POSSUI FOLHA DE PAGAMENTO DESONERADA","")</f>
        <v/>
      </c>
    </row>
    <row r="10" spans="2:12" x14ac:dyDescent="0.2">
      <c r="B10" s="98"/>
      <c r="C10" s="108" t="s">
        <v>210</v>
      </c>
      <c r="H10" s="100"/>
    </row>
    <row r="11" spans="2:12" x14ac:dyDescent="0.2">
      <c r="B11" s="98"/>
      <c r="C11" s="104"/>
      <c r="D11" s="104"/>
      <c r="E11" s="104"/>
      <c r="F11" s="109"/>
      <c r="G11" s="104"/>
      <c r="H11" s="100"/>
    </row>
    <row r="12" spans="2:12" x14ac:dyDescent="0.2">
      <c r="B12" s="98"/>
      <c r="C12" s="104" t="s">
        <v>211</v>
      </c>
      <c r="D12" s="104"/>
      <c r="E12" s="104"/>
      <c r="F12" s="109"/>
      <c r="G12" s="104"/>
      <c r="H12" s="100"/>
    </row>
    <row r="13" spans="2:12" ht="81" customHeight="1" x14ac:dyDescent="0.2">
      <c r="B13" s="98"/>
      <c r="C13" s="321" t="str">
        <f>VLOOKUP(BV295,BW257:BX262,2,0)</f>
        <v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v>
      </c>
      <c r="D13" s="322"/>
      <c r="E13" s="322"/>
      <c r="F13" s="322"/>
      <c r="G13" s="323"/>
      <c r="H13" s="100"/>
    </row>
    <row r="14" spans="2:12" ht="3.75" customHeight="1" x14ac:dyDescent="0.2">
      <c r="B14" s="98"/>
      <c r="C14" s="104"/>
      <c r="D14" s="104"/>
      <c r="E14" s="104"/>
      <c r="F14" s="109"/>
      <c r="G14" s="104"/>
      <c r="H14" s="100"/>
    </row>
    <row r="15" spans="2:12" x14ac:dyDescent="0.2">
      <c r="B15" s="98"/>
      <c r="C15" s="104" t="s">
        <v>212</v>
      </c>
      <c r="D15" s="104"/>
      <c r="E15" s="104"/>
      <c r="F15" s="109"/>
      <c r="G15" s="104"/>
      <c r="H15" s="100"/>
    </row>
    <row r="16" spans="2:12" ht="3.75" customHeight="1" x14ac:dyDescent="0.2">
      <c r="B16" s="98"/>
      <c r="C16" s="104"/>
      <c r="D16" s="104"/>
      <c r="E16" s="104"/>
      <c r="F16" s="109"/>
      <c r="G16" s="104"/>
      <c r="H16" s="100"/>
    </row>
    <row r="17" spans="2:49" x14ac:dyDescent="0.2">
      <c r="B17" s="98"/>
      <c r="C17" s="104" t="s">
        <v>213</v>
      </c>
      <c r="D17" s="104"/>
      <c r="E17" s="104"/>
      <c r="F17" s="324" t="s">
        <v>214</v>
      </c>
      <c r="G17" s="324"/>
      <c r="H17" s="100"/>
      <c r="L17" s="313" t="str">
        <f>IF(F17="LUCRO REAL","PARA CÁLCULO DO IMPOSTO PREENCHER O % ADOTADO DE LUCRO NO CÁLCULO DO BDI - CELULA F40","")</f>
        <v/>
      </c>
      <c r="M17" s="313"/>
      <c r="N17" s="313"/>
      <c r="O17" s="313"/>
      <c r="P17" s="313"/>
      <c r="Q17" s="313"/>
      <c r="R17" s="313"/>
      <c r="S17" s="313"/>
      <c r="T17" s="313"/>
      <c r="U17" s="313"/>
      <c r="V17" s="313"/>
      <c r="W17" s="313"/>
      <c r="X17" s="313"/>
      <c r="Y17" s="313"/>
      <c r="Z17" s="313"/>
      <c r="AA17" s="313"/>
      <c r="AB17" s="313"/>
      <c r="AC17" s="313"/>
      <c r="AD17" s="313"/>
      <c r="AE17" s="313"/>
      <c r="AF17" s="313"/>
      <c r="AG17" s="313"/>
      <c r="AH17" s="313"/>
      <c r="AI17" s="313"/>
      <c r="AJ17" s="313"/>
      <c r="AK17" s="313"/>
      <c r="AL17" s="313"/>
      <c r="AM17" s="313"/>
      <c r="AN17" s="313"/>
      <c r="AO17" s="313"/>
      <c r="AP17" s="313"/>
      <c r="AQ17" s="313"/>
      <c r="AR17" s="313"/>
      <c r="AS17" s="313"/>
      <c r="AT17" s="313"/>
      <c r="AU17" s="313"/>
      <c r="AV17" s="313"/>
      <c r="AW17" s="313"/>
    </row>
    <row r="18" spans="2:49" ht="3.75" customHeight="1" x14ac:dyDescent="0.2">
      <c r="B18" s="98"/>
      <c r="C18" s="104"/>
      <c r="D18" s="104"/>
      <c r="E18" s="104"/>
      <c r="F18" s="190"/>
      <c r="G18" s="190"/>
      <c r="H18" s="100"/>
      <c r="L18" s="313"/>
      <c r="M18" s="313"/>
      <c r="N18" s="313"/>
      <c r="O18" s="313"/>
      <c r="P18" s="313"/>
      <c r="Q18" s="313"/>
      <c r="R18" s="313"/>
      <c r="S18" s="313"/>
      <c r="T18" s="313"/>
      <c r="U18" s="313"/>
      <c r="V18" s="313"/>
      <c r="W18" s="313"/>
      <c r="X18" s="313"/>
      <c r="Y18" s="313"/>
      <c r="Z18" s="313"/>
      <c r="AA18" s="313"/>
      <c r="AB18" s="313"/>
      <c r="AC18" s="313"/>
      <c r="AD18" s="313"/>
      <c r="AE18" s="313"/>
      <c r="AF18" s="313"/>
      <c r="AG18" s="313"/>
      <c r="AH18" s="313"/>
      <c r="AI18" s="313"/>
      <c r="AJ18" s="313"/>
      <c r="AK18" s="313"/>
      <c r="AL18" s="313"/>
      <c r="AM18" s="313"/>
      <c r="AN18" s="313"/>
      <c r="AO18" s="313"/>
      <c r="AP18" s="313"/>
      <c r="AQ18" s="313"/>
      <c r="AR18" s="313"/>
      <c r="AS18" s="313"/>
      <c r="AT18" s="313"/>
      <c r="AU18" s="313"/>
      <c r="AV18" s="313"/>
      <c r="AW18" s="313"/>
    </row>
    <row r="19" spans="2:49" x14ac:dyDescent="0.2">
      <c r="B19" s="98"/>
      <c r="C19" s="190" t="s">
        <v>215</v>
      </c>
      <c r="D19" s="190" t="s">
        <v>216</v>
      </c>
      <c r="E19" s="314" t="s">
        <v>217</v>
      </c>
      <c r="F19" s="314"/>
      <c r="G19" s="314"/>
      <c r="H19" s="100"/>
      <c r="L19" s="313"/>
      <c r="M19" s="313"/>
      <c r="N19" s="313"/>
      <c r="O19" s="313"/>
      <c r="P19" s="313"/>
      <c r="Q19" s="313"/>
      <c r="R19" s="313"/>
      <c r="S19" s="313"/>
      <c r="T19" s="313"/>
      <c r="U19" s="313"/>
      <c r="V19" s="313"/>
      <c r="W19" s="313"/>
      <c r="X19" s="313"/>
      <c r="Y19" s="313"/>
      <c r="Z19" s="313"/>
      <c r="AA19" s="313"/>
      <c r="AB19" s="313"/>
      <c r="AC19" s="313"/>
      <c r="AD19" s="313"/>
      <c r="AE19" s="313"/>
      <c r="AF19" s="313"/>
      <c r="AG19" s="313"/>
      <c r="AH19" s="313"/>
      <c r="AI19" s="313"/>
      <c r="AJ19" s="313"/>
      <c r="AK19" s="313"/>
      <c r="AL19" s="313"/>
      <c r="AM19" s="313"/>
      <c r="AN19" s="313"/>
      <c r="AO19" s="313"/>
      <c r="AP19" s="313"/>
      <c r="AQ19" s="313"/>
      <c r="AR19" s="313"/>
      <c r="AS19" s="313"/>
      <c r="AT19" s="313"/>
      <c r="AU19" s="313"/>
      <c r="AV19" s="313"/>
      <c r="AW19" s="313"/>
    </row>
    <row r="20" spans="2:49" x14ac:dyDescent="0.2">
      <c r="B20" s="98"/>
      <c r="C20" s="191" t="s">
        <v>115</v>
      </c>
      <c r="D20" s="112">
        <f>VLOOKUP($F$17,$CF$266:$CI$267,2,0)</f>
        <v>6.4999999999999997E-3</v>
      </c>
      <c r="E20" s="317" t="str">
        <f>VLOOKUP(F17,CF266:CI267,4,0)</f>
        <v>RECEITA BRUTA (VALOR DA NOTA)</v>
      </c>
      <c r="F20" s="317"/>
      <c r="G20" s="317"/>
      <c r="H20" s="100"/>
    </row>
    <row r="21" spans="2:49" x14ac:dyDescent="0.2">
      <c r="B21" s="98"/>
      <c r="C21" s="191" t="s">
        <v>116</v>
      </c>
      <c r="D21" s="112">
        <f>VLOOKUP($F$17,$CF$266:$CI$267,3,0)</f>
        <v>0.03</v>
      </c>
      <c r="E21" s="317"/>
      <c r="F21" s="317"/>
      <c r="G21" s="317"/>
      <c r="H21" s="100"/>
    </row>
    <row r="22" spans="2:49" x14ac:dyDescent="0.2">
      <c r="B22" s="98"/>
      <c r="C22" s="104"/>
      <c r="D22" s="104"/>
      <c r="E22" s="104"/>
      <c r="F22" s="190"/>
      <c r="G22" s="190"/>
      <c r="H22" s="100"/>
    </row>
    <row r="23" spans="2:49" x14ac:dyDescent="0.2">
      <c r="B23" s="98"/>
      <c r="C23" s="104" t="s">
        <v>218</v>
      </c>
      <c r="D23" s="104"/>
      <c r="E23" s="325" t="s">
        <v>219</v>
      </c>
      <c r="F23" s="325"/>
      <c r="G23" s="325"/>
      <c r="H23" s="100"/>
    </row>
    <row r="24" spans="2:49" x14ac:dyDescent="0.2">
      <c r="B24" s="98"/>
      <c r="C24" s="193">
        <v>0</v>
      </c>
      <c r="D24" s="114"/>
      <c r="E24" s="326">
        <v>0.4</v>
      </c>
      <c r="F24" s="326"/>
      <c r="G24" s="326"/>
      <c r="H24" s="100"/>
    </row>
    <row r="25" spans="2:49" ht="3.75" customHeight="1" x14ac:dyDescent="0.2">
      <c r="B25" s="98"/>
      <c r="D25" s="104"/>
      <c r="E25" s="104" t="s">
        <v>220</v>
      </c>
      <c r="F25" s="104"/>
      <c r="G25" s="104"/>
      <c r="H25" s="100"/>
    </row>
    <row r="26" spans="2:49" x14ac:dyDescent="0.2">
      <c r="B26" s="98"/>
      <c r="C26" s="104" t="s">
        <v>221</v>
      </c>
      <c r="D26" s="112">
        <f>+C24*E24</f>
        <v>0</v>
      </c>
      <c r="E26" s="115"/>
      <c r="F26" s="116"/>
      <c r="H26" s="100"/>
    </row>
    <row r="27" spans="2:49" ht="3.75" customHeight="1" x14ac:dyDescent="0.2">
      <c r="B27" s="98"/>
      <c r="D27" s="112"/>
      <c r="H27" s="100"/>
    </row>
    <row r="28" spans="2:49" ht="15.75" x14ac:dyDescent="0.25">
      <c r="B28" s="98"/>
      <c r="E28" s="327" t="s">
        <v>222</v>
      </c>
      <c r="F28" s="327"/>
      <c r="G28" s="117">
        <f>VLOOKUP(F17,CF266:CJ267,5,0)</f>
        <v>3.6499999999999998E-2</v>
      </c>
      <c r="H28" s="100"/>
    </row>
    <row r="29" spans="2:49" ht="3.75" customHeight="1" x14ac:dyDescent="0.2">
      <c r="B29" s="98"/>
      <c r="D29" s="112"/>
      <c r="H29" s="100"/>
    </row>
    <row r="30" spans="2:49" ht="26.25" customHeight="1" x14ac:dyDescent="0.2">
      <c r="B30" s="98"/>
      <c r="C30" s="328" t="s">
        <v>223</v>
      </c>
      <c r="D30" s="328"/>
      <c r="E30" s="328"/>
      <c r="F30" s="328"/>
      <c r="G30" s="328"/>
      <c r="H30" s="100"/>
    </row>
    <row r="31" spans="2:49" ht="3.75" customHeight="1" thickBot="1" x14ac:dyDescent="0.25">
      <c r="B31" s="118"/>
      <c r="C31" s="315"/>
      <c r="D31" s="315"/>
      <c r="E31" s="315"/>
      <c r="F31" s="315"/>
      <c r="G31" s="315"/>
      <c r="H31" s="119"/>
    </row>
    <row r="32" spans="2:49" ht="6.75" customHeight="1" thickBot="1" x14ac:dyDescent="0.25">
      <c r="B32" s="98"/>
      <c r="H32" s="100"/>
    </row>
    <row r="33" spans="2:10" x14ac:dyDescent="0.2">
      <c r="B33" s="101"/>
      <c r="C33" s="120"/>
      <c r="D33" s="120"/>
      <c r="E33" s="120"/>
      <c r="F33" s="120"/>
      <c r="G33" s="120"/>
      <c r="H33" s="103"/>
    </row>
    <row r="34" spans="2:10" x14ac:dyDescent="0.2">
      <c r="B34" s="98"/>
      <c r="C34" s="327" t="s">
        <v>224</v>
      </c>
      <c r="D34" s="327"/>
      <c r="E34" s="327"/>
      <c r="F34" s="327"/>
      <c r="G34" s="327"/>
      <c r="H34" s="100"/>
    </row>
    <row r="35" spans="2:10" x14ac:dyDescent="0.2">
      <c r="B35" s="98"/>
      <c r="C35" s="327"/>
      <c r="D35" s="327"/>
      <c r="E35" s="327"/>
      <c r="F35" s="327"/>
      <c r="G35" s="327"/>
      <c r="H35" s="100"/>
    </row>
    <row r="36" spans="2:10" x14ac:dyDescent="0.2">
      <c r="B36" s="98"/>
      <c r="C36" s="121" t="s">
        <v>225</v>
      </c>
      <c r="D36" s="121" t="s">
        <v>113</v>
      </c>
      <c r="E36" s="121" t="s">
        <v>112</v>
      </c>
      <c r="F36" s="121" t="s">
        <v>111</v>
      </c>
      <c r="G36" s="192" t="s">
        <v>226</v>
      </c>
      <c r="H36" s="100"/>
      <c r="J36" s="196" t="s">
        <v>227</v>
      </c>
    </row>
    <row r="37" spans="2:10" x14ac:dyDescent="0.2">
      <c r="B37" s="98"/>
      <c r="C37" s="124" t="s">
        <v>228</v>
      </c>
      <c r="D37" s="125">
        <f t="shared" ref="D37:F41" si="0">BW296</f>
        <v>1.4999999999999999E-2</v>
      </c>
      <c r="E37" s="125">
        <f t="shared" si="0"/>
        <v>3.4500000000000003E-2</v>
      </c>
      <c r="F37" s="125">
        <f t="shared" si="0"/>
        <v>4.4900000000000002E-2</v>
      </c>
      <c r="G37" s="126">
        <v>3.4500000000000003E-2</v>
      </c>
      <c r="H37" s="127"/>
      <c r="I37" s="128"/>
      <c r="J37" s="128">
        <f>TRUNC(G37,4)</f>
        <v>3.4500000000000003E-2</v>
      </c>
    </row>
    <row r="38" spans="2:10" ht="23.45" customHeight="1" x14ac:dyDescent="0.2">
      <c r="B38" s="98"/>
      <c r="C38" s="124" t="s">
        <v>229</v>
      </c>
      <c r="D38" s="125">
        <f t="shared" si="0"/>
        <v>3.0000000000000001E-3</v>
      </c>
      <c r="E38" s="125">
        <f t="shared" si="0"/>
        <v>4.7999999999999996E-3</v>
      </c>
      <c r="F38" s="125">
        <f t="shared" si="0"/>
        <v>8.2000000000000007E-3</v>
      </c>
      <c r="G38" s="126">
        <v>4.7999999999999996E-3</v>
      </c>
      <c r="H38" s="127"/>
      <c r="I38" s="128"/>
      <c r="J38" s="128">
        <f>TRUNC(G38,4)</f>
        <v>4.7999999999999996E-3</v>
      </c>
    </row>
    <row r="39" spans="2:10" x14ac:dyDescent="0.2">
      <c r="B39" s="98"/>
      <c r="C39" s="124" t="s">
        <v>230</v>
      </c>
      <c r="D39" s="125">
        <f t="shared" si="0"/>
        <v>5.5999999999999999E-3</v>
      </c>
      <c r="E39" s="125">
        <f t="shared" si="0"/>
        <v>8.5000000000000006E-3</v>
      </c>
      <c r="F39" s="125">
        <f t="shared" si="0"/>
        <v>8.8999999999999999E-3</v>
      </c>
      <c r="G39" s="126">
        <v>8.5000000000000006E-3</v>
      </c>
      <c r="H39" s="127"/>
      <c r="I39" s="128"/>
      <c r="J39" s="128">
        <f>TRUNC(G39,4)</f>
        <v>8.5000000000000006E-3</v>
      </c>
    </row>
    <row r="40" spans="2:10" x14ac:dyDescent="0.2">
      <c r="B40" s="98"/>
      <c r="C40" s="124" t="s">
        <v>231</v>
      </c>
      <c r="D40" s="125">
        <f t="shared" si="0"/>
        <v>8.5000000000000006E-3</v>
      </c>
      <c r="E40" s="125">
        <f t="shared" si="0"/>
        <v>8.5000000000000006E-3</v>
      </c>
      <c r="F40" s="125">
        <f t="shared" si="0"/>
        <v>1.11E-2</v>
      </c>
      <c r="G40" s="126">
        <v>8.5000000000000006E-3</v>
      </c>
      <c r="H40" s="127"/>
      <c r="I40" s="128"/>
      <c r="J40" s="128">
        <f>TRUNC(G40,4)</f>
        <v>8.5000000000000006E-3</v>
      </c>
    </row>
    <row r="41" spans="2:10" x14ac:dyDescent="0.2">
      <c r="B41" s="98"/>
      <c r="C41" s="124" t="s">
        <v>232</v>
      </c>
      <c r="D41" s="125">
        <f t="shared" si="0"/>
        <v>3.5000000000000003E-2</v>
      </c>
      <c r="E41" s="125">
        <f t="shared" si="0"/>
        <v>5.11E-2</v>
      </c>
      <c r="F41" s="125">
        <f t="shared" si="0"/>
        <v>6.2199999999999998E-2</v>
      </c>
      <c r="G41" s="126">
        <v>5.11E-2</v>
      </c>
      <c r="H41" s="127"/>
      <c r="I41" s="128"/>
      <c r="J41" s="128">
        <f>TRUNC(G41,4)</f>
        <v>5.11E-2</v>
      </c>
    </row>
    <row r="42" spans="2:10" ht="3.75" customHeight="1" x14ac:dyDescent="0.2">
      <c r="B42" s="98"/>
      <c r="C42" s="124"/>
      <c r="D42" s="125"/>
      <c r="E42" s="125"/>
      <c r="F42" s="125"/>
      <c r="H42" s="127"/>
      <c r="I42" s="128"/>
    </row>
    <row r="43" spans="2:10" x14ac:dyDescent="0.2">
      <c r="B43" s="98"/>
      <c r="C43" s="129" t="s">
        <v>233</v>
      </c>
      <c r="D43" s="125"/>
      <c r="E43" s="125"/>
      <c r="F43" s="125"/>
      <c r="G43" s="130">
        <f>G28</f>
        <v>3.6499999999999998E-2</v>
      </c>
      <c r="H43" s="127"/>
      <c r="I43" s="128"/>
      <c r="J43" s="131">
        <f>TRUNC(G43,5)</f>
        <v>3.6499999999999998E-2</v>
      </c>
    </row>
    <row r="44" spans="2:10" ht="3.75" customHeight="1" x14ac:dyDescent="0.2">
      <c r="B44" s="98"/>
      <c r="C44" s="129"/>
      <c r="D44" s="125"/>
      <c r="E44" s="125"/>
      <c r="F44" s="125"/>
      <c r="G44" s="130"/>
      <c r="H44" s="127"/>
      <c r="I44" s="128"/>
      <c r="J44" s="131"/>
    </row>
    <row r="45" spans="2:10" x14ac:dyDescent="0.2">
      <c r="B45" s="98"/>
      <c r="H45" s="127"/>
      <c r="I45" s="128"/>
    </row>
    <row r="46" spans="2:10" x14ac:dyDescent="0.2">
      <c r="B46" s="98"/>
      <c r="H46" s="100"/>
    </row>
    <row r="47" spans="2:10" x14ac:dyDescent="0.2">
      <c r="B47" s="98"/>
      <c r="H47" s="100"/>
    </row>
    <row r="48" spans="2:10" x14ac:dyDescent="0.2">
      <c r="B48" s="98"/>
      <c r="H48" s="100"/>
    </row>
    <row r="49" spans="2:10" x14ac:dyDescent="0.2">
      <c r="B49" s="98"/>
      <c r="H49" s="100"/>
    </row>
    <row r="50" spans="2:10" ht="15.75" x14ac:dyDescent="0.25">
      <c r="B50" s="98"/>
      <c r="C50" s="132" t="s">
        <v>234</v>
      </c>
      <c r="F50" s="330">
        <f>TRUNC((((1+J37+J38+J39)*(1+J40)*(1+J41))/(1-J43))-1,4)</f>
        <v>0.1527</v>
      </c>
      <c r="G50" s="330"/>
      <c r="H50" s="100"/>
    </row>
    <row r="51" spans="2:10" ht="3.75" customHeight="1" x14ac:dyDescent="0.25">
      <c r="B51" s="98"/>
      <c r="C51" s="132"/>
      <c r="F51" s="195"/>
      <c r="G51" s="195"/>
      <c r="H51" s="100"/>
    </row>
    <row r="52" spans="2:10" x14ac:dyDescent="0.2">
      <c r="B52" s="98"/>
      <c r="C52" s="331" t="str">
        <f>IF(F50&lt;D54,"ERRO - BDI INFERIOR AO 1º QUARTIL",IF(F50&gt;F54,"ERRO - BDI SUPERIOR AO 3º QUARTIL",""))</f>
        <v/>
      </c>
      <c r="D52" s="331"/>
      <c r="E52" s="331"/>
      <c r="F52" s="331"/>
      <c r="G52" s="331"/>
      <c r="H52" s="100"/>
    </row>
    <row r="53" spans="2:10" x14ac:dyDescent="0.2">
      <c r="B53" s="98"/>
      <c r="D53" s="121" t="s">
        <v>113</v>
      </c>
      <c r="E53" s="121" t="s">
        <v>112</v>
      </c>
      <c r="F53" s="121" t="s">
        <v>111</v>
      </c>
      <c r="H53" s="100"/>
    </row>
    <row r="54" spans="2:10" x14ac:dyDescent="0.2">
      <c r="B54" s="98"/>
      <c r="C54" s="129" t="s">
        <v>235</v>
      </c>
      <c r="D54" s="125">
        <f>BW295</f>
        <v>0.111</v>
      </c>
      <c r="E54" s="125">
        <f>BX295</f>
        <v>0.14019999999999999</v>
      </c>
      <c r="F54" s="125">
        <f>BY295</f>
        <v>0.16800000000000001</v>
      </c>
      <c r="H54" s="100"/>
    </row>
    <row r="55" spans="2:10" ht="3.75" customHeight="1" x14ac:dyDescent="0.2">
      <c r="B55" s="98"/>
      <c r="C55" s="129"/>
      <c r="D55" s="125"/>
      <c r="E55" s="125"/>
      <c r="F55" s="125"/>
      <c r="H55" s="100"/>
    </row>
    <row r="56" spans="2:10" x14ac:dyDescent="0.2">
      <c r="B56" s="98"/>
      <c r="C56" s="327" t="s">
        <v>236</v>
      </c>
      <c r="D56" s="327"/>
      <c r="E56" s="327"/>
      <c r="F56" s="327"/>
      <c r="G56" s="327"/>
      <c r="H56" s="100"/>
    </row>
    <row r="57" spans="2:10" ht="3.75" customHeight="1" x14ac:dyDescent="0.2">
      <c r="B57" s="98"/>
      <c r="C57" s="191"/>
      <c r="D57" s="191"/>
      <c r="E57" s="191"/>
      <c r="F57" s="191"/>
      <c r="G57" s="191"/>
      <c r="H57" s="100"/>
    </row>
    <row r="58" spans="2:10" ht="37.5" customHeight="1" x14ac:dyDescent="0.2">
      <c r="B58" s="98"/>
      <c r="C58" s="332" t="s">
        <v>237</v>
      </c>
      <c r="D58" s="332"/>
      <c r="E58" s="332"/>
      <c r="F58" s="333">
        <f>TRUNC((((1+J37+J38+J39)*(1+J40)*(1+J41))/(1-J60))-1,4)</f>
        <v>0.2092</v>
      </c>
      <c r="G58" s="333"/>
      <c r="H58" s="100"/>
    </row>
    <row r="59" spans="2:10" ht="3.75" customHeight="1" x14ac:dyDescent="0.2">
      <c r="B59" s="98"/>
      <c r="C59" s="134"/>
      <c r="D59" s="135"/>
      <c r="E59" s="135"/>
      <c r="F59" s="135"/>
      <c r="G59" s="136"/>
      <c r="H59" s="100"/>
    </row>
    <row r="60" spans="2:10" ht="15.75" x14ac:dyDescent="0.25">
      <c r="B60" s="98"/>
      <c r="C60" s="137" t="s">
        <v>238</v>
      </c>
      <c r="D60" s="138">
        <v>4.4999999999999998E-2</v>
      </c>
      <c r="E60" s="334" t="s">
        <v>222</v>
      </c>
      <c r="F60" s="334"/>
      <c r="G60" s="139">
        <f>+G28+D60</f>
        <v>8.1499999999999989E-2</v>
      </c>
      <c r="H60" s="100"/>
      <c r="J60" s="131">
        <f>TRUNC(G60,5)</f>
        <v>8.1500000000000003E-2</v>
      </c>
    </row>
    <row r="61" spans="2:10" ht="3.75" customHeight="1" x14ac:dyDescent="0.2">
      <c r="B61" s="98"/>
      <c r="C61" s="134"/>
      <c r="D61" s="135"/>
      <c r="E61" s="135"/>
      <c r="F61" s="135"/>
      <c r="G61" s="136"/>
      <c r="H61" s="100"/>
    </row>
    <row r="62" spans="2:10" x14ac:dyDescent="0.2">
      <c r="B62" s="98"/>
      <c r="C62" s="136"/>
      <c r="D62" s="136"/>
      <c r="E62" s="136"/>
      <c r="F62" s="136"/>
      <c r="G62" s="136"/>
      <c r="H62" s="100"/>
    </row>
    <row r="63" spans="2:10" ht="15" x14ac:dyDescent="0.25">
      <c r="B63" s="98"/>
      <c r="C63" s="136"/>
      <c r="D63" s="136"/>
      <c r="E63" s="136"/>
      <c r="F63" s="136"/>
      <c r="G63" s="136"/>
      <c r="H63" s="100"/>
      <c r="J63" s="140"/>
    </row>
    <row r="64" spans="2:10" ht="15" x14ac:dyDescent="0.25">
      <c r="B64" s="98"/>
      <c r="C64" s="136"/>
      <c r="D64" s="136"/>
      <c r="E64" s="136"/>
      <c r="F64" s="136"/>
      <c r="G64" s="136"/>
      <c r="H64" s="100"/>
      <c r="J64" s="140"/>
    </row>
    <row r="65" spans="2:10" x14ac:dyDescent="0.2">
      <c r="B65" s="335" t="s">
        <v>239</v>
      </c>
      <c r="C65" s="336"/>
      <c r="D65" s="336"/>
      <c r="E65" s="336"/>
      <c r="F65" s="336"/>
      <c r="G65" s="336"/>
      <c r="H65" s="337"/>
      <c r="J65" s="141"/>
    </row>
    <row r="66" spans="2:10" ht="25.5" customHeight="1" x14ac:dyDescent="0.25">
      <c r="B66" s="338" t="s">
        <v>240</v>
      </c>
      <c r="C66" s="336"/>
      <c r="D66" s="336"/>
      <c r="E66" s="336"/>
      <c r="F66" s="336"/>
      <c r="G66" s="336"/>
      <c r="H66" s="337"/>
      <c r="J66" s="140"/>
    </row>
    <row r="67" spans="2:10" ht="15.75" thickBot="1" x14ac:dyDescent="0.3">
      <c r="B67" s="339"/>
      <c r="C67" s="329"/>
      <c r="D67" s="329"/>
      <c r="E67" s="329"/>
      <c r="F67" s="329"/>
      <c r="G67" s="329"/>
      <c r="H67" s="340"/>
      <c r="J67" s="140"/>
    </row>
    <row r="73" spans="2:10" x14ac:dyDescent="0.2">
      <c r="J73" s="194"/>
    </row>
    <row r="74" spans="2:10" ht="15" x14ac:dyDescent="0.25">
      <c r="J74" s="143"/>
    </row>
    <row r="75" spans="2:10" ht="15" x14ac:dyDescent="0.25">
      <c r="J75" s="143"/>
    </row>
    <row r="76" spans="2:10" ht="15" x14ac:dyDescent="0.25">
      <c r="J76" s="143"/>
    </row>
    <row r="77" spans="2:10" ht="15" x14ac:dyDescent="0.25">
      <c r="J77" s="143"/>
    </row>
    <row r="78" spans="2:10" ht="15" x14ac:dyDescent="0.25">
      <c r="J78" s="143"/>
    </row>
    <row r="79" spans="2:10" ht="15" x14ac:dyDescent="0.25">
      <c r="J79" s="143"/>
    </row>
    <row r="80" spans="2:10" ht="15" x14ac:dyDescent="0.25">
      <c r="J80" s="143"/>
    </row>
    <row r="81" spans="10:16" ht="15" x14ac:dyDescent="0.25">
      <c r="J81" s="143"/>
    </row>
    <row r="82" spans="10:16" ht="15" x14ac:dyDescent="0.25">
      <c r="J82" s="143"/>
    </row>
    <row r="83" spans="10:16" ht="15" x14ac:dyDescent="0.25">
      <c r="J83" s="144"/>
    </row>
    <row r="84" spans="10:16" ht="15" x14ac:dyDescent="0.25">
      <c r="J84" s="144"/>
    </row>
    <row r="85" spans="10:16" ht="15" x14ac:dyDescent="0.25">
      <c r="J85" s="144"/>
    </row>
    <row r="89" spans="10:16" ht="15" x14ac:dyDescent="0.25">
      <c r="O89" s="143"/>
      <c r="P89" s="128"/>
    </row>
    <row r="90" spans="10:16" ht="15" x14ac:dyDescent="0.25">
      <c r="O90" s="143"/>
      <c r="P90" s="128"/>
    </row>
    <row r="91" spans="10:16" ht="15" x14ac:dyDescent="0.25">
      <c r="O91" s="143"/>
      <c r="P91" s="128"/>
    </row>
    <row r="92" spans="10:16" ht="15" x14ac:dyDescent="0.25">
      <c r="O92" s="143"/>
      <c r="P92" s="128"/>
    </row>
    <row r="93" spans="10:16" ht="15" x14ac:dyDescent="0.25">
      <c r="O93" s="143"/>
      <c r="P93" s="128"/>
    </row>
    <row r="94" spans="10:16" ht="15" x14ac:dyDescent="0.25">
      <c r="O94" s="143"/>
      <c r="P94" s="128"/>
    </row>
    <row r="95" spans="10:16" ht="15" x14ac:dyDescent="0.25">
      <c r="O95" s="143"/>
      <c r="P95" s="128"/>
    </row>
    <row r="96" spans="10:16" ht="15" x14ac:dyDescent="0.25">
      <c r="O96" s="143"/>
      <c r="P96" s="128"/>
    </row>
    <row r="97" spans="15:16" ht="15" x14ac:dyDescent="0.25">
      <c r="O97" s="143"/>
      <c r="P97" s="128"/>
    </row>
    <row r="98" spans="15:16" ht="15" x14ac:dyDescent="0.25">
      <c r="O98" s="143"/>
      <c r="P98" s="128"/>
    </row>
    <row r="99" spans="15:16" ht="15" x14ac:dyDescent="0.25">
      <c r="O99" s="143"/>
      <c r="P99" s="128"/>
    </row>
    <row r="100" spans="15:16" ht="15" x14ac:dyDescent="0.25">
      <c r="O100" s="143"/>
    </row>
    <row r="101" spans="15:16" ht="15" x14ac:dyDescent="0.25">
      <c r="O101" s="143"/>
    </row>
    <row r="102" spans="15:16" ht="15" x14ac:dyDescent="0.25">
      <c r="O102" s="143"/>
    </row>
    <row r="103" spans="15:16" ht="15" x14ac:dyDescent="0.25">
      <c r="O103" s="143"/>
    </row>
    <row r="254" spans="73:77" ht="13.5" thickBot="1" x14ac:dyDescent="0.25"/>
    <row r="255" spans="73:77" x14ac:dyDescent="0.2">
      <c r="BU255" s="341" t="s">
        <v>241</v>
      </c>
      <c r="BV255" s="342"/>
      <c r="BW255" s="342"/>
      <c r="BX255" s="342"/>
      <c r="BY255" s="343"/>
    </row>
    <row r="256" spans="73:77" x14ac:dyDescent="0.2">
      <c r="BU256" s="98"/>
      <c r="BV256" s="95" t="s">
        <v>242</v>
      </c>
      <c r="BW256" s="95" t="s">
        <v>35</v>
      </c>
      <c r="BX256" s="95" t="s">
        <v>243</v>
      </c>
      <c r="BY256" s="100"/>
    </row>
    <row r="257" spans="73:88" x14ac:dyDescent="0.2">
      <c r="BU257" s="145">
        <v>100</v>
      </c>
      <c r="BV257" s="146" t="s">
        <v>244</v>
      </c>
      <c r="BW257" s="104">
        <f t="shared" ref="BW257:BW262" si="1">+BU257</f>
        <v>100</v>
      </c>
      <c r="BX257" s="109" t="s">
        <v>245</v>
      </c>
      <c r="BY257" s="100"/>
    </row>
    <row r="258" spans="73:88" ht="25.5" x14ac:dyDescent="0.2">
      <c r="BU258" s="145">
        <v>200</v>
      </c>
      <c r="BV258" s="146" t="s">
        <v>207</v>
      </c>
      <c r="BW258" s="104">
        <f t="shared" si="1"/>
        <v>200</v>
      </c>
      <c r="BX258" s="109" t="s">
        <v>246</v>
      </c>
      <c r="BY258" s="100"/>
    </row>
    <row r="259" spans="73:88" ht="57" x14ac:dyDescent="0.2">
      <c r="BU259" s="145">
        <v>300</v>
      </c>
      <c r="BV259" s="147" t="s">
        <v>247</v>
      </c>
      <c r="BW259" s="104">
        <f t="shared" si="1"/>
        <v>300</v>
      </c>
      <c r="BX259" s="109" t="s">
        <v>248</v>
      </c>
      <c r="BY259" s="100"/>
    </row>
    <row r="260" spans="73:88" ht="57" x14ac:dyDescent="0.2">
      <c r="BU260" s="145">
        <v>400</v>
      </c>
      <c r="BV260" s="147" t="s">
        <v>249</v>
      </c>
      <c r="BW260" s="104">
        <f t="shared" si="1"/>
        <v>400</v>
      </c>
      <c r="BX260" s="109" t="s">
        <v>250</v>
      </c>
      <c r="BY260" s="100"/>
    </row>
    <row r="261" spans="73:88" x14ac:dyDescent="0.2">
      <c r="BU261" s="145">
        <v>500</v>
      </c>
      <c r="BV261" s="146" t="s">
        <v>251</v>
      </c>
      <c r="BW261" s="104">
        <f t="shared" si="1"/>
        <v>500</v>
      </c>
      <c r="BX261" s="109" t="s">
        <v>252</v>
      </c>
      <c r="BY261" s="100"/>
    </row>
    <row r="262" spans="73:88" ht="25.5" x14ac:dyDescent="0.2">
      <c r="BU262" s="145">
        <v>600</v>
      </c>
      <c r="BV262" s="146" t="s">
        <v>253</v>
      </c>
      <c r="BW262" s="104">
        <f t="shared" si="1"/>
        <v>600</v>
      </c>
      <c r="BX262" s="109" t="s">
        <v>254</v>
      </c>
      <c r="BY262" s="100"/>
    </row>
    <row r="263" spans="73:88" x14ac:dyDescent="0.2">
      <c r="BU263" s="145"/>
      <c r="BV263" s="104"/>
      <c r="BW263" s="104"/>
      <c r="BX263" s="109"/>
      <c r="BY263" s="100"/>
    </row>
    <row r="264" spans="73:88" x14ac:dyDescent="0.2">
      <c r="BU264" s="148"/>
      <c r="BV264" s="109"/>
      <c r="BW264" s="109"/>
      <c r="BX264" s="109"/>
      <c r="BY264" s="100"/>
    </row>
    <row r="265" spans="73:88" x14ac:dyDescent="0.2">
      <c r="BU265" s="148"/>
      <c r="BV265" s="109"/>
      <c r="BW265" s="109"/>
      <c r="BX265" s="109"/>
      <c r="BY265" s="100"/>
      <c r="CG265" s="95" t="s">
        <v>115</v>
      </c>
      <c r="CH265" s="95" t="s">
        <v>255</v>
      </c>
      <c r="CI265" s="95" t="s">
        <v>256</v>
      </c>
    </row>
    <row r="266" spans="73:88" x14ac:dyDescent="0.2">
      <c r="BU266" s="98"/>
      <c r="BY266" s="100"/>
      <c r="CF266" s="95" t="s">
        <v>214</v>
      </c>
      <c r="CG266" s="128">
        <v>6.4999999999999997E-3</v>
      </c>
      <c r="CH266" s="149">
        <v>0.03</v>
      </c>
      <c r="CI266" s="95" t="s">
        <v>257</v>
      </c>
      <c r="CJ266" s="128">
        <f>(D20+D21)+D26</f>
        <v>3.6499999999999998E-2</v>
      </c>
    </row>
    <row r="267" spans="73:88" x14ac:dyDescent="0.2">
      <c r="BU267" s="98"/>
      <c r="BY267" s="100"/>
      <c r="CF267" s="95" t="s">
        <v>258</v>
      </c>
      <c r="CG267" s="128">
        <v>1.6500000000000001E-2</v>
      </c>
      <c r="CH267" s="128">
        <v>7.5999999999999998E-2</v>
      </c>
      <c r="CI267" s="95" t="s">
        <v>114</v>
      </c>
      <c r="CJ267" s="128">
        <f>(D20+D21)*(G41/(1+G41))+D26</f>
        <v>1.7744743601940825E-3</v>
      </c>
    </row>
    <row r="268" spans="73:88" x14ac:dyDescent="0.2">
      <c r="BU268" s="98"/>
      <c r="BY268" s="100"/>
    </row>
    <row r="269" spans="73:88" x14ac:dyDescent="0.2">
      <c r="BU269" s="150"/>
      <c r="BV269" s="151"/>
      <c r="BW269" s="151"/>
      <c r="BY269" s="100"/>
    </row>
    <row r="270" spans="73:88" x14ac:dyDescent="0.2">
      <c r="BU270" s="98"/>
      <c r="BY270" s="100"/>
    </row>
    <row r="271" spans="73:88" ht="13.5" thickBot="1" x14ac:dyDescent="0.25">
      <c r="BU271" s="98"/>
      <c r="BY271" s="100"/>
      <c r="CE271" s="95">
        <f>BU257</f>
        <v>100</v>
      </c>
      <c r="CF271" s="329" t="str">
        <f>BV257</f>
        <v>Construção de edificios</v>
      </c>
      <c r="CG271" s="329"/>
      <c r="CH271" s="329"/>
      <c r="CI271" s="329"/>
    </row>
    <row r="272" spans="73:88" ht="15" thickBot="1" x14ac:dyDescent="0.25">
      <c r="BU272" s="98"/>
      <c r="BY272" s="100"/>
      <c r="CE272" s="95">
        <f>+CE271+1</f>
        <v>101</v>
      </c>
      <c r="CF272" s="152" t="s">
        <v>228</v>
      </c>
      <c r="CG272" s="153">
        <v>0.03</v>
      </c>
      <c r="CH272" s="153">
        <v>0.04</v>
      </c>
      <c r="CI272" s="153">
        <v>5.5E-2</v>
      </c>
    </row>
    <row r="273" spans="73:87" ht="15" thickBot="1" x14ac:dyDescent="0.25">
      <c r="BU273" s="98"/>
      <c r="BY273" s="100"/>
      <c r="CE273" s="95">
        <f>+CE272+1</f>
        <v>102</v>
      </c>
      <c r="CF273" s="152" t="s">
        <v>229</v>
      </c>
      <c r="CG273" s="153">
        <v>8.0000000000000002E-3</v>
      </c>
      <c r="CH273" s="153">
        <v>8.0000000000000002E-3</v>
      </c>
      <c r="CI273" s="153">
        <v>0.01</v>
      </c>
    </row>
    <row r="274" spans="73:87" ht="15" thickBot="1" x14ac:dyDescent="0.25">
      <c r="BU274" s="98"/>
      <c r="BY274" s="100"/>
      <c r="CE274" s="95">
        <f>+CE273+1</f>
        <v>103</v>
      </c>
      <c r="CF274" s="152" t="s">
        <v>230</v>
      </c>
      <c r="CG274" s="153">
        <v>9.7000000000000003E-3</v>
      </c>
      <c r="CH274" s="153">
        <v>1.2699999999999999E-2</v>
      </c>
      <c r="CI274" s="153">
        <v>1.2699999999999999E-2</v>
      </c>
    </row>
    <row r="275" spans="73:87" ht="15" thickBot="1" x14ac:dyDescent="0.25">
      <c r="BU275" s="150"/>
      <c r="BV275" s="151"/>
      <c r="BW275" s="151"/>
      <c r="BY275" s="100"/>
      <c r="CE275" s="95">
        <f>+CE274+1</f>
        <v>104</v>
      </c>
      <c r="CF275" s="152" t="s">
        <v>231</v>
      </c>
      <c r="CG275" s="153">
        <v>5.8999999999999999E-3</v>
      </c>
      <c r="CH275" s="153">
        <v>1.23E-2</v>
      </c>
      <c r="CI275" s="153">
        <v>1.3899999999999999E-2</v>
      </c>
    </row>
    <row r="276" spans="73:87" ht="15" thickBot="1" x14ac:dyDescent="0.25">
      <c r="BU276" s="98"/>
      <c r="BY276" s="100"/>
      <c r="CE276" s="95">
        <f>+CE275+1</f>
        <v>105</v>
      </c>
      <c r="CF276" s="152" t="s">
        <v>232</v>
      </c>
      <c r="CG276" s="153">
        <v>6.1600000000000002E-2</v>
      </c>
      <c r="CH276" s="153">
        <v>7.3999999999999996E-2</v>
      </c>
      <c r="CI276" s="153">
        <v>8.9599999999999999E-2</v>
      </c>
    </row>
    <row r="277" spans="73:87" x14ac:dyDescent="0.2">
      <c r="BU277" s="98"/>
      <c r="BY277" s="100"/>
    </row>
    <row r="278" spans="73:87" x14ac:dyDescent="0.2">
      <c r="BU278" s="98"/>
      <c r="BY278" s="100"/>
    </row>
    <row r="279" spans="73:87" ht="13.5" thickBot="1" x14ac:dyDescent="0.25">
      <c r="BU279" s="98"/>
      <c r="BY279" s="100"/>
      <c r="CE279" s="95">
        <f>BU258</f>
        <v>200</v>
      </c>
      <c r="CF279" s="329" t="str">
        <f>BV258</f>
        <v>Construção de rodovias e ferrovias</v>
      </c>
      <c r="CG279" s="329"/>
      <c r="CH279" s="329"/>
      <c r="CI279" s="329"/>
    </row>
    <row r="280" spans="73:87" ht="15" thickBot="1" x14ac:dyDescent="0.25">
      <c r="BU280" s="98"/>
      <c r="BY280" s="100"/>
      <c r="CE280" s="95">
        <f>+CE279+1</f>
        <v>201</v>
      </c>
      <c r="CF280" s="152" t="s">
        <v>228</v>
      </c>
      <c r="CG280" s="153">
        <v>3.7999999999999999E-2</v>
      </c>
      <c r="CH280" s="153">
        <v>4.0099999999999997E-2</v>
      </c>
      <c r="CI280" s="153">
        <v>4.6699999999999998E-2</v>
      </c>
    </row>
    <row r="281" spans="73:87" ht="15" thickBot="1" x14ac:dyDescent="0.25">
      <c r="BU281" s="98"/>
      <c r="BY281" s="100"/>
      <c r="CE281" s="95">
        <f>+CE280+1</f>
        <v>202</v>
      </c>
      <c r="CF281" s="152" t="s">
        <v>229</v>
      </c>
      <c r="CG281" s="153">
        <v>3.2000000000000002E-3</v>
      </c>
      <c r="CH281" s="153">
        <v>4.0000000000000001E-3</v>
      </c>
      <c r="CI281" s="153">
        <v>7.4000000000000003E-3</v>
      </c>
    </row>
    <row r="282" spans="73:87" ht="15" thickBot="1" x14ac:dyDescent="0.25">
      <c r="BU282" s="341"/>
      <c r="BV282" s="342"/>
      <c r="BW282" s="342"/>
      <c r="BX282" s="342"/>
      <c r="BY282" s="343"/>
      <c r="CE282" s="95">
        <f>+CE281+1</f>
        <v>203</v>
      </c>
      <c r="CF282" s="152" t="s">
        <v>230</v>
      </c>
      <c r="CG282" s="153">
        <v>5.0000000000000001E-3</v>
      </c>
      <c r="CH282" s="153">
        <v>5.5999999999999999E-3</v>
      </c>
      <c r="CI282" s="153">
        <v>9.7000000000000003E-3</v>
      </c>
    </row>
    <row r="283" spans="73:87" ht="15" thickBot="1" x14ac:dyDescent="0.25">
      <c r="BU283" s="98"/>
      <c r="BY283" s="100"/>
      <c r="CE283" s="95">
        <f>+CE282+1</f>
        <v>204</v>
      </c>
      <c r="CF283" s="152" t="s">
        <v>231</v>
      </c>
      <c r="CG283" s="153">
        <v>1.0200000000000001E-2</v>
      </c>
      <c r="CH283" s="153">
        <v>1.11E-2</v>
      </c>
      <c r="CI283" s="153">
        <v>1.21E-2</v>
      </c>
    </row>
    <row r="284" spans="73:87" ht="15" thickBot="1" x14ac:dyDescent="0.25">
      <c r="BU284" s="98"/>
      <c r="BY284" s="100"/>
      <c r="CE284" s="95">
        <f>+CE283+1</f>
        <v>205</v>
      </c>
      <c r="CF284" s="152" t="s">
        <v>232</v>
      </c>
      <c r="CG284" s="153">
        <v>6.6400000000000001E-2</v>
      </c>
      <c r="CH284" s="153">
        <v>7.2999999999999995E-2</v>
      </c>
      <c r="CI284" s="153">
        <v>8.6900000000000005E-2</v>
      </c>
    </row>
    <row r="285" spans="73:87" x14ac:dyDescent="0.2">
      <c r="BU285" s="98"/>
      <c r="BY285" s="100"/>
    </row>
    <row r="286" spans="73:87" ht="13.5" thickBot="1" x14ac:dyDescent="0.25">
      <c r="BU286" s="118"/>
      <c r="BV286" s="154"/>
      <c r="BW286" s="154"/>
      <c r="BX286" s="154"/>
      <c r="BY286" s="119"/>
    </row>
    <row r="287" spans="73:87" ht="13.5" thickBot="1" x14ac:dyDescent="0.25">
      <c r="BU287" s="341"/>
      <c r="BV287" s="342"/>
      <c r="BW287" s="342"/>
      <c r="BX287" s="342"/>
      <c r="BY287" s="343"/>
      <c r="CE287" s="95">
        <f>BU259</f>
        <v>300</v>
      </c>
      <c r="CF287" s="329" t="str">
        <f>BV259</f>
        <v>Construção de Redes de Abastecimento de Água, Coleta de Esgoto e Construções Correlatas</v>
      </c>
      <c r="CG287" s="329"/>
      <c r="CH287" s="329"/>
      <c r="CI287" s="329"/>
    </row>
    <row r="288" spans="73:87" ht="15" thickBot="1" x14ac:dyDescent="0.25">
      <c r="BU288" s="344"/>
      <c r="BV288" s="345"/>
      <c r="BW288" s="345"/>
      <c r="BX288" s="345"/>
      <c r="BY288" s="346"/>
      <c r="CE288" s="95">
        <f>+CE287+1</f>
        <v>301</v>
      </c>
      <c r="CF288" s="155" t="s">
        <v>228</v>
      </c>
      <c r="CG288" s="156">
        <v>3.4299999999999997E-2</v>
      </c>
      <c r="CH288" s="156">
        <v>4.9299999999999997E-2</v>
      </c>
      <c r="CI288" s="156">
        <v>6.7100000000000007E-2</v>
      </c>
    </row>
    <row r="289" spans="73:87" ht="15" thickBot="1" x14ac:dyDescent="0.25">
      <c r="BU289" s="344"/>
      <c r="BV289" s="345"/>
      <c r="BW289" s="345"/>
      <c r="BX289" s="345"/>
      <c r="BY289" s="346"/>
      <c r="CE289" s="95">
        <f>+CE288+1</f>
        <v>302</v>
      </c>
      <c r="CF289" s="152" t="s">
        <v>229</v>
      </c>
      <c r="CG289" s="153">
        <v>2.8E-3</v>
      </c>
      <c r="CH289" s="153">
        <v>4.8999999999999998E-3</v>
      </c>
      <c r="CI289" s="153">
        <v>7.4999999999999997E-3</v>
      </c>
    </row>
    <row r="290" spans="73:87" ht="27" customHeight="1" thickBot="1" x14ac:dyDescent="0.25">
      <c r="BU290" s="157"/>
      <c r="BV290" s="158"/>
      <c r="BW290" s="159"/>
      <c r="BX290" s="159"/>
      <c r="BY290" s="160"/>
      <c r="CE290" s="95">
        <f>+CE289+1</f>
        <v>303</v>
      </c>
      <c r="CF290" s="152" t="s">
        <v>230</v>
      </c>
      <c r="CG290" s="153">
        <v>0.01</v>
      </c>
      <c r="CH290" s="153">
        <v>1.3899999999999999E-2</v>
      </c>
      <c r="CI290" s="153">
        <v>1.7399999999999999E-2</v>
      </c>
    </row>
    <row r="291" spans="73:87" ht="15" thickBot="1" x14ac:dyDescent="0.25">
      <c r="BU291" s="98"/>
      <c r="BY291" s="100"/>
      <c r="CE291" s="95">
        <f>+CE290+1</f>
        <v>304</v>
      </c>
      <c r="CF291" s="152" t="s">
        <v>231</v>
      </c>
      <c r="CG291" s="153">
        <v>9.4000000000000004E-3</v>
      </c>
      <c r="CH291" s="153">
        <v>9.9000000000000008E-3</v>
      </c>
      <c r="CI291" s="153">
        <v>1.17E-2</v>
      </c>
    </row>
    <row r="292" spans="73:87" ht="15" thickBot="1" x14ac:dyDescent="0.25">
      <c r="BU292" s="118"/>
      <c r="BV292" s="154"/>
      <c r="BW292" s="154"/>
      <c r="BX292" s="154"/>
      <c r="BY292" s="119"/>
      <c r="CE292" s="95">
        <f>+CE291+1</f>
        <v>305</v>
      </c>
      <c r="CF292" s="152" t="s">
        <v>232</v>
      </c>
      <c r="CG292" s="153">
        <v>6.7400000000000002E-2</v>
      </c>
      <c r="CH292" s="153">
        <v>8.0399999999999999E-2</v>
      </c>
      <c r="CI292" s="153">
        <v>9.4E-2</v>
      </c>
    </row>
    <row r="293" spans="73:87" x14ac:dyDescent="0.2">
      <c r="BU293" s="341"/>
      <c r="BV293" s="342"/>
      <c r="BW293" s="342"/>
      <c r="BX293" s="342"/>
      <c r="BY293" s="343"/>
    </row>
    <row r="294" spans="73:87" ht="13.5" thickBot="1" x14ac:dyDescent="0.25">
      <c r="BU294" s="161"/>
      <c r="BV294" s="162" t="s">
        <v>259</v>
      </c>
      <c r="BW294" s="162" t="s">
        <v>260</v>
      </c>
      <c r="BX294" s="162" t="s">
        <v>261</v>
      </c>
      <c r="BY294" s="162" t="s">
        <v>262</v>
      </c>
      <c r="CE294" s="95">
        <f>BU260</f>
        <v>400</v>
      </c>
      <c r="CF294" s="329" t="str">
        <f>BV260</f>
        <v>Construção e Manutenção de Estações e Redes de Distribuição de Energia Elétrica</v>
      </c>
      <c r="CG294" s="329"/>
      <c r="CH294" s="329"/>
      <c r="CI294" s="329"/>
    </row>
    <row r="295" spans="73:87" ht="15" thickBot="1" x14ac:dyDescent="0.25">
      <c r="BU295" s="161" t="s">
        <v>148</v>
      </c>
      <c r="BV295" s="162">
        <f>VLOOKUP(D7,BV257:BW262,2,0)</f>
        <v>600</v>
      </c>
      <c r="BW295" s="163">
        <f>VLOOKUP($BV295,$BU$306:$BY$311,3,0)</f>
        <v>0.111</v>
      </c>
      <c r="BX295" s="163">
        <f>VLOOKUP($BV295,$BU$306:$BY$311,4,0)</f>
        <v>0.14019999999999999</v>
      </c>
      <c r="BY295" s="163">
        <f>VLOOKUP($BV295,$BU$306:$BY$311,5,0)</f>
        <v>0.16800000000000001</v>
      </c>
      <c r="CE295" s="95">
        <f>+CE294+1</f>
        <v>401</v>
      </c>
      <c r="CF295" s="155" t="s">
        <v>228</v>
      </c>
      <c r="CG295" s="156">
        <v>5.2900000000000003E-2</v>
      </c>
      <c r="CH295" s="156">
        <v>5.9200000000000003E-2</v>
      </c>
      <c r="CI295" s="156">
        <v>7.9299999999999995E-2</v>
      </c>
    </row>
    <row r="296" spans="73:87" ht="15" thickBot="1" x14ac:dyDescent="0.25">
      <c r="BU296" s="164" t="s">
        <v>228</v>
      </c>
      <c r="BV296" s="162">
        <f>+BV295+1</f>
        <v>601</v>
      </c>
      <c r="BW296" s="163">
        <f>VLOOKUP($BV296,$CE$271:$CI$312,3,0)</f>
        <v>1.4999999999999999E-2</v>
      </c>
      <c r="BX296" s="163">
        <f>VLOOKUP($BV296,$CE$271:$CI$312,4,0)</f>
        <v>3.4500000000000003E-2</v>
      </c>
      <c r="BY296" s="163">
        <f>VLOOKUP($BV296,$CE$271:$CI$312,5,0)</f>
        <v>4.4900000000000002E-2</v>
      </c>
      <c r="CE296" s="95">
        <f>+CE295+1</f>
        <v>402</v>
      </c>
      <c r="CF296" s="152" t="s">
        <v>229</v>
      </c>
      <c r="CG296" s="153">
        <v>2.5000000000000001E-3</v>
      </c>
      <c r="CH296" s="153">
        <v>5.1000000000000004E-3</v>
      </c>
      <c r="CI296" s="153">
        <v>5.5999999999999999E-3</v>
      </c>
    </row>
    <row r="297" spans="73:87" ht="15" thickBot="1" x14ac:dyDescent="0.25">
      <c r="BU297" s="164" t="s">
        <v>229</v>
      </c>
      <c r="BV297" s="162">
        <f>+BV296+1</f>
        <v>602</v>
      </c>
      <c r="BW297" s="163">
        <f>VLOOKUP($BV297,$CE$271:$CI$312,3,0)</f>
        <v>3.0000000000000001E-3</v>
      </c>
      <c r="BX297" s="163">
        <f>VLOOKUP($BV297,$CE$271:$CI$312,4,0)</f>
        <v>4.7999999999999996E-3</v>
      </c>
      <c r="BY297" s="163">
        <f>VLOOKUP($BV297,$CE$271:$CI$312,5,0)</f>
        <v>8.2000000000000007E-3</v>
      </c>
      <c r="CE297" s="95">
        <f>+CE296+1</f>
        <v>403</v>
      </c>
      <c r="CF297" s="152" t="s">
        <v>230</v>
      </c>
      <c r="CG297" s="153">
        <v>0.01</v>
      </c>
      <c r="CH297" s="153">
        <v>1.4800000000000001E-2</v>
      </c>
      <c r="CI297" s="153">
        <v>1.9699999999999999E-2</v>
      </c>
    </row>
    <row r="298" spans="73:87" ht="15" thickBot="1" x14ac:dyDescent="0.25">
      <c r="BU298" s="164" t="s">
        <v>230</v>
      </c>
      <c r="BV298" s="162">
        <f>+BV297+1</f>
        <v>603</v>
      </c>
      <c r="BW298" s="163">
        <f>VLOOKUP($BV298,$CE$271:$CI$312,3,0)</f>
        <v>5.5999999999999999E-3</v>
      </c>
      <c r="BX298" s="163">
        <f>VLOOKUP($BV298,$CE$271:$CI$312,4,0)</f>
        <v>8.5000000000000006E-3</v>
      </c>
      <c r="BY298" s="163">
        <f>VLOOKUP($BV298,$CE$271:$CI$312,5,0)</f>
        <v>8.8999999999999999E-3</v>
      </c>
      <c r="CE298" s="95">
        <f>+CE297+1</f>
        <v>404</v>
      </c>
      <c r="CF298" s="152" t="s">
        <v>231</v>
      </c>
      <c r="CG298" s="153">
        <v>1.01E-2</v>
      </c>
      <c r="CH298" s="153">
        <v>1.0699999999999999E-2</v>
      </c>
      <c r="CI298" s="153">
        <v>1.11E-2</v>
      </c>
    </row>
    <row r="299" spans="73:87" ht="15" thickBot="1" x14ac:dyDescent="0.25">
      <c r="BU299" s="164" t="s">
        <v>231</v>
      </c>
      <c r="BV299" s="162">
        <f>+BV298+1</f>
        <v>604</v>
      </c>
      <c r="BW299" s="163">
        <f>VLOOKUP($BV299,$CE$271:$CI$312,3,0)</f>
        <v>8.5000000000000006E-3</v>
      </c>
      <c r="BX299" s="163">
        <f>VLOOKUP($BV299,$CE$271:$CI$312,4,0)</f>
        <v>8.5000000000000006E-3</v>
      </c>
      <c r="BY299" s="163">
        <f>VLOOKUP($BV299,$CE$271:$CI$312,5,0)</f>
        <v>1.11E-2</v>
      </c>
      <c r="CE299" s="95">
        <f>+CE298+1</f>
        <v>405</v>
      </c>
      <c r="CF299" s="152" t="s">
        <v>232</v>
      </c>
      <c r="CG299" s="153">
        <v>0.08</v>
      </c>
      <c r="CH299" s="153">
        <v>8.3099999999999993E-2</v>
      </c>
      <c r="CI299" s="153">
        <v>9.5100000000000004E-2</v>
      </c>
    </row>
    <row r="300" spans="73:87" ht="15" thickBot="1" x14ac:dyDescent="0.25">
      <c r="BU300" s="164" t="s">
        <v>232</v>
      </c>
      <c r="BV300" s="162">
        <f>+BV299+1</f>
        <v>605</v>
      </c>
      <c r="BW300" s="163">
        <f>VLOOKUP($BV300,$CE$271:$CI$312,3,0)</f>
        <v>3.5000000000000003E-2</v>
      </c>
      <c r="BX300" s="163">
        <f>VLOOKUP($BV300,$CE$271:$CI$312,4,0)</f>
        <v>5.11E-2</v>
      </c>
      <c r="BY300" s="163">
        <f>VLOOKUP($BV300,$CE$271:$CI$312,5,0)</f>
        <v>6.2199999999999998E-2</v>
      </c>
      <c r="CE300" s="95">
        <f>BU261</f>
        <v>500</v>
      </c>
      <c r="CF300" s="329" t="str">
        <f>BV261</f>
        <v>Portuárias, Marítimas e Fluviais</v>
      </c>
      <c r="CG300" s="329"/>
      <c r="CH300" s="329"/>
      <c r="CI300" s="329"/>
    </row>
    <row r="301" spans="73:87" ht="15" thickBot="1" x14ac:dyDescent="0.25">
      <c r="BU301" s="98"/>
      <c r="BY301" s="100"/>
      <c r="CE301" s="95">
        <f>+CE300+1</f>
        <v>501</v>
      </c>
      <c r="CF301" s="155" t="s">
        <v>228</v>
      </c>
      <c r="CG301" s="156">
        <v>0.04</v>
      </c>
      <c r="CH301" s="156">
        <v>5.5199999999999999E-2</v>
      </c>
      <c r="CI301" s="156">
        <v>7.85E-2</v>
      </c>
    </row>
    <row r="302" spans="73:87" ht="15" thickBot="1" x14ac:dyDescent="0.25">
      <c r="CE302" s="95">
        <f>+CE301+1</f>
        <v>502</v>
      </c>
      <c r="CF302" s="152" t="s">
        <v>229</v>
      </c>
      <c r="CG302" s="153">
        <v>8.0999999999999996E-3</v>
      </c>
      <c r="CH302" s="153">
        <v>1.2200000000000001E-2</v>
      </c>
      <c r="CI302" s="153">
        <v>1.9900000000000001E-2</v>
      </c>
    </row>
    <row r="303" spans="73:87" ht="15" thickBot="1" x14ac:dyDescent="0.25">
      <c r="CE303" s="95">
        <f>+CE302+1</f>
        <v>503</v>
      </c>
      <c r="CF303" s="152" t="s">
        <v>230</v>
      </c>
      <c r="CG303" s="153">
        <v>1.46E-2</v>
      </c>
      <c r="CH303" s="153">
        <v>2.3199999999999998E-2</v>
      </c>
      <c r="CI303" s="153">
        <v>3.1600000000000003E-2</v>
      </c>
    </row>
    <row r="304" spans="73:87" ht="15" thickBot="1" x14ac:dyDescent="0.25">
      <c r="CE304" s="95">
        <f>+CE303+1</f>
        <v>504</v>
      </c>
      <c r="CF304" s="152" t="s">
        <v>231</v>
      </c>
      <c r="CG304" s="153">
        <v>9.4000000000000004E-3</v>
      </c>
      <c r="CH304" s="153">
        <v>1.0200000000000001E-2</v>
      </c>
      <c r="CI304" s="153">
        <v>1.3299999999999999E-2</v>
      </c>
    </row>
    <row r="305" spans="73:87" ht="15" thickBot="1" x14ac:dyDescent="0.25">
      <c r="BW305" s="165" t="s">
        <v>263</v>
      </c>
      <c r="BX305" s="166" t="s">
        <v>261</v>
      </c>
      <c r="BY305" s="166" t="s">
        <v>264</v>
      </c>
      <c r="CE305" s="95">
        <f>+CE304+1</f>
        <v>505</v>
      </c>
      <c r="CF305" s="152" t="s">
        <v>232</v>
      </c>
      <c r="CG305" s="153">
        <v>7.1400000000000005E-2</v>
      </c>
      <c r="CH305" s="153">
        <v>8.4000000000000005E-2</v>
      </c>
      <c r="CI305" s="153">
        <v>0.1043</v>
      </c>
    </row>
    <row r="306" spans="73:87" ht="15" thickBot="1" x14ac:dyDescent="0.25">
      <c r="BU306" s="95">
        <f>BU257</f>
        <v>100</v>
      </c>
      <c r="BV306" s="155" t="str">
        <f t="shared" ref="BV306:BV311" si="2">VLOOKUP(BU306,BU257:BV262,2,0)</f>
        <v>Construção de edificios</v>
      </c>
      <c r="BW306" s="156">
        <v>0.2034</v>
      </c>
      <c r="BX306" s="156">
        <v>0.22120000000000001</v>
      </c>
      <c r="BY306" s="156">
        <v>0.25</v>
      </c>
    </row>
    <row r="307" spans="73:87" ht="29.25" thickBot="1" x14ac:dyDescent="0.25">
      <c r="BU307" s="95">
        <v>200</v>
      </c>
      <c r="BV307" s="155" t="str">
        <f t="shared" si="2"/>
        <v>Construção de rodovias e ferrovias</v>
      </c>
      <c r="BW307" s="153">
        <v>0.19600000000000001</v>
      </c>
      <c r="BX307" s="153">
        <v>0.2097</v>
      </c>
      <c r="BY307" s="153">
        <v>0.24229999999999999</v>
      </c>
      <c r="CE307" s="95">
        <f>BU262</f>
        <v>600</v>
      </c>
      <c r="CF307" s="329" t="str">
        <f>BV262</f>
        <v>Fornecimento de Materiais e Equipamentos</v>
      </c>
      <c r="CG307" s="329"/>
      <c r="CH307" s="329"/>
      <c r="CI307" s="329"/>
    </row>
    <row r="308" spans="73:87" ht="57.75" thickBot="1" x14ac:dyDescent="0.25">
      <c r="BU308" s="95">
        <f>BU259</f>
        <v>300</v>
      </c>
      <c r="BV308" s="155" t="str">
        <f t="shared" si="2"/>
        <v>Construção de Redes de Abastecimento de Água, Coleta de Esgoto e Construções Correlatas</v>
      </c>
      <c r="BW308" s="153">
        <v>0.20760000000000001</v>
      </c>
      <c r="BX308" s="153">
        <v>0.24179999999999999</v>
      </c>
      <c r="BY308" s="153">
        <v>0.26440000000000002</v>
      </c>
      <c r="CE308" s="95">
        <f>+CE307+1</f>
        <v>601</v>
      </c>
      <c r="CF308" s="155" t="s">
        <v>228</v>
      </c>
      <c r="CG308" s="156">
        <v>1.4999999999999999E-2</v>
      </c>
      <c r="CH308" s="156">
        <v>3.4500000000000003E-2</v>
      </c>
      <c r="CI308" s="156">
        <v>4.4900000000000002E-2</v>
      </c>
    </row>
    <row r="309" spans="73:87" ht="57.75" thickBot="1" x14ac:dyDescent="0.25">
      <c r="BU309" s="95">
        <v>400</v>
      </c>
      <c r="BV309" s="155" t="str">
        <f t="shared" si="2"/>
        <v>Construção e Manutenção de Estações e Redes de Distribuição de Energia Elétrica</v>
      </c>
      <c r="BW309" s="153">
        <v>0.24</v>
      </c>
      <c r="BX309" s="153">
        <v>0.25840000000000002</v>
      </c>
      <c r="BY309" s="153">
        <v>0.27860000000000001</v>
      </c>
      <c r="CE309" s="95">
        <f>+CE308+1</f>
        <v>602</v>
      </c>
      <c r="CF309" s="152" t="s">
        <v>229</v>
      </c>
      <c r="CG309" s="153">
        <v>3.0000000000000001E-3</v>
      </c>
      <c r="CH309" s="153">
        <v>4.7999999999999996E-3</v>
      </c>
      <c r="CI309" s="153">
        <v>8.2000000000000007E-3</v>
      </c>
    </row>
    <row r="310" spans="73:87" ht="29.25" thickBot="1" x14ac:dyDescent="0.25">
      <c r="BU310" s="95">
        <v>500</v>
      </c>
      <c r="BV310" s="155" t="str">
        <f t="shared" si="2"/>
        <v>Portuárias, Marítimas e Fluviais</v>
      </c>
      <c r="BW310" s="153">
        <v>0.22800000000000001</v>
      </c>
      <c r="BX310" s="153">
        <v>0.27479999999999999</v>
      </c>
      <c r="BY310" s="153">
        <v>0.3095</v>
      </c>
      <c r="CE310" s="95">
        <f>+CE309+1</f>
        <v>603</v>
      </c>
      <c r="CF310" s="152" t="s">
        <v>230</v>
      </c>
      <c r="CG310" s="153">
        <v>5.5999999999999999E-3</v>
      </c>
      <c r="CH310" s="153">
        <v>8.5000000000000006E-3</v>
      </c>
      <c r="CI310" s="153">
        <v>8.8999999999999999E-3</v>
      </c>
    </row>
    <row r="311" spans="73:87" ht="29.25" thickBot="1" x14ac:dyDescent="0.25">
      <c r="BU311" s="95">
        <v>600</v>
      </c>
      <c r="BV311" s="155" t="str">
        <f t="shared" si="2"/>
        <v>Fornecimento de Materiais e Equipamentos</v>
      </c>
      <c r="BW311" s="153">
        <v>0.111</v>
      </c>
      <c r="BX311" s="153">
        <v>0.14019999999999999</v>
      </c>
      <c r="BY311" s="153">
        <v>0.16800000000000001</v>
      </c>
      <c r="CE311" s="95">
        <f>+CE310+1</f>
        <v>604</v>
      </c>
      <c r="CF311" s="152" t="s">
        <v>231</v>
      </c>
      <c r="CG311" s="153">
        <v>8.5000000000000006E-3</v>
      </c>
      <c r="CH311" s="153">
        <v>8.5000000000000006E-3</v>
      </c>
      <c r="CI311" s="153">
        <v>1.11E-2</v>
      </c>
    </row>
    <row r="312" spans="73:87" ht="15" thickBot="1" x14ac:dyDescent="0.25">
      <c r="CE312" s="95">
        <f>+CE311+1</f>
        <v>605</v>
      </c>
      <c r="CF312" s="152" t="s">
        <v>232</v>
      </c>
      <c r="CG312" s="153">
        <v>3.5000000000000003E-2</v>
      </c>
      <c r="CH312" s="153">
        <v>5.11E-2</v>
      </c>
      <c r="CI312" s="153">
        <v>6.2199999999999998E-2</v>
      </c>
    </row>
  </sheetData>
  <sheetProtection formatCells="0" formatColumns="0" formatRows="0" selectLockedCells="1"/>
  <mergeCells count="36">
    <mergeCell ref="L17:AW19"/>
    <mergeCell ref="E19:G19"/>
    <mergeCell ref="C31:G31"/>
    <mergeCell ref="C2:G2"/>
    <mergeCell ref="C5:G5"/>
    <mergeCell ref="D7:G7"/>
    <mergeCell ref="C13:G13"/>
    <mergeCell ref="F17:G17"/>
    <mergeCell ref="E20:G21"/>
    <mergeCell ref="E23:G23"/>
    <mergeCell ref="E24:G24"/>
    <mergeCell ref="E28:F28"/>
    <mergeCell ref="C30:G30"/>
    <mergeCell ref="CF271:CI271"/>
    <mergeCell ref="C34:G34"/>
    <mergeCell ref="C35:G35"/>
    <mergeCell ref="F50:G50"/>
    <mergeCell ref="C52:G52"/>
    <mergeCell ref="C56:G56"/>
    <mergeCell ref="C58:E58"/>
    <mergeCell ref="F58:G58"/>
    <mergeCell ref="E60:F60"/>
    <mergeCell ref="B65:H65"/>
    <mergeCell ref="B66:H66"/>
    <mergeCell ref="B67:H67"/>
    <mergeCell ref="BU255:BY255"/>
    <mergeCell ref="BU293:BY293"/>
    <mergeCell ref="CF294:CI294"/>
    <mergeCell ref="CF300:CI300"/>
    <mergeCell ref="CF307:CI307"/>
    <mergeCell ref="CF279:CI279"/>
    <mergeCell ref="BU282:BY282"/>
    <mergeCell ref="BU287:BY287"/>
    <mergeCell ref="CF287:CI287"/>
    <mergeCell ref="BU288:BY288"/>
    <mergeCell ref="BU289:BY289"/>
  </mergeCells>
  <conditionalFormatting sqref="C56:G60">
    <cfRule type="expression" dxfId="1" priority="2" stopIfTrue="1">
      <formula>OR($G$9="NÃO",$G$9="")</formula>
    </cfRule>
  </conditionalFormatting>
  <conditionalFormatting sqref="G37:G41">
    <cfRule type="cellIs" dxfId="0" priority="1" stopIfTrue="1" operator="between">
      <formula>$D37</formula>
      <formula>$F37</formula>
    </cfRule>
  </conditionalFormatting>
  <dataValidations count="5">
    <dataValidation type="decimal" allowBlank="1" showInputMessage="1" showErrorMessage="1" sqref="G43:G44 JC43:JC44 SY43:SY44 ACU43:ACU44 AMQ43:AMQ44 AWM43:AWM44 BGI43:BGI44 BQE43:BQE44 CAA43:CAA44 CJW43:CJW44 CTS43:CTS44 DDO43:DDO44 DNK43:DNK44 DXG43:DXG44 EHC43:EHC44 EQY43:EQY44 FAU43:FAU44 FKQ43:FKQ44 FUM43:FUM44 GEI43:GEI44 GOE43:GOE44 GYA43:GYA44 HHW43:HHW44 HRS43:HRS44 IBO43:IBO44 ILK43:ILK44 IVG43:IVG44 JFC43:JFC44 JOY43:JOY44 JYU43:JYU44 KIQ43:KIQ44 KSM43:KSM44 LCI43:LCI44 LME43:LME44 LWA43:LWA44 MFW43:MFW44 MPS43:MPS44 MZO43:MZO44 NJK43:NJK44 NTG43:NTG44 ODC43:ODC44 OMY43:OMY44 OWU43:OWU44 PGQ43:PGQ44 PQM43:PQM44 QAI43:QAI44 QKE43:QKE44 QUA43:QUA44 RDW43:RDW44 RNS43:RNS44 RXO43:RXO44 SHK43:SHK44 SRG43:SRG44 TBC43:TBC44 TKY43:TKY44 TUU43:TUU44 UEQ43:UEQ44 UOM43:UOM44 UYI43:UYI44 VIE43:VIE44 VSA43:VSA44 WBW43:WBW44 WLS43:WLS44 WVO43:WVO44 G65579:G65580 JC65579:JC65580 SY65579:SY65580 ACU65579:ACU65580 AMQ65579:AMQ65580 AWM65579:AWM65580 BGI65579:BGI65580 BQE65579:BQE65580 CAA65579:CAA65580 CJW65579:CJW65580 CTS65579:CTS65580 DDO65579:DDO65580 DNK65579:DNK65580 DXG65579:DXG65580 EHC65579:EHC65580 EQY65579:EQY65580 FAU65579:FAU65580 FKQ65579:FKQ65580 FUM65579:FUM65580 GEI65579:GEI65580 GOE65579:GOE65580 GYA65579:GYA65580 HHW65579:HHW65580 HRS65579:HRS65580 IBO65579:IBO65580 ILK65579:ILK65580 IVG65579:IVG65580 JFC65579:JFC65580 JOY65579:JOY65580 JYU65579:JYU65580 KIQ65579:KIQ65580 KSM65579:KSM65580 LCI65579:LCI65580 LME65579:LME65580 LWA65579:LWA65580 MFW65579:MFW65580 MPS65579:MPS65580 MZO65579:MZO65580 NJK65579:NJK65580 NTG65579:NTG65580 ODC65579:ODC65580 OMY65579:OMY65580 OWU65579:OWU65580 PGQ65579:PGQ65580 PQM65579:PQM65580 QAI65579:QAI65580 QKE65579:QKE65580 QUA65579:QUA65580 RDW65579:RDW65580 RNS65579:RNS65580 RXO65579:RXO65580 SHK65579:SHK65580 SRG65579:SRG65580 TBC65579:TBC65580 TKY65579:TKY65580 TUU65579:TUU65580 UEQ65579:UEQ65580 UOM65579:UOM65580 UYI65579:UYI65580 VIE65579:VIE65580 VSA65579:VSA65580 WBW65579:WBW65580 WLS65579:WLS65580 WVO65579:WVO65580 G131115:G131116 JC131115:JC131116 SY131115:SY131116 ACU131115:ACU131116 AMQ131115:AMQ131116 AWM131115:AWM131116 BGI131115:BGI131116 BQE131115:BQE131116 CAA131115:CAA131116 CJW131115:CJW131116 CTS131115:CTS131116 DDO131115:DDO131116 DNK131115:DNK131116 DXG131115:DXG131116 EHC131115:EHC131116 EQY131115:EQY131116 FAU131115:FAU131116 FKQ131115:FKQ131116 FUM131115:FUM131116 GEI131115:GEI131116 GOE131115:GOE131116 GYA131115:GYA131116 HHW131115:HHW131116 HRS131115:HRS131116 IBO131115:IBO131116 ILK131115:ILK131116 IVG131115:IVG131116 JFC131115:JFC131116 JOY131115:JOY131116 JYU131115:JYU131116 KIQ131115:KIQ131116 KSM131115:KSM131116 LCI131115:LCI131116 LME131115:LME131116 LWA131115:LWA131116 MFW131115:MFW131116 MPS131115:MPS131116 MZO131115:MZO131116 NJK131115:NJK131116 NTG131115:NTG131116 ODC131115:ODC131116 OMY131115:OMY131116 OWU131115:OWU131116 PGQ131115:PGQ131116 PQM131115:PQM131116 QAI131115:QAI131116 QKE131115:QKE131116 QUA131115:QUA131116 RDW131115:RDW131116 RNS131115:RNS131116 RXO131115:RXO131116 SHK131115:SHK131116 SRG131115:SRG131116 TBC131115:TBC131116 TKY131115:TKY131116 TUU131115:TUU131116 UEQ131115:UEQ131116 UOM131115:UOM131116 UYI131115:UYI131116 VIE131115:VIE131116 VSA131115:VSA131116 WBW131115:WBW131116 WLS131115:WLS131116 WVO131115:WVO131116 G196651:G196652 JC196651:JC196652 SY196651:SY196652 ACU196651:ACU196652 AMQ196651:AMQ196652 AWM196651:AWM196652 BGI196651:BGI196652 BQE196651:BQE196652 CAA196651:CAA196652 CJW196651:CJW196652 CTS196651:CTS196652 DDO196651:DDO196652 DNK196651:DNK196652 DXG196651:DXG196652 EHC196651:EHC196652 EQY196651:EQY196652 FAU196651:FAU196652 FKQ196651:FKQ196652 FUM196651:FUM196652 GEI196651:GEI196652 GOE196651:GOE196652 GYA196651:GYA196652 HHW196651:HHW196652 HRS196651:HRS196652 IBO196651:IBO196652 ILK196651:ILK196652 IVG196651:IVG196652 JFC196651:JFC196652 JOY196651:JOY196652 JYU196651:JYU196652 KIQ196651:KIQ196652 KSM196651:KSM196652 LCI196651:LCI196652 LME196651:LME196652 LWA196651:LWA196652 MFW196651:MFW196652 MPS196651:MPS196652 MZO196651:MZO196652 NJK196651:NJK196652 NTG196651:NTG196652 ODC196651:ODC196652 OMY196651:OMY196652 OWU196651:OWU196652 PGQ196651:PGQ196652 PQM196651:PQM196652 QAI196651:QAI196652 QKE196651:QKE196652 QUA196651:QUA196652 RDW196651:RDW196652 RNS196651:RNS196652 RXO196651:RXO196652 SHK196651:SHK196652 SRG196651:SRG196652 TBC196651:TBC196652 TKY196651:TKY196652 TUU196651:TUU196652 UEQ196651:UEQ196652 UOM196651:UOM196652 UYI196651:UYI196652 VIE196651:VIE196652 VSA196651:VSA196652 WBW196651:WBW196652 WLS196651:WLS196652 WVO196651:WVO196652 G262187:G262188 JC262187:JC262188 SY262187:SY262188 ACU262187:ACU262188 AMQ262187:AMQ262188 AWM262187:AWM262188 BGI262187:BGI262188 BQE262187:BQE262188 CAA262187:CAA262188 CJW262187:CJW262188 CTS262187:CTS262188 DDO262187:DDO262188 DNK262187:DNK262188 DXG262187:DXG262188 EHC262187:EHC262188 EQY262187:EQY262188 FAU262187:FAU262188 FKQ262187:FKQ262188 FUM262187:FUM262188 GEI262187:GEI262188 GOE262187:GOE262188 GYA262187:GYA262188 HHW262187:HHW262188 HRS262187:HRS262188 IBO262187:IBO262188 ILK262187:ILK262188 IVG262187:IVG262188 JFC262187:JFC262188 JOY262187:JOY262188 JYU262187:JYU262188 KIQ262187:KIQ262188 KSM262187:KSM262188 LCI262187:LCI262188 LME262187:LME262188 LWA262187:LWA262188 MFW262187:MFW262188 MPS262187:MPS262188 MZO262187:MZO262188 NJK262187:NJK262188 NTG262187:NTG262188 ODC262187:ODC262188 OMY262187:OMY262188 OWU262187:OWU262188 PGQ262187:PGQ262188 PQM262187:PQM262188 QAI262187:QAI262188 QKE262187:QKE262188 QUA262187:QUA262188 RDW262187:RDW262188 RNS262187:RNS262188 RXO262187:RXO262188 SHK262187:SHK262188 SRG262187:SRG262188 TBC262187:TBC262188 TKY262187:TKY262188 TUU262187:TUU262188 UEQ262187:UEQ262188 UOM262187:UOM262188 UYI262187:UYI262188 VIE262187:VIE262188 VSA262187:VSA262188 WBW262187:WBW262188 WLS262187:WLS262188 WVO262187:WVO262188 G327723:G327724 JC327723:JC327724 SY327723:SY327724 ACU327723:ACU327724 AMQ327723:AMQ327724 AWM327723:AWM327724 BGI327723:BGI327724 BQE327723:BQE327724 CAA327723:CAA327724 CJW327723:CJW327724 CTS327723:CTS327724 DDO327723:DDO327724 DNK327723:DNK327724 DXG327723:DXG327724 EHC327723:EHC327724 EQY327723:EQY327724 FAU327723:FAU327724 FKQ327723:FKQ327724 FUM327723:FUM327724 GEI327723:GEI327724 GOE327723:GOE327724 GYA327723:GYA327724 HHW327723:HHW327724 HRS327723:HRS327724 IBO327723:IBO327724 ILK327723:ILK327724 IVG327723:IVG327724 JFC327723:JFC327724 JOY327723:JOY327724 JYU327723:JYU327724 KIQ327723:KIQ327724 KSM327723:KSM327724 LCI327723:LCI327724 LME327723:LME327724 LWA327723:LWA327724 MFW327723:MFW327724 MPS327723:MPS327724 MZO327723:MZO327724 NJK327723:NJK327724 NTG327723:NTG327724 ODC327723:ODC327724 OMY327723:OMY327724 OWU327723:OWU327724 PGQ327723:PGQ327724 PQM327723:PQM327724 QAI327723:QAI327724 QKE327723:QKE327724 QUA327723:QUA327724 RDW327723:RDW327724 RNS327723:RNS327724 RXO327723:RXO327724 SHK327723:SHK327724 SRG327723:SRG327724 TBC327723:TBC327724 TKY327723:TKY327724 TUU327723:TUU327724 UEQ327723:UEQ327724 UOM327723:UOM327724 UYI327723:UYI327724 VIE327723:VIE327724 VSA327723:VSA327724 WBW327723:WBW327724 WLS327723:WLS327724 WVO327723:WVO327724 G393259:G393260 JC393259:JC393260 SY393259:SY393260 ACU393259:ACU393260 AMQ393259:AMQ393260 AWM393259:AWM393260 BGI393259:BGI393260 BQE393259:BQE393260 CAA393259:CAA393260 CJW393259:CJW393260 CTS393259:CTS393260 DDO393259:DDO393260 DNK393259:DNK393260 DXG393259:DXG393260 EHC393259:EHC393260 EQY393259:EQY393260 FAU393259:FAU393260 FKQ393259:FKQ393260 FUM393259:FUM393260 GEI393259:GEI393260 GOE393259:GOE393260 GYA393259:GYA393260 HHW393259:HHW393260 HRS393259:HRS393260 IBO393259:IBO393260 ILK393259:ILK393260 IVG393259:IVG393260 JFC393259:JFC393260 JOY393259:JOY393260 JYU393259:JYU393260 KIQ393259:KIQ393260 KSM393259:KSM393260 LCI393259:LCI393260 LME393259:LME393260 LWA393259:LWA393260 MFW393259:MFW393260 MPS393259:MPS393260 MZO393259:MZO393260 NJK393259:NJK393260 NTG393259:NTG393260 ODC393259:ODC393260 OMY393259:OMY393260 OWU393259:OWU393260 PGQ393259:PGQ393260 PQM393259:PQM393260 QAI393259:QAI393260 QKE393259:QKE393260 QUA393259:QUA393260 RDW393259:RDW393260 RNS393259:RNS393260 RXO393259:RXO393260 SHK393259:SHK393260 SRG393259:SRG393260 TBC393259:TBC393260 TKY393259:TKY393260 TUU393259:TUU393260 UEQ393259:UEQ393260 UOM393259:UOM393260 UYI393259:UYI393260 VIE393259:VIE393260 VSA393259:VSA393260 WBW393259:WBW393260 WLS393259:WLS393260 WVO393259:WVO393260 G458795:G458796 JC458795:JC458796 SY458795:SY458796 ACU458795:ACU458796 AMQ458795:AMQ458796 AWM458795:AWM458796 BGI458795:BGI458796 BQE458795:BQE458796 CAA458795:CAA458796 CJW458795:CJW458796 CTS458795:CTS458796 DDO458795:DDO458796 DNK458795:DNK458796 DXG458795:DXG458796 EHC458795:EHC458796 EQY458795:EQY458796 FAU458795:FAU458796 FKQ458795:FKQ458796 FUM458795:FUM458796 GEI458795:GEI458796 GOE458795:GOE458796 GYA458795:GYA458796 HHW458795:HHW458796 HRS458795:HRS458796 IBO458795:IBO458796 ILK458795:ILK458796 IVG458795:IVG458796 JFC458795:JFC458796 JOY458795:JOY458796 JYU458795:JYU458796 KIQ458795:KIQ458796 KSM458795:KSM458796 LCI458795:LCI458796 LME458795:LME458796 LWA458795:LWA458796 MFW458795:MFW458796 MPS458795:MPS458796 MZO458795:MZO458796 NJK458795:NJK458796 NTG458795:NTG458796 ODC458795:ODC458796 OMY458795:OMY458796 OWU458795:OWU458796 PGQ458795:PGQ458796 PQM458795:PQM458796 QAI458795:QAI458796 QKE458795:QKE458796 QUA458795:QUA458796 RDW458795:RDW458796 RNS458795:RNS458796 RXO458795:RXO458796 SHK458795:SHK458796 SRG458795:SRG458796 TBC458795:TBC458796 TKY458795:TKY458796 TUU458795:TUU458796 UEQ458795:UEQ458796 UOM458795:UOM458796 UYI458795:UYI458796 VIE458795:VIE458796 VSA458795:VSA458796 WBW458795:WBW458796 WLS458795:WLS458796 WVO458795:WVO458796 G524331:G524332 JC524331:JC524332 SY524331:SY524332 ACU524331:ACU524332 AMQ524331:AMQ524332 AWM524331:AWM524332 BGI524331:BGI524332 BQE524331:BQE524332 CAA524331:CAA524332 CJW524331:CJW524332 CTS524331:CTS524332 DDO524331:DDO524332 DNK524331:DNK524332 DXG524331:DXG524332 EHC524331:EHC524332 EQY524331:EQY524332 FAU524331:FAU524332 FKQ524331:FKQ524332 FUM524331:FUM524332 GEI524331:GEI524332 GOE524331:GOE524332 GYA524331:GYA524332 HHW524331:HHW524332 HRS524331:HRS524332 IBO524331:IBO524332 ILK524331:ILK524332 IVG524331:IVG524332 JFC524331:JFC524332 JOY524331:JOY524332 JYU524331:JYU524332 KIQ524331:KIQ524332 KSM524331:KSM524332 LCI524331:LCI524332 LME524331:LME524332 LWA524331:LWA524332 MFW524331:MFW524332 MPS524331:MPS524332 MZO524331:MZO524332 NJK524331:NJK524332 NTG524331:NTG524332 ODC524331:ODC524332 OMY524331:OMY524332 OWU524331:OWU524332 PGQ524331:PGQ524332 PQM524331:PQM524332 QAI524331:QAI524332 QKE524331:QKE524332 QUA524331:QUA524332 RDW524331:RDW524332 RNS524331:RNS524332 RXO524331:RXO524332 SHK524331:SHK524332 SRG524331:SRG524332 TBC524331:TBC524332 TKY524331:TKY524332 TUU524331:TUU524332 UEQ524331:UEQ524332 UOM524331:UOM524332 UYI524331:UYI524332 VIE524331:VIE524332 VSA524331:VSA524332 WBW524331:WBW524332 WLS524331:WLS524332 WVO524331:WVO524332 G589867:G589868 JC589867:JC589868 SY589867:SY589868 ACU589867:ACU589868 AMQ589867:AMQ589868 AWM589867:AWM589868 BGI589867:BGI589868 BQE589867:BQE589868 CAA589867:CAA589868 CJW589867:CJW589868 CTS589867:CTS589868 DDO589867:DDO589868 DNK589867:DNK589868 DXG589867:DXG589868 EHC589867:EHC589868 EQY589867:EQY589868 FAU589867:FAU589868 FKQ589867:FKQ589868 FUM589867:FUM589868 GEI589867:GEI589868 GOE589867:GOE589868 GYA589867:GYA589868 HHW589867:HHW589868 HRS589867:HRS589868 IBO589867:IBO589868 ILK589867:ILK589868 IVG589867:IVG589868 JFC589867:JFC589868 JOY589867:JOY589868 JYU589867:JYU589868 KIQ589867:KIQ589868 KSM589867:KSM589868 LCI589867:LCI589868 LME589867:LME589868 LWA589867:LWA589868 MFW589867:MFW589868 MPS589867:MPS589868 MZO589867:MZO589868 NJK589867:NJK589868 NTG589867:NTG589868 ODC589867:ODC589868 OMY589867:OMY589868 OWU589867:OWU589868 PGQ589867:PGQ589868 PQM589867:PQM589868 QAI589867:QAI589868 QKE589867:QKE589868 QUA589867:QUA589868 RDW589867:RDW589868 RNS589867:RNS589868 RXO589867:RXO589868 SHK589867:SHK589868 SRG589867:SRG589868 TBC589867:TBC589868 TKY589867:TKY589868 TUU589867:TUU589868 UEQ589867:UEQ589868 UOM589867:UOM589868 UYI589867:UYI589868 VIE589867:VIE589868 VSA589867:VSA589868 WBW589867:WBW589868 WLS589867:WLS589868 WVO589867:WVO589868 G655403:G655404 JC655403:JC655404 SY655403:SY655404 ACU655403:ACU655404 AMQ655403:AMQ655404 AWM655403:AWM655404 BGI655403:BGI655404 BQE655403:BQE655404 CAA655403:CAA655404 CJW655403:CJW655404 CTS655403:CTS655404 DDO655403:DDO655404 DNK655403:DNK655404 DXG655403:DXG655404 EHC655403:EHC655404 EQY655403:EQY655404 FAU655403:FAU655404 FKQ655403:FKQ655404 FUM655403:FUM655404 GEI655403:GEI655404 GOE655403:GOE655404 GYA655403:GYA655404 HHW655403:HHW655404 HRS655403:HRS655404 IBO655403:IBO655404 ILK655403:ILK655404 IVG655403:IVG655404 JFC655403:JFC655404 JOY655403:JOY655404 JYU655403:JYU655404 KIQ655403:KIQ655404 KSM655403:KSM655404 LCI655403:LCI655404 LME655403:LME655404 LWA655403:LWA655404 MFW655403:MFW655404 MPS655403:MPS655404 MZO655403:MZO655404 NJK655403:NJK655404 NTG655403:NTG655404 ODC655403:ODC655404 OMY655403:OMY655404 OWU655403:OWU655404 PGQ655403:PGQ655404 PQM655403:PQM655404 QAI655403:QAI655404 QKE655403:QKE655404 QUA655403:QUA655404 RDW655403:RDW655404 RNS655403:RNS655404 RXO655403:RXO655404 SHK655403:SHK655404 SRG655403:SRG655404 TBC655403:TBC655404 TKY655403:TKY655404 TUU655403:TUU655404 UEQ655403:UEQ655404 UOM655403:UOM655404 UYI655403:UYI655404 VIE655403:VIE655404 VSA655403:VSA655404 WBW655403:WBW655404 WLS655403:WLS655404 WVO655403:WVO655404 G720939:G720940 JC720939:JC720940 SY720939:SY720940 ACU720939:ACU720940 AMQ720939:AMQ720940 AWM720939:AWM720940 BGI720939:BGI720940 BQE720939:BQE720940 CAA720939:CAA720940 CJW720939:CJW720940 CTS720939:CTS720940 DDO720939:DDO720940 DNK720939:DNK720940 DXG720939:DXG720940 EHC720939:EHC720940 EQY720939:EQY720940 FAU720939:FAU720940 FKQ720939:FKQ720940 FUM720939:FUM720940 GEI720939:GEI720940 GOE720939:GOE720940 GYA720939:GYA720940 HHW720939:HHW720940 HRS720939:HRS720940 IBO720939:IBO720940 ILK720939:ILK720940 IVG720939:IVG720940 JFC720939:JFC720940 JOY720939:JOY720940 JYU720939:JYU720940 KIQ720939:KIQ720940 KSM720939:KSM720940 LCI720939:LCI720940 LME720939:LME720940 LWA720939:LWA720940 MFW720939:MFW720940 MPS720939:MPS720940 MZO720939:MZO720940 NJK720939:NJK720940 NTG720939:NTG720940 ODC720939:ODC720940 OMY720939:OMY720940 OWU720939:OWU720940 PGQ720939:PGQ720940 PQM720939:PQM720940 QAI720939:QAI720940 QKE720939:QKE720940 QUA720939:QUA720940 RDW720939:RDW720940 RNS720939:RNS720940 RXO720939:RXO720940 SHK720939:SHK720940 SRG720939:SRG720940 TBC720939:TBC720940 TKY720939:TKY720940 TUU720939:TUU720940 UEQ720939:UEQ720940 UOM720939:UOM720940 UYI720939:UYI720940 VIE720939:VIE720940 VSA720939:VSA720940 WBW720939:WBW720940 WLS720939:WLS720940 WVO720939:WVO720940 G786475:G786476 JC786475:JC786476 SY786475:SY786476 ACU786475:ACU786476 AMQ786475:AMQ786476 AWM786475:AWM786476 BGI786475:BGI786476 BQE786475:BQE786476 CAA786475:CAA786476 CJW786475:CJW786476 CTS786475:CTS786476 DDO786475:DDO786476 DNK786475:DNK786476 DXG786475:DXG786476 EHC786475:EHC786476 EQY786475:EQY786476 FAU786475:FAU786476 FKQ786475:FKQ786476 FUM786475:FUM786476 GEI786475:GEI786476 GOE786475:GOE786476 GYA786475:GYA786476 HHW786475:HHW786476 HRS786475:HRS786476 IBO786475:IBO786476 ILK786475:ILK786476 IVG786475:IVG786476 JFC786475:JFC786476 JOY786475:JOY786476 JYU786475:JYU786476 KIQ786475:KIQ786476 KSM786475:KSM786476 LCI786475:LCI786476 LME786475:LME786476 LWA786475:LWA786476 MFW786475:MFW786476 MPS786475:MPS786476 MZO786475:MZO786476 NJK786475:NJK786476 NTG786475:NTG786476 ODC786475:ODC786476 OMY786475:OMY786476 OWU786475:OWU786476 PGQ786475:PGQ786476 PQM786475:PQM786476 QAI786475:QAI786476 QKE786475:QKE786476 QUA786475:QUA786476 RDW786475:RDW786476 RNS786475:RNS786476 RXO786475:RXO786476 SHK786475:SHK786476 SRG786475:SRG786476 TBC786475:TBC786476 TKY786475:TKY786476 TUU786475:TUU786476 UEQ786475:UEQ786476 UOM786475:UOM786476 UYI786475:UYI786476 VIE786475:VIE786476 VSA786475:VSA786476 WBW786475:WBW786476 WLS786475:WLS786476 WVO786475:WVO786476 G852011:G852012 JC852011:JC852012 SY852011:SY852012 ACU852011:ACU852012 AMQ852011:AMQ852012 AWM852011:AWM852012 BGI852011:BGI852012 BQE852011:BQE852012 CAA852011:CAA852012 CJW852011:CJW852012 CTS852011:CTS852012 DDO852011:DDO852012 DNK852011:DNK852012 DXG852011:DXG852012 EHC852011:EHC852012 EQY852011:EQY852012 FAU852011:FAU852012 FKQ852011:FKQ852012 FUM852011:FUM852012 GEI852011:GEI852012 GOE852011:GOE852012 GYA852011:GYA852012 HHW852011:HHW852012 HRS852011:HRS852012 IBO852011:IBO852012 ILK852011:ILK852012 IVG852011:IVG852012 JFC852011:JFC852012 JOY852011:JOY852012 JYU852011:JYU852012 KIQ852011:KIQ852012 KSM852011:KSM852012 LCI852011:LCI852012 LME852011:LME852012 LWA852011:LWA852012 MFW852011:MFW852012 MPS852011:MPS852012 MZO852011:MZO852012 NJK852011:NJK852012 NTG852011:NTG852012 ODC852011:ODC852012 OMY852011:OMY852012 OWU852011:OWU852012 PGQ852011:PGQ852012 PQM852011:PQM852012 QAI852011:QAI852012 QKE852011:QKE852012 QUA852011:QUA852012 RDW852011:RDW852012 RNS852011:RNS852012 RXO852011:RXO852012 SHK852011:SHK852012 SRG852011:SRG852012 TBC852011:TBC852012 TKY852011:TKY852012 TUU852011:TUU852012 UEQ852011:UEQ852012 UOM852011:UOM852012 UYI852011:UYI852012 VIE852011:VIE852012 VSA852011:VSA852012 WBW852011:WBW852012 WLS852011:WLS852012 WVO852011:WVO852012 G917547:G917548 JC917547:JC917548 SY917547:SY917548 ACU917547:ACU917548 AMQ917547:AMQ917548 AWM917547:AWM917548 BGI917547:BGI917548 BQE917547:BQE917548 CAA917547:CAA917548 CJW917547:CJW917548 CTS917547:CTS917548 DDO917547:DDO917548 DNK917547:DNK917548 DXG917547:DXG917548 EHC917547:EHC917548 EQY917547:EQY917548 FAU917547:FAU917548 FKQ917547:FKQ917548 FUM917547:FUM917548 GEI917547:GEI917548 GOE917547:GOE917548 GYA917547:GYA917548 HHW917547:HHW917548 HRS917547:HRS917548 IBO917547:IBO917548 ILK917547:ILK917548 IVG917547:IVG917548 JFC917547:JFC917548 JOY917547:JOY917548 JYU917547:JYU917548 KIQ917547:KIQ917548 KSM917547:KSM917548 LCI917547:LCI917548 LME917547:LME917548 LWA917547:LWA917548 MFW917547:MFW917548 MPS917547:MPS917548 MZO917547:MZO917548 NJK917547:NJK917548 NTG917547:NTG917548 ODC917547:ODC917548 OMY917547:OMY917548 OWU917547:OWU917548 PGQ917547:PGQ917548 PQM917547:PQM917548 QAI917547:QAI917548 QKE917547:QKE917548 QUA917547:QUA917548 RDW917547:RDW917548 RNS917547:RNS917548 RXO917547:RXO917548 SHK917547:SHK917548 SRG917547:SRG917548 TBC917547:TBC917548 TKY917547:TKY917548 TUU917547:TUU917548 UEQ917547:UEQ917548 UOM917547:UOM917548 UYI917547:UYI917548 VIE917547:VIE917548 VSA917547:VSA917548 WBW917547:WBW917548 WLS917547:WLS917548 WVO917547:WVO917548 G983083:G983084 JC983083:JC983084 SY983083:SY983084 ACU983083:ACU983084 AMQ983083:AMQ983084 AWM983083:AWM983084 BGI983083:BGI983084 BQE983083:BQE983084 CAA983083:CAA983084 CJW983083:CJW983084 CTS983083:CTS983084 DDO983083:DDO983084 DNK983083:DNK983084 DXG983083:DXG983084 EHC983083:EHC983084 EQY983083:EQY983084 FAU983083:FAU983084 FKQ983083:FKQ983084 FUM983083:FUM983084 GEI983083:GEI983084 GOE983083:GOE983084 GYA983083:GYA983084 HHW983083:HHW983084 HRS983083:HRS983084 IBO983083:IBO983084 ILK983083:ILK983084 IVG983083:IVG983084 JFC983083:JFC983084 JOY983083:JOY983084 JYU983083:JYU983084 KIQ983083:KIQ983084 KSM983083:KSM983084 LCI983083:LCI983084 LME983083:LME983084 LWA983083:LWA983084 MFW983083:MFW983084 MPS983083:MPS983084 MZO983083:MZO983084 NJK983083:NJK983084 NTG983083:NTG983084 ODC983083:ODC983084 OMY983083:OMY983084 OWU983083:OWU983084 PGQ983083:PGQ983084 PQM983083:PQM983084 QAI983083:QAI983084 QKE983083:QKE983084 QUA983083:QUA983084 RDW983083:RDW983084 RNS983083:RNS983084 RXO983083:RXO983084 SHK983083:SHK983084 SRG983083:SRG983084 TBC983083:TBC983084 TKY983083:TKY983084 TUU983083:TUU983084 UEQ983083:UEQ983084 UOM983083:UOM983084 UYI983083:UYI983084 VIE983083:VIE983084 VSA983083:VSA983084 WBW983083:WBW983084 WLS983083:WLS983084 WVO983083:WVO983084">
      <formula1>D43</formula1>
      <formula2>F43</formula2>
    </dataValidation>
    <dataValidation type="list" allowBlank="1" showInputMessage="1" showErrorMessage="1" sqref="G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formula1>"SIM, NÃO"</formula1>
    </dataValidation>
    <dataValidation type="list" allowBlank="1" showInputMessage="1" showErrorMessage="1" sqref="D7:G7 IZ7:JC7 SV7:SY7 ACR7:ACU7 AMN7:AMQ7 AWJ7:AWM7 BGF7:BGI7 BQB7:BQE7 BZX7:CAA7 CJT7:CJW7 CTP7:CTS7 DDL7:DDO7 DNH7:DNK7 DXD7:DXG7 EGZ7:EHC7 EQV7:EQY7 FAR7:FAU7 FKN7:FKQ7 FUJ7:FUM7 GEF7:GEI7 GOB7:GOE7 GXX7:GYA7 HHT7:HHW7 HRP7:HRS7 IBL7:IBO7 ILH7:ILK7 IVD7:IVG7 JEZ7:JFC7 JOV7:JOY7 JYR7:JYU7 KIN7:KIQ7 KSJ7:KSM7 LCF7:LCI7 LMB7:LME7 LVX7:LWA7 MFT7:MFW7 MPP7:MPS7 MZL7:MZO7 NJH7:NJK7 NTD7:NTG7 OCZ7:ODC7 OMV7:OMY7 OWR7:OWU7 PGN7:PGQ7 PQJ7:PQM7 QAF7:QAI7 QKB7:QKE7 QTX7:QUA7 RDT7:RDW7 RNP7:RNS7 RXL7:RXO7 SHH7:SHK7 SRD7:SRG7 TAZ7:TBC7 TKV7:TKY7 TUR7:TUU7 UEN7:UEQ7 UOJ7:UOM7 UYF7:UYI7 VIB7:VIE7 VRX7:VSA7 WBT7:WBW7 WLP7:WLS7 WVL7:WVO7 D65543:G65543 IZ65543:JC65543 SV65543:SY65543 ACR65543:ACU65543 AMN65543:AMQ65543 AWJ65543:AWM65543 BGF65543:BGI65543 BQB65543:BQE65543 BZX65543:CAA65543 CJT65543:CJW65543 CTP65543:CTS65543 DDL65543:DDO65543 DNH65543:DNK65543 DXD65543:DXG65543 EGZ65543:EHC65543 EQV65543:EQY65543 FAR65543:FAU65543 FKN65543:FKQ65543 FUJ65543:FUM65543 GEF65543:GEI65543 GOB65543:GOE65543 GXX65543:GYA65543 HHT65543:HHW65543 HRP65543:HRS65543 IBL65543:IBO65543 ILH65543:ILK65543 IVD65543:IVG65543 JEZ65543:JFC65543 JOV65543:JOY65543 JYR65543:JYU65543 KIN65543:KIQ65543 KSJ65543:KSM65543 LCF65543:LCI65543 LMB65543:LME65543 LVX65543:LWA65543 MFT65543:MFW65543 MPP65543:MPS65543 MZL65543:MZO65543 NJH65543:NJK65543 NTD65543:NTG65543 OCZ65543:ODC65543 OMV65543:OMY65543 OWR65543:OWU65543 PGN65543:PGQ65543 PQJ65543:PQM65543 QAF65543:QAI65543 QKB65543:QKE65543 QTX65543:QUA65543 RDT65543:RDW65543 RNP65543:RNS65543 RXL65543:RXO65543 SHH65543:SHK65543 SRD65543:SRG65543 TAZ65543:TBC65543 TKV65543:TKY65543 TUR65543:TUU65543 UEN65543:UEQ65543 UOJ65543:UOM65543 UYF65543:UYI65543 VIB65543:VIE65543 VRX65543:VSA65543 WBT65543:WBW65543 WLP65543:WLS65543 WVL65543:WVO65543 D131079:G131079 IZ131079:JC131079 SV131079:SY131079 ACR131079:ACU131079 AMN131079:AMQ131079 AWJ131079:AWM131079 BGF131079:BGI131079 BQB131079:BQE131079 BZX131079:CAA131079 CJT131079:CJW131079 CTP131079:CTS131079 DDL131079:DDO131079 DNH131079:DNK131079 DXD131079:DXG131079 EGZ131079:EHC131079 EQV131079:EQY131079 FAR131079:FAU131079 FKN131079:FKQ131079 FUJ131079:FUM131079 GEF131079:GEI131079 GOB131079:GOE131079 GXX131079:GYA131079 HHT131079:HHW131079 HRP131079:HRS131079 IBL131079:IBO131079 ILH131079:ILK131079 IVD131079:IVG131079 JEZ131079:JFC131079 JOV131079:JOY131079 JYR131079:JYU131079 KIN131079:KIQ131079 KSJ131079:KSM131079 LCF131079:LCI131079 LMB131079:LME131079 LVX131079:LWA131079 MFT131079:MFW131079 MPP131079:MPS131079 MZL131079:MZO131079 NJH131079:NJK131079 NTD131079:NTG131079 OCZ131079:ODC131079 OMV131079:OMY131079 OWR131079:OWU131079 PGN131079:PGQ131079 PQJ131079:PQM131079 QAF131079:QAI131079 QKB131079:QKE131079 QTX131079:QUA131079 RDT131079:RDW131079 RNP131079:RNS131079 RXL131079:RXO131079 SHH131079:SHK131079 SRD131079:SRG131079 TAZ131079:TBC131079 TKV131079:TKY131079 TUR131079:TUU131079 UEN131079:UEQ131079 UOJ131079:UOM131079 UYF131079:UYI131079 VIB131079:VIE131079 VRX131079:VSA131079 WBT131079:WBW131079 WLP131079:WLS131079 WVL131079:WVO131079 D196615:G196615 IZ196615:JC196615 SV196615:SY196615 ACR196615:ACU196615 AMN196615:AMQ196615 AWJ196615:AWM196615 BGF196615:BGI196615 BQB196615:BQE196615 BZX196615:CAA196615 CJT196615:CJW196615 CTP196615:CTS196615 DDL196615:DDO196615 DNH196615:DNK196615 DXD196615:DXG196615 EGZ196615:EHC196615 EQV196615:EQY196615 FAR196615:FAU196615 FKN196615:FKQ196615 FUJ196615:FUM196615 GEF196615:GEI196615 GOB196615:GOE196615 GXX196615:GYA196615 HHT196615:HHW196615 HRP196615:HRS196615 IBL196615:IBO196615 ILH196615:ILK196615 IVD196615:IVG196615 JEZ196615:JFC196615 JOV196615:JOY196615 JYR196615:JYU196615 KIN196615:KIQ196615 KSJ196615:KSM196615 LCF196615:LCI196615 LMB196615:LME196615 LVX196615:LWA196615 MFT196615:MFW196615 MPP196615:MPS196615 MZL196615:MZO196615 NJH196615:NJK196615 NTD196615:NTG196615 OCZ196615:ODC196615 OMV196615:OMY196615 OWR196615:OWU196615 PGN196615:PGQ196615 PQJ196615:PQM196615 QAF196615:QAI196615 QKB196615:QKE196615 QTX196615:QUA196615 RDT196615:RDW196615 RNP196615:RNS196615 RXL196615:RXO196615 SHH196615:SHK196615 SRD196615:SRG196615 TAZ196615:TBC196615 TKV196615:TKY196615 TUR196615:TUU196615 UEN196615:UEQ196615 UOJ196615:UOM196615 UYF196615:UYI196615 VIB196615:VIE196615 VRX196615:VSA196615 WBT196615:WBW196615 WLP196615:WLS196615 WVL196615:WVO196615 D262151:G262151 IZ262151:JC262151 SV262151:SY262151 ACR262151:ACU262151 AMN262151:AMQ262151 AWJ262151:AWM262151 BGF262151:BGI262151 BQB262151:BQE262151 BZX262151:CAA262151 CJT262151:CJW262151 CTP262151:CTS262151 DDL262151:DDO262151 DNH262151:DNK262151 DXD262151:DXG262151 EGZ262151:EHC262151 EQV262151:EQY262151 FAR262151:FAU262151 FKN262151:FKQ262151 FUJ262151:FUM262151 GEF262151:GEI262151 GOB262151:GOE262151 GXX262151:GYA262151 HHT262151:HHW262151 HRP262151:HRS262151 IBL262151:IBO262151 ILH262151:ILK262151 IVD262151:IVG262151 JEZ262151:JFC262151 JOV262151:JOY262151 JYR262151:JYU262151 KIN262151:KIQ262151 KSJ262151:KSM262151 LCF262151:LCI262151 LMB262151:LME262151 LVX262151:LWA262151 MFT262151:MFW262151 MPP262151:MPS262151 MZL262151:MZO262151 NJH262151:NJK262151 NTD262151:NTG262151 OCZ262151:ODC262151 OMV262151:OMY262151 OWR262151:OWU262151 PGN262151:PGQ262151 PQJ262151:PQM262151 QAF262151:QAI262151 QKB262151:QKE262151 QTX262151:QUA262151 RDT262151:RDW262151 RNP262151:RNS262151 RXL262151:RXO262151 SHH262151:SHK262151 SRD262151:SRG262151 TAZ262151:TBC262151 TKV262151:TKY262151 TUR262151:TUU262151 UEN262151:UEQ262151 UOJ262151:UOM262151 UYF262151:UYI262151 VIB262151:VIE262151 VRX262151:VSA262151 WBT262151:WBW262151 WLP262151:WLS262151 WVL262151:WVO262151 D327687:G327687 IZ327687:JC327687 SV327687:SY327687 ACR327687:ACU327687 AMN327687:AMQ327687 AWJ327687:AWM327687 BGF327687:BGI327687 BQB327687:BQE327687 BZX327687:CAA327687 CJT327687:CJW327687 CTP327687:CTS327687 DDL327687:DDO327687 DNH327687:DNK327687 DXD327687:DXG327687 EGZ327687:EHC327687 EQV327687:EQY327687 FAR327687:FAU327687 FKN327687:FKQ327687 FUJ327687:FUM327687 GEF327687:GEI327687 GOB327687:GOE327687 GXX327687:GYA327687 HHT327687:HHW327687 HRP327687:HRS327687 IBL327687:IBO327687 ILH327687:ILK327687 IVD327687:IVG327687 JEZ327687:JFC327687 JOV327687:JOY327687 JYR327687:JYU327687 KIN327687:KIQ327687 KSJ327687:KSM327687 LCF327687:LCI327687 LMB327687:LME327687 LVX327687:LWA327687 MFT327687:MFW327687 MPP327687:MPS327687 MZL327687:MZO327687 NJH327687:NJK327687 NTD327687:NTG327687 OCZ327687:ODC327687 OMV327687:OMY327687 OWR327687:OWU327687 PGN327687:PGQ327687 PQJ327687:PQM327687 QAF327687:QAI327687 QKB327687:QKE327687 QTX327687:QUA327687 RDT327687:RDW327687 RNP327687:RNS327687 RXL327687:RXO327687 SHH327687:SHK327687 SRD327687:SRG327687 TAZ327687:TBC327687 TKV327687:TKY327687 TUR327687:TUU327687 UEN327687:UEQ327687 UOJ327687:UOM327687 UYF327687:UYI327687 VIB327687:VIE327687 VRX327687:VSA327687 WBT327687:WBW327687 WLP327687:WLS327687 WVL327687:WVO327687 D393223:G393223 IZ393223:JC393223 SV393223:SY393223 ACR393223:ACU393223 AMN393223:AMQ393223 AWJ393223:AWM393223 BGF393223:BGI393223 BQB393223:BQE393223 BZX393223:CAA393223 CJT393223:CJW393223 CTP393223:CTS393223 DDL393223:DDO393223 DNH393223:DNK393223 DXD393223:DXG393223 EGZ393223:EHC393223 EQV393223:EQY393223 FAR393223:FAU393223 FKN393223:FKQ393223 FUJ393223:FUM393223 GEF393223:GEI393223 GOB393223:GOE393223 GXX393223:GYA393223 HHT393223:HHW393223 HRP393223:HRS393223 IBL393223:IBO393223 ILH393223:ILK393223 IVD393223:IVG393223 JEZ393223:JFC393223 JOV393223:JOY393223 JYR393223:JYU393223 KIN393223:KIQ393223 KSJ393223:KSM393223 LCF393223:LCI393223 LMB393223:LME393223 LVX393223:LWA393223 MFT393223:MFW393223 MPP393223:MPS393223 MZL393223:MZO393223 NJH393223:NJK393223 NTD393223:NTG393223 OCZ393223:ODC393223 OMV393223:OMY393223 OWR393223:OWU393223 PGN393223:PGQ393223 PQJ393223:PQM393223 QAF393223:QAI393223 QKB393223:QKE393223 QTX393223:QUA393223 RDT393223:RDW393223 RNP393223:RNS393223 RXL393223:RXO393223 SHH393223:SHK393223 SRD393223:SRG393223 TAZ393223:TBC393223 TKV393223:TKY393223 TUR393223:TUU393223 UEN393223:UEQ393223 UOJ393223:UOM393223 UYF393223:UYI393223 VIB393223:VIE393223 VRX393223:VSA393223 WBT393223:WBW393223 WLP393223:WLS393223 WVL393223:WVO393223 D458759:G458759 IZ458759:JC458759 SV458759:SY458759 ACR458759:ACU458759 AMN458759:AMQ458759 AWJ458759:AWM458759 BGF458759:BGI458759 BQB458759:BQE458759 BZX458759:CAA458759 CJT458759:CJW458759 CTP458759:CTS458759 DDL458759:DDO458759 DNH458759:DNK458759 DXD458759:DXG458759 EGZ458759:EHC458759 EQV458759:EQY458759 FAR458759:FAU458759 FKN458759:FKQ458759 FUJ458759:FUM458759 GEF458759:GEI458759 GOB458759:GOE458759 GXX458759:GYA458759 HHT458759:HHW458759 HRP458759:HRS458759 IBL458759:IBO458759 ILH458759:ILK458759 IVD458759:IVG458759 JEZ458759:JFC458759 JOV458759:JOY458759 JYR458759:JYU458759 KIN458759:KIQ458759 KSJ458759:KSM458759 LCF458759:LCI458759 LMB458759:LME458759 LVX458759:LWA458759 MFT458759:MFW458759 MPP458759:MPS458759 MZL458759:MZO458759 NJH458759:NJK458759 NTD458759:NTG458759 OCZ458759:ODC458759 OMV458759:OMY458759 OWR458759:OWU458759 PGN458759:PGQ458759 PQJ458759:PQM458759 QAF458759:QAI458759 QKB458759:QKE458759 QTX458759:QUA458759 RDT458759:RDW458759 RNP458759:RNS458759 RXL458759:RXO458759 SHH458759:SHK458759 SRD458759:SRG458759 TAZ458759:TBC458759 TKV458759:TKY458759 TUR458759:TUU458759 UEN458759:UEQ458759 UOJ458759:UOM458759 UYF458759:UYI458759 VIB458759:VIE458759 VRX458759:VSA458759 WBT458759:WBW458759 WLP458759:WLS458759 WVL458759:WVO458759 D524295:G524295 IZ524295:JC524295 SV524295:SY524295 ACR524295:ACU524295 AMN524295:AMQ524295 AWJ524295:AWM524295 BGF524295:BGI524295 BQB524295:BQE524295 BZX524295:CAA524295 CJT524295:CJW524295 CTP524295:CTS524295 DDL524295:DDO524295 DNH524295:DNK524295 DXD524295:DXG524295 EGZ524295:EHC524295 EQV524295:EQY524295 FAR524295:FAU524295 FKN524295:FKQ524295 FUJ524295:FUM524295 GEF524295:GEI524295 GOB524295:GOE524295 GXX524295:GYA524295 HHT524295:HHW524295 HRP524295:HRS524295 IBL524295:IBO524295 ILH524295:ILK524295 IVD524295:IVG524295 JEZ524295:JFC524295 JOV524295:JOY524295 JYR524295:JYU524295 KIN524295:KIQ524295 KSJ524295:KSM524295 LCF524295:LCI524295 LMB524295:LME524295 LVX524295:LWA524295 MFT524295:MFW524295 MPP524295:MPS524295 MZL524295:MZO524295 NJH524295:NJK524295 NTD524295:NTG524295 OCZ524295:ODC524295 OMV524295:OMY524295 OWR524295:OWU524295 PGN524295:PGQ524295 PQJ524295:PQM524295 QAF524295:QAI524295 QKB524295:QKE524295 QTX524295:QUA524295 RDT524295:RDW524295 RNP524295:RNS524295 RXL524295:RXO524295 SHH524295:SHK524295 SRD524295:SRG524295 TAZ524295:TBC524295 TKV524295:TKY524295 TUR524295:TUU524295 UEN524295:UEQ524295 UOJ524295:UOM524295 UYF524295:UYI524295 VIB524295:VIE524295 VRX524295:VSA524295 WBT524295:WBW524295 WLP524295:WLS524295 WVL524295:WVO524295 D589831:G589831 IZ589831:JC589831 SV589831:SY589831 ACR589831:ACU589831 AMN589831:AMQ589831 AWJ589831:AWM589831 BGF589831:BGI589831 BQB589831:BQE589831 BZX589831:CAA589831 CJT589831:CJW589831 CTP589831:CTS589831 DDL589831:DDO589831 DNH589831:DNK589831 DXD589831:DXG589831 EGZ589831:EHC589831 EQV589831:EQY589831 FAR589831:FAU589831 FKN589831:FKQ589831 FUJ589831:FUM589831 GEF589831:GEI589831 GOB589831:GOE589831 GXX589831:GYA589831 HHT589831:HHW589831 HRP589831:HRS589831 IBL589831:IBO589831 ILH589831:ILK589831 IVD589831:IVG589831 JEZ589831:JFC589831 JOV589831:JOY589831 JYR589831:JYU589831 KIN589831:KIQ589831 KSJ589831:KSM589831 LCF589831:LCI589831 LMB589831:LME589831 LVX589831:LWA589831 MFT589831:MFW589831 MPP589831:MPS589831 MZL589831:MZO589831 NJH589831:NJK589831 NTD589831:NTG589831 OCZ589831:ODC589831 OMV589831:OMY589831 OWR589831:OWU589831 PGN589831:PGQ589831 PQJ589831:PQM589831 QAF589831:QAI589831 QKB589831:QKE589831 QTX589831:QUA589831 RDT589831:RDW589831 RNP589831:RNS589831 RXL589831:RXO589831 SHH589831:SHK589831 SRD589831:SRG589831 TAZ589831:TBC589831 TKV589831:TKY589831 TUR589831:TUU589831 UEN589831:UEQ589831 UOJ589831:UOM589831 UYF589831:UYI589831 VIB589831:VIE589831 VRX589831:VSA589831 WBT589831:WBW589831 WLP589831:WLS589831 WVL589831:WVO589831 D655367:G655367 IZ655367:JC655367 SV655367:SY655367 ACR655367:ACU655367 AMN655367:AMQ655367 AWJ655367:AWM655367 BGF655367:BGI655367 BQB655367:BQE655367 BZX655367:CAA655367 CJT655367:CJW655367 CTP655367:CTS655367 DDL655367:DDO655367 DNH655367:DNK655367 DXD655367:DXG655367 EGZ655367:EHC655367 EQV655367:EQY655367 FAR655367:FAU655367 FKN655367:FKQ655367 FUJ655367:FUM655367 GEF655367:GEI655367 GOB655367:GOE655367 GXX655367:GYA655367 HHT655367:HHW655367 HRP655367:HRS655367 IBL655367:IBO655367 ILH655367:ILK655367 IVD655367:IVG655367 JEZ655367:JFC655367 JOV655367:JOY655367 JYR655367:JYU655367 KIN655367:KIQ655367 KSJ655367:KSM655367 LCF655367:LCI655367 LMB655367:LME655367 LVX655367:LWA655367 MFT655367:MFW655367 MPP655367:MPS655367 MZL655367:MZO655367 NJH655367:NJK655367 NTD655367:NTG655367 OCZ655367:ODC655367 OMV655367:OMY655367 OWR655367:OWU655367 PGN655367:PGQ655367 PQJ655367:PQM655367 QAF655367:QAI655367 QKB655367:QKE655367 QTX655367:QUA655367 RDT655367:RDW655367 RNP655367:RNS655367 RXL655367:RXO655367 SHH655367:SHK655367 SRD655367:SRG655367 TAZ655367:TBC655367 TKV655367:TKY655367 TUR655367:TUU655367 UEN655367:UEQ655367 UOJ655367:UOM655367 UYF655367:UYI655367 VIB655367:VIE655367 VRX655367:VSA655367 WBT655367:WBW655367 WLP655367:WLS655367 WVL655367:WVO655367 D720903:G720903 IZ720903:JC720903 SV720903:SY720903 ACR720903:ACU720903 AMN720903:AMQ720903 AWJ720903:AWM720903 BGF720903:BGI720903 BQB720903:BQE720903 BZX720903:CAA720903 CJT720903:CJW720903 CTP720903:CTS720903 DDL720903:DDO720903 DNH720903:DNK720903 DXD720903:DXG720903 EGZ720903:EHC720903 EQV720903:EQY720903 FAR720903:FAU720903 FKN720903:FKQ720903 FUJ720903:FUM720903 GEF720903:GEI720903 GOB720903:GOE720903 GXX720903:GYA720903 HHT720903:HHW720903 HRP720903:HRS720903 IBL720903:IBO720903 ILH720903:ILK720903 IVD720903:IVG720903 JEZ720903:JFC720903 JOV720903:JOY720903 JYR720903:JYU720903 KIN720903:KIQ720903 KSJ720903:KSM720903 LCF720903:LCI720903 LMB720903:LME720903 LVX720903:LWA720903 MFT720903:MFW720903 MPP720903:MPS720903 MZL720903:MZO720903 NJH720903:NJK720903 NTD720903:NTG720903 OCZ720903:ODC720903 OMV720903:OMY720903 OWR720903:OWU720903 PGN720903:PGQ720903 PQJ720903:PQM720903 QAF720903:QAI720903 QKB720903:QKE720903 QTX720903:QUA720903 RDT720903:RDW720903 RNP720903:RNS720903 RXL720903:RXO720903 SHH720903:SHK720903 SRD720903:SRG720903 TAZ720903:TBC720903 TKV720903:TKY720903 TUR720903:TUU720903 UEN720903:UEQ720903 UOJ720903:UOM720903 UYF720903:UYI720903 VIB720903:VIE720903 VRX720903:VSA720903 WBT720903:WBW720903 WLP720903:WLS720903 WVL720903:WVO720903 D786439:G786439 IZ786439:JC786439 SV786439:SY786439 ACR786439:ACU786439 AMN786439:AMQ786439 AWJ786439:AWM786439 BGF786439:BGI786439 BQB786439:BQE786439 BZX786439:CAA786439 CJT786439:CJW786439 CTP786439:CTS786439 DDL786439:DDO786439 DNH786439:DNK786439 DXD786439:DXG786439 EGZ786439:EHC786439 EQV786439:EQY786439 FAR786439:FAU786439 FKN786439:FKQ786439 FUJ786439:FUM786439 GEF786439:GEI786439 GOB786439:GOE786439 GXX786439:GYA786439 HHT786439:HHW786439 HRP786439:HRS786439 IBL786439:IBO786439 ILH786439:ILK786439 IVD786439:IVG786439 JEZ786439:JFC786439 JOV786439:JOY786439 JYR786439:JYU786439 KIN786439:KIQ786439 KSJ786439:KSM786439 LCF786439:LCI786439 LMB786439:LME786439 LVX786439:LWA786439 MFT786439:MFW786439 MPP786439:MPS786439 MZL786439:MZO786439 NJH786439:NJK786439 NTD786439:NTG786439 OCZ786439:ODC786439 OMV786439:OMY786439 OWR786439:OWU786439 PGN786439:PGQ786439 PQJ786439:PQM786439 QAF786439:QAI786439 QKB786439:QKE786439 QTX786439:QUA786439 RDT786439:RDW786439 RNP786439:RNS786439 RXL786439:RXO786439 SHH786439:SHK786439 SRD786439:SRG786439 TAZ786439:TBC786439 TKV786439:TKY786439 TUR786439:TUU786439 UEN786439:UEQ786439 UOJ786439:UOM786439 UYF786439:UYI786439 VIB786439:VIE786439 VRX786439:VSA786439 WBT786439:WBW786439 WLP786439:WLS786439 WVL786439:WVO786439 D851975:G851975 IZ851975:JC851975 SV851975:SY851975 ACR851975:ACU851975 AMN851975:AMQ851975 AWJ851975:AWM851975 BGF851975:BGI851975 BQB851975:BQE851975 BZX851975:CAA851975 CJT851975:CJW851975 CTP851975:CTS851975 DDL851975:DDO851975 DNH851975:DNK851975 DXD851975:DXG851975 EGZ851975:EHC851975 EQV851975:EQY851975 FAR851975:FAU851975 FKN851975:FKQ851975 FUJ851975:FUM851975 GEF851975:GEI851975 GOB851975:GOE851975 GXX851975:GYA851975 HHT851975:HHW851975 HRP851975:HRS851975 IBL851975:IBO851975 ILH851975:ILK851975 IVD851975:IVG851975 JEZ851975:JFC851975 JOV851975:JOY851975 JYR851975:JYU851975 KIN851975:KIQ851975 KSJ851975:KSM851975 LCF851975:LCI851975 LMB851975:LME851975 LVX851975:LWA851975 MFT851975:MFW851975 MPP851975:MPS851975 MZL851975:MZO851975 NJH851975:NJK851975 NTD851975:NTG851975 OCZ851975:ODC851975 OMV851975:OMY851975 OWR851975:OWU851975 PGN851975:PGQ851975 PQJ851975:PQM851975 QAF851975:QAI851975 QKB851975:QKE851975 QTX851975:QUA851975 RDT851975:RDW851975 RNP851975:RNS851975 RXL851975:RXO851975 SHH851975:SHK851975 SRD851975:SRG851975 TAZ851975:TBC851975 TKV851975:TKY851975 TUR851975:TUU851975 UEN851975:UEQ851975 UOJ851975:UOM851975 UYF851975:UYI851975 VIB851975:VIE851975 VRX851975:VSA851975 WBT851975:WBW851975 WLP851975:WLS851975 WVL851975:WVO851975 D917511:G917511 IZ917511:JC917511 SV917511:SY917511 ACR917511:ACU917511 AMN917511:AMQ917511 AWJ917511:AWM917511 BGF917511:BGI917511 BQB917511:BQE917511 BZX917511:CAA917511 CJT917511:CJW917511 CTP917511:CTS917511 DDL917511:DDO917511 DNH917511:DNK917511 DXD917511:DXG917511 EGZ917511:EHC917511 EQV917511:EQY917511 FAR917511:FAU917511 FKN917511:FKQ917511 FUJ917511:FUM917511 GEF917511:GEI917511 GOB917511:GOE917511 GXX917511:GYA917511 HHT917511:HHW917511 HRP917511:HRS917511 IBL917511:IBO917511 ILH917511:ILK917511 IVD917511:IVG917511 JEZ917511:JFC917511 JOV917511:JOY917511 JYR917511:JYU917511 KIN917511:KIQ917511 KSJ917511:KSM917511 LCF917511:LCI917511 LMB917511:LME917511 LVX917511:LWA917511 MFT917511:MFW917511 MPP917511:MPS917511 MZL917511:MZO917511 NJH917511:NJK917511 NTD917511:NTG917511 OCZ917511:ODC917511 OMV917511:OMY917511 OWR917511:OWU917511 PGN917511:PGQ917511 PQJ917511:PQM917511 QAF917511:QAI917511 QKB917511:QKE917511 QTX917511:QUA917511 RDT917511:RDW917511 RNP917511:RNS917511 RXL917511:RXO917511 SHH917511:SHK917511 SRD917511:SRG917511 TAZ917511:TBC917511 TKV917511:TKY917511 TUR917511:TUU917511 UEN917511:UEQ917511 UOJ917511:UOM917511 UYF917511:UYI917511 VIB917511:VIE917511 VRX917511:VSA917511 WBT917511:WBW917511 WLP917511:WLS917511 WVL917511:WVO917511 D983047:G983047 IZ983047:JC983047 SV983047:SY983047 ACR983047:ACU983047 AMN983047:AMQ983047 AWJ983047:AWM983047 BGF983047:BGI983047 BQB983047:BQE983047 BZX983047:CAA983047 CJT983047:CJW983047 CTP983047:CTS983047 DDL983047:DDO983047 DNH983047:DNK983047 DXD983047:DXG983047 EGZ983047:EHC983047 EQV983047:EQY983047 FAR983047:FAU983047 FKN983047:FKQ983047 FUJ983047:FUM983047 GEF983047:GEI983047 GOB983047:GOE983047 GXX983047:GYA983047 HHT983047:HHW983047 HRP983047:HRS983047 IBL983047:IBO983047 ILH983047:ILK983047 IVD983047:IVG983047 JEZ983047:JFC983047 JOV983047:JOY983047 JYR983047:JYU983047 KIN983047:KIQ983047 KSJ983047:KSM983047 LCF983047:LCI983047 LMB983047:LME983047 LVX983047:LWA983047 MFT983047:MFW983047 MPP983047:MPS983047 MZL983047:MZO983047 NJH983047:NJK983047 NTD983047:NTG983047 OCZ983047:ODC983047 OMV983047:OMY983047 OWR983047:OWU983047 PGN983047:PGQ983047 PQJ983047:PQM983047 QAF983047:QAI983047 QKB983047:QKE983047 QTX983047:QUA983047 RDT983047:RDW983047 RNP983047:RNS983047 RXL983047:RXO983047 SHH983047:SHK983047 SRD983047:SRG983047 TAZ983047:TBC983047 TKV983047:TKY983047 TUR983047:TUU983047 UEN983047:UEQ983047 UOJ983047:UOM983047 UYF983047:UYI983047 VIB983047:VIE983047 VRX983047:VSA983047 WBT983047:WBW983047 WLP983047:WLS983047 WVL983047:WVO983047">
      <formula1>$BV$257:$BV$262</formula1>
    </dataValidation>
    <dataValidation type="list" allowBlank="1" showInputMessage="1" showErrorMessage="1" sqref="F17:G18 JB17:JC18 SX17:SY18 ACT17:ACU18 AMP17:AMQ18 AWL17:AWM18 BGH17:BGI18 BQD17:BQE18 BZZ17:CAA18 CJV17:CJW18 CTR17:CTS18 DDN17:DDO18 DNJ17:DNK18 DXF17:DXG18 EHB17:EHC18 EQX17:EQY18 FAT17:FAU18 FKP17:FKQ18 FUL17:FUM18 GEH17:GEI18 GOD17:GOE18 GXZ17:GYA18 HHV17:HHW18 HRR17:HRS18 IBN17:IBO18 ILJ17:ILK18 IVF17:IVG18 JFB17:JFC18 JOX17:JOY18 JYT17:JYU18 KIP17:KIQ18 KSL17:KSM18 LCH17:LCI18 LMD17:LME18 LVZ17:LWA18 MFV17:MFW18 MPR17:MPS18 MZN17:MZO18 NJJ17:NJK18 NTF17:NTG18 ODB17:ODC18 OMX17:OMY18 OWT17:OWU18 PGP17:PGQ18 PQL17:PQM18 QAH17:QAI18 QKD17:QKE18 QTZ17:QUA18 RDV17:RDW18 RNR17:RNS18 RXN17:RXO18 SHJ17:SHK18 SRF17:SRG18 TBB17:TBC18 TKX17:TKY18 TUT17:TUU18 UEP17:UEQ18 UOL17:UOM18 UYH17:UYI18 VID17:VIE18 VRZ17:VSA18 WBV17:WBW18 WLR17:WLS18 WVN17:WVO18 F65553:G65554 JB65553:JC65554 SX65553:SY65554 ACT65553:ACU65554 AMP65553:AMQ65554 AWL65553:AWM65554 BGH65553:BGI65554 BQD65553:BQE65554 BZZ65553:CAA65554 CJV65553:CJW65554 CTR65553:CTS65554 DDN65553:DDO65554 DNJ65553:DNK65554 DXF65553:DXG65554 EHB65553:EHC65554 EQX65553:EQY65554 FAT65553:FAU65554 FKP65553:FKQ65554 FUL65553:FUM65554 GEH65553:GEI65554 GOD65553:GOE65554 GXZ65553:GYA65554 HHV65553:HHW65554 HRR65553:HRS65554 IBN65553:IBO65554 ILJ65553:ILK65554 IVF65553:IVG65554 JFB65553:JFC65554 JOX65553:JOY65554 JYT65553:JYU65554 KIP65553:KIQ65554 KSL65553:KSM65554 LCH65553:LCI65554 LMD65553:LME65554 LVZ65553:LWA65554 MFV65553:MFW65554 MPR65553:MPS65554 MZN65553:MZO65554 NJJ65553:NJK65554 NTF65553:NTG65554 ODB65553:ODC65554 OMX65553:OMY65554 OWT65553:OWU65554 PGP65553:PGQ65554 PQL65553:PQM65554 QAH65553:QAI65554 QKD65553:QKE65554 QTZ65553:QUA65554 RDV65553:RDW65554 RNR65553:RNS65554 RXN65553:RXO65554 SHJ65553:SHK65554 SRF65553:SRG65554 TBB65553:TBC65554 TKX65553:TKY65554 TUT65553:TUU65554 UEP65553:UEQ65554 UOL65553:UOM65554 UYH65553:UYI65554 VID65553:VIE65554 VRZ65553:VSA65554 WBV65553:WBW65554 WLR65553:WLS65554 WVN65553:WVO65554 F131089:G131090 JB131089:JC131090 SX131089:SY131090 ACT131089:ACU131090 AMP131089:AMQ131090 AWL131089:AWM131090 BGH131089:BGI131090 BQD131089:BQE131090 BZZ131089:CAA131090 CJV131089:CJW131090 CTR131089:CTS131090 DDN131089:DDO131090 DNJ131089:DNK131090 DXF131089:DXG131090 EHB131089:EHC131090 EQX131089:EQY131090 FAT131089:FAU131090 FKP131089:FKQ131090 FUL131089:FUM131090 GEH131089:GEI131090 GOD131089:GOE131090 GXZ131089:GYA131090 HHV131089:HHW131090 HRR131089:HRS131090 IBN131089:IBO131090 ILJ131089:ILK131090 IVF131089:IVG131090 JFB131089:JFC131090 JOX131089:JOY131090 JYT131089:JYU131090 KIP131089:KIQ131090 KSL131089:KSM131090 LCH131089:LCI131090 LMD131089:LME131090 LVZ131089:LWA131090 MFV131089:MFW131090 MPR131089:MPS131090 MZN131089:MZO131090 NJJ131089:NJK131090 NTF131089:NTG131090 ODB131089:ODC131090 OMX131089:OMY131090 OWT131089:OWU131090 PGP131089:PGQ131090 PQL131089:PQM131090 QAH131089:QAI131090 QKD131089:QKE131090 QTZ131089:QUA131090 RDV131089:RDW131090 RNR131089:RNS131090 RXN131089:RXO131090 SHJ131089:SHK131090 SRF131089:SRG131090 TBB131089:TBC131090 TKX131089:TKY131090 TUT131089:TUU131090 UEP131089:UEQ131090 UOL131089:UOM131090 UYH131089:UYI131090 VID131089:VIE131090 VRZ131089:VSA131090 WBV131089:WBW131090 WLR131089:WLS131090 WVN131089:WVO131090 F196625:G196626 JB196625:JC196626 SX196625:SY196626 ACT196625:ACU196626 AMP196625:AMQ196626 AWL196625:AWM196626 BGH196625:BGI196626 BQD196625:BQE196626 BZZ196625:CAA196626 CJV196625:CJW196626 CTR196625:CTS196626 DDN196625:DDO196626 DNJ196625:DNK196626 DXF196625:DXG196626 EHB196625:EHC196626 EQX196625:EQY196626 FAT196625:FAU196626 FKP196625:FKQ196626 FUL196625:FUM196626 GEH196625:GEI196626 GOD196625:GOE196626 GXZ196625:GYA196626 HHV196625:HHW196626 HRR196625:HRS196626 IBN196625:IBO196626 ILJ196625:ILK196626 IVF196625:IVG196626 JFB196625:JFC196626 JOX196625:JOY196626 JYT196625:JYU196626 KIP196625:KIQ196626 KSL196625:KSM196626 LCH196625:LCI196626 LMD196625:LME196626 LVZ196625:LWA196626 MFV196625:MFW196626 MPR196625:MPS196626 MZN196625:MZO196626 NJJ196625:NJK196626 NTF196625:NTG196626 ODB196625:ODC196626 OMX196625:OMY196626 OWT196625:OWU196626 PGP196625:PGQ196626 PQL196625:PQM196626 QAH196625:QAI196626 QKD196625:QKE196626 QTZ196625:QUA196626 RDV196625:RDW196626 RNR196625:RNS196626 RXN196625:RXO196626 SHJ196625:SHK196626 SRF196625:SRG196626 TBB196625:TBC196626 TKX196625:TKY196626 TUT196625:TUU196626 UEP196625:UEQ196626 UOL196625:UOM196626 UYH196625:UYI196626 VID196625:VIE196626 VRZ196625:VSA196626 WBV196625:WBW196626 WLR196625:WLS196626 WVN196625:WVO196626 F262161:G262162 JB262161:JC262162 SX262161:SY262162 ACT262161:ACU262162 AMP262161:AMQ262162 AWL262161:AWM262162 BGH262161:BGI262162 BQD262161:BQE262162 BZZ262161:CAA262162 CJV262161:CJW262162 CTR262161:CTS262162 DDN262161:DDO262162 DNJ262161:DNK262162 DXF262161:DXG262162 EHB262161:EHC262162 EQX262161:EQY262162 FAT262161:FAU262162 FKP262161:FKQ262162 FUL262161:FUM262162 GEH262161:GEI262162 GOD262161:GOE262162 GXZ262161:GYA262162 HHV262161:HHW262162 HRR262161:HRS262162 IBN262161:IBO262162 ILJ262161:ILK262162 IVF262161:IVG262162 JFB262161:JFC262162 JOX262161:JOY262162 JYT262161:JYU262162 KIP262161:KIQ262162 KSL262161:KSM262162 LCH262161:LCI262162 LMD262161:LME262162 LVZ262161:LWA262162 MFV262161:MFW262162 MPR262161:MPS262162 MZN262161:MZO262162 NJJ262161:NJK262162 NTF262161:NTG262162 ODB262161:ODC262162 OMX262161:OMY262162 OWT262161:OWU262162 PGP262161:PGQ262162 PQL262161:PQM262162 QAH262161:QAI262162 QKD262161:QKE262162 QTZ262161:QUA262162 RDV262161:RDW262162 RNR262161:RNS262162 RXN262161:RXO262162 SHJ262161:SHK262162 SRF262161:SRG262162 TBB262161:TBC262162 TKX262161:TKY262162 TUT262161:TUU262162 UEP262161:UEQ262162 UOL262161:UOM262162 UYH262161:UYI262162 VID262161:VIE262162 VRZ262161:VSA262162 WBV262161:WBW262162 WLR262161:WLS262162 WVN262161:WVO262162 F327697:G327698 JB327697:JC327698 SX327697:SY327698 ACT327697:ACU327698 AMP327697:AMQ327698 AWL327697:AWM327698 BGH327697:BGI327698 BQD327697:BQE327698 BZZ327697:CAA327698 CJV327697:CJW327698 CTR327697:CTS327698 DDN327697:DDO327698 DNJ327697:DNK327698 DXF327697:DXG327698 EHB327697:EHC327698 EQX327697:EQY327698 FAT327697:FAU327698 FKP327697:FKQ327698 FUL327697:FUM327698 GEH327697:GEI327698 GOD327697:GOE327698 GXZ327697:GYA327698 HHV327697:HHW327698 HRR327697:HRS327698 IBN327697:IBO327698 ILJ327697:ILK327698 IVF327697:IVG327698 JFB327697:JFC327698 JOX327697:JOY327698 JYT327697:JYU327698 KIP327697:KIQ327698 KSL327697:KSM327698 LCH327697:LCI327698 LMD327697:LME327698 LVZ327697:LWA327698 MFV327697:MFW327698 MPR327697:MPS327698 MZN327697:MZO327698 NJJ327697:NJK327698 NTF327697:NTG327698 ODB327697:ODC327698 OMX327697:OMY327698 OWT327697:OWU327698 PGP327697:PGQ327698 PQL327697:PQM327698 QAH327697:QAI327698 QKD327697:QKE327698 QTZ327697:QUA327698 RDV327697:RDW327698 RNR327697:RNS327698 RXN327697:RXO327698 SHJ327697:SHK327698 SRF327697:SRG327698 TBB327697:TBC327698 TKX327697:TKY327698 TUT327697:TUU327698 UEP327697:UEQ327698 UOL327697:UOM327698 UYH327697:UYI327698 VID327697:VIE327698 VRZ327697:VSA327698 WBV327697:WBW327698 WLR327697:WLS327698 WVN327697:WVO327698 F393233:G393234 JB393233:JC393234 SX393233:SY393234 ACT393233:ACU393234 AMP393233:AMQ393234 AWL393233:AWM393234 BGH393233:BGI393234 BQD393233:BQE393234 BZZ393233:CAA393234 CJV393233:CJW393234 CTR393233:CTS393234 DDN393233:DDO393234 DNJ393233:DNK393234 DXF393233:DXG393234 EHB393233:EHC393234 EQX393233:EQY393234 FAT393233:FAU393234 FKP393233:FKQ393234 FUL393233:FUM393234 GEH393233:GEI393234 GOD393233:GOE393234 GXZ393233:GYA393234 HHV393233:HHW393234 HRR393233:HRS393234 IBN393233:IBO393234 ILJ393233:ILK393234 IVF393233:IVG393234 JFB393233:JFC393234 JOX393233:JOY393234 JYT393233:JYU393234 KIP393233:KIQ393234 KSL393233:KSM393234 LCH393233:LCI393234 LMD393233:LME393234 LVZ393233:LWA393234 MFV393233:MFW393234 MPR393233:MPS393234 MZN393233:MZO393234 NJJ393233:NJK393234 NTF393233:NTG393234 ODB393233:ODC393234 OMX393233:OMY393234 OWT393233:OWU393234 PGP393233:PGQ393234 PQL393233:PQM393234 QAH393233:QAI393234 QKD393233:QKE393234 QTZ393233:QUA393234 RDV393233:RDW393234 RNR393233:RNS393234 RXN393233:RXO393234 SHJ393233:SHK393234 SRF393233:SRG393234 TBB393233:TBC393234 TKX393233:TKY393234 TUT393233:TUU393234 UEP393233:UEQ393234 UOL393233:UOM393234 UYH393233:UYI393234 VID393233:VIE393234 VRZ393233:VSA393234 WBV393233:WBW393234 WLR393233:WLS393234 WVN393233:WVO393234 F458769:G458770 JB458769:JC458770 SX458769:SY458770 ACT458769:ACU458770 AMP458769:AMQ458770 AWL458769:AWM458770 BGH458769:BGI458770 BQD458769:BQE458770 BZZ458769:CAA458770 CJV458769:CJW458770 CTR458769:CTS458770 DDN458769:DDO458770 DNJ458769:DNK458770 DXF458769:DXG458770 EHB458769:EHC458770 EQX458769:EQY458770 FAT458769:FAU458770 FKP458769:FKQ458770 FUL458769:FUM458770 GEH458769:GEI458770 GOD458769:GOE458770 GXZ458769:GYA458770 HHV458769:HHW458770 HRR458769:HRS458770 IBN458769:IBO458770 ILJ458769:ILK458770 IVF458769:IVG458770 JFB458769:JFC458770 JOX458769:JOY458770 JYT458769:JYU458770 KIP458769:KIQ458770 KSL458769:KSM458770 LCH458769:LCI458770 LMD458769:LME458770 LVZ458769:LWA458770 MFV458769:MFW458770 MPR458769:MPS458770 MZN458769:MZO458770 NJJ458769:NJK458770 NTF458769:NTG458770 ODB458769:ODC458770 OMX458769:OMY458770 OWT458769:OWU458770 PGP458769:PGQ458770 PQL458769:PQM458770 QAH458769:QAI458770 QKD458769:QKE458770 QTZ458769:QUA458770 RDV458769:RDW458770 RNR458769:RNS458770 RXN458769:RXO458770 SHJ458769:SHK458770 SRF458769:SRG458770 TBB458769:TBC458770 TKX458769:TKY458770 TUT458769:TUU458770 UEP458769:UEQ458770 UOL458769:UOM458770 UYH458769:UYI458770 VID458769:VIE458770 VRZ458769:VSA458770 WBV458769:WBW458770 WLR458769:WLS458770 WVN458769:WVO458770 F524305:G524306 JB524305:JC524306 SX524305:SY524306 ACT524305:ACU524306 AMP524305:AMQ524306 AWL524305:AWM524306 BGH524305:BGI524306 BQD524305:BQE524306 BZZ524305:CAA524306 CJV524305:CJW524306 CTR524305:CTS524306 DDN524305:DDO524306 DNJ524305:DNK524306 DXF524305:DXG524306 EHB524305:EHC524306 EQX524305:EQY524306 FAT524305:FAU524306 FKP524305:FKQ524306 FUL524305:FUM524306 GEH524305:GEI524306 GOD524305:GOE524306 GXZ524305:GYA524306 HHV524305:HHW524306 HRR524305:HRS524306 IBN524305:IBO524306 ILJ524305:ILK524306 IVF524305:IVG524306 JFB524305:JFC524306 JOX524305:JOY524306 JYT524305:JYU524306 KIP524305:KIQ524306 KSL524305:KSM524306 LCH524305:LCI524306 LMD524305:LME524306 LVZ524305:LWA524306 MFV524305:MFW524306 MPR524305:MPS524306 MZN524305:MZO524306 NJJ524305:NJK524306 NTF524305:NTG524306 ODB524305:ODC524306 OMX524305:OMY524306 OWT524305:OWU524306 PGP524305:PGQ524306 PQL524305:PQM524306 QAH524305:QAI524306 QKD524305:QKE524306 QTZ524305:QUA524306 RDV524305:RDW524306 RNR524305:RNS524306 RXN524305:RXO524306 SHJ524305:SHK524306 SRF524305:SRG524306 TBB524305:TBC524306 TKX524305:TKY524306 TUT524305:TUU524306 UEP524305:UEQ524306 UOL524305:UOM524306 UYH524305:UYI524306 VID524305:VIE524306 VRZ524305:VSA524306 WBV524305:WBW524306 WLR524305:WLS524306 WVN524305:WVO524306 F589841:G589842 JB589841:JC589842 SX589841:SY589842 ACT589841:ACU589842 AMP589841:AMQ589842 AWL589841:AWM589842 BGH589841:BGI589842 BQD589841:BQE589842 BZZ589841:CAA589842 CJV589841:CJW589842 CTR589841:CTS589842 DDN589841:DDO589842 DNJ589841:DNK589842 DXF589841:DXG589842 EHB589841:EHC589842 EQX589841:EQY589842 FAT589841:FAU589842 FKP589841:FKQ589842 FUL589841:FUM589842 GEH589841:GEI589842 GOD589841:GOE589842 GXZ589841:GYA589842 HHV589841:HHW589842 HRR589841:HRS589842 IBN589841:IBO589842 ILJ589841:ILK589842 IVF589841:IVG589842 JFB589841:JFC589842 JOX589841:JOY589842 JYT589841:JYU589842 KIP589841:KIQ589842 KSL589841:KSM589842 LCH589841:LCI589842 LMD589841:LME589842 LVZ589841:LWA589842 MFV589841:MFW589842 MPR589841:MPS589842 MZN589841:MZO589842 NJJ589841:NJK589842 NTF589841:NTG589842 ODB589841:ODC589842 OMX589841:OMY589842 OWT589841:OWU589842 PGP589841:PGQ589842 PQL589841:PQM589842 QAH589841:QAI589842 QKD589841:QKE589842 QTZ589841:QUA589842 RDV589841:RDW589842 RNR589841:RNS589842 RXN589841:RXO589842 SHJ589841:SHK589842 SRF589841:SRG589842 TBB589841:TBC589842 TKX589841:TKY589842 TUT589841:TUU589842 UEP589841:UEQ589842 UOL589841:UOM589842 UYH589841:UYI589842 VID589841:VIE589842 VRZ589841:VSA589842 WBV589841:WBW589842 WLR589841:WLS589842 WVN589841:WVO589842 F655377:G655378 JB655377:JC655378 SX655377:SY655378 ACT655377:ACU655378 AMP655377:AMQ655378 AWL655377:AWM655378 BGH655377:BGI655378 BQD655377:BQE655378 BZZ655377:CAA655378 CJV655377:CJW655378 CTR655377:CTS655378 DDN655377:DDO655378 DNJ655377:DNK655378 DXF655377:DXG655378 EHB655377:EHC655378 EQX655377:EQY655378 FAT655377:FAU655378 FKP655377:FKQ655378 FUL655377:FUM655378 GEH655377:GEI655378 GOD655377:GOE655378 GXZ655377:GYA655378 HHV655377:HHW655378 HRR655377:HRS655378 IBN655377:IBO655378 ILJ655377:ILK655378 IVF655377:IVG655378 JFB655377:JFC655378 JOX655377:JOY655378 JYT655377:JYU655378 KIP655377:KIQ655378 KSL655377:KSM655378 LCH655377:LCI655378 LMD655377:LME655378 LVZ655377:LWA655378 MFV655377:MFW655378 MPR655377:MPS655378 MZN655377:MZO655378 NJJ655377:NJK655378 NTF655377:NTG655378 ODB655377:ODC655378 OMX655377:OMY655378 OWT655377:OWU655378 PGP655377:PGQ655378 PQL655377:PQM655378 QAH655377:QAI655378 QKD655377:QKE655378 QTZ655377:QUA655378 RDV655377:RDW655378 RNR655377:RNS655378 RXN655377:RXO655378 SHJ655377:SHK655378 SRF655377:SRG655378 TBB655377:TBC655378 TKX655377:TKY655378 TUT655377:TUU655378 UEP655377:UEQ655378 UOL655377:UOM655378 UYH655377:UYI655378 VID655377:VIE655378 VRZ655377:VSA655378 WBV655377:WBW655378 WLR655377:WLS655378 WVN655377:WVO655378 F720913:G720914 JB720913:JC720914 SX720913:SY720914 ACT720913:ACU720914 AMP720913:AMQ720914 AWL720913:AWM720914 BGH720913:BGI720914 BQD720913:BQE720914 BZZ720913:CAA720914 CJV720913:CJW720914 CTR720913:CTS720914 DDN720913:DDO720914 DNJ720913:DNK720914 DXF720913:DXG720914 EHB720913:EHC720914 EQX720913:EQY720914 FAT720913:FAU720914 FKP720913:FKQ720914 FUL720913:FUM720914 GEH720913:GEI720914 GOD720913:GOE720914 GXZ720913:GYA720914 HHV720913:HHW720914 HRR720913:HRS720914 IBN720913:IBO720914 ILJ720913:ILK720914 IVF720913:IVG720914 JFB720913:JFC720914 JOX720913:JOY720914 JYT720913:JYU720914 KIP720913:KIQ720914 KSL720913:KSM720914 LCH720913:LCI720914 LMD720913:LME720914 LVZ720913:LWA720914 MFV720913:MFW720914 MPR720913:MPS720914 MZN720913:MZO720914 NJJ720913:NJK720914 NTF720913:NTG720914 ODB720913:ODC720914 OMX720913:OMY720914 OWT720913:OWU720914 PGP720913:PGQ720914 PQL720913:PQM720914 QAH720913:QAI720914 QKD720913:QKE720914 QTZ720913:QUA720914 RDV720913:RDW720914 RNR720913:RNS720914 RXN720913:RXO720914 SHJ720913:SHK720914 SRF720913:SRG720914 TBB720913:TBC720914 TKX720913:TKY720914 TUT720913:TUU720914 UEP720913:UEQ720914 UOL720913:UOM720914 UYH720913:UYI720914 VID720913:VIE720914 VRZ720913:VSA720914 WBV720913:WBW720914 WLR720913:WLS720914 WVN720913:WVO720914 F786449:G786450 JB786449:JC786450 SX786449:SY786450 ACT786449:ACU786450 AMP786449:AMQ786450 AWL786449:AWM786450 BGH786449:BGI786450 BQD786449:BQE786450 BZZ786449:CAA786450 CJV786449:CJW786450 CTR786449:CTS786450 DDN786449:DDO786450 DNJ786449:DNK786450 DXF786449:DXG786450 EHB786449:EHC786450 EQX786449:EQY786450 FAT786449:FAU786450 FKP786449:FKQ786450 FUL786449:FUM786450 GEH786449:GEI786450 GOD786449:GOE786450 GXZ786449:GYA786450 HHV786449:HHW786450 HRR786449:HRS786450 IBN786449:IBO786450 ILJ786449:ILK786450 IVF786449:IVG786450 JFB786449:JFC786450 JOX786449:JOY786450 JYT786449:JYU786450 KIP786449:KIQ786450 KSL786449:KSM786450 LCH786449:LCI786450 LMD786449:LME786450 LVZ786449:LWA786450 MFV786449:MFW786450 MPR786449:MPS786450 MZN786449:MZO786450 NJJ786449:NJK786450 NTF786449:NTG786450 ODB786449:ODC786450 OMX786449:OMY786450 OWT786449:OWU786450 PGP786449:PGQ786450 PQL786449:PQM786450 QAH786449:QAI786450 QKD786449:QKE786450 QTZ786449:QUA786450 RDV786449:RDW786450 RNR786449:RNS786450 RXN786449:RXO786450 SHJ786449:SHK786450 SRF786449:SRG786450 TBB786449:TBC786450 TKX786449:TKY786450 TUT786449:TUU786450 UEP786449:UEQ786450 UOL786449:UOM786450 UYH786449:UYI786450 VID786449:VIE786450 VRZ786449:VSA786450 WBV786449:WBW786450 WLR786449:WLS786450 WVN786449:WVO786450 F851985:G851986 JB851985:JC851986 SX851985:SY851986 ACT851985:ACU851986 AMP851985:AMQ851986 AWL851985:AWM851986 BGH851985:BGI851986 BQD851985:BQE851986 BZZ851985:CAA851986 CJV851985:CJW851986 CTR851985:CTS851986 DDN851985:DDO851986 DNJ851985:DNK851986 DXF851985:DXG851986 EHB851985:EHC851986 EQX851985:EQY851986 FAT851985:FAU851986 FKP851985:FKQ851986 FUL851985:FUM851986 GEH851985:GEI851986 GOD851985:GOE851986 GXZ851985:GYA851986 HHV851985:HHW851986 HRR851985:HRS851986 IBN851985:IBO851986 ILJ851985:ILK851986 IVF851985:IVG851986 JFB851985:JFC851986 JOX851985:JOY851986 JYT851985:JYU851986 KIP851985:KIQ851986 KSL851985:KSM851986 LCH851985:LCI851986 LMD851985:LME851986 LVZ851985:LWA851986 MFV851985:MFW851986 MPR851985:MPS851986 MZN851985:MZO851986 NJJ851985:NJK851986 NTF851985:NTG851986 ODB851985:ODC851986 OMX851985:OMY851986 OWT851985:OWU851986 PGP851985:PGQ851986 PQL851985:PQM851986 QAH851985:QAI851986 QKD851985:QKE851986 QTZ851985:QUA851986 RDV851985:RDW851986 RNR851985:RNS851986 RXN851985:RXO851986 SHJ851985:SHK851986 SRF851985:SRG851986 TBB851985:TBC851986 TKX851985:TKY851986 TUT851985:TUU851986 UEP851985:UEQ851986 UOL851985:UOM851986 UYH851985:UYI851986 VID851985:VIE851986 VRZ851985:VSA851986 WBV851985:WBW851986 WLR851985:WLS851986 WVN851985:WVO851986 F917521:G917522 JB917521:JC917522 SX917521:SY917522 ACT917521:ACU917522 AMP917521:AMQ917522 AWL917521:AWM917522 BGH917521:BGI917522 BQD917521:BQE917522 BZZ917521:CAA917522 CJV917521:CJW917522 CTR917521:CTS917522 DDN917521:DDO917522 DNJ917521:DNK917522 DXF917521:DXG917522 EHB917521:EHC917522 EQX917521:EQY917522 FAT917521:FAU917522 FKP917521:FKQ917522 FUL917521:FUM917522 GEH917521:GEI917522 GOD917521:GOE917522 GXZ917521:GYA917522 HHV917521:HHW917522 HRR917521:HRS917522 IBN917521:IBO917522 ILJ917521:ILK917522 IVF917521:IVG917522 JFB917521:JFC917522 JOX917521:JOY917522 JYT917521:JYU917522 KIP917521:KIQ917522 KSL917521:KSM917522 LCH917521:LCI917522 LMD917521:LME917522 LVZ917521:LWA917522 MFV917521:MFW917522 MPR917521:MPS917522 MZN917521:MZO917522 NJJ917521:NJK917522 NTF917521:NTG917522 ODB917521:ODC917522 OMX917521:OMY917522 OWT917521:OWU917522 PGP917521:PGQ917522 PQL917521:PQM917522 QAH917521:QAI917522 QKD917521:QKE917522 QTZ917521:QUA917522 RDV917521:RDW917522 RNR917521:RNS917522 RXN917521:RXO917522 SHJ917521:SHK917522 SRF917521:SRG917522 TBB917521:TBC917522 TKX917521:TKY917522 TUT917521:TUU917522 UEP917521:UEQ917522 UOL917521:UOM917522 UYH917521:UYI917522 VID917521:VIE917522 VRZ917521:VSA917522 WBV917521:WBW917522 WLR917521:WLS917522 WVN917521:WVO917522 F983057:G983058 JB983057:JC983058 SX983057:SY983058 ACT983057:ACU983058 AMP983057:AMQ983058 AWL983057:AWM983058 BGH983057:BGI983058 BQD983057:BQE983058 BZZ983057:CAA983058 CJV983057:CJW983058 CTR983057:CTS983058 DDN983057:DDO983058 DNJ983057:DNK983058 DXF983057:DXG983058 EHB983057:EHC983058 EQX983057:EQY983058 FAT983057:FAU983058 FKP983057:FKQ983058 FUL983057:FUM983058 GEH983057:GEI983058 GOD983057:GOE983058 GXZ983057:GYA983058 HHV983057:HHW983058 HRR983057:HRS983058 IBN983057:IBO983058 ILJ983057:ILK983058 IVF983057:IVG983058 JFB983057:JFC983058 JOX983057:JOY983058 JYT983057:JYU983058 KIP983057:KIQ983058 KSL983057:KSM983058 LCH983057:LCI983058 LMD983057:LME983058 LVZ983057:LWA983058 MFV983057:MFW983058 MPR983057:MPS983058 MZN983057:MZO983058 NJJ983057:NJK983058 NTF983057:NTG983058 ODB983057:ODC983058 OMX983057:OMY983058 OWT983057:OWU983058 PGP983057:PGQ983058 PQL983057:PQM983058 QAH983057:QAI983058 QKD983057:QKE983058 QTZ983057:QUA983058 RDV983057:RDW983058 RNR983057:RNS983058 RXN983057:RXO983058 SHJ983057:SHK983058 SRF983057:SRG983058 TBB983057:TBC983058 TKX983057:TKY983058 TUT983057:TUU983058 UEP983057:UEQ983058 UOL983057:UOM983058 UYH983057:UYI983058 VID983057:VIE983058 VRZ983057:VSA983058 WBV983057:WBW983058 WLR983057:WLS983058 WVN983057:WVO983058">
      <formula1>$CF$266:$CF$267</formula1>
    </dataValidation>
    <dataValidation type="decimal" allowBlank="1" showInputMessage="1" showErrorMessage="1" errorTitle="FORA DO INTERVALO" error="Deve-se adotar valor entre o 1º e 3º quartil" sqref="G37:G41 JC37:JC41 SY37:SY41 ACU37:ACU41 AMQ37:AMQ41 AWM37:AWM41 BGI37:BGI41 BQE37:BQE41 CAA37:CAA41 CJW37:CJW41 CTS37:CTS41 DDO37:DDO41 DNK37:DNK41 DXG37:DXG41 EHC37:EHC41 EQY37:EQY41 FAU37:FAU41 FKQ37:FKQ41 FUM37:FUM41 GEI37:GEI41 GOE37:GOE41 GYA37:GYA41 HHW37:HHW41 HRS37:HRS41 IBO37:IBO41 ILK37:ILK41 IVG37:IVG41 JFC37:JFC41 JOY37:JOY41 JYU37:JYU41 KIQ37:KIQ41 KSM37:KSM41 LCI37:LCI41 LME37:LME41 LWA37:LWA41 MFW37:MFW41 MPS37:MPS41 MZO37:MZO41 NJK37:NJK41 NTG37:NTG41 ODC37:ODC41 OMY37:OMY41 OWU37:OWU41 PGQ37:PGQ41 PQM37:PQM41 QAI37:QAI41 QKE37:QKE41 QUA37:QUA41 RDW37:RDW41 RNS37:RNS41 RXO37:RXO41 SHK37:SHK41 SRG37:SRG41 TBC37:TBC41 TKY37:TKY41 TUU37:TUU41 UEQ37:UEQ41 UOM37:UOM41 UYI37:UYI41 VIE37:VIE41 VSA37:VSA41 WBW37:WBW41 WLS37:WLS41 WVO37:WVO41 G65573:G65577 JC65573:JC65577 SY65573:SY65577 ACU65573:ACU65577 AMQ65573:AMQ65577 AWM65573:AWM65577 BGI65573:BGI65577 BQE65573:BQE65577 CAA65573:CAA65577 CJW65573:CJW65577 CTS65573:CTS65577 DDO65573:DDO65577 DNK65573:DNK65577 DXG65573:DXG65577 EHC65573:EHC65577 EQY65573:EQY65577 FAU65573:FAU65577 FKQ65573:FKQ65577 FUM65573:FUM65577 GEI65573:GEI65577 GOE65573:GOE65577 GYA65573:GYA65577 HHW65573:HHW65577 HRS65573:HRS65577 IBO65573:IBO65577 ILK65573:ILK65577 IVG65573:IVG65577 JFC65573:JFC65577 JOY65573:JOY65577 JYU65573:JYU65577 KIQ65573:KIQ65577 KSM65573:KSM65577 LCI65573:LCI65577 LME65573:LME65577 LWA65573:LWA65577 MFW65573:MFW65577 MPS65573:MPS65577 MZO65573:MZO65577 NJK65573:NJK65577 NTG65573:NTG65577 ODC65573:ODC65577 OMY65573:OMY65577 OWU65573:OWU65577 PGQ65573:PGQ65577 PQM65573:PQM65577 QAI65573:QAI65577 QKE65573:QKE65577 QUA65573:QUA65577 RDW65573:RDW65577 RNS65573:RNS65577 RXO65573:RXO65577 SHK65573:SHK65577 SRG65573:SRG65577 TBC65573:TBC65577 TKY65573:TKY65577 TUU65573:TUU65577 UEQ65573:UEQ65577 UOM65573:UOM65577 UYI65573:UYI65577 VIE65573:VIE65577 VSA65573:VSA65577 WBW65573:WBW65577 WLS65573:WLS65577 WVO65573:WVO65577 G131109:G131113 JC131109:JC131113 SY131109:SY131113 ACU131109:ACU131113 AMQ131109:AMQ131113 AWM131109:AWM131113 BGI131109:BGI131113 BQE131109:BQE131113 CAA131109:CAA131113 CJW131109:CJW131113 CTS131109:CTS131113 DDO131109:DDO131113 DNK131109:DNK131113 DXG131109:DXG131113 EHC131109:EHC131113 EQY131109:EQY131113 FAU131109:FAU131113 FKQ131109:FKQ131113 FUM131109:FUM131113 GEI131109:GEI131113 GOE131109:GOE131113 GYA131109:GYA131113 HHW131109:HHW131113 HRS131109:HRS131113 IBO131109:IBO131113 ILK131109:ILK131113 IVG131109:IVG131113 JFC131109:JFC131113 JOY131109:JOY131113 JYU131109:JYU131113 KIQ131109:KIQ131113 KSM131109:KSM131113 LCI131109:LCI131113 LME131109:LME131113 LWA131109:LWA131113 MFW131109:MFW131113 MPS131109:MPS131113 MZO131109:MZO131113 NJK131109:NJK131113 NTG131109:NTG131113 ODC131109:ODC131113 OMY131109:OMY131113 OWU131109:OWU131113 PGQ131109:PGQ131113 PQM131109:PQM131113 QAI131109:QAI131113 QKE131109:QKE131113 QUA131109:QUA131113 RDW131109:RDW131113 RNS131109:RNS131113 RXO131109:RXO131113 SHK131109:SHK131113 SRG131109:SRG131113 TBC131109:TBC131113 TKY131109:TKY131113 TUU131109:TUU131113 UEQ131109:UEQ131113 UOM131109:UOM131113 UYI131109:UYI131113 VIE131109:VIE131113 VSA131109:VSA131113 WBW131109:WBW131113 WLS131109:WLS131113 WVO131109:WVO131113 G196645:G196649 JC196645:JC196649 SY196645:SY196649 ACU196645:ACU196649 AMQ196645:AMQ196649 AWM196645:AWM196649 BGI196645:BGI196649 BQE196645:BQE196649 CAA196645:CAA196649 CJW196645:CJW196649 CTS196645:CTS196649 DDO196645:DDO196649 DNK196645:DNK196649 DXG196645:DXG196649 EHC196645:EHC196649 EQY196645:EQY196649 FAU196645:FAU196649 FKQ196645:FKQ196649 FUM196645:FUM196649 GEI196645:GEI196649 GOE196645:GOE196649 GYA196645:GYA196649 HHW196645:HHW196649 HRS196645:HRS196649 IBO196645:IBO196649 ILK196645:ILK196649 IVG196645:IVG196649 JFC196645:JFC196649 JOY196645:JOY196649 JYU196645:JYU196649 KIQ196645:KIQ196649 KSM196645:KSM196649 LCI196645:LCI196649 LME196645:LME196649 LWA196645:LWA196649 MFW196645:MFW196649 MPS196645:MPS196649 MZO196645:MZO196649 NJK196645:NJK196649 NTG196645:NTG196649 ODC196645:ODC196649 OMY196645:OMY196649 OWU196645:OWU196649 PGQ196645:PGQ196649 PQM196645:PQM196649 QAI196645:QAI196649 QKE196645:QKE196649 QUA196645:QUA196649 RDW196645:RDW196649 RNS196645:RNS196649 RXO196645:RXO196649 SHK196645:SHK196649 SRG196645:SRG196649 TBC196645:TBC196649 TKY196645:TKY196649 TUU196645:TUU196649 UEQ196645:UEQ196649 UOM196645:UOM196649 UYI196645:UYI196649 VIE196645:VIE196649 VSA196645:VSA196649 WBW196645:WBW196649 WLS196645:WLS196649 WVO196645:WVO196649 G262181:G262185 JC262181:JC262185 SY262181:SY262185 ACU262181:ACU262185 AMQ262181:AMQ262185 AWM262181:AWM262185 BGI262181:BGI262185 BQE262181:BQE262185 CAA262181:CAA262185 CJW262181:CJW262185 CTS262181:CTS262185 DDO262181:DDO262185 DNK262181:DNK262185 DXG262181:DXG262185 EHC262181:EHC262185 EQY262181:EQY262185 FAU262181:FAU262185 FKQ262181:FKQ262185 FUM262181:FUM262185 GEI262181:GEI262185 GOE262181:GOE262185 GYA262181:GYA262185 HHW262181:HHW262185 HRS262181:HRS262185 IBO262181:IBO262185 ILK262181:ILK262185 IVG262181:IVG262185 JFC262181:JFC262185 JOY262181:JOY262185 JYU262181:JYU262185 KIQ262181:KIQ262185 KSM262181:KSM262185 LCI262181:LCI262185 LME262181:LME262185 LWA262181:LWA262185 MFW262181:MFW262185 MPS262181:MPS262185 MZO262181:MZO262185 NJK262181:NJK262185 NTG262181:NTG262185 ODC262181:ODC262185 OMY262181:OMY262185 OWU262181:OWU262185 PGQ262181:PGQ262185 PQM262181:PQM262185 QAI262181:QAI262185 QKE262181:QKE262185 QUA262181:QUA262185 RDW262181:RDW262185 RNS262181:RNS262185 RXO262181:RXO262185 SHK262181:SHK262185 SRG262181:SRG262185 TBC262181:TBC262185 TKY262181:TKY262185 TUU262181:TUU262185 UEQ262181:UEQ262185 UOM262181:UOM262185 UYI262181:UYI262185 VIE262181:VIE262185 VSA262181:VSA262185 WBW262181:WBW262185 WLS262181:WLS262185 WVO262181:WVO262185 G327717:G327721 JC327717:JC327721 SY327717:SY327721 ACU327717:ACU327721 AMQ327717:AMQ327721 AWM327717:AWM327721 BGI327717:BGI327721 BQE327717:BQE327721 CAA327717:CAA327721 CJW327717:CJW327721 CTS327717:CTS327721 DDO327717:DDO327721 DNK327717:DNK327721 DXG327717:DXG327721 EHC327717:EHC327721 EQY327717:EQY327721 FAU327717:FAU327721 FKQ327717:FKQ327721 FUM327717:FUM327721 GEI327717:GEI327721 GOE327717:GOE327721 GYA327717:GYA327721 HHW327717:HHW327721 HRS327717:HRS327721 IBO327717:IBO327721 ILK327717:ILK327721 IVG327717:IVG327721 JFC327717:JFC327721 JOY327717:JOY327721 JYU327717:JYU327721 KIQ327717:KIQ327721 KSM327717:KSM327721 LCI327717:LCI327721 LME327717:LME327721 LWA327717:LWA327721 MFW327717:MFW327721 MPS327717:MPS327721 MZO327717:MZO327721 NJK327717:NJK327721 NTG327717:NTG327721 ODC327717:ODC327721 OMY327717:OMY327721 OWU327717:OWU327721 PGQ327717:PGQ327721 PQM327717:PQM327721 QAI327717:QAI327721 QKE327717:QKE327721 QUA327717:QUA327721 RDW327717:RDW327721 RNS327717:RNS327721 RXO327717:RXO327721 SHK327717:SHK327721 SRG327717:SRG327721 TBC327717:TBC327721 TKY327717:TKY327721 TUU327717:TUU327721 UEQ327717:UEQ327721 UOM327717:UOM327721 UYI327717:UYI327721 VIE327717:VIE327721 VSA327717:VSA327721 WBW327717:WBW327721 WLS327717:WLS327721 WVO327717:WVO327721 G393253:G393257 JC393253:JC393257 SY393253:SY393257 ACU393253:ACU393257 AMQ393253:AMQ393257 AWM393253:AWM393257 BGI393253:BGI393257 BQE393253:BQE393257 CAA393253:CAA393257 CJW393253:CJW393257 CTS393253:CTS393257 DDO393253:DDO393257 DNK393253:DNK393257 DXG393253:DXG393257 EHC393253:EHC393257 EQY393253:EQY393257 FAU393253:FAU393257 FKQ393253:FKQ393257 FUM393253:FUM393257 GEI393253:GEI393257 GOE393253:GOE393257 GYA393253:GYA393257 HHW393253:HHW393257 HRS393253:HRS393257 IBO393253:IBO393257 ILK393253:ILK393257 IVG393253:IVG393257 JFC393253:JFC393257 JOY393253:JOY393257 JYU393253:JYU393257 KIQ393253:KIQ393257 KSM393253:KSM393257 LCI393253:LCI393257 LME393253:LME393257 LWA393253:LWA393257 MFW393253:MFW393257 MPS393253:MPS393257 MZO393253:MZO393257 NJK393253:NJK393257 NTG393253:NTG393257 ODC393253:ODC393257 OMY393253:OMY393257 OWU393253:OWU393257 PGQ393253:PGQ393257 PQM393253:PQM393257 QAI393253:QAI393257 QKE393253:QKE393257 QUA393253:QUA393257 RDW393253:RDW393257 RNS393253:RNS393257 RXO393253:RXO393257 SHK393253:SHK393257 SRG393253:SRG393257 TBC393253:TBC393257 TKY393253:TKY393257 TUU393253:TUU393257 UEQ393253:UEQ393257 UOM393253:UOM393257 UYI393253:UYI393257 VIE393253:VIE393257 VSA393253:VSA393257 WBW393253:WBW393257 WLS393253:WLS393257 WVO393253:WVO393257 G458789:G458793 JC458789:JC458793 SY458789:SY458793 ACU458789:ACU458793 AMQ458789:AMQ458793 AWM458789:AWM458793 BGI458789:BGI458793 BQE458789:BQE458793 CAA458789:CAA458793 CJW458789:CJW458793 CTS458789:CTS458793 DDO458789:DDO458793 DNK458789:DNK458793 DXG458789:DXG458793 EHC458789:EHC458793 EQY458789:EQY458793 FAU458789:FAU458793 FKQ458789:FKQ458793 FUM458789:FUM458793 GEI458789:GEI458793 GOE458789:GOE458793 GYA458789:GYA458793 HHW458789:HHW458793 HRS458789:HRS458793 IBO458789:IBO458793 ILK458789:ILK458793 IVG458789:IVG458793 JFC458789:JFC458793 JOY458789:JOY458793 JYU458789:JYU458793 KIQ458789:KIQ458793 KSM458789:KSM458793 LCI458789:LCI458793 LME458789:LME458793 LWA458789:LWA458793 MFW458789:MFW458793 MPS458789:MPS458793 MZO458789:MZO458793 NJK458789:NJK458793 NTG458789:NTG458793 ODC458789:ODC458793 OMY458789:OMY458793 OWU458789:OWU458793 PGQ458789:PGQ458793 PQM458789:PQM458793 QAI458789:QAI458793 QKE458789:QKE458793 QUA458789:QUA458793 RDW458789:RDW458793 RNS458789:RNS458793 RXO458789:RXO458793 SHK458789:SHK458793 SRG458789:SRG458793 TBC458789:TBC458793 TKY458789:TKY458793 TUU458789:TUU458793 UEQ458789:UEQ458793 UOM458789:UOM458793 UYI458789:UYI458793 VIE458789:VIE458793 VSA458789:VSA458793 WBW458789:WBW458793 WLS458789:WLS458793 WVO458789:WVO458793 G524325:G524329 JC524325:JC524329 SY524325:SY524329 ACU524325:ACU524329 AMQ524325:AMQ524329 AWM524325:AWM524329 BGI524325:BGI524329 BQE524325:BQE524329 CAA524325:CAA524329 CJW524325:CJW524329 CTS524325:CTS524329 DDO524325:DDO524329 DNK524325:DNK524329 DXG524325:DXG524329 EHC524325:EHC524329 EQY524325:EQY524329 FAU524325:FAU524329 FKQ524325:FKQ524329 FUM524325:FUM524329 GEI524325:GEI524329 GOE524325:GOE524329 GYA524325:GYA524329 HHW524325:HHW524329 HRS524325:HRS524329 IBO524325:IBO524329 ILK524325:ILK524329 IVG524325:IVG524329 JFC524325:JFC524329 JOY524325:JOY524329 JYU524325:JYU524329 KIQ524325:KIQ524329 KSM524325:KSM524329 LCI524325:LCI524329 LME524325:LME524329 LWA524325:LWA524329 MFW524325:MFW524329 MPS524325:MPS524329 MZO524325:MZO524329 NJK524325:NJK524329 NTG524325:NTG524329 ODC524325:ODC524329 OMY524325:OMY524329 OWU524325:OWU524329 PGQ524325:PGQ524329 PQM524325:PQM524329 QAI524325:QAI524329 QKE524325:QKE524329 QUA524325:QUA524329 RDW524325:RDW524329 RNS524325:RNS524329 RXO524325:RXO524329 SHK524325:SHK524329 SRG524325:SRG524329 TBC524325:TBC524329 TKY524325:TKY524329 TUU524325:TUU524329 UEQ524325:UEQ524329 UOM524325:UOM524329 UYI524325:UYI524329 VIE524325:VIE524329 VSA524325:VSA524329 WBW524325:WBW524329 WLS524325:WLS524329 WVO524325:WVO524329 G589861:G589865 JC589861:JC589865 SY589861:SY589865 ACU589861:ACU589865 AMQ589861:AMQ589865 AWM589861:AWM589865 BGI589861:BGI589865 BQE589861:BQE589865 CAA589861:CAA589865 CJW589861:CJW589865 CTS589861:CTS589865 DDO589861:DDO589865 DNK589861:DNK589865 DXG589861:DXG589865 EHC589861:EHC589865 EQY589861:EQY589865 FAU589861:FAU589865 FKQ589861:FKQ589865 FUM589861:FUM589865 GEI589861:GEI589865 GOE589861:GOE589865 GYA589861:GYA589865 HHW589861:HHW589865 HRS589861:HRS589865 IBO589861:IBO589865 ILK589861:ILK589865 IVG589861:IVG589865 JFC589861:JFC589865 JOY589861:JOY589865 JYU589861:JYU589865 KIQ589861:KIQ589865 KSM589861:KSM589865 LCI589861:LCI589865 LME589861:LME589865 LWA589861:LWA589865 MFW589861:MFW589865 MPS589861:MPS589865 MZO589861:MZO589865 NJK589861:NJK589865 NTG589861:NTG589865 ODC589861:ODC589865 OMY589861:OMY589865 OWU589861:OWU589865 PGQ589861:PGQ589865 PQM589861:PQM589865 QAI589861:QAI589865 QKE589861:QKE589865 QUA589861:QUA589865 RDW589861:RDW589865 RNS589861:RNS589865 RXO589861:RXO589865 SHK589861:SHK589865 SRG589861:SRG589865 TBC589861:TBC589865 TKY589861:TKY589865 TUU589861:TUU589865 UEQ589861:UEQ589865 UOM589861:UOM589865 UYI589861:UYI589865 VIE589861:VIE589865 VSA589861:VSA589865 WBW589861:WBW589865 WLS589861:WLS589865 WVO589861:WVO589865 G655397:G655401 JC655397:JC655401 SY655397:SY655401 ACU655397:ACU655401 AMQ655397:AMQ655401 AWM655397:AWM655401 BGI655397:BGI655401 BQE655397:BQE655401 CAA655397:CAA655401 CJW655397:CJW655401 CTS655397:CTS655401 DDO655397:DDO655401 DNK655397:DNK655401 DXG655397:DXG655401 EHC655397:EHC655401 EQY655397:EQY655401 FAU655397:FAU655401 FKQ655397:FKQ655401 FUM655397:FUM655401 GEI655397:GEI655401 GOE655397:GOE655401 GYA655397:GYA655401 HHW655397:HHW655401 HRS655397:HRS655401 IBO655397:IBO655401 ILK655397:ILK655401 IVG655397:IVG655401 JFC655397:JFC655401 JOY655397:JOY655401 JYU655397:JYU655401 KIQ655397:KIQ655401 KSM655397:KSM655401 LCI655397:LCI655401 LME655397:LME655401 LWA655397:LWA655401 MFW655397:MFW655401 MPS655397:MPS655401 MZO655397:MZO655401 NJK655397:NJK655401 NTG655397:NTG655401 ODC655397:ODC655401 OMY655397:OMY655401 OWU655397:OWU655401 PGQ655397:PGQ655401 PQM655397:PQM655401 QAI655397:QAI655401 QKE655397:QKE655401 QUA655397:QUA655401 RDW655397:RDW655401 RNS655397:RNS655401 RXO655397:RXO655401 SHK655397:SHK655401 SRG655397:SRG655401 TBC655397:TBC655401 TKY655397:TKY655401 TUU655397:TUU655401 UEQ655397:UEQ655401 UOM655397:UOM655401 UYI655397:UYI655401 VIE655397:VIE655401 VSA655397:VSA655401 WBW655397:WBW655401 WLS655397:WLS655401 WVO655397:WVO655401 G720933:G720937 JC720933:JC720937 SY720933:SY720937 ACU720933:ACU720937 AMQ720933:AMQ720937 AWM720933:AWM720937 BGI720933:BGI720937 BQE720933:BQE720937 CAA720933:CAA720937 CJW720933:CJW720937 CTS720933:CTS720937 DDO720933:DDO720937 DNK720933:DNK720937 DXG720933:DXG720937 EHC720933:EHC720937 EQY720933:EQY720937 FAU720933:FAU720937 FKQ720933:FKQ720937 FUM720933:FUM720937 GEI720933:GEI720937 GOE720933:GOE720937 GYA720933:GYA720937 HHW720933:HHW720937 HRS720933:HRS720937 IBO720933:IBO720937 ILK720933:ILK720937 IVG720933:IVG720937 JFC720933:JFC720937 JOY720933:JOY720937 JYU720933:JYU720937 KIQ720933:KIQ720937 KSM720933:KSM720937 LCI720933:LCI720937 LME720933:LME720937 LWA720933:LWA720937 MFW720933:MFW720937 MPS720933:MPS720937 MZO720933:MZO720937 NJK720933:NJK720937 NTG720933:NTG720937 ODC720933:ODC720937 OMY720933:OMY720937 OWU720933:OWU720937 PGQ720933:PGQ720937 PQM720933:PQM720937 QAI720933:QAI720937 QKE720933:QKE720937 QUA720933:QUA720937 RDW720933:RDW720937 RNS720933:RNS720937 RXO720933:RXO720937 SHK720933:SHK720937 SRG720933:SRG720937 TBC720933:TBC720937 TKY720933:TKY720937 TUU720933:TUU720937 UEQ720933:UEQ720937 UOM720933:UOM720937 UYI720933:UYI720937 VIE720933:VIE720937 VSA720933:VSA720937 WBW720933:WBW720937 WLS720933:WLS720937 WVO720933:WVO720937 G786469:G786473 JC786469:JC786473 SY786469:SY786473 ACU786469:ACU786473 AMQ786469:AMQ786473 AWM786469:AWM786473 BGI786469:BGI786473 BQE786469:BQE786473 CAA786469:CAA786473 CJW786469:CJW786473 CTS786469:CTS786473 DDO786469:DDO786473 DNK786469:DNK786473 DXG786469:DXG786473 EHC786469:EHC786473 EQY786469:EQY786473 FAU786469:FAU786473 FKQ786469:FKQ786473 FUM786469:FUM786473 GEI786469:GEI786473 GOE786469:GOE786473 GYA786469:GYA786473 HHW786469:HHW786473 HRS786469:HRS786473 IBO786469:IBO786473 ILK786469:ILK786473 IVG786469:IVG786473 JFC786469:JFC786473 JOY786469:JOY786473 JYU786469:JYU786473 KIQ786469:KIQ786473 KSM786469:KSM786473 LCI786469:LCI786473 LME786469:LME786473 LWA786469:LWA786473 MFW786469:MFW786473 MPS786469:MPS786473 MZO786469:MZO786473 NJK786469:NJK786473 NTG786469:NTG786473 ODC786469:ODC786473 OMY786469:OMY786473 OWU786469:OWU786473 PGQ786469:PGQ786473 PQM786469:PQM786473 QAI786469:QAI786473 QKE786469:QKE786473 QUA786469:QUA786473 RDW786469:RDW786473 RNS786469:RNS786473 RXO786469:RXO786473 SHK786469:SHK786473 SRG786469:SRG786473 TBC786469:TBC786473 TKY786469:TKY786473 TUU786469:TUU786473 UEQ786469:UEQ786473 UOM786469:UOM786473 UYI786469:UYI786473 VIE786469:VIE786473 VSA786469:VSA786473 WBW786469:WBW786473 WLS786469:WLS786473 WVO786469:WVO786473 G852005:G852009 JC852005:JC852009 SY852005:SY852009 ACU852005:ACU852009 AMQ852005:AMQ852009 AWM852005:AWM852009 BGI852005:BGI852009 BQE852005:BQE852009 CAA852005:CAA852009 CJW852005:CJW852009 CTS852005:CTS852009 DDO852005:DDO852009 DNK852005:DNK852009 DXG852005:DXG852009 EHC852005:EHC852009 EQY852005:EQY852009 FAU852005:FAU852009 FKQ852005:FKQ852009 FUM852005:FUM852009 GEI852005:GEI852009 GOE852005:GOE852009 GYA852005:GYA852009 HHW852005:HHW852009 HRS852005:HRS852009 IBO852005:IBO852009 ILK852005:ILK852009 IVG852005:IVG852009 JFC852005:JFC852009 JOY852005:JOY852009 JYU852005:JYU852009 KIQ852005:KIQ852009 KSM852005:KSM852009 LCI852005:LCI852009 LME852005:LME852009 LWA852005:LWA852009 MFW852005:MFW852009 MPS852005:MPS852009 MZO852005:MZO852009 NJK852005:NJK852009 NTG852005:NTG852009 ODC852005:ODC852009 OMY852005:OMY852009 OWU852005:OWU852009 PGQ852005:PGQ852009 PQM852005:PQM852009 QAI852005:QAI852009 QKE852005:QKE852009 QUA852005:QUA852009 RDW852005:RDW852009 RNS852005:RNS852009 RXO852005:RXO852009 SHK852005:SHK852009 SRG852005:SRG852009 TBC852005:TBC852009 TKY852005:TKY852009 TUU852005:TUU852009 UEQ852005:UEQ852009 UOM852005:UOM852009 UYI852005:UYI852009 VIE852005:VIE852009 VSA852005:VSA852009 WBW852005:WBW852009 WLS852005:WLS852009 WVO852005:WVO852009 G917541:G917545 JC917541:JC917545 SY917541:SY917545 ACU917541:ACU917545 AMQ917541:AMQ917545 AWM917541:AWM917545 BGI917541:BGI917545 BQE917541:BQE917545 CAA917541:CAA917545 CJW917541:CJW917545 CTS917541:CTS917545 DDO917541:DDO917545 DNK917541:DNK917545 DXG917541:DXG917545 EHC917541:EHC917545 EQY917541:EQY917545 FAU917541:FAU917545 FKQ917541:FKQ917545 FUM917541:FUM917545 GEI917541:GEI917545 GOE917541:GOE917545 GYA917541:GYA917545 HHW917541:HHW917545 HRS917541:HRS917545 IBO917541:IBO917545 ILK917541:ILK917545 IVG917541:IVG917545 JFC917541:JFC917545 JOY917541:JOY917545 JYU917541:JYU917545 KIQ917541:KIQ917545 KSM917541:KSM917545 LCI917541:LCI917545 LME917541:LME917545 LWA917541:LWA917545 MFW917541:MFW917545 MPS917541:MPS917545 MZO917541:MZO917545 NJK917541:NJK917545 NTG917541:NTG917545 ODC917541:ODC917545 OMY917541:OMY917545 OWU917541:OWU917545 PGQ917541:PGQ917545 PQM917541:PQM917545 QAI917541:QAI917545 QKE917541:QKE917545 QUA917541:QUA917545 RDW917541:RDW917545 RNS917541:RNS917545 RXO917541:RXO917545 SHK917541:SHK917545 SRG917541:SRG917545 TBC917541:TBC917545 TKY917541:TKY917545 TUU917541:TUU917545 UEQ917541:UEQ917545 UOM917541:UOM917545 UYI917541:UYI917545 VIE917541:VIE917545 VSA917541:VSA917545 WBW917541:WBW917545 WLS917541:WLS917545 WVO917541:WVO917545 G983077:G983081 JC983077:JC983081 SY983077:SY983081 ACU983077:ACU983081 AMQ983077:AMQ983081 AWM983077:AWM983081 BGI983077:BGI983081 BQE983077:BQE983081 CAA983077:CAA983081 CJW983077:CJW983081 CTS983077:CTS983081 DDO983077:DDO983081 DNK983077:DNK983081 DXG983077:DXG983081 EHC983077:EHC983081 EQY983077:EQY983081 FAU983077:FAU983081 FKQ983077:FKQ983081 FUM983077:FUM983081 GEI983077:GEI983081 GOE983077:GOE983081 GYA983077:GYA983081 HHW983077:HHW983081 HRS983077:HRS983081 IBO983077:IBO983081 ILK983077:ILK983081 IVG983077:IVG983081 JFC983077:JFC983081 JOY983077:JOY983081 JYU983077:JYU983081 KIQ983077:KIQ983081 KSM983077:KSM983081 LCI983077:LCI983081 LME983077:LME983081 LWA983077:LWA983081 MFW983077:MFW983081 MPS983077:MPS983081 MZO983077:MZO983081 NJK983077:NJK983081 NTG983077:NTG983081 ODC983077:ODC983081 OMY983077:OMY983081 OWU983077:OWU983081 PGQ983077:PGQ983081 PQM983077:PQM983081 QAI983077:QAI983081 QKE983077:QKE983081 QUA983077:QUA983081 RDW983077:RDW983081 RNS983077:RNS983081 RXO983077:RXO983081 SHK983077:SHK983081 SRG983077:SRG983081 TBC983077:TBC983081 TKY983077:TKY983081 TUU983077:TUU983081 UEQ983077:UEQ983081 UOM983077:UOM983081 UYI983077:UYI983081 VIE983077:VIE983081 VSA983077:VSA983081 WBW983077:WBW983081 WLS983077:WLS983081 WVO983077:WVO983081">
      <formula1>D37</formula1>
      <formula2>F37</formula2>
    </dataValidation>
  </dataValidations>
  <printOptions horizontalCentered="1"/>
  <pageMargins left="0.59055118110236227" right="0.39370078740157483" top="0.39370078740157483" bottom="0.39370078740157483" header="0.51181102362204722" footer="0.51181102362204722"/>
  <pageSetup paperSize="9" scale="89" fitToHeight="11" orientation="portrait" r:id="rId1"/>
  <headerFooter>
    <oddHeader>&amp;L &amp;C &amp;R</oddHeader>
    <oddFooter>&amp;L &amp;C &amp;R</oddFooter>
  </headerFooter>
  <drawing r:id="rId2"/>
  <legacyDrawing r:id="rId3"/>
  <oleObjects>
    <mc:AlternateContent xmlns:mc="http://schemas.openxmlformats.org/markup-compatibility/2006">
      <mc:Choice Requires="x14">
        <oleObject progId="Equation.3" shapeId="143361" r:id="rId4">
          <objectPr defaultSize="0" autoPict="0" r:id="rId5">
            <anchor moveWithCells="1" sizeWithCells="1">
              <from>
                <xdr:col>80</xdr:col>
                <xdr:colOff>0</xdr:colOff>
                <xdr:row>239</xdr:row>
                <xdr:rowOff>0</xdr:rowOff>
              </from>
              <to>
                <xdr:col>80</xdr:col>
                <xdr:colOff>0</xdr:colOff>
                <xdr:row>240</xdr:row>
                <xdr:rowOff>76200</xdr:rowOff>
              </to>
            </anchor>
          </objectPr>
        </oleObject>
      </mc:Choice>
      <mc:Fallback>
        <oleObject progId="Equation.3" shapeId="143361" r:id="rId4"/>
      </mc:Fallback>
    </mc:AlternateContent>
    <mc:AlternateContent xmlns:mc="http://schemas.openxmlformats.org/markup-compatibility/2006">
      <mc:Choice Requires="x14">
        <oleObject progId="Equation.3" shapeId="143362" r:id="rId6">
          <objectPr defaultSize="0" autoPict="0" r:id="rId5">
            <anchor moveWithCells="1" sizeWithCells="1">
              <from>
                <xdr:col>1</xdr:col>
                <xdr:colOff>57150</xdr:colOff>
                <xdr:row>44</xdr:row>
                <xdr:rowOff>133350</xdr:rowOff>
              </from>
              <to>
                <xdr:col>6</xdr:col>
                <xdr:colOff>695325</xdr:colOff>
                <xdr:row>48</xdr:row>
                <xdr:rowOff>0</xdr:rowOff>
              </to>
            </anchor>
          </objectPr>
        </oleObject>
      </mc:Choice>
      <mc:Fallback>
        <oleObject progId="Equation.3" shapeId="143362" r:id="rId6"/>
      </mc:Fallback>
    </mc:AlternateContent>
  </oleObjects>
  <controls>
    <mc:AlternateContent xmlns:mc="http://schemas.openxmlformats.org/markup-compatibility/2006">
      <mc:Choice Requires="x14">
        <control shapeId="143363" r:id="rId7" name="CommandButton1">
          <controlPr defaultSize="0" autoLine="0" r:id="rId8">
            <anchor moveWithCells="1">
              <from>
                <xdr:col>11</xdr:col>
                <xdr:colOff>47625</xdr:colOff>
                <xdr:row>6</xdr:row>
                <xdr:rowOff>0</xdr:rowOff>
              </from>
              <to>
                <xdr:col>13</xdr:col>
                <xdr:colOff>762000</xdr:colOff>
                <xdr:row>7</xdr:row>
                <xdr:rowOff>0</xdr:rowOff>
              </to>
            </anchor>
          </controlPr>
        </control>
      </mc:Choice>
      <mc:Fallback>
        <control shapeId="143363" r:id="rId7" name="CommandButton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F17"/>
  <sheetViews>
    <sheetView showGridLines="0" view="pageBreakPreview" zoomScaleSheetLayoutView="100" workbookViewId="0">
      <pane ySplit="8" topLeftCell="A9" activePane="bottomLeft" state="frozen"/>
      <selection activeCell="B2" sqref="B2"/>
      <selection pane="bottomLeft" activeCell="J22" sqref="J22"/>
    </sheetView>
  </sheetViews>
  <sheetFormatPr defaultRowHeight="12.75" x14ac:dyDescent="0.25"/>
  <cols>
    <col min="1" max="1" width="1.7109375" style="4" customWidth="1"/>
    <col min="2" max="2" width="11.7109375" style="4" customWidth="1"/>
    <col min="3" max="3" width="10.7109375" style="4" customWidth="1"/>
    <col min="4" max="4" width="58.7109375" style="4" customWidth="1"/>
    <col min="5" max="5" width="15.7109375" style="4" customWidth="1"/>
    <col min="6" max="6" width="10.7109375" style="4" customWidth="1"/>
    <col min="7" max="16384" width="9.140625" style="4"/>
  </cols>
  <sheetData>
    <row r="1" spans="2:6" ht="5.0999999999999996" customHeight="1" x14ac:dyDescent="0.25"/>
    <row r="2" spans="2:6" ht="14.1" customHeight="1" x14ac:dyDescent="0.25">
      <c r="B2" s="80" t="str">
        <f>DADOS!$B$3</f>
        <v>CLIENTE:</v>
      </c>
      <c r="C2" s="61" t="str">
        <f>DADOS!$C$3</f>
        <v>PREFEITURA MUNICIPAL DE JARDIM / MS</v>
      </c>
      <c r="D2" s="28"/>
      <c r="E2" s="28"/>
      <c r="F2" s="31"/>
    </row>
    <row r="3" spans="2:6" ht="14.1" customHeight="1" x14ac:dyDescent="0.25">
      <c r="B3" s="81" t="str">
        <f>DADOS!$B$4</f>
        <v>ENDEREÇO:</v>
      </c>
      <c r="C3" s="62" t="str">
        <f>DADOS!$C$4</f>
        <v>RUA CEL. JUVÊNCIO, Nº 547 - CENTRO</v>
      </c>
      <c r="F3" s="32"/>
    </row>
    <row r="4" spans="2:6" ht="14.1" customHeight="1" x14ac:dyDescent="0.2">
      <c r="B4" s="63"/>
      <c r="C4" s="62"/>
      <c r="F4" s="32"/>
    </row>
    <row r="5" spans="2:6" ht="14.1" customHeight="1" x14ac:dyDescent="0.25">
      <c r="B5" s="81" t="str">
        <f>DADOS!$B$7</f>
        <v>OBRA:</v>
      </c>
      <c r="C5" s="62" t="str">
        <f>DADOS!$C$7</f>
        <v>PAVIMENTAÇÃO ASFÁLTICA E DRENAGEM DE ÁGUAS PLUVIAIS</v>
      </c>
      <c r="F5" s="32"/>
    </row>
    <row r="6" spans="2:6" ht="14.1" customHeight="1" x14ac:dyDescent="0.25">
      <c r="B6" s="64" t="str">
        <f>DADOS!$B$8</f>
        <v>LOCAL:</v>
      </c>
      <c r="C6" s="65" t="str">
        <f>DADOS!$C$8</f>
        <v>RUA RUBI, JARDIM / MS</v>
      </c>
      <c r="D6" s="33"/>
      <c r="E6" s="33"/>
      <c r="F6" s="34"/>
    </row>
    <row r="7" spans="2:6" ht="5.0999999999999996" customHeight="1" x14ac:dyDescent="0.25"/>
    <row r="8" spans="2:6" ht="20.100000000000001" customHeight="1" x14ac:dyDescent="0.25">
      <c r="B8" s="349" t="s">
        <v>0</v>
      </c>
      <c r="C8" s="349"/>
      <c r="D8" s="10" t="s">
        <v>1</v>
      </c>
      <c r="E8" s="10" t="s">
        <v>43</v>
      </c>
      <c r="F8" s="10" t="s">
        <v>7</v>
      </c>
    </row>
    <row r="9" spans="2:6" ht="5.0999999999999996" customHeight="1" x14ac:dyDescent="0.25"/>
    <row r="10" spans="2:6" ht="15" customHeight="1" x14ac:dyDescent="0.25">
      <c r="B10" s="347" t="s">
        <v>45</v>
      </c>
      <c r="C10" s="21" t="str">
        <f>Orçamento!C139</f>
        <v>01</v>
      </c>
      <c r="D10" s="59" t="str">
        <f>Orçamento!D139</f>
        <v>SERVIÇOS PRELIMINARES</v>
      </c>
      <c r="E10" s="21">
        <f>Orçamento!K139</f>
        <v>11965.93</v>
      </c>
      <c r="F10" s="60">
        <f>Orçamento!L139</f>
        <v>5.2661862347529585E-2</v>
      </c>
    </row>
    <row r="11" spans="2:6" ht="15" customHeight="1" x14ac:dyDescent="0.25">
      <c r="B11" s="347"/>
      <c r="C11" s="21" t="str">
        <f>Orçamento!C140</f>
        <v>02</v>
      </c>
      <c r="D11" s="59" t="str">
        <f>Orçamento!D140</f>
        <v>DEMOLIÇÕES</v>
      </c>
      <c r="E11" s="21">
        <f>Orçamento!K140</f>
        <v>3867.6299999999997</v>
      </c>
      <c r="F11" s="60">
        <f>Orçamento!L140</f>
        <v>1.7021376413799499E-2</v>
      </c>
    </row>
    <row r="12" spans="2:6" ht="15" customHeight="1" x14ac:dyDescent="0.25">
      <c r="B12" s="347"/>
      <c r="C12" s="197" t="str">
        <f>Orçamento!C141</f>
        <v>03</v>
      </c>
      <c r="D12" s="59" t="str">
        <f>Orçamento!D141</f>
        <v>DRENAGEM DE ÁGUAS PLUVIAIS</v>
      </c>
      <c r="E12" s="197">
        <f>Orçamento!K141</f>
        <v>200441.50999999992</v>
      </c>
      <c r="F12" s="60">
        <f>Orçamento!L141</f>
        <v>0.88213980930449831</v>
      </c>
    </row>
    <row r="13" spans="2:6" ht="15" customHeight="1" x14ac:dyDescent="0.25">
      <c r="B13" s="347"/>
      <c r="C13" s="197" t="str">
        <f>Orçamento!C142</f>
        <v>04</v>
      </c>
      <c r="D13" s="59" t="str">
        <f>Orçamento!D142</f>
        <v>SERVIÇOS COMPLEMENTARES</v>
      </c>
      <c r="E13" s="197">
        <f>Orçamento!K142</f>
        <v>829.82999999999981</v>
      </c>
      <c r="F13" s="60">
        <f>Orçamento!L142</f>
        <v>3.6520682664741046E-3</v>
      </c>
    </row>
    <row r="14" spans="2:6" ht="15" customHeight="1" x14ac:dyDescent="0.25">
      <c r="B14" s="347"/>
      <c r="C14" s="197" t="str">
        <f>Orçamento!C143</f>
        <v>05</v>
      </c>
      <c r="D14" s="59" t="str">
        <f>Orçamento!D143</f>
        <v>ADMINISTRAÇÃO LOCAL</v>
      </c>
      <c r="E14" s="197">
        <f>Orçamento!K143</f>
        <v>10117.029999999999</v>
      </c>
      <c r="F14" s="60">
        <f>Orçamento!L143</f>
        <v>4.4524883667698814E-2</v>
      </c>
    </row>
    <row r="15" spans="2:6" ht="5.0999999999999996" customHeight="1" x14ac:dyDescent="0.25"/>
    <row r="16" spans="2:6" ht="20.100000000000001" customHeight="1" x14ac:dyDescent="0.25">
      <c r="B16" s="348" t="s">
        <v>44</v>
      </c>
      <c r="C16" s="348"/>
      <c r="D16" s="348"/>
      <c r="E16" s="82">
        <f>SUM(E9:E15)</f>
        <v>227221.92999999991</v>
      </c>
      <c r="F16" s="68">
        <f>SUM(F9:F15)</f>
        <v>1.0000000000000004</v>
      </c>
    </row>
    <row r="17" ht="15" customHeight="1" x14ac:dyDescent="0.25"/>
  </sheetData>
  <mergeCells count="3">
    <mergeCell ref="B10:B14"/>
    <mergeCell ref="B16:D16"/>
    <mergeCell ref="B8:C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B1:AH18"/>
  <sheetViews>
    <sheetView showGridLines="0" view="pageBreakPreview" zoomScaleSheetLayoutView="100" workbookViewId="0">
      <pane ySplit="9" topLeftCell="A10" activePane="bottomLeft" state="frozen"/>
      <selection activeCell="B2" sqref="B2"/>
      <selection pane="bottomLeft" activeCell="I18" sqref="I18"/>
    </sheetView>
  </sheetViews>
  <sheetFormatPr defaultRowHeight="12.75" x14ac:dyDescent="0.25"/>
  <cols>
    <col min="1" max="1" width="1.7109375" style="4" customWidth="1"/>
    <col min="2" max="2" width="11.7109375" style="4" customWidth="1"/>
    <col min="3" max="3" width="10.7109375" style="4" customWidth="1"/>
    <col min="4" max="4" width="48.7109375" style="4" customWidth="1"/>
    <col min="5" max="5" width="10.7109375" style="4" customWidth="1"/>
    <col min="6" max="7" width="12.7109375" style="4" customWidth="1"/>
    <col min="8" max="8" width="10.7109375" style="4" customWidth="1"/>
    <col min="9" max="9" width="12.7109375" style="4" customWidth="1"/>
    <col min="10" max="10" width="10.7109375" style="4" customWidth="1"/>
    <col min="11" max="16384" width="9.140625" style="4"/>
  </cols>
  <sheetData>
    <row r="1" spans="2:34" ht="5.0999999999999996" customHeight="1" x14ac:dyDescent="0.25"/>
    <row r="2" spans="2:34" ht="14.1" customHeight="1" x14ac:dyDescent="0.25">
      <c r="B2" s="269" t="str">
        <f>DADOS!$B$3</f>
        <v>CLIENTE:</v>
      </c>
      <c r="C2" s="258" t="str">
        <f>DADOS!$C$3</f>
        <v>PREFEITURA MUNICIPAL DE JARDIM / MS</v>
      </c>
      <c r="D2" s="28"/>
      <c r="E2" s="28"/>
      <c r="F2" s="28"/>
      <c r="G2" s="28"/>
      <c r="H2" s="28"/>
      <c r="I2" s="28"/>
      <c r="J2" s="31"/>
    </row>
    <row r="3" spans="2:34" ht="14.1" customHeight="1" x14ac:dyDescent="0.25">
      <c r="B3" s="270" t="str">
        <f>DADOS!$B$4</f>
        <v>ENDEREÇO:</v>
      </c>
      <c r="C3" s="381" t="str">
        <f>DADOS!$C$4</f>
        <v>RUA CEL. JUVÊNCIO, Nº 547 - CENTRO</v>
      </c>
      <c r="D3" s="382"/>
      <c r="E3" s="382"/>
      <c r="F3" s="382"/>
      <c r="G3" s="382"/>
      <c r="H3" s="382"/>
      <c r="I3" s="382"/>
      <c r="J3" s="32"/>
    </row>
    <row r="4" spans="2:34" ht="14.1" customHeight="1" x14ac:dyDescent="0.2">
      <c r="B4" s="63"/>
      <c r="C4" s="381"/>
      <c r="D4" s="382"/>
      <c r="E4" s="382"/>
      <c r="F4" s="382"/>
      <c r="G4" s="382"/>
      <c r="H4" s="382"/>
      <c r="I4" s="382"/>
      <c r="J4" s="32"/>
    </row>
    <row r="5" spans="2:34" ht="14.1" customHeight="1" x14ac:dyDescent="0.25">
      <c r="B5" s="270" t="str">
        <f>DADOS!$B$7</f>
        <v>OBRA:</v>
      </c>
      <c r="C5" s="381" t="str">
        <f>DADOS!$C$7</f>
        <v>PAVIMENTAÇÃO ASFÁLTICA E DRENAGEM DE ÁGUAS PLUVIAIS</v>
      </c>
      <c r="D5" s="382"/>
      <c r="E5" s="382"/>
      <c r="F5" s="382"/>
      <c r="G5" s="382"/>
      <c r="H5" s="382"/>
      <c r="I5" s="382"/>
      <c r="J5" s="32"/>
    </row>
    <row r="6" spans="2:34" ht="14.1" customHeight="1" x14ac:dyDescent="0.25">
      <c r="B6" s="260" t="str">
        <f>DADOS!$B$8</f>
        <v>LOCAL:</v>
      </c>
      <c r="C6" s="261" t="str">
        <f>DADOS!$C$8</f>
        <v>RUA RUBI, JARDIM / MS</v>
      </c>
      <c r="D6" s="33"/>
      <c r="E6" s="33"/>
      <c r="F6" s="33"/>
      <c r="G6" s="33"/>
      <c r="H6" s="33"/>
      <c r="I6" s="33"/>
      <c r="J6" s="34"/>
    </row>
    <row r="7" spans="2:34" ht="5.0999999999999996" customHeight="1" x14ac:dyDescent="0.25"/>
    <row r="8" spans="2:34" ht="15" customHeight="1" x14ac:dyDescent="0.25">
      <c r="B8" s="356" t="s">
        <v>0</v>
      </c>
      <c r="C8" s="356"/>
      <c r="D8" s="356" t="s">
        <v>1</v>
      </c>
      <c r="E8" s="356" t="s">
        <v>171</v>
      </c>
      <c r="F8" s="358" t="s">
        <v>82</v>
      </c>
      <c r="G8" s="297" t="s">
        <v>83</v>
      </c>
      <c r="H8" s="297"/>
      <c r="I8" s="297" t="s">
        <v>86</v>
      </c>
      <c r="J8" s="297"/>
      <c r="K8" s="25"/>
      <c r="L8" s="25"/>
      <c r="M8" s="25"/>
      <c r="N8" s="25"/>
      <c r="O8" s="25"/>
      <c r="P8" s="25"/>
      <c r="Q8" s="25"/>
      <c r="R8" s="25"/>
      <c r="S8" s="25"/>
      <c r="T8" s="25"/>
      <c r="U8" s="25"/>
      <c r="V8" s="25"/>
      <c r="W8" s="25"/>
      <c r="X8" s="25"/>
      <c r="Y8" s="25"/>
      <c r="Z8" s="25"/>
      <c r="AA8" s="25"/>
      <c r="AB8" s="25"/>
      <c r="AC8" s="25"/>
      <c r="AD8" s="9"/>
      <c r="AE8" s="24"/>
      <c r="AF8" s="24"/>
      <c r="AG8" s="9"/>
      <c r="AH8" s="26"/>
    </row>
    <row r="9" spans="2:34" ht="15" customHeight="1" x14ac:dyDescent="0.25">
      <c r="B9" s="357"/>
      <c r="C9" s="357"/>
      <c r="D9" s="357"/>
      <c r="E9" s="357"/>
      <c r="F9" s="358"/>
      <c r="G9" s="13" t="s">
        <v>43</v>
      </c>
      <c r="H9" s="13" t="s">
        <v>7</v>
      </c>
      <c r="I9" s="189" t="s">
        <v>43</v>
      </c>
      <c r="J9" s="13" t="s">
        <v>7</v>
      </c>
      <c r="K9" s="25"/>
      <c r="L9" s="25"/>
      <c r="M9" s="25"/>
      <c r="N9" s="25"/>
      <c r="O9" s="25"/>
      <c r="P9" s="25"/>
      <c r="Q9" s="25"/>
      <c r="R9" s="25"/>
      <c r="S9" s="25"/>
      <c r="T9" s="25"/>
      <c r="U9" s="25"/>
      <c r="V9" s="25"/>
      <c r="W9" s="25"/>
      <c r="X9" s="25"/>
      <c r="Y9" s="25"/>
      <c r="Z9" s="25"/>
      <c r="AA9" s="25"/>
      <c r="AB9" s="25"/>
      <c r="AC9" s="25"/>
      <c r="AD9" s="9"/>
      <c r="AE9" s="24"/>
      <c r="AF9" s="24"/>
      <c r="AG9" s="9"/>
      <c r="AH9" s="26"/>
    </row>
    <row r="10" spans="2:34" ht="5.0999999999999996" customHeight="1" x14ac:dyDescent="0.25"/>
    <row r="11" spans="2:34" ht="14.1" customHeight="1" x14ac:dyDescent="0.25">
      <c r="B11" s="350" t="s">
        <v>81</v>
      </c>
      <c r="C11" s="74" t="str">
        <f>'Tabela Resumo'!C10</f>
        <v>01</v>
      </c>
      <c r="D11" s="83" t="str">
        <f>'Tabela Resumo'!D10</f>
        <v>SERVIÇOS PRELIMINARES</v>
      </c>
      <c r="E11" s="75">
        <f>'Tabela Resumo'!F10</f>
        <v>5.2661862347529585E-2</v>
      </c>
      <c r="F11" s="74">
        <f>'Tabela Resumo'!E10</f>
        <v>11965.93</v>
      </c>
      <c r="G11" s="74">
        <f>H11*$F$11</f>
        <v>11965.93</v>
      </c>
      <c r="H11" s="75">
        <v>1</v>
      </c>
      <c r="I11" s="201">
        <f>J11*$F$11</f>
        <v>0</v>
      </c>
      <c r="J11" s="75"/>
      <c r="L11" s="94">
        <f>H11+J11</f>
        <v>1</v>
      </c>
    </row>
    <row r="12" spans="2:34" ht="14.1" customHeight="1" x14ac:dyDescent="0.25">
      <c r="B12" s="351"/>
      <c r="C12" s="49" t="str">
        <f>'Tabela Resumo'!C11</f>
        <v>02</v>
      </c>
      <c r="D12" s="50" t="str">
        <f>'Tabela Resumo'!D11</f>
        <v>DEMOLIÇÕES</v>
      </c>
      <c r="E12" s="53">
        <f>'Tabela Resumo'!F11</f>
        <v>1.7021376413799499E-2</v>
      </c>
      <c r="F12" s="49">
        <f>'Tabela Resumo'!E11</f>
        <v>3867.6299999999997</v>
      </c>
      <c r="G12" s="49">
        <f>H12*$F$12</f>
        <v>3867.6299999999997</v>
      </c>
      <c r="H12" s="53">
        <v>1</v>
      </c>
      <c r="I12" s="203">
        <f>J12*$F$12</f>
        <v>0</v>
      </c>
      <c r="J12" s="53"/>
      <c r="L12" s="94">
        <f t="shared" ref="L12:L15" si="0">H12+J12</f>
        <v>1</v>
      </c>
    </row>
    <row r="13" spans="2:34" ht="14.1" customHeight="1" x14ac:dyDescent="0.25">
      <c r="B13" s="351"/>
      <c r="C13" s="49" t="str">
        <f>'Tabela Resumo'!C12</f>
        <v>03</v>
      </c>
      <c r="D13" s="50" t="str">
        <f>'Tabela Resumo'!D12</f>
        <v>DRENAGEM DE ÁGUAS PLUVIAIS</v>
      </c>
      <c r="E13" s="53">
        <f>'Tabela Resumo'!F12</f>
        <v>0.88213980930449831</v>
      </c>
      <c r="F13" s="49">
        <f>'Tabela Resumo'!E12</f>
        <v>200441.50999999992</v>
      </c>
      <c r="G13" s="49">
        <f>H13*$F$13</f>
        <v>95209.717249999958</v>
      </c>
      <c r="H13" s="53">
        <v>0.47499999999999998</v>
      </c>
      <c r="I13" s="203">
        <f>J13*$F$13</f>
        <v>105231.79274999996</v>
      </c>
      <c r="J13" s="53">
        <v>0.52500000000000002</v>
      </c>
      <c r="L13" s="94">
        <f t="shared" si="0"/>
        <v>1</v>
      </c>
    </row>
    <row r="14" spans="2:34" ht="14.1" customHeight="1" x14ac:dyDescent="0.25">
      <c r="B14" s="351"/>
      <c r="C14" s="49" t="str">
        <f>'Tabela Resumo'!C13</f>
        <v>04</v>
      </c>
      <c r="D14" s="50" t="str">
        <f>'Tabela Resumo'!D13</f>
        <v>SERVIÇOS COMPLEMENTARES</v>
      </c>
      <c r="E14" s="53">
        <f>'Tabela Resumo'!F13</f>
        <v>3.6520682664741046E-3</v>
      </c>
      <c r="F14" s="49">
        <f>'Tabela Resumo'!E13</f>
        <v>829.82999999999981</v>
      </c>
      <c r="G14" s="49">
        <f>H14*$F$14</f>
        <v>0</v>
      </c>
      <c r="H14" s="53"/>
      <c r="I14" s="203">
        <f>J14*$F$14</f>
        <v>829.82999999999981</v>
      </c>
      <c r="J14" s="53">
        <v>1</v>
      </c>
      <c r="L14" s="94">
        <f t="shared" si="0"/>
        <v>1</v>
      </c>
    </row>
    <row r="15" spans="2:34" ht="14.1" customHeight="1" x14ac:dyDescent="0.25">
      <c r="B15" s="352"/>
      <c r="C15" s="56" t="str">
        <f>'Tabela Resumo'!C14</f>
        <v>05</v>
      </c>
      <c r="D15" s="50" t="str">
        <f>'Tabela Resumo'!D14</f>
        <v>ADMINISTRAÇÃO LOCAL</v>
      </c>
      <c r="E15" s="53">
        <f>'Tabela Resumo'!F14</f>
        <v>4.4524883667698814E-2</v>
      </c>
      <c r="F15" s="49">
        <f>'Tabela Resumo'!E14</f>
        <v>10117.029999999999</v>
      </c>
      <c r="G15" s="49">
        <f>H15*$F$15</f>
        <v>5058.5149999999994</v>
      </c>
      <c r="H15" s="53">
        <v>0.5</v>
      </c>
      <c r="I15" s="203">
        <f>J15*$F$15</f>
        <v>5058.5149999999994</v>
      </c>
      <c r="J15" s="53">
        <v>0.5</v>
      </c>
      <c r="L15" s="94">
        <f t="shared" si="0"/>
        <v>1</v>
      </c>
    </row>
    <row r="16" spans="2:34" ht="5.0999999999999996" customHeight="1" x14ac:dyDescent="0.25">
      <c r="C16" s="178"/>
      <c r="D16" s="27"/>
      <c r="E16" s="28"/>
      <c r="F16" s="28"/>
      <c r="G16" s="28"/>
      <c r="H16" s="28"/>
      <c r="I16" s="28"/>
      <c r="J16" s="28"/>
    </row>
    <row r="17" spans="2:10" ht="20.100000000000001" customHeight="1" x14ac:dyDescent="0.25">
      <c r="B17" s="353" t="s">
        <v>84</v>
      </c>
      <c r="C17" s="354"/>
      <c r="D17" s="355"/>
      <c r="E17" s="84">
        <f>SUM(E10:E16)</f>
        <v>1.0000000000000004</v>
      </c>
      <c r="F17" s="15">
        <f>SUM(F10:F16)</f>
        <v>227221.92999999991</v>
      </c>
      <c r="G17" s="15">
        <f>SUM(G10:G16)</f>
        <v>116101.79224999995</v>
      </c>
      <c r="H17" s="84">
        <f>G17/$F$17</f>
        <v>0.51096209001481507</v>
      </c>
      <c r="I17" s="15">
        <f>SUM(I10:I16)</f>
        <v>111120.13774999997</v>
      </c>
      <c r="J17" s="84">
        <f>I17/$F$17</f>
        <v>0.48903790998518504</v>
      </c>
    </row>
    <row r="18" spans="2:10" ht="20.100000000000001" customHeight="1" x14ac:dyDescent="0.25">
      <c r="B18" s="353" t="s">
        <v>85</v>
      </c>
      <c r="C18" s="354"/>
      <c r="D18" s="355"/>
      <c r="E18" s="84"/>
      <c r="F18" s="15"/>
      <c r="G18" s="15">
        <f>G17</f>
        <v>116101.79224999995</v>
      </c>
      <c r="H18" s="84">
        <f>H17</f>
        <v>0.51096209001481507</v>
      </c>
      <c r="I18" s="15">
        <f>I17+G18</f>
        <v>227221.92999999993</v>
      </c>
      <c r="J18" s="84">
        <f>J17+H18</f>
        <v>1</v>
      </c>
    </row>
  </sheetData>
  <mergeCells count="9">
    <mergeCell ref="B11:B15"/>
    <mergeCell ref="B17:D17"/>
    <mergeCell ref="B18:D18"/>
    <mergeCell ref="B8:C9"/>
    <mergeCell ref="I8:J8"/>
    <mergeCell ref="D8:D9"/>
    <mergeCell ref="E8:E9"/>
    <mergeCell ref="F8:F9"/>
    <mergeCell ref="G8:H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tabColor rgb="FF00B050"/>
  </sheetPr>
  <dimension ref="B1:I18"/>
  <sheetViews>
    <sheetView showGridLines="0" view="pageBreakPreview" zoomScaleSheetLayoutView="100" workbookViewId="0">
      <selection activeCell="L27" sqref="L27"/>
    </sheetView>
  </sheetViews>
  <sheetFormatPr defaultRowHeight="12.75" x14ac:dyDescent="0.25"/>
  <cols>
    <col min="1" max="1" width="1.7109375" style="4" customWidth="1"/>
    <col min="2" max="2" width="10.7109375" style="4" customWidth="1"/>
    <col min="3" max="3" width="20.7109375" style="4" customWidth="1"/>
    <col min="4" max="4" width="26.7109375" style="4" customWidth="1"/>
    <col min="5" max="5" width="7.7109375" style="4" customWidth="1"/>
    <col min="6" max="6" width="1.7109375" style="4" customWidth="1"/>
    <col min="7" max="7" width="20.7109375" style="4" customWidth="1"/>
    <col min="8" max="8" width="1.7109375" style="4" customWidth="1"/>
    <col min="9" max="9" width="12.7109375" style="4" customWidth="1"/>
    <col min="10" max="16384" width="9.140625" style="4"/>
  </cols>
  <sheetData>
    <row r="1" spans="2:9" ht="5.0999999999999996" customHeight="1" x14ac:dyDescent="0.25"/>
    <row r="2" spans="2:9" ht="14.1" customHeight="1" x14ac:dyDescent="0.25">
      <c r="B2" s="80" t="str">
        <f>DADOS!$B$3</f>
        <v>CLIENTE:</v>
      </c>
      <c r="C2" s="61" t="str">
        <f>DADOS!$C$3</f>
        <v>PREFEITURA MUNICIPAL DE JARDIM / MS</v>
      </c>
      <c r="D2" s="28"/>
      <c r="E2" s="28"/>
      <c r="F2" s="28"/>
      <c r="G2" s="28"/>
      <c r="H2" s="28"/>
      <c r="I2" s="31"/>
    </row>
    <row r="3" spans="2:9" ht="14.1" customHeight="1" x14ac:dyDescent="0.25">
      <c r="B3" s="81" t="str">
        <f>DADOS!$B$4</f>
        <v>ENDEREÇO:</v>
      </c>
      <c r="C3" s="62" t="str">
        <f>DADOS!$C$4</f>
        <v>RUA CEL. JUVÊNCIO, Nº 547 - CENTRO</v>
      </c>
      <c r="I3" s="32"/>
    </row>
    <row r="4" spans="2:9" ht="14.1" customHeight="1" x14ac:dyDescent="0.2">
      <c r="B4" s="63"/>
      <c r="C4" s="62"/>
      <c r="I4" s="32"/>
    </row>
    <row r="5" spans="2:9" ht="14.1" customHeight="1" x14ac:dyDescent="0.25">
      <c r="B5" s="81" t="str">
        <f>DADOS!$B$7</f>
        <v>OBRA:</v>
      </c>
      <c r="C5" s="62" t="str">
        <f>DADOS!$C$7</f>
        <v>PAVIMENTAÇÃO ASFÁLTICA E DRENAGEM DE ÁGUAS PLUVIAIS</v>
      </c>
      <c r="I5" s="32"/>
    </row>
    <row r="6" spans="2:9" ht="14.1" customHeight="1" x14ac:dyDescent="0.25">
      <c r="B6" s="64" t="str">
        <f>DADOS!$B$8</f>
        <v>LOCAL:</v>
      </c>
      <c r="C6" s="65" t="str">
        <f>DADOS!$C$8</f>
        <v>RUA RUBI, JARDIM / MS</v>
      </c>
      <c r="D6" s="33"/>
      <c r="E6" s="33"/>
      <c r="F6" s="33"/>
      <c r="G6" s="33"/>
      <c r="H6" s="33"/>
      <c r="I6" s="34"/>
    </row>
    <row r="7" spans="2:9" ht="5.0999999999999996" customHeight="1" x14ac:dyDescent="0.25"/>
    <row r="8" spans="2:9" ht="30" customHeight="1" x14ac:dyDescent="0.25">
      <c r="B8" s="349" t="s">
        <v>0</v>
      </c>
      <c r="C8" s="349"/>
      <c r="D8" s="349"/>
      <c r="E8" s="349"/>
      <c r="F8" s="8"/>
      <c r="G8" s="11" t="s">
        <v>133</v>
      </c>
      <c r="H8" s="8"/>
      <c r="I8" s="10" t="s">
        <v>5</v>
      </c>
    </row>
    <row r="9" spans="2:9" ht="5.0999999999999996" customHeight="1" x14ac:dyDescent="0.25"/>
    <row r="10" spans="2:9" ht="14.1" customHeight="1" x14ac:dyDescent="0.25">
      <c r="B10" s="347" t="s">
        <v>132</v>
      </c>
      <c r="C10" s="349" t="s">
        <v>134</v>
      </c>
      <c r="D10" s="349"/>
      <c r="E10" s="349"/>
      <c r="G10" s="21">
        <f>'Dre-Terraplenagem'!I10</f>
        <v>12</v>
      </c>
      <c r="I10" s="15">
        <f>SUM(F10:H10)</f>
        <v>12</v>
      </c>
    </row>
    <row r="11" spans="2:9" ht="14.1" customHeight="1" x14ac:dyDescent="0.25">
      <c r="B11" s="347"/>
      <c r="C11" s="358" t="s">
        <v>135</v>
      </c>
      <c r="D11" s="212" t="s">
        <v>151</v>
      </c>
      <c r="E11" s="36">
        <v>1</v>
      </c>
      <c r="G11" s="360">
        <f>TRUNC((E11*E12*E13),2)</f>
        <v>8</v>
      </c>
      <c r="I11" s="359">
        <f>SUM(F11:H13)</f>
        <v>8</v>
      </c>
    </row>
    <row r="12" spans="2:9" ht="14.1" customHeight="1" x14ac:dyDescent="0.25">
      <c r="B12" s="347"/>
      <c r="C12" s="358"/>
      <c r="D12" s="212" t="s">
        <v>152</v>
      </c>
      <c r="E12" s="37">
        <v>4</v>
      </c>
      <c r="G12" s="360"/>
      <c r="I12" s="359"/>
    </row>
    <row r="13" spans="2:9" ht="14.1" customHeight="1" x14ac:dyDescent="0.25">
      <c r="B13" s="347"/>
      <c r="C13" s="358"/>
      <c r="D13" s="212" t="s">
        <v>89</v>
      </c>
      <c r="E13" s="37">
        <v>2</v>
      </c>
      <c r="G13" s="360"/>
      <c r="I13" s="359"/>
    </row>
    <row r="14" spans="2:9" ht="14.1" customHeight="1" x14ac:dyDescent="0.25">
      <c r="B14" s="347"/>
      <c r="C14" s="349" t="s">
        <v>331</v>
      </c>
      <c r="D14" s="349"/>
      <c r="E14" s="349"/>
      <c r="G14" s="236">
        <f>Orçamento!$P$128</f>
        <v>2</v>
      </c>
      <c r="I14" s="198">
        <f t="shared" ref="I14:I18" si="0">SUM(F14:H14)</f>
        <v>2</v>
      </c>
    </row>
    <row r="15" spans="2:9" ht="14.1" customHeight="1" x14ac:dyDescent="0.25">
      <c r="B15" s="347"/>
      <c r="C15" s="349" t="s">
        <v>332</v>
      </c>
      <c r="D15" s="349"/>
      <c r="E15" s="349"/>
      <c r="G15" s="236">
        <f>G14</f>
        <v>2</v>
      </c>
      <c r="I15" s="198">
        <f t="shared" si="0"/>
        <v>2</v>
      </c>
    </row>
    <row r="16" spans="2:9" ht="14.1" customHeight="1" x14ac:dyDescent="0.25">
      <c r="B16" s="347"/>
      <c r="C16" s="349" t="s">
        <v>333</v>
      </c>
      <c r="D16" s="349"/>
      <c r="E16" s="349"/>
      <c r="G16" s="197">
        <f>TRUNC((G10*1.2),2)</f>
        <v>14.4</v>
      </c>
      <c r="I16" s="15">
        <f t="shared" si="0"/>
        <v>14.4</v>
      </c>
    </row>
    <row r="17" spans="2:9" ht="14.1" customHeight="1" x14ac:dyDescent="0.25">
      <c r="B17" s="347"/>
      <c r="C17" s="213" t="s">
        <v>153</v>
      </c>
      <c r="D17" s="349" t="s">
        <v>334</v>
      </c>
      <c r="E17" s="349"/>
      <c r="G17" s="200">
        <f>INT((G10/250)/2)+1</f>
        <v>1</v>
      </c>
      <c r="I17" s="15">
        <f t="shared" si="0"/>
        <v>1</v>
      </c>
    </row>
    <row r="18" spans="2:9" ht="14.1" customHeight="1" x14ac:dyDescent="0.25">
      <c r="B18" s="347"/>
      <c r="C18" s="349" t="s">
        <v>136</v>
      </c>
      <c r="D18" s="349"/>
      <c r="E18" s="349"/>
      <c r="G18" s="200">
        <f>INT((G10/150)*2)+1</f>
        <v>1</v>
      </c>
      <c r="I18" s="15">
        <f t="shared" si="0"/>
        <v>1</v>
      </c>
    </row>
  </sheetData>
  <mergeCells count="11">
    <mergeCell ref="B8:E8"/>
    <mergeCell ref="I11:I13"/>
    <mergeCell ref="C10:E10"/>
    <mergeCell ref="C11:C13"/>
    <mergeCell ref="G11:G13"/>
    <mergeCell ref="B10:B18"/>
    <mergeCell ref="C14:E14"/>
    <mergeCell ref="C15:E15"/>
    <mergeCell ref="C16:E16"/>
    <mergeCell ref="D17:E17"/>
    <mergeCell ref="C18:E18"/>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I21"/>
  <sheetViews>
    <sheetView showGridLines="0" view="pageBreakPreview" zoomScaleSheetLayoutView="100" workbookViewId="0">
      <selection activeCell="C23" sqref="C23"/>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8.7109375" style="4" customWidth="1"/>
    <col min="8" max="8" width="1.7109375" style="4" customWidth="1"/>
    <col min="9" max="9" width="12.7109375" style="4" customWidth="1"/>
    <col min="10" max="16384" width="9.140625" style="4"/>
  </cols>
  <sheetData>
    <row r="1" spans="2:9" ht="5.0999999999999996" customHeight="1" x14ac:dyDescent="0.25"/>
    <row r="2" spans="2:9" ht="14.1" customHeight="1" x14ac:dyDescent="0.25">
      <c r="B2" s="80" t="str">
        <f>DADOS!$B$3</f>
        <v>CLIENTE:</v>
      </c>
      <c r="C2" s="61" t="str">
        <f>DADOS!$C$3</f>
        <v>PREFEITURA MUNICIPAL DE JARDIM / MS</v>
      </c>
      <c r="D2" s="28"/>
      <c r="E2" s="28"/>
      <c r="F2" s="28"/>
      <c r="G2" s="28"/>
      <c r="H2" s="28"/>
      <c r="I2" s="31"/>
    </row>
    <row r="3" spans="2:9" ht="14.1" customHeight="1" x14ac:dyDescent="0.25">
      <c r="B3" s="81" t="str">
        <f>DADOS!$B$4</f>
        <v>ENDEREÇO:</v>
      </c>
      <c r="C3" s="62" t="str">
        <f>DADOS!$C$4</f>
        <v>RUA CEL. JUVÊNCIO, Nº 547 - CENTRO</v>
      </c>
      <c r="I3" s="32"/>
    </row>
    <row r="4" spans="2:9" ht="14.1" customHeight="1" x14ac:dyDescent="0.2">
      <c r="B4" s="63"/>
      <c r="C4" s="62"/>
      <c r="I4" s="32"/>
    </row>
    <row r="5" spans="2:9" ht="14.1" customHeight="1" x14ac:dyDescent="0.25">
      <c r="B5" s="81" t="str">
        <f>DADOS!$B$7</f>
        <v>OBRA:</v>
      </c>
      <c r="C5" s="62" t="str">
        <f>DADOS!$C$7</f>
        <v>PAVIMENTAÇÃO ASFÁLTICA E DRENAGEM DE ÁGUAS PLUVIAIS</v>
      </c>
      <c r="I5" s="32"/>
    </row>
    <row r="6" spans="2:9" ht="14.1" customHeight="1" x14ac:dyDescent="0.25">
      <c r="B6" s="64" t="str">
        <f>DADOS!$B$8</f>
        <v>LOCAL:</v>
      </c>
      <c r="C6" s="65" t="str">
        <f>DADOS!$C$8</f>
        <v>RUA RUBI, JARDIM / MS</v>
      </c>
      <c r="D6" s="33"/>
      <c r="E6" s="33"/>
      <c r="F6" s="33"/>
      <c r="G6" s="33"/>
      <c r="H6" s="33"/>
      <c r="I6" s="34"/>
    </row>
    <row r="7" spans="2:9" ht="5.0999999999999996" customHeight="1" x14ac:dyDescent="0.25"/>
    <row r="8" spans="2:9" ht="30" customHeight="1" x14ac:dyDescent="0.25">
      <c r="B8" s="365" t="s">
        <v>0</v>
      </c>
      <c r="C8" s="366"/>
      <c r="D8" s="366"/>
      <c r="E8" s="367"/>
      <c r="F8" s="8"/>
      <c r="G8" s="173" t="s">
        <v>293</v>
      </c>
      <c r="H8" s="8"/>
      <c r="I8" s="10" t="s">
        <v>5</v>
      </c>
    </row>
    <row r="9" spans="2:9" ht="5.0999999999999996" customHeight="1" x14ac:dyDescent="0.25"/>
    <row r="10" spans="2:9" ht="14.1" customHeight="1" x14ac:dyDescent="0.25">
      <c r="B10" s="362" t="s">
        <v>289</v>
      </c>
      <c r="C10" s="358" t="s">
        <v>291</v>
      </c>
      <c r="D10" s="349" t="s">
        <v>299</v>
      </c>
      <c r="E10" s="349"/>
      <c r="G10" s="21">
        <f>TRUNC(4.34*2,2)</f>
        <v>8.68</v>
      </c>
      <c r="I10" s="15">
        <f>SUM(F10:H10)</f>
        <v>8.68</v>
      </c>
    </row>
    <row r="11" spans="2:9" ht="14.1" customHeight="1" x14ac:dyDescent="0.25">
      <c r="B11" s="363"/>
      <c r="C11" s="358"/>
      <c r="D11" s="349" t="s">
        <v>154</v>
      </c>
      <c r="E11" s="349"/>
      <c r="G11" s="21">
        <f>TRUNC((G10*1.3),2)</f>
        <v>11.28</v>
      </c>
      <c r="I11" s="15">
        <f>SUM(F11:H11)</f>
        <v>11.28</v>
      </c>
    </row>
    <row r="12" spans="2:9" ht="14.1" customHeight="1" x14ac:dyDescent="0.25">
      <c r="B12" s="363"/>
      <c r="C12" s="358"/>
      <c r="D12" s="284" t="s">
        <v>300</v>
      </c>
      <c r="E12" s="230">
        <f>'Resumo DMT''s'!$E$13</f>
        <v>4.9000000000000004</v>
      </c>
      <c r="G12" s="21">
        <f>TRUNC((G11*$E$12),2)</f>
        <v>55.27</v>
      </c>
      <c r="I12" s="15">
        <f>SUM(F12:H12)</f>
        <v>55.27</v>
      </c>
    </row>
    <row r="13" spans="2:9" ht="14.1" customHeight="1" x14ac:dyDescent="0.25">
      <c r="B13" s="363"/>
      <c r="C13" s="358"/>
      <c r="D13" s="349" t="s">
        <v>137</v>
      </c>
      <c r="E13" s="349"/>
      <c r="G13" s="21">
        <f>G11</f>
        <v>11.28</v>
      </c>
      <c r="I13" s="15">
        <f>SUM(F13:H13)</f>
        <v>11.28</v>
      </c>
    </row>
    <row r="14" spans="2:9" ht="5.0999999999999996" customHeight="1" x14ac:dyDescent="0.25">
      <c r="B14" s="363"/>
      <c r="G14" s="174"/>
    </row>
    <row r="15" spans="2:9" ht="14.1" customHeight="1" x14ac:dyDescent="0.25">
      <c r="B15" s="363"/>
      <c r="C15" s="358" t="s">
        <v>422</v>
      </c>
      <c r="D15" s="361" t="s">
        <v>298</v>
      </c>
      <c r="E15" s="349"/>
      <c r="G15" s="216">
        <v>11.1</v>
      </c>
      <c r="I15" s="15">
        <f>SUM(F15:H15)</f>
        <v>11.1</v>
      </c>
    </row>
    <row r="16" spans="2:9" ht="14.1" customHeight="1" x14ac:dyDescent="0.25">
      <c r="B16" s="363"/>
      <c r="C16" s="358"/>
      <c r="D16" s="361" t="s">
        <v>431</v>
      </c>
      <c r="E16" s="349"/>
      <c r="G16" s="217">
        <v>3</v>
      </c>
      <c r="I16" s="238"/>
    </row>
    <row r="17" spans="2:9" ht="14.1" hidden="1" customHeight="1" x14ac:dyDescent="0.25">
      <c r="B17" s="363"/>
      <c r="C17" s="358"/>
      <c r="D17" s="368" t="s">
        <v>430</v>
      </c>
      <c r="E17" s="368"/>
      <c r="G17" s="93">
        <f>533.33/1000</f>
        <v>0.53333000000000008</v>
      </c>
      <c r="I17" s="18"/>
    </row>
    <row r="18" spans="2:9" ht="14.1" customHeight="1" x14ac:dyDescent="0.25">
      <c r="B18" s="363"/>
      <c r="C18" s="358"/>
      <c r="D18" s="361" t="s">
        <v>440</v>
      </c>
      <c r="E18" s="349"/>
      <c r="G18" s="288">
        <f>TRUNC(G15*G16,2)</f>
        <v>33.299999999999997</v>
      </c>
      <c r="I18" s="287">
        <f>SUM(F18:H18)</f>
        <v>33.299999999999997</v>
      </c>
    </row>
    <row r="19" spans="2:9" ht="14.1" customHeight="1" x14ac:dyDescent="0.25">
      <c r="B19" s="363"/>
      <c r="C19" s="358"/>
      <c r="D19" s="349" t="s">
        <v>434</v>
      </c>
      <c r="E19" s="349"/>
      <c r="G19" s="21">
        <f>TRUNC((G15*G16*G17),2)</f>
        <v>17.75</v>
      </c>
      <c r="I19" s="15">
        <f>SUM(F19:H19)</f>
        <v>17.75</v>
      </c>
    </row>
    <row r="20" spans="2:9" ht="14.1" customHeight="1" x14ac:dyDescent="0.25">
      <c r="B20" s="363"/>
      <c r="C20" s="358"/>
      <c r="D20" s="284" t="s">
        <v>433</v>
      </c>
      <c r="E20" s="230">
        <f>'Resumo DMT''s'!$E$13</f>
        <v>4.9000000000000004</v>
      </c>
      <c r="G20" s="21">
        <f>TRUNC((G19*$E$20),2)</f>
        <v>86.97</v>
      </c>
      <c r="I20" s="15">
        <f>SUM(F20:H20)</f>
        <v>86.97</v>
      </c>
    </row>
    <row r="21" spans="2:9" ht="14.1" customHeight="1" x14ac:dyDescent="0.25">
      <c r="B21" s="364"/>
      <c r="C21" s="358"/>
      <c r="D21" s="349" t="s">
        <v>137</v>
      </c>
      <c r="E21" s="349"/>
      <c r="G21" s="21">
        <f>G19</f>
        <v>17.75</v>
      </c>
      <c r="I21" s="15">
        <f>SUM(F21:H21)</f>
        <v>17.75</v>
      </c>
    </row>
  </sheetData>
  <mergeCells count="13">
    <mergeCell ref="D16:E16"/>
    <mergeCell ref="B10:B21"/>
    <mergeCell ref="C10:C13"/>
    <mergeCell ref="B8:E8"/>
    <mergeCell ref="C15:C21"/>
    <mergeCell ref="D19:E19"/>
    <mergeCell ref="D21:E21"/>
    <mergeCell ref="D10:E10"/>
    <mergeCell ref="D11:E11"/>
    <mergeCell ref="D15:E15"/>
    <mergeCell ref="D17:E17"/>
    <mergeCell ref="D13:E13"/>
    <mergeCell ref="D18:E18"/>
  </mergeCells>
  <phoneticPr fontId="31" type="noConversion"/>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
    <tabColor rgb="FFFF0000"/>
    <pageSetUpPr fitToPage="1"/>
  </sheetPr>
  <dimension ref="B1:P45"/>
  <sheetViews>
    <sheetView showGridLines="0" view="pageBreakPreview" zoomScaleSheetLayoutView="100" workbookViewId="0">
      <pane ySplit="4" topLeftCell="A5" activePane="bottomLeft" state="frozen"/>
      <selection activeCell="B2" sqref="B2:B4"/>
      <selection pane="bottomLeft" activeCell="B2" sqref="B2:B4"/>
    </sheetView>
  </sheetViews>
  <sheetFormatPr defaultRowHeight="12.75" x14ac:dyDescent="0.25"/>
  <cols>
    <col min="1" max="1" width="1.7109375" style="4" customWidth="1"/>
    <col min="2" max="2" width="8.7109375" style="4" customWidth="1"/>
    <col min="3" max="4" width="10.7109375" style="4" customWidth="1"/>
    <col min="5" max="5" width="9.7109375" style="4" customWidth="1"/>
    <col min="6" max="6" width="10.7109375" style="4" customWidth="1"/>
    <col min="7" max="11" width="7.7109375" style="4" customWidth="1"/>
    <col min="12" max="12" width="12.7109375" style="4" customWidth="1"/>
    <col min="13" max="13" width="1.7109375" style="4" customWidth="1"/>
    <col min="14" max="15" width="14.7109375" style="4" customWidth="1"/>
    <col min="16" max="16" width="10.7109375" style="4" customWidth="1"/>
    <col min="17" max="16384" width="9.140625" style="4"/>
  </cols>
  <sheetData>
    <row r="1" spans="2:16" ht="5.0999999999999996" customHeight="1" x14ac:dyDescent="0.25"/>
    <row r="2" spans="2:16" ht="15" customHeight="1" x14ac:dyDescent="0.25">
      <c r="B2" s="358" t="s">
        <v>117</v>
      </c>
      <c r="C2" s="358" t="s">
        <v>120</v>
      </c>
      <c r="D2" s="358"/>
      <c r="E2" s="358" t="s">
        <v>47</v>
      </c>
      <c r="F2" s="358" t="s">
        <v>124</v>
      </c>
      <c r="G2" s="358"/>
      <c r="H2" s="358" t="s">
        <v>123</v>
      </c>
      <c r="I2" s="358"/>
      <c r="J2" s="358"/>
      <c r="K2" s="358"/>
      <c r="L2" s="370" t="s">
        <v>121</v>
      </c>
    </row>
    <row r="3" spans="2:16" ht="15" customHeight="1" x14ac:dyDescent="0.25">
      <c r="B3" s="358"/>
      <c r="C3" s="358"/>
      <c r="D3" s="358"/>
      <c r="E3" s="358"/>
      <c r="F3" s="358" t="s">
        <v>125</v>
      </c>
      <c r="G3" s="358" t="s">
        <v>126</v>
      </c>
      <c r="H3" s="358" t="s">
        <v>119</v>
      </c>
      <c r="I3" s="358" t="s">
        <v>118</v>
      </c>
      <c r="J3" s="358"/>
      <c r="K3" s="358"/>
      <c r="L3" s="370"/>
    </row>
    <row r="4" spans="2:16" ht="15" customHeight="1" x14ac:dyDescent="0.25">
      <c r="B4" s="358"/>
      <c r="C4" s="11" t="s">
        <v>118</v>
      </c>
      <c r="D4" s="11" t="s">
        <v>119</v>
      </c>
      <c r="E4" s="358"/>
      <c r="F4" s="358"/>
      <c r="G4" s="358"/>
      <c r="H4" s="358"/>
      <c r="I4" s="11" t="s">
        <v>90</v>
      </c>
      <c r="J4" s="11" t="s">
        <v>122</v>
      </c>
      <c r="K4" s="11" t="s">
        <v>91</v>
      </c>
      <c r="L4" s="370"/>
    </row>
    <row r="5" spans="2:16" ht="5.0999999999999996" customHeight="1" x14ac:dyDescent="0.25"/>
    <row r="6" spans="2:16" ht="14.1" customHeight="1" x14ac:dyDescent="0.25">
      <c r="B6" s="19">
        <v>1</v>
      </c>
      <c r="C6" s="169">
        <v>321.49</v>
      </c>
      <c r="D6" s="169"/>
      <c r="E6" s="20">
        <v>40</v>
      </c>
      <c r="F6" s="170">
        <v>0.3</v>
      </c>
      <c r="G6" s="20">
        <v>0.6</v>
      </c>
      <c r="H6" s="23">
        <v>2</v>
      </c>
      <c r="I6" s="23"/>
      <c r="J6" s="23"/>
      <c r="K6" s="23"/>
      <c r="L6" s="171">
        <f>IF(D6&gt;0,B6,0)</f>
        <v>0</v>
      </c>
      <c r="N6" s="369" t="s">
        <v>127</v>
      </c>
      <c r="O6" s="369"/>
      <c r="P6" s="12" t="str">
        <f>IF(P9+P8=P7,"OK","NÃO")</f>
        <v>OK</v>
      </c>
    </row>
    <row r="7" spans="2:16" ht="14.1" customHeight="1" x14ac:dyDescent="0.25">
      <c r="B7" s="19">
        <f>B6+1</f>
        <v>2</v>
      </c>
      <c r="C7" s="169">
        <v>321.19</v>
      </c>
      <c r="D7" s="169"/>
      <c r="E7" s="20">
        <v>45</v>
      </c>
      <c r="F7" s="170">
        <v>0.3</v>
      </c>
      <c r="G7" s="20">
        <v>0.6</v>
      </c>
      <c r="H7" s="23">
        <v>3</v>
      </c>
      <c r="I7" s="23">
        <v>1</v>
      </c>
      <c r="J7" s="23"/>
      <c r="K7" s="23"/>
      <c r="L7" s="171">
        <f t="shared" ref="L7:L45" si="0">IF(D7&gt;0,B7,0)</f>
        <v>0</v>
      </c>
      <c r="N7" s="369" t="s">
        <v>130</v>
      </c>
      <c r="O7" s="369"/>
      <c r="P7" s="12">
        <f>SUM(B5:B142)</f>
        <v>820</v>
      </c>
    </row>
    <row r="8" spans="2:16" ht="14.1" customHeight="1" x14ac:dyDescent="0.25">
      <c r="B8" s="19">
        <f t="shared" ref="B8:B45" si="1">B7+1</f>
        <v>3</v>
      </c>
      <c r="C8" s="169">
        <v>320.89</v>
      </c>
      <c r="D8" s="169"/>
      <c r="E8" s="20">
        <v>50</v>
      </c>
      <c r="F8" s="170">
        <v>0.3</v>
      </c>
      <c r="G8" s="20">
        <v>0.6</v>
      </c>
      <c r="H8" s="23">
        <v>4</v>
      </c>
      <c r="I8" s="23">
        <v>2</v>
      </c>
      <c r="J8" s="23"/>
      <c r="K8" s="23"/>
      <c r="L8" s="171">
        <f t="shared" si="0"/>
        <v>0</v>
      </c>
      <c r="N8" s="369" t="s">
        <v>131</v>
      </c>
      <c r="O8" s="369"/>
      <c r="P8" s="12">
        <f>SUM(L5:L142)</f>
        <v>40</v>
      </c>
    </row>
    <row r="9" spans="2:16" ht="14.1" customHeight="1" x14ac:dyDescent="0.25">
      <c r="B9" s="19">
        <f t="shared" si="1"/>
        <v>4</v>
      </c>
      <c r="C9" s="169">
        <v>320.58999999999997</v>
      </c>
      <c r="D9" s="169"/>
      <c r="E9" s="20">
        <v>55</v>
      </c>
      <c r="F9" s="170">
        <v>0.3</v>
      </c>
      <c r="G9" s="20">
        <v>0.6</v>
      </c>
      <c r="H9" s="23">
        <v>5</v>
      </c>
      <c r="I9" s="23">
        <v>3</v>
      </c>
      <c r="J9" s="23"/>
      <c r="K9" s="23"/>
      <c r="L9" s="171">
        <f t="shared" si="0"/>
        <v>0</v>
      </c>
      <c r="N9" s="369" t="s">
        <v>128</v>
      </c>
      <c r="O9" s="369"/>
      <c r="P9" s="12">
        <f>SUM(I5:K142)</f>
        <v>780</v>
      </c>
    </row>
    <row r="10" spans="2:16" ht="14.1" customHeight="1" x14ac:dyDescent="0.25">
      <c r="B10" s="19">
        <f t="shared" si="1"/>
        <v>5</v>
      </c>
      <c r="C10" s="169">
        <v>320.28999999999996</v>
      </c>
      <c r="D10" s="169"/>
      <c r="E10" s="20">
        <v>60</v>
      </c>
      <c r="F10" s="170">
        <v>0.3</v>
      </c>
      <c r="G10" s="20">
        <v>0.6</v>
      </c>
      <c r="H10" s="23">
        <v>6</v>
      </c>
      <c r="I10" s="23">
        <v>4</v>
      </c>
      <c r="J10" s="23"/>
      <c r="K10" s="23"/>
      <c r="L10" s="171">
        <f t="shared" si="0"/>
        <v>0</v>
      </c>
      <c r="N10" s="369" t="s">
        <v>129</v>
      </c>
      <c r="O10" s="369"/>
      <c r="P10" s="19">
        <f>P7-P8-P9</f>
        <v>0</v>
      </c>
    </row>
    <row r="11" spans="2:16" ht="14.1" customHeight="1" x14ac:dyDescent="0.25">
      <c r="B11" s="19">
        <f t="shared" si="1"/>
        <v>6</v>
      </c>
      <c r="C11" s="169">
        <v>319.98999999999995</v>
      </c>
      <c r="D11" s="169"/>
      <c r="E11" s="20">
        <v>40</v>
      </c>
      <c r="F11" s="170">
        <v>0.3</v>
      </c>
      <c r="G11" s="20">
        <v>0.6</v>
      </c>
      <c r="H11" s="23">
        <v>7</v>
      </c>
      <c r="I11" s="23">
        <v>5</v>
      </c>
      <c r="J11" s="23"/>
      <c r="K11" s="23"/>
      <c r="L11" s="171">
        <f t="shared" si="0"/>
        <v>0</v>
      </c>
    </row>
    <row r="12" spans="2:16" ht="14.1" customHeight="1" x14ac:dyDescent="0.25">
      <c r="B12" s="19">
        <f t="shared" si="1"/>
        <v>7</v>
      </c>
      <c r="C12" s="169">
        <v>319.68999999999994</v>
      </c>
      <c r="D12" s="169"/>
      <c r="E12" s="20">
        <v>45</v>
      </c>
      <c r="F12" s="170">
        <v>0.3</v>
      </c>
      <c r="G12" s="20">
        <v>0.6</v>
      </c>
      <c r="H12" s="23">
        <v>8</v>
      </c>
      <c r="I12" s="23">
        <v>6</v>
      </c>
      <c r="J12" s="23"/>
      <c r="K12" s="23"/>
      <c r="L12" s="171">
        <f t="shared" si="0"/>
        <v>0</v>
      </c>
    </row>
    <row r="13" spans="2:16" ht="14.1" customHeight="1" x14ac:dyDescent="0.25">
      <c r="B13" s="19">
        <f t="shared" si="1"/>
        <v>8</v>
      </c>
      <c r="C13" s="169">
        <v>319.38999999999993</v>
      </c>
      <c r="D13" s="169"/>
      <c r="E13" s="20">
        <v>50</v>
      </c>
      <c r="F13" s="170">
        <v>0.3</v>
      </c>
      <c r="G13" s="20">
        <v>0.6</v>
      </c>
      <c r="H13" s="23">
        <v>9</v>
      </c>
      <c r="I13" s="23">
        <v>7</v>
      </c>
      <c r="J13" s="23"/>
      <c r="K13" s="23"/>
      <c r="L13" s="171">
        <f t="shared" si="0"/>
        <v>0</v>
      </c>
    </row>
    <row r="14" spans="2:16" ht="14.1" customHeight="1" x14ac:dyDescent="0.25">
      <c r="B14" s="19">
        <f t="shared" si="1"/>
        <v>9</v>
      </c>
      <c r="C14" s="169">
        <v>319.08999999999992</v>
      </c>
      <c r="D14" s="169"/>
      <c r="E14" s="20">
        <v>55</v>
      </c>
      <c r="F14" s="170">
        <v>0.3</v>
      </c>
      <c r="G14" s="20">
        <v>0.6</v>
      </c>
      <c r="H14" s="23">
        <v>10</v>
      </c>
      <c r="I14" s="23">
        <v>8</v>
      </c>
      <c r="J14" s="23"/>
      <c r="K14" s="23"/>
      <c r="L14" s="171">
        <f t="shared" si="0"/>
        <v>0</v>
      </c>
    </row>
    <row r="15" spans="2:16" ht="14.1" customHeight="1" x14ac:dyDescent="0.25">
      <c r="B15" s="19">
        <f t="shared" si="1"/>
        <v>10</v>
      </c>
      <c r="C15" s="169">
        <v>318.78999999999991</v>
      </c>
      <c r="D15" s="169"/>
      <c r="E15" s="20">
        <v>60</v>
      </c>
      <c r="F15" s="170">
        <v>0.3</v>
      </c>
      <c r="G15" s="20">
        <v>0.6</v>
      </c>
      <c r="H15" s="23">
        <v>11</v>
      </c>
      <c r="I15" s="23">
        <v>9</v>
      </c>
      <c r="J15" s="23"/>
      <c r="K15" s="23"/>
      <c r="L15" s="171">
        <f t="shared" si="0"/>
        <v>0</v>
      </c>
    </row>
    <row r="16" spans="2:16" ht="14.1" customHeight="1" x14ac:dyDescent="0.25">
      <c r="B16" s="19">
        <f t="shared" si="1"/>
        <v>11</v>
      </c>
      <c r="C16" s="169">
        <v>318.4899999999999</v>
      </c>
      <c r="D16" s="169"/>
      <c r="E16" s="20">
        <v>40</v>
      </c>
      <c r="F16" s="170">
        <v>0.3</v>
      </c>
      <c r="G16" s="20">
        <v>0.6</v>
      </c>
      <c r="H16" s="23">
        <v>12</v>
      </c>
      <c r="I16" s="23">
        <v>10</v>
      </c>
      <c r="J16" s="23"/>
      <c r="K16" s="23"/>
      <c r="L16" s="171">
        <f t="shared" si="0"/>
        <v>0</v>
      </c>
    </row>
    <row r="17" spans="2:12" ht="14.1" customHeight="1" x14ac:dyDescent="0.25">
      <c r="B17" s="19">
        <f t="shared" si="1"/>
        <v>12</v>
      </c>
      <c r="C17" s="169">
        <v>318.18999999999988</v>
      </c>
      <c r="D17" s="169"/>
      <c r="E17" s="20">
        <v>45</v>
      </c>
      <c r="F17" s="170">
        <v>0.3</v>
      </c>
      <c r="G17" s="20">
        <v>0.6</v>
      </c>
      <c r="H17" s="23">
        <v>13</v>
      </c>
      <c r="I17" s="23">
        <v>11</v>
      </c>
      <c r="J17" s="23"/>
      <c r="K17" s="23"/>
      <c r="L17" s="171">
        <f t="shared" si="0"/>
        <v>0</v>
      </c>
    </row>
    <row r="18" spans="2:12" ht="14.1" customHeight="1" x14ac:dyDescent="0.25">
      <c r="B18" s="19">
        <f t="shared" si="1"/>
        <v>13</v>
      </c>
      <c r="C18" s="169">
        <v>317.88999999999987</v>
      </c>
      <c r="D18" s="169"/>
      <c r="E18" s="20">
        <v>50</v>
      </c>
      <c r="F18" s="170">
        <v>0.3</v>
      </c>
      <c r="G18" s="20">
        <v>0.6</v>
      </c>
      <c r="H18" s="23">
        <v>14</v>
      </c>
      <c r="I18" s="23">
        <v>12</v>
      </c>
      <c r="J18" s="23"/>
      <c r="K18" s="23"/>
      <c r="L18" s="171">
        <f t="shared" si="0"/>
        <v>0</v>
      </c>
    </row>
    <row r="19" spans="2:12" ht="14.1" customHeight="1" x14ac:dyDescent="0.25">
      <c r="B19" s="19">
        <f t="shared" si="1"/>
        <v>14</v>
      </c>
      <c r="C19" s="169">
        <v>317.58999999999986</v>
      </c>
      <c r="D19" s="169"/>
      <c r="E19" s="20">
        <v>55</v>
      </c>
      <c r="F19" s="170">
        <v>0.3</v>
      </c>
      <c r="G19" s="20">
        <v>0.6</v>
      </c>
      <c r="H19" s="23">
        <v>15</v>
      </c>
      <c r="I19" s="23">
        <v>13</v>
      </c>
      <c r="J19" s="23"/>
      <c r="K19" s="23"/>
      <c r="L19" s="171">
        <f t="shared" si="0"/>
        <v>0</v>
      </c>
    </row>
    <row r="20" spans="2:12" ht="14.1" customHeight="1" x14ac:dyDescent="0.25">
      <c r="B20" s="19">
        <f t="shared" si="1"/>
        <v>15</v>
      </c>
      <c r="C20" s="169">
        <v>317.28999999999985</v>
      </c>
      <c r="D20" s="169"/>
      <c r="E20" s="20">
        <v>60</v>
      </c>
      <c r="F20" s="170">
        <v>0.3</v>
      </c>
      <c r="G20" s="20">
        <v>0.6</v>
      </c>
      <c r="H20" s="23">
        <v>16</v>
      </c>
      <c r="I20" s="23">
        <v>14</v>
      </c>
      <c r="J20" s="23"/>
      <c r="K20" s="23"/>
      <c r="L20" s="171">
        <f t="shared" si="0"/>
        <v>0</v>
      </c>
    </row>
    <row r="21" spans="2:12" ht="14.1" customHeight="1" x14ac:dyDescent="0.25">
      <c r="B21" s="19">
        <f t="shared" si="1"/>
        <v>16</v>
      </c>
      <c r="C21" s="169">
        <v>316.98999999999984</v>
      </c>
      <c r="D21" s="169"/>
      <c r="E21" s="20">
        <v>40</v>
      </c>
      <c r="F21" s="170">
        <v>0.3</v>
      </c>
      <c r="G21" s="20">
        <v>0.6</v>
      </c>
      <c r="H21" s="23">
        <v>17</v>
      </c>
      <c r="I21" s="23">
        <v>15</v>
      </c>
      <c r="J21" s="23"/>
      <c r="K21" s="23"/>
      <c r="L21" s="171">
        <f t="shared" si="0"/>
        <v>0</v>
      </c>
    </row>
    <row r="22" spans="2:12" ht="14.1" customHeight="1" x14ac:dyDescent="0.25">
      <c r="B22" s="19">
        <f t="shared" si="1"/>
        <v>17</v>
      </c>
      <c r="C22" s="169">
        <v>316.68999999999983</v>
      </c>
      <c r="D22" s="169"/>
      <c r="E22" s="20">
        <v>45</v>
      </c>
      <c r="F22" s="170">
        <v>0.3</v>
      </c>
      <c r="G22" s="20">
        <v>0.6</v>
      </c>
      <c r="H22" s="23">
        <v>18</v>
      </c>
      <c r="I22" s="23">
        <v>16</v>
      </c>
      <c r="J22" s="23"/>
      <c r="K22" s="23"/>
      <c r="L22" s="171">
        <f t="shared" si="0"/>
        <v>0</v>
      </c>
    </row>
    <row r="23" spans="2:12" ht="14.1" customHeight="1" x14ac:dyDescent="0.25">
      <c r="B23" s="19">
        <f t="shared" si="1"/>
        <v>18</v>
      </c>
      <c r="C23" s="169">
        <v>316.38999999999982</v>
      </c>
      <c r="D23" s="169"/>
      <c r="E23" s="20">
        <v>50</v>
      </c>
      <c r="F23" s="170">
        <v>0.3</v>
      </c>
      <c r="G23" s="20">
        <v>0.6</v>
      </c>
      <c r="H23" s="23">
        <v>19</v>
      </c>
      <c r="I23" s="23">
        <v>17</v>
      </c>
      <c r="J23" s="23"/>
      <c r="K23" s="23"/>
      <c r="L23" s="171">
        <f t="shared" si="0"/>
        <v>0</v>
      </c>
    </row>
    <row r="24" spans="2:12" ht="14.1" customHeight="1" x14ac:dyDescent="0.25">
      <c r="B24" s="19">
        <f t="shared" si="1"/>
        <v>19</v>
      </c>
      <c r="C24" s="169">
        <v>316.0899999999998</v>
      </c>
      <c r="D24" s="169"/>
      <c r="E24" s="20">
        <v>55</v>
      </c>
      <c r="F24" s="170">
        <v>0.3</v>
      </c>
      <c r="G24" s="20">
        <v>0.6</v>
      </c>
      <c r="H24" s="23">
        <v>20</v>
      </c>
      <c r="I24" s="23">
        <v>18</v>
      </c>
      <c r="J24" s="23"/>
      <c r="K24" s="23"/>
      <c r="L24" s="171">
        <f t="shared" si="0"/>
        <v>0</v>
      </c>
    </row>
    <row r="25" spans="2:12" ht="14.1" customHeight="1" x14ac:dyDescent="0.25">
      <c r="B25" s="19">
        <f t="shared" si="1"/>
        <v>20</v>
      </c>
      <c r="C25" s="169">
        <v>315.78999999999979</v>
      </c>
      <c r="D25" s="169"/>
      <c r="E25" s="20">
        <v>60</v>
      </c>
      <c r="F25" s="170">
        <v>0.3</v>
      </c>
      <c r="G25" s="20">
        <v>0.6</v>
      </c>
      <c r="H25" s="23">
        <v>21</v>
      </c>
      <c r="I25" s="23">
        <v>19</v>
      </c>
      <c r="J25" s="23"/>
      <c r="K25" s="23"/>
      <c r="L25" s="171">
        <f t="shared" si="0"/>
        <v>0</v>
      </c>
    </row>
    <row r="26" spans="2:12" ht="14.1" customHeight="1" x14ac:dyDescent="0.25">
      <c r="B26" s="19">
        <f t="shared" si="1"/>
        <v>21</v>
      </c>
      <c r="C26" s="169">
        <v>315.48999999999978</v>
      </c>
      <c r="D26" s="169"/>
      <c r="E26" s="20">
        <v>40</v>
      </c>
      <c r="F26" s="170">
        <v>0.3</v>
      </c>
      <c r="G26" s="20">
        <v>0.6</v>
      </c>
      <c r="H26" s="23">
        <v>22</v>
      </c>
      <c r="I26" s="23">
        <v>20</v>
      </c>
      <c r="J26" s="23"/>
      <c r="K26" s="23"/>
      <c r="L26" s="171">
        <f t="shared" si="0"/>
        <v>0</v>
      </c>
    </row>
    <row r="27" spans="2:12" ht="14.1" customHeight="1" x14ac:dyDescent="0.25">
      <c r="B27" s="19">
        <f t="shared" si="1"/>
        <v>22</v>
      </c>
      <c r="C27" s="169">
        <v>315.18999999999977</v>
      </c>
      <c r="D27" s="169"/>
      <c r="E27" s="20">
        <v>45</v>
      </c>
      <c r="F27" s="170">
        <v>0.3</v>
      </c>
      <c r="G27" s="20">
        <v>0.6</v>
      </c>
      <c r="H27" s="23">
        <v>23</v>
      </c>
      <c r="I27" s="23">
        <v>21</v>
      </c>
      <c r="J27" s="23"/>
      <c r="K27" s="23"/>
      <c r="L27" s="171">
        <f t="shared" si="0"/>
        <v>0</v>
      </c>
    </row>
    <row r="28" spans="2:12" ht="14.1" customHeight="1" x14ac:dyDescent="0.25">
      <c r="B28" s="19">
        <f t="shared" si="1"/>
        <v>23</v>
      </c>
      <c r="C28" s="169">
        <v>314.88999999999976</v>
      </c>
      <c r="D28" s="169"/>
      <c r="E28" s="20">
        <v>50</v>
      </c>
      <c r="F28" s="170">
        <v>0.3</v>
      </c>
      <c r="G28" s="20">
        <v>0.6</v>
      </c>
      <c r="H28" s="23">
        <v>24</v>
      </c>
      <c r="I28" s="23">
        <v>22</v>
      </c>
      <c r="J28" s="23"/>
      <c r="K28" s="23"/>
      <c r="L28" s="171">
        <f t="shared" si="0"/>
        <v>0</v>
      </c>
    </row>
    <row r="29" spans="2:12" ht="14.1" customHeight="1" x14ac:dyDescent="0.25">
      <c r="B29" s="19">
        <f t="shared" si="1"/>
        <v>24</v>
      </c>
      <c r="C29" s="169">
        <v>314.58999999999975</v>
      </c>
      <c r="D29" s="169"/>
      <c r="E29" s="20">
        <v>55</v>
      </c>
      <c r="F29" s="170">
        <v>0.3</v>
      </c>
      <c r="G29" s="20">
        <v>0.6</v>
      </c>
      <c r="H29" s="23">
        <v>25</v>
      </c>
      <c r="I29" s="23">
        <v>23</v>
      </c>
      <c r="J29" s="23"/>
      <c r="K29" s="23"/>
      <c r="L29" s="171">
        <f t="shared" si="0"/>
        <v>0</v>
      </c>
    </row>
    <row r="30" spans="2:12" ht="14.1" customHeight="1" x14ac:dyDescent="0.25">
      <c r="B30" s="19">
        <f t="shared" si="1"/>
        <v>25</v>
      </c>
      <c r="C30" s="169">
        <v>314.28999999999974</v>
      </c>
      <c r="D30" s="169"/>
      <c r="E30" s="20">
        <v>60</v>
      </c>
      <c r="F30" s="170">
        <v>0.3</v>
      </c>
      <c r="G30" s="20">
        <v>0.6</v>
      </c>
      <c r="H30" s="23">
        <v>26</v>
      </c>
      <c r="I30" s="23">
        <v>24</v>
      </c>
      <c r="J30" s="23"/>
      <c r="K30" s="23"/>
      <c r="L30" s="171">
        <f t="shared" si="0"/>
        <v>0</v>
      </c>
    </row>
    <row r="31" spans="2:12" ht="14.1" customHeight="1" x14ac:dyDescent="0.25">
      <c r="B31" s="19">
        <f t="shared" si="1"/>
        <v>26</v>
      </c>
      <c r="C31" s="169">
        <v>313.98999999999972</v>
      </c>
      <c r="D31" s="169"/>
      <c r="E31" s="20">
        <v>40</v>
      </c>
      <c r="F31" s="170">
        <v>0.3</v>
      </c>
      <c r="G31" s="20">
        <v>0.6</v>
      </c>
      <c r="H31" s="23">
        <v>27</v>
      </c>
      <c r="I31" s="23">
        <v>25</v>
      </c>
      <c r="J31" s="23"/>
      <c r="K31" s="23"/>
      <c r="L31" s="171">
        <f t="shared" si="0"/>
        <v>0</v>
      </c>
    </row>
    <row r="32" spans="2:12" ht="14.1" customHeight="1" x14ac:dyDescent="0.25">
      <c r="B32" s="19">
        <f t="shared" si="1"/>
        <v>27</v>
      </c>
      <c r="C32" s="169">
        <v>313.68999999999971</v>
      </c>
      <c r="D32" s="169"/>
      <c r="E32" s="20">
        <v>45</v>
      </c>
      <c r="F32" s="170">
        <v>0.3</v>
      </c>
      <c r="G32" s="20">
        <v>0.6</v>
      </c>
      <c r="H32" s="23">
        <v>28</v>
      </c>
      <c r="I32" s="23">
        <v>26</v>
      </c>
      <c r="J32" s="23"/>
      <c r="K32" s="23"/>
      <c r="L32" s="171">
        <f t="shared" si="0"/>
        <v>0</v>
      </c>
    </row>
    <row r="33" spans="2:12" s="8" customFormat="1" ht="14.1" customHeight="1" x14ac:dyDescent="0.25">
      <c r="B33" s="19">
        <f t="shared" si="1"/>
        <v>28</v>
      </c>
      <c r="C33" s="169">
        <v>313.3899999999997</v>
      </c>
      <c r="D33" s="169"/>
      <c r="E33" s="20">
        <v>50</v>
      </c>
      <c r="F33" s="170">
        <v>0.3</v>
      </c>
      <c r="G33" s="20">
        <v>0.6</v>
      </c>
      <c r="H33" s="23">
        <v>29</v>
      </c>
      <c r="I33" s="23">
        <v>27</v>
      </c>
      <c r="J33" s="23"/>
      <c r="K33" s="23"/>
      <c r="L33" s="171">
        <f t="shared" si="0"/>
        <v>0</v>
      </c>
    </row>
    <row r="34" spans="2:12" s="8" customFormat="1" ht="14.1" customHeight="1" x14ac:dyDescent="0.25">
      <c r="B34" s="19">
        <f t="shared" si="1"/>
        <v>29</v>
      </c>
      <c r="C34" s="169">
        <v>313.08999999999969</v>
      </c>
      <c r="D34" s="169"/>
      <c r="E34" s="20">
        <v>55</v>
      </c>
      <c r="F34" s="170">
        <v>0.3</v>
      </c>
      <c r="G34" s="20">
        <v>0.6</v>
      </c>
      <c r="H34" s="23">
        <v>30</v>
      </c>
      <c r="I34" s="23">
        <v>28</v>
      </c>
      <c r="J34" s="23"/>
      <c r="K34" s="23"/>
      <c r="L34" s="171">
        <f t="shared" si="0"/>
        <v>0</v>
      </c>
    </row>
    <row r="35" spans="2:12" s="8" customFormat="1" ht="14.1" customHeight="1" x14ac:dyDescent="0.25">
      <c r="B35" s="19">
        <f t="shared" si="1"/>
        <v>30</v>
      </c>
      <c r="C35" s="169">
        <v>312.78999999999968</v>
      </c>
      <c r="D35" s="169"/>
      <c r="E35" s="20">
        <v>60</v>
      </c>
      <c r="F35" s="170">
        <v>0.3</v>
      </c>
      <c r="G35" s="20">
        <v>0.6</v>
      </c>
      <c r="H35" s="23">
        <v>31</v>
      </c>
      <c r="I35" s="23">
        <v>29</v>
      </c>
      <c r="J35" s="23"/>
      <c r="K35" s="23"/>
      <c r="L35" s="171">
        <f t="shared" si="0"/>
        <v>0</v>
      </c>
    </row>
    <row r="36" spans="2:12" s="8" customFormat="1" ht="14.1" customHeight="1" x14ac:dyDescent="0.25">
      <c r="B36" s="19">
        <f t="shared" si="1"/>
        <v>31</v>
      </c>
      <c r="C36" s="169">
        <v>312.48999999999967</v>
      </c>
      <c r="D36" s="169"/>
      <c r="E36" s="20">
        <v>40</v>
      </c>
      <c r="F36" s="170">
        <v>0.3</v>
      </c>
      <c r="G36" s="20">
        <v>0.6</v>
      </c>
      <c r="H36" s="23">
        <v>32</v>
      </c>
      <c r="I36" s="23">
        <v>30</v>
      </c>
      <c r="J36" s="23"/>
      <c r="K36" s="23"/>
      <c r="L36" s="171">
        <f t="shared" si="0"/>
        <v>0</v>
      </c>
    </row>
    <row r="37" spans="2:12" s="8" customFormat="1" ht="14.1" customHeight="1" x14ac:dyDescent="0.25">
      <c r="B37" s="19">
        <f t="shared" si="1"/>
        <v>32</v>
      </c>
      <c r="C37" s="169">
        <v>312.18999999999966</v>
      </c>
      <c r="D37" s="169"/>
      <c r="E37" s="20">
        <v>45</v>
      </c>
      <c r="F37" s="170">
        <v>0.3</v>
      </c>
      <c r="G37" s="20">
        <v>0.6</v>
      </c>
      <c r="H37" s="23">
        <v>33</v>
      </c>
      <c r="I37" s="23">
        <v>31</v>
      </c>
      <c r="J37" s="23"/>
      <c r="K37" s="23"/>
      <c r="L37" s="171">
        <f t="shared" si="0"/>
        <v>0</v>
      </c>
    </row>
    <row r="38" spans="2:12" s="8" customFormat="1" ht="14.1" customHeight="1" x14ac:dyDescent="0.25">
      <c r="B38" s="19">
        <f t="shared" si="1"/>
        <v>33</v>
      </c>
      <c r="C38" s="169">
        <v>311.88999999999965</v>
      </c>
      <c r="D38" s="169"/>
      <c r="E38" s="20">
        <v>50</v>
      </c>
      <c r="F38" s="170">
        <v>0.3</v>
      </c>
      <c r="G38" s="20">
        <v>0.6</v>
      </c>
      <c r="H38" s="23">
        <v>34</v>
      </c>
      <c r="I38" s="23">
        <v>32</v>
      </c>
      <c r="J38" s="23"/>
      <c r="K38" s="23"/>
      <c r="L38" s="171">
        <f t="shared" si="0"/>
        <v>0</v>
      </c>
    </row>
    <row r="39" spans="2:12" s="8" customFormat="1" ht="14.1" customHeight="1" x14ac:dyDescent="0.25">
      <c r="B39" s="19">
        <f t="shared" si="1"/>
        <v>34</v>
      </c>
      <c r="C39" s="169">
        <v>311.58999999999963</v>
      </c>
      <c r="D39" s="169"/>
      <c r="E39" s="20">
        <v>55</v>
      </c>
      <c r="F39" s="170">
        <v>0.3</v>
      </c>
      <c r="G39" s="20">
        <v>0.6</v>
      </c>
      <c r="H39" s="23">
        <v>35</v>
      </c>
      <c r="I39" s="23">
        <v>33</v>
      </c>
      <c r="J39" s="23"/>
      <c r="K39" s="23"/>
      <c r="L39" s="171">
        <f t="shared" si="0"/>
        <v>0</v>
      </c>
    </row>
    <row r="40" spans="2:12" s="8" customFormat="1" ht="14.1" customHeight="1" x14ac:dyDescent="0.25">
      <c r="B40" s="19">
        <f t="shared" si="1"/>
        <v>35</v>
      </c>
      <c r="C40" s="169">
        <v>311.28999999999962</v>
      </c>
      <c r="D40" s="169"/>
      <c r="E40" s="20">
        <v>60</v>
      </c>
      <c r="F40" s="170">
        <v>0.3</v>
      </c>
      <c r="G40" s="20">
        <v>0.6</v>
      </c>
      <c r="H40" s="23">
        <v>36</v>
      </c>
      <c r="I40" s="23">
        <v>34</v>
      </c>
      <c r="J40" s="23"/>
      <c r="K40" s="23"/>
      <c r="L40" s="171">
        <f t="shared" si="0"/>
        <v>0</v>
      </c>
    </row>
    <row r="41" spans="2:12" s="8" customFormat="1" ht="14.1" customHeight="1" x14ac:dyDescent="0.25">
      <c r="B41" s="19">
        <f t="shared" si="1"/>
        <v>36</v>
      </c>
      <c r="C41" s="169">
        <v>310.98999999999961</v>
      </c>
      <c r="D41" s="169"/>
      <c r="E41" s="20">
        <v>40</v>
      </c>
      <c r="F41" s="170">
        <v>0.3</v>
      </c>
      <c r="G41" s="20">
        <v>0.6</v>
      </c>
      <c r="H41" s="23">
        <v>37</v>
      </c>
      <c r="I41" s="23">
        <v>35</v>
      </c>
      <c r="J41" s="23"/>
      <c r="K41" s="23"/>
      <c r="L41" s="171">
        <f t="shared" si="0"/>
        <v>0</v>
      </c>
    </row>
    <row r="42" spans="2:12" s="8" customFormat="1" ht="14.1" customHeight="1" x14ac:dyDescent="0.25">
      <c r="B42" s="19">
        <f t="shared" si="1"/>
        <v>37</v>
      </c>
      <c r="C42" s="169">
        <v>310.6899999999996</v>
      </c>
      <c r="D42" s="169"/>
      <c r="E42" s="20">
        <v>45</v>
      </c>
      <c r="F42" s="170">
        <v>0.3</v>
      </c>
      <c r="G42" s="20">
        <v>0.6</v>
      </c>
      <c r="H42" s="23">
        <v>38</v>
      </c>
      <c r="I42" s="23">
        <v>36</v>
      </c>
      <c r="J42" s="23"/>
      <c r="K42" s="23"/>
      <c r="L42" s="171">
        <f t="shared" si="0"/>
        <v>0</v>
      </c>
    </row>
    <row r="43" spans="2:12" s="8" customFormat="1" ht="14.1" customHeight="1" x14ac:dyDescent="0.25">
      <c r="B43" s="19">
        <f t="shared" si="1"/>
        <v>38</v>
      </c>
      <c r="C43" s="169">
        <v>310.38999999999959</v>
      </c>
      <c r="D43" s="169"/>
      <c r="E43" s="20">
        <v>50</v>
      </c>
      <c r="F43" s="170">
        <v>0.3</v>
      </c>
      <c r="G43" s="20">
        <v>0.6</v>
      </c>
      <c r="H43" s="23">
        <v>39</v>
      </c>
      <c r="I43" s="23">
        <v>37</v>
      </c>
      <c r="J43" s="23"/>
      <c r="K43" s="23"/>
      <c r="L43" s="171">
        <f t="shared" si="0"/>
        <v>0</v>
      </c>
    </row>
    <row r="44" spans="2:12" s="8" customFormat="1" ht="14.1" customHeight="1" x14ac:dyDescent="0.25">
      <c r="B44" s="19">
        <f t="shared" si="1"/>
        <v>39</v>
      </c>
      <c r="C44" s="169">
        <v>310.08999999999958</v>
      </c>
      <c r="D44" s="169"/>
      <c r="E44" s="20">
        <v>55</v>
      </c>
      <c r="F44" s="170">
        <v>0.3</v>
      </c>
      <c r="G44" s="20">
        <v>0.6</v>
      </c>
      <c r="H44" s="23">
        <v>40</v>
      </c>
      <c r="I44" s="23">
        <v>38</v>
      </c>
      <c r="J44" s="23"/>
      <c r="K44" s="23"/>
      <c r="L44" s="171">
        <f t="shared" si="0"/>
        <v>0</v>
      </c>
    </row>
    <row r="45" spans="2:12" s="8" customFormat="1" ht="14.1" customHeight="1" x14ac:dyDescent="0.25">
      <c r="B45" s="19">
        <f t="shared" si="1"/>
        <v>40</v>
      </c>
      <c r="C45" s="169">
        <v>309.78999999999957</v>
      </c>
      <c r="D45" s="169">
        <v>309.49</v>
      </c>
      <c r="E45" s="20">
        <v>60</v>
      </c>
      <c r="F45" s="170">
        <v>0.3</v>
      </c>
      <c r="G45" s="20">
        <v>0.6</v>
      </c>
      <c r="H45" s="23"/>
      <c r="I45" s="23">
        <v>39</v>
      </c>
      <c r="J45" s="23"/>
      <c r="K45" s="23"/>
      <c r="L45" s="171">
        <f t="shared" si="0"/>
        <v>40</v>
      </c>
    </row>
  </sheetData>
  <mergeCells count="15">
    <mergeCell ref="B2:B4"/>
    <mergeCell ref="C2:D3"/>
    <mergeCell ref="E2:E4"/>
    <mergeCell ref="L2:L4"/>
    <mergeCell ref="H2:K2"/>
    <mergeCell ref="I3:K3"/>
    <mergeCell ref="H3:H4"/>
    <mergeCell ref="F2:G2"/>
    <mergeCell ref="N10:O10"/>
    <mergeCell ref="G3:G4"/>
    <mergeCell ref="F3:F4"/>
    <mergeCell ref="N6:O6"/>
    <mergeCell ref="N7:O7"/>
    <mergeCell ref="N8:O8"/>
    <mergeCell ref="N9:O9"/>
  </mergeCells>
  <printOptions horizontalCentered="1"/>
  <pageMargins left="0.51181102362204722" right="0.51181102362204722" top="0.78740157480314965" bottom="0.78740157480314965" header="0.31496062992125984" footer="0.31496062992125984"/>
  <pageSetup paperSize="9" scale="90" fitToHeight="1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Y20"/>
  <sheetViews>
    <sheetView showGridLines="0" view="pageBreakPreview" zoomScaleNormal="100" zoomScaleSheetLayoutView="100" workbookViewId="0">
      <pane ySplit="6" topLeftCell="A7" activePane="bottomLeft" state="frozen"/>
      <selection activeCell="B2" sqref="B2"/>
      <selection pane="bottomLeft" activeCell="P17" sqref="P17"/>
    </sheetView>
  </sheetViews>
  <sheetFormatPr defaultRowHeight="12.75" x14ac:dyDescent="0.25"/>
  <cols>
    <col min="1" max="1" width="1.7109375" style="223" customWidth="1"/>
    <col min="2" max="2" width="11.7109375" style="223" customWidth="1"/>
    <col min="3" max="3" width="15.7109375" style="223" customWidth="1"/>
    <col min="4" max="4" width="8.7109375" style="223" customWidth="1"/>
    <col min="5" max="5" width="3.7109375" style="223" customWidth="1"/>
    <col min="6" max="9" width="10.7109375" style="223" customWidth="1"/>
    <col min="10" max="13" width="11.7109375" style="223" customWidth="1"/>
    <col min="14" max="15" width="13.7109375" style="223" customWidth="1"/>
    <col min="16" max="16" width="11.7109375" style="223" customWidth="1"/>
    <col min="17" max="16384" width="9.140625" style="223"/>
  </cols>
  <sheetData>
    <row r="1" spans="2:25" ht="5.0999999999999996" customHeight="1" x14ac:dyDescent="0.25"/>
    <row r="2" spans="2:25" ht="14.1" customHeight="1" x14ac:dyDescent="0.25">
      <c r="B2" s="269" t="str">
        <f>DADOS!$B$3</f>
        <v>CLIENTE:</v>
      </c>
      <c r="C2" s="258" t="str">
        <f>DADOS!$C$3</f>
        <v>PREFEITURA MUNICIPAL DE JARDIM / MS</v>
      </c>
      <c r="D2" s="258"/>
      <c r="E2" s="258"/>
      <c r="F2" s="258"/>
      <c r="G2" s="258"/>
      <c r="H2" s="258"/>
      <c r="I2" s="179"/>
      <c r="J2" s="179"/>
      <c r="K2" s="180"/>
    </row>
    <row r="3" spans="2:25" ht="14.1" customHeight="1" x14ac:dyDescent="0.25">
      <c r="B3" s="270" t="str">
        <f>DADOS!$B$4</f>
        <v>ENDEREÇO:</v>
      </c>
      <c r="C3" s="259" t="str">
        <f>DADOS!$C$4</f>
        <v>RUA CEL. JUVÊNCIO, Nº 547 - CENTRO</v>
      </c>
      <c r="D3" s="259"/>
      <c r="E3" s="259"/>
      <c r="F3" s="259"/>
      <c r="G3" s="259"/>
      <c r="H3" s="259"/>
      <c r="I3" s="181"/>
      <c r="J3" s="181"/>
      <c r="K3" s="182"/>
    </row>
    <row r="4" spans="2:25" ht="14.1" customHeight="1" x14ac:dyDescent="0.2">
      <c r="B4" s="63"/>
      <c r="C4" s="259"/>
      <c r="D4" s="259"/>
      <c r="E4" s="222"/>
      <c r="F4" s="222"/>
      <c r="G4" s="222"/>
      <c r="H4" s="222"/>
      <c r="I4" s="181"/>
      <c r="J4" s="181"/>
      <c r="K4" s="182"/>
      <c r="R4" s="224"/>
      <c r="S4" s="224"/>
    </row>
    <row r="5" spans="2:25" ht="14.1" customHeight="1" x14ac:dyDescent="0.25">
      <c r="B5" s="270" t="str">
        <f>DADOS!$B$7</f>
        <v>OBRA:</v>
      </c>
      <c r="C5" s="259" t="str">
        <f>DADOS!$C$7</f>
        <v>PAVIMENTAÇÃO ASFÁLTICA E DRENAGEM DE ÁGUAS PLUVIAIS</v>
      </c>
      <c r="D5" s="259"/>
      <c r="E5" s="259"/>
      <c r="F5" s="259"/>
      <c r="G5" s="259"/>
      <c r="H5" s="259"/>
      <c r="I5" s="181"/>
      <c r="J5" s="181"/>
      <c r="K5" s="182"/>
      <c r="R5" s="224"/>
      <c r="S5" s="224"/>
    </row>
    <row r="6" spans="2:25" ht="14.1" customHeight="1" x14ac:dyDescent="0.25">
      <c r="B6" s="260" t="str">
        <f>DADOS!$B$8</f>
        <v>LOCAL:</v>
      </c>
      <c r="C6" s="261" t="str">
        <f>DADOS!$C$8</f>
        <v>RUA RUBI, JARDIM / MS</v>
      </c>
      <c r="D6" s="261"/>
      <c r="E6" s="261"/>
      <c r="F6" s="261"/>
      <c r="G6" s="261"/>
      <c r="H6" s="261"/>
      <c r="I6" s="184"/>
      <c r="J6" s="184"/>
      <c r="K6" s="185"/>
    </row>
    <row r="7" spans="2:25" ht="5.0999999999999996" customHeight="1" x14ac:dyDescent="0.25"/>
    <row r="8" spans="2:25" ht="30" customHeight="1" x14ac:dyDescent="0.25">
      <c r="B8" s="358" t="s">
        <v>304</v>
      </c>
      <c r="C8" s="358"/>
      <c r="D8" s="358" t="s">
        <v>305</v>
      </c>
      <c r="E8" s="358"/>
      <c r="F8" s="358"/>
      <c r="G8" s="358" t="s">
        <v>306</v>
      </c>
      <c r="H8" s="358" t="s">
        <v>307</v>
      </c>
      <c r="I8" s="358"/>
      <c r="J8" s="358" t="s">
        <v>308</v>
      </c>
      <c r="K8" s="358"/>
      <c r="L8" s="371"/>
      <c r="M8" s="371"/>
      <c r="N8" s="371"/>
      <c r="O8" s="371"/>
      <c r="P8" s="371"/>
    </row>
    <row r="9" spans="2:25" ht="15" customHeight="1" x14ac:dyDescent="0.25">
      <c r="B9" s="358"/>
      <c r="C9" s="358"/>
      <c r="D9" s="358"/>
      <c r="E9" s="358"/>
      <c r="F9" s="358"/>
      <c r="G9" s="358"/>
      <c r="H9" s="227" t="s">
        <v>30</v>
      </c>
      <c r="I9" s="227" t="s">
        <v>31</v>
      </c>
      <c r="J9" s="227" t="s">
        <v>30</v>
      </c>
      <c r="K9" s="227" t="s">
        <v>31</v>
      </c>
      <c r="L9" s="215"/>
      <c r="M9" s="215"/>
      <c r="N9" s="215"/>
      <c r="O9" s="215"/>
      <c r="P9" s="371"/>
    </row>
    <row r="10" spans="2:25" ht="5.0999999999999996" customHeight="1" x14ac:dyDescent="0.25"/>
    <row r="11" spans="2:25" ht="18" customHeight="1" x14ac:dyDescent="0.25">
      <c r="B11" s="362" t="s">
        <v>428</v>
      </c>
      <c r="C11" s="373" t="s">
        <v>427</v>
      </c>
      <c r="D11" s="235">
        <v>0</v>
      </c>
      <c r="E11" s="228" t="s">
        <v>309</v>
      </c>
      <c r="F11" s="239">
        <v>0</v>
      </c>
      <c r="G11" s="236">
        <v>0</v>
      </c>
      <c r="H11" s="239">
        <v>23.718699999999998</v>
      </c>
      <c r="I11" s="239">
        <v>0</v>
      </c>
      <c r="J11" s="239">
        <v>0</v>
      </c>
      <c r="K11" s="239">
        <v>0</v>
      </c>
      <c r="L11" s="186"/>
      <c r="M11" s="186"/>
      <c r="N11" s="186"/>
      <c r="O11" s="186"/>
      <c r="P11" s="186"/>
      <c r="R11" s="187"/>
      <c r="S11" s="187"/>
      <c r="U11" s="187"/>
      <c r="V11" s="187"/>
      <c r="X11" s="187"/>
      <c r="Y11" s="187"/>
    </row>
    <row r="12" spans="2:25" ht="18" customHeight="1" x14ac:dyDescent="0.25">
      <c r="B12" s="363"/>
      <c r="C12" s="374"/>
      <c r="D12" s="235">
        <v>0</v>
      </c>
      <c r="E12" s="228" t="s">
        <v>309</v>
      </c>
      <c r="F12" s="239">
        <v>12.25</v>
      </c>
      <c r="G12" s="236">
        <f>((D12*20+F12)-(D11*20+F11))/2</f>
        <v>6.125</v>
      </c>
      <c r="H12" s="239">
        <v>26.705500000000001</v>
      </c>
      <c r="I12" s="239">
        <v>17.4511</v>
      </c>
      <c r="J12" s="239">
        <f>TRUNC(((H11+H12)*G12),3)</f>
        <v>308.84800000000001</v>
      </c>
      <c r="K12" s="239">
        <f>TRUNC(((I11+I12)*G12),3)</f>
        <v>106.887</v>
      </c>
      <c r="L12" s="186"/>
      <c r="M12" s="186"/>
      <c r="N12" s="186"/>
      <c r="O12" s="186"/>
      <c r="P12" s="186"/>
      <c r="R12" s="187"/>
      <c r="S12" s="187"/>
      <c r="U12" s="187"/>
      <c r="V12" s="187"/>
      <c r="X12" s="187"/>
      <c r="Y12" s="187"/>
    </row>
    <row r="13" spans="2:25" ht="18" customHeight="1" x14ac:dyDescent="0.25">
      <c r="B13" s="363"/>
      <c r="C13" s="374"/>
      <c r="D13" s="235">
        <v>0</v>
      </c>
      <c r="E13" s="228" t="s">
        <v>309</v>
      </c>
      <c r="F13" s="239">
        <v>15</v>
      </c>
      <c r="G13" s="236">
        <f t="shared" ref="G13:G16" si="0">((D13*20+F13)-(D12*20+F12))/2</f>
        <v>1.375</v>
      </c>
      <c r="H13" s="239">
        <v>26.017299999999999</v>
      </c>
      <c r="I13" s="239">
        <v>16.762899999999998</v>
      </c>
      <c r="J13" s="239">
        <f t="shared" ref="J13:J16" si="1">TRUNC(((H12+H13)*G13),3)</f>
        <v>72.492999999999995</v>
      </c>
      <c r="K13" s="239">
        <f t="shared" ref="K13:K16" si="2">TRUNC(((I12+I13)*G13),3)</f>
        <v>47.043999999999997</v>
      </c>
      <c r="L13" s="186"/>
      <c r="M13" s="186"/>
      <c r="N13" s="186"/>
      <c r="O13" s="186"/>
      <c r="P13" s="186"/>
      <c r="R13" s="187"/>
      <c r="S13" s="187"/>
      <c r="U13" s="187"/>
      <c r="V13" s="187"/>
      <c r="X13" s="187"/>
      <c r="Y13" s="187"/>
    </row>
    <row r="14" spans="2:25" ht="18" customHeight="1" x14ac:dyDescent="0.25">
      <c r="B14" s="363"/>
      <c r="C14" s="374"/>
      <c r="D14" s="235">
        <v>1</v>
      </c>
      <c r="E14" s="228" t="s">
        <v>309</v>
      </c>
      <c r="F14" s="239">
        <v>0</v>
      </c>
      <c r="G14" s="236">
        <f t="shared" si="0"/>
        <v>2.5</v>
      </c>
      <c r="H14" s="239">
        <v>25.971299999999999</v>
      </c>
      <c r="I14" s="239">
        <v>16.716899999999999</v>
      </c>
      <c r="J14" s="239">
        <f t="shared" si="1"/>
        <v>129.971</v>
      </c>
      <c r="K14" s="239">
        <f t="shared" si="2"/>
        <v>83.698999999999998</v>
      </c>
      <c r="L14" s="186"/>
      <c r="M14" s="186"/>
      <c r="N14" s="186"/>
      <c r="O14" s="186"/>
      <c r="P14" s="186"/>
      <c r="R14" s="187"/>
      <c r="S14" s="187"/>
      <c r="U14" s="187"/>
      <c r="V14" s="187"/>
      <c r="X14" s="187"/>
      <c r="Y14" s="187"/>
    </row>
    <row r="15" spans="2:25" ht="18" customHeight="1" x14ac:dyDescent="0.25">
      <c r="B15" s="363"/>
      <c r="C15" s="374"/>
      <c r="D15" s="235">
        <v>1</v>
      </c>
      <c r="E15" s="228" t="s">
        <v>309</v>
      </c>
      <c r="F15" s="239">
        <v>7</v>
      </c>
      <c r="G15" s="236">
        <f t="shared" si="0"/>
        <v>3.5</v>
      </c>
      <c r="H15" s="239">
        <v>27.320699999999999</v>
      </c>
      <c r="I15" s="239">
        <v>18.066299999999998</v>
      </c>
      <c r="J15" s="239">
        <f t="shared" si="1"/>
        <v>186.52199999999999</v>
      </c>
      <c r="K15" s="239">
        <f t="shared" si="2"/>
        <v>121.741</v>
      </c>
      <c r="L15" s="186"/>
      <c r="M15" s="186"/>
      <c r="N15" s="186"/>
      <c r="O15" s="186"/>
      <c r="P15" s="186"/>
      <c r="R15" s="187"/>
      <c r="S15" s="187"/>
      <c r="U15" s="187"/>
      <c r="V15" s="187"/>
      <c r="X15" s="187"/>
      <c r="Y15" s="187"/>
    </row>
    <row r="16" spans="2:25" ht="18" customHeight="1" x14ac:dyDescent="0.25">
      <c r="B16" s="363"/>
      <c r="C16" s="374"/>
      <c r="D16" s="235">
        <v>1</v>
      </c>
      <c r="E16" s="228" t="s">
        <v>309</v>
      </c>
      <c r="F16" s="239">
        <v>9.75</v>
      </c>
      <c r="G16" s="236">
        <f t="shared" si="0"/>
        <v>1.375</v>
      </c>
      <c r="H16" s="239">
        <v>28.3307</v>
      </c>
      <c r="I16" s="239">
        <v>19.0763</v>
      </c>
      <c r="J16" s="239">
        <f t="shared" si="1"/>
        <v>76.52</v>
      </c>
      <c r="K16" s="239">
        <f t="shared" si="2"/>
        <v>51.070999999999998</v>
      </c>
      <c r="L16" s="186"/>
      <c r="M16" s="186"/>
      <c r="N16" s="186"/>
      <c r="O16" s="186"/>
      <c r="P16" s="186"/>
      <c r="R16" s="187"/>
      <c r="S16" s="187"/>
      <c r="U16" s="187"/>
      <c r="V16" s="187"/>
      <c r="X16" s="187"/>
      <c r="Y16" s="187"/>
    </row>
    <row r="17" spans="2:25" ht="18" customHeight="1" x14ac:dyDescent="0.25">
      <c r="B17" s="364"/>
      <c r="C17" s="375"/>
      <c r="D17" s="235">
        <v>2</v>
      </c>
      <c r="E17" s="228" t="s">
        <v>309</v>
      </c>
      <c r="F17" s="239">
        <v>0</v>
      </c>
      <c r="G17" s="236">
        <f t="shared" ref="G17" si="3">((D17*20+F17)-(D16*20+F16))/2</f>
        <v>5.125</v>
      </c>
      <c r="H17" s="239">
        <v>27.0885</v>
      </c>
      <c r="I17" s="239">
        <v>0</v>
      </c>
      <c r="J17" s="239">
        <f t="shared" ref="J17" si="4">TRUNC(((H16+H17)*G17),3)</f>
        <v>284.02300000000002</v>
      </c>
      <c r="K17" s="239">
        <f t="shared" ref="K17" si="5">TRUNC(((I16+I17)*G17),3)</f>
        <v>97.766000000000005</v>
      </c>
      <c r="L17" s="186"/>
      <c r="M17" s="186"/>
      <c r="N17" s="186"/>
      <c r="O17" s="186"/>
      <c r="P17" s="186"/>
      <c r="R17" s="187"/>
      <c r="S17" s="187"/>
      <c r="U17" s="187"/>
      <c r="V17" s="187"/>
      <c r="X17" s="187"/>
      <c r="Y17" s="187"/>
    </row>
    <row r="18" spans="2:25" ht="5.0999999999999996" customHeight="1" x14ac:dyDescent="0.25"/>
    <row r="19" spans="2:25" ht="20.100000000000001" customHeight="1" x14ac:dyDescent="0.25">
      <c r="B19" s="372" t="s">
        <v>310</v>
      </c>
      <c r="C19" s="372"/>
      <c r="D19" s="372"/>
      <c r="E19" s="372"/>
      <c r="F19" s="372"/>
      <c r="G19" s="372"/>
      <c r="H19" s="188">
        <f>SUM(H10:H18)</f>
        <v>185.15270000000001</v>
      </c>
      <c r="I19" s="188">
        <f>SUM(I10:I18)</f>
        <v>88.073499999999996</v>
      </c>
      <c r="J19" s="188">
        <f>SUM(J10:J18)</f>
        <v>1058.377</v>
      </c>
      <c r="K19" s="188">
        <f>SUM(K10:K18)</f>
        <v>508.20800000000003</v>
      </c>
    </row>
    <row r="20" spans="2:25" x14ac:dyDescent="0.25">
      <c r="L20" s="187"/>
    </row>
  </sheetData>
  <mergeCells count="11">
    <mergeCell ref="N8:O8"/>
    <mergeCell ref="P8:P9"/>
    <mergeCell ref="B19:G19"/>
    <mergeCell ref="B8:C9"/>
    <mergeCell ref="D8:F9"/>
    <mergeCell ref="G8:G9"/>
    <mergeCell ref="H8:I8"/>
    <mergeCell ref="J8:K8"/>
    <mergeCell ref="L8:M8"/>
    <mergeCell ref="C11:C17"/>
    <mergeCell ref="B11:B17"/>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Linotype,Negrito"&amp;8Rua Antônio Maria Coelho, 4.017 | Santa Fé
Campo Grande - MS | 79021-170
(67) 2525 0350 | elemento@elementoms.com.br&amp;C&amp;"Palatino Linotype,Negrito"&amp;8&amp;P/&amp;N&amp;R&amp;G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I63"/>
  <sheetViews>
    <sheetView showGridLines="0" view="pageBreakPreview" zoomScaleNormal="100" zoomScaleSheetLayoutView="100" workbookViewId="0">
      <selection activeCell="O16" sqref="O16"/>
    </sheetView>
  </sheetViews>
  <sheetFormatPr defaultColWidth="9.140625" defaultRowHeight="12.75" x14ac:dyDescent="0.25"/>
  <cols>
    <col min="1" max="1" width="1.7109375" style="223" customWidth="1"/>
    <col min="2" max="2" width="11.7109375" style="223" customWidth="1"/>
    <col min="3" max="3" width="15.7109375" style="223" customWidth="1"/>
    <col min="4" max="4" width="30.7109375" style="223" customWidth="1"/>
    <col min="5" max="5" width="7.7109375" style="223" customWidth="1"/>
    <col min="6" max="6" width="1.7109375" style="223" customWidth="1"/>
    <col min="7" max="7" width="10.7109375" style="223" customWidth="1"/>
    <col min="8" max="8" width="1.7109375" style="223" customWidth="1"/>
    <col min="9" max="9" width="10.7109375" style="223" customWidth="1"/>
    <col min="10" max="16384" width="9.140625" style="223"/>
  </cols>
  <sheetData>
    <row r="1" spans="2:9" ht="5.0999999999999996" customHeight="1" x14ac:dyDescent="0.25"/>
    <row r="2" spans="2:9" ht="14.1" customHeight="1" x14ac:dyDescent="0.25">
      <c r="B2" s="269" t="str">
        <f>DADOS!$B$3</f>
        <v>CLIENTE:</v>
      </c>
      <c r="C2" s="258" t="str">
        <f>DADOS!$C$3</f>
        <v>PREFEITURA MUNICIPAL DE JARDIM / MS</v>
      </c>
      <c r="D2" s="237"/>
      <c r="E2" s="237"/>
      <c r="F2" s="237"/>
      <c r="G2" s="237"/>
      <c r="H2" s="237"/>
      <c r="I2" s="240"/>
    </row>
    <row r="3" spans="2:9" ht="14.1" customHeight="1" x14ac:dyDescent="0.25">
      <c r="B3" s="270" t="str">
        <f>DADOS!$B$4</f>
        <v>ENDEREÇO:</v>
      </c>
      <c r="C3" s="259" t="str">
        <f>DADOS!$C$4</f>
        <v>RUA CEL. JUVÊNCIO, Nº 547 - CENTRO</v>
      </c>
      <c r="I3" s="241"/>
    </row>
    <row r="4" spans="2:9" ht="14.1" customHeight="1" x14ac:dyDescent="0.2">
      <c r="B4" s="63"/>
      <c r="C4" s="259"/>
      <c r="I4" s="241"/>
    </row>
    <row r="5" spans="2:9" ht="14.1" customHeight="1" x14ac:dyDescent="0.25">
      <c r="B5" s="270" t="str">
        <f>DADOS!$B$7</f>
        <v>OBRA:</v>
      </c>
      <c r="C5" s="259" t="str">
        <f>DADOS!$C$7</f>
        <v>PAVIMENTAÇÃO ASFÁLTICA E DRENAGEM DE ÁGUAS PLUVIAIS</v>
      </c>
      <c r="I5" s="241"/>
    </row>
    <row r="6" spans="2:9" ht="14.1" customHeight="1" x14ac:dyDescent="0.25">
      <c r="B6" s="260" t="str">
        <f>DADOS!$B$8</f>
        <v>LOCAL:</v>
      </c>
      <c r="C6" s="261" t="str">
        <f>DADOS!$C$8</f>
        <v>RUA RUBI, JARDIM / MS</v>
      </c>
      <c r="D6" s="242"/>
      <c r="E6" s="242"/>
      <c r="F6" s="242"/>
      <c r="G6" s="242"/>
      <c r="H6" s="242"/>
      <c r="I6" s="243"/>
    </row>
    <row r="7" spans="2:9" ht="5.0999999999999996" customHeight="1" x14ac:dyDescent="0.25"/>
    <row r="8" spans="2:9" ht="30" customHeight="1" x14ac:dyDescent="0.25">
      <c r="B8" s="376" t="s">
        <v>46</v>
      </c>
      <c r="C8" s="377"/>
      <c r="D8" s="377"/>
      <c r="E8" s="378"/>
      <c r="F8" s="225"/>
      <c r="G8" s="229">
        <v>1</v>
      </c>
      <c r="H8" s="225"/>
      <c r="I8" s="226" t="s">
        <v>5</v>
      </c>
    </row>
    <row r="9" spans="2:9" ht="5.0999999999999996" customHeight="1" x14ac:dyDescent="0.25">
      <c r="C9" s="224"/>
      <c r="D9" s="224"/>
      <c r="E9" s="224"/>
      <c r="F9" s="224"/>
      <c r="G9" s="224"/>
      <c r="H9" s="224"/>
      <c r="I9" s="224"/>
    </row>
    <row r="10" spans="2:9" ht="14.1" customHeight="1" x14ac:dyDescent="0.25">
      <c r="B10" s="362" t="s">
        <v>423</v>
      </c>
      <c r="C10" s="378" t="s">
        <v>47</v>
      </c>
      <c r="D10" s="358"/>
      <c r="E10" s="358"/>
      <c r="F10" s="224"/>
      <c r="G10" s="216">
        <v>12</v>
      </c>
      <c r="I10" s="231">
        <f>SUM(F10:H10)</f>
        <v>12</v>
      </c>
    </row>
    <row r="11" spans="2:9" ht="14.1" customHeight="1" x14ac:dyDescent="0.25">
      <c r="B11" s="363"/>
      <c r="C11" s="378" t="s">
        <v>48</v>
      </c>
      <c r="D11" s="358"/>
      <c r="E11" s="358"/>
      <c r="F11" s="224"/>
      <c r="G11" s="216">
        <v>1.5</v>
      </c>
      <c r="I11" s="232"/>
    </row>
    <row r="12" spans="2:9" ht="14.1" customHeight="1" x14ac:dyDescent="0.25">
      <c r="B12" s="363"/>
      <c r="C12" s="378" t="s">
        <v>49</v>
      </c>
      <c r="D12" s="358"/>
      <c r="E12" s="358"/>
      <c r="F12" s="224"/>
      <c r="G12" s="217">
        <v>2</v>
      </c>
      <c r="I12" s="233"/>
    </row>
    <row r="13" spans="2:9" ht="14.1" customHeight="1" x14ac:dyDescent="0.25">
      <c r="B13" s="363"/>
      <c r="C13" s="378" t="s">
        <v>315</v>
      </c>
      <c r="D13" s="358"/>
      <c r="E13" s="358"/>
      <c r="F13" s="224"/>
      <c r="G13" s="217" t="s">
        <v>91</v>
      </c>
      <c r="I13" s="233"/>
    </row>
    <row r="14" spans="2:9" ht="14.1" customHeight="1" x14ac:dyDescent="0.25">
      <c r="B14" s="363"/>
      <c r="C14" s="378" t="s">
        <v>50</v>
      </c>
      <c r="D14" s="358"/>
      <c r="E14" s="358"/>
      <c r="F14" s="224"/>
      <c r="G14" s="218" t="str">
        <f t="shared" ref="G14" si="0">IF(G11&gt;0.7,"PA-1","PS-1")</f>
        <v>PA-1</v>
      </c>
      <c r="I14" s="233"/>
    </row>
    <row r="15" spans="2:9" ht="14.1" customHeight="1" x14ac:dyDescent="0.25">
      <c r="B15" s="363"/>
      <c r="C15" s="378" t="s">
        <v>51</v>
      </c>
      <c r="D15" s="358" t="s">
        <v>52</v>
      </c>
      <c r="E15" s="358"/>
      <c r="F15" s="224"/>
      <c r="G15" s="216">
        <v>2.4</v>
      </c>
      <c r="I15" s="233"/>
    </row>
    <row r="16" spans="2:9" ht="14.1" customHeight="1" x14ac:dyDescent="0.25">
      <c r="B16" s="363"/>
      <c r="C16" s="378"/>
      <c r="D16" s="358" t="s">
        <v>57</v>
      </c>
      <c r="E16" s="358"/>
      <c r="F16" s="224"/>
      <c r="G16" s="216">
        <v>2.4</v>
      </c>
      <c r="I16" s="233"/>
    </row>
    <row r="17" spans="2:9" ht="14.1" customHeight="1" x14ac:dyDescent="0.25">
      <c r="B17" s="363"/>
      <c r="C17" s="378"/>
      <c r="D17" s="358" t="s">
        <v>53</v>
      </c>
      <c r="E17" s="358"/>
      <c r="F17" s="224"/>
      <c r="G17" s="216">
        <f t="shared" ref="G17" si="1">ROUND(((G15+G16)/2),2)</f>
        <v>2.4</v>
      </c>
      <c r="I17" s="233"/>
    </row>
    <row r="18" spans="2:9" ht="14.1" customHeight="1" x14ac:dyDescent="0.25">
      <c r="B18" s="363"/>
      <c r="C18" s="378"/>
      <c r="D18" s="358" t="s">
        <v>54</v>
      </c>
      <c r="E18" s="358"/>
      <c r="F18" s="224"/>
      <c r="G18" s="216">
        <f t="shared" ref="G18" si="2">IF(G11=0,0,IF(G14="PVC",0,G11*0.21))</f>
        <v>0.315</v>
      </c>
      <c r="I18" s="233"/>
    </row>
    <row r="19" spans="2:9" ht="14.1" customHeight="1" x14ac:dyDescent="0.25">
      <c r="B19" s="363"/>
      <c r="C19" s="378"/>
      <c r="D19" s="358" t="s">
        <v>40</v>
      </c>
      <c r="E19" s="358"/>
      <c r="F19" s="224"/>
      <c r="G19" s="216">
        <f>G29+G31</f>
        <v>0.6</v>
      </c>
      <c r="I19" s="233"/>
    </row>
    <row r="20" spans="2:9" ht="14.1" customHeight="1" x14ac:dyDescent="0.25">
      <c r="B20" s="363"/>
      <c r="C20" s="378"/>
      <c r="D20" s="358" t="s">
        <v>55</v>
      </c>
      <c r="E20" s="358"/>
      <c r="F20" s="4"/>
      <c r="G20" s="216">
        <f t="shared" ref="G20" si="3">G17+G18+G19</f>
        <v>3.3149999999999999</v>
      </c>
      <c r="I20" s="233"/>
    </row>
    <row r="21" spans="2:9" ht="14.1" customHeight="1" x14ac:dyDescent="0.25">
      <c r="B21" s="363"/>
      <c r="C21" s="378" t="s">
        <v>56</v>
      </c>
      <c r="D21" s="358"/>
      <c r="E21" s="358"/>
      <c r="F21" s="4"/>
      <c r="G21" s="235">
        <v>3</v>
      </c>
      <c r="I21" s="234"/>
    </row>
    <row r="22" spans="2:9" ht="5.0999999999999996" customHeight="1" x14ac:dyDescent="0.25">
      <c r="B22" s="363"/>
      <c r="C22" s="224"/>
      <c r="D22" s="224"/>
      <c r="E22" s="224"/>
      <c r="F22" s="224"/>
      <c r="G22" s="224"/>
      <c r="H22" s="224"/>
      <c r="I22" s="224"/>
    </row>
    <row r="23" spans="2:9" ht="14.1" customHeight="1" x14ac:dyDescent="0.25">
      <c r="B23" s="363"/>
      <c r="C23" s="356" t="s">
        <v>432</v>
      </c>
      <c r="D23" s="358" t="s">
        <v>311</v>
      </c>
      <c r="E23" s="358"/>
      <c r="G23" s="216">
        <f>TRUNC(('Cubação Terrapl'!J19),2)</f>
        <v>1058.3699999999999</v>
      </c>
      <c r="I23" s="231">
        <f>SUM(F23:H23)</f>
        <v>1058.3699999999999</v>
      </c>
    </row>
    <row r="24" spans="2:9" ht="14.1" customHeight="1" x14ac:dyDescent="0.25">
      <c r="B24" s="363"/>
      <c r="C24" s="379"/>
      <c r="D24" s="358" t="s">
        <v>68</v>
      </c>
      <c r="E24" s="358"/>
      <c r="G24" s="236">
        <f>TRUNC((G23*1.3),2)</f>
        <v>1375.88</v>
      </c>
      <c r="I24" s="231">
        <f t="shared" ref="I24:I26" si="4">SUM(F24:H24)</f>
        <v>1375.88</v>
      </c>
    </row>
    <row r="25" spans="2:9" ht="14.1" customHeight="1" x14ac:dyDescent="0.25">
      <c r="B25" s="363"/>
      <c r="C25" s="379"/>
      <c r="D25" s="227" t="s">
        <v>67</v>
      </c>
      <c r="E25" s="230">
        <f>'Resumo DMT''s'!$E$13</f>
        <v>4.9000000000000004</v>
      </c>
      <c r="G25" s="236">
        <f>TRUNC((G24*$E$25),2)</f>
        <v>6741.81</v>
      </c>
      <c r="I25" s="231">
        <f t="shared" si="4"/>
        <v>6741.81</v>
      </c>
    </row>
    <row r="26" spans="2:9" ht="14.1" customHeight="1" x14ac:dyDescent="0.25">
      <c r="B26" s="363"/>
      <c r="C26" s="379"/>
      <c r="D26" s="358" t="s">
        <v>312</v>
      </c>
      <c r="E26" s="358"/>
      <c r="G26" s="286">
        <f>G24</f>
        <v>1375.88</v>
      </c>
      <c r="I26" s="285">
        <f t="shared" si="4"/>
        <v>1375.88</v>
      </c>
    </row>
    <row r="27" spans="2:9" ht="14.1" customHeight="1" x14ac:dyDescent="0.25">
      <c r="B27" s="363"/>
      <c r="C27" s="357"/>
      <c r="D27" s="358" t="s">
        <v>424</v>
      </c>
      <c r="E27" s="358"/>
      <c r="G27" s="236">
        <f>TRUNC(('Cubação Terrapl'!K19),2)</f>
        <v>508.2</v>
      </c>
      <c r="I27" s="231">
        <f t="shared" ref="I27" si="5">SUM(F27:H27)</f>
        <v>508.2</v>
      </c>
    </row>
    <row r="28" spans="2:9" ht="5.0999999999999996" customHeight="1" x14ac:dyDescent="0.25">
      <c r="B28" s="363"/>
    </row>
    <row r="29" spans="2:9" ht="14.1" customHeight="1" x14ac:dyDescent="0.25">
      <c r="B29" s="363"/>
      <c r="C29" s="378" t="s">
        <v>63</v>
      </c>
      <c r="D29" s="358" t="s">
        <v>64</v>
      </c>
      <c r="E29" s="358"/>
      <c r="G29" s="236">
        <v>0.1</v>
      </c>
      <c r="I29" s="238"/>
    </row>
    <row r="30" spans="2:9" ht="14.1" customHeight="1" x14ac:dyDescent="0.25">
      <c r="B30" s="363"/>
      <c r="C30" s="378"/>
      <c r="D30" s="358" t="s">
        <v>65</v>
      </c>
      <c r="E30" s="358"/>
      <c r="G30" s="236">
        <f>TRUNC((144*G29),2)</f>
        <v>14.4</v>
      </c>
      <c r="I30" s="231">
        <f t="shared" ref="I30:I37" si="6">SUM(F30:H30)</f>
        <v>14.4</v>
      </c>
    </row>
    <row r="31" spans="2:9" ht="14.1" customHeight="1" x14ac:dyDescent="0.25">
      <c r="B31" s="363"/>
      <c r="C31" s="378" t="s">
        <v>66</v>
      </c>
      <c r="D31" s="358" t="s">
        <v>64</v>
      </c>
      <c r="E31" s="358"/>
      <c r="G31" s="236">
        <v>0.5</v>
      </c>
      <c r="I31" s="238"/>
    </row>
    <row r="32" spans="2:9" ht="14.1" customHeight="1" x14ac:dyDescent="0.25">
      <c r="B32" s="363"/>
      <c r="C32" s="378"/>
      <c r="D32" s="358" t="s">
        <v>65</v>
      </c>
      <c r="E32" s="358"/>
      <c r="G32" s="236">
        <f>TRUNC((144*G31),2)</f>
        <v>72</v>
      </c>
      <c r="I32" s="231">
        <f t="shared" ref="I32" si="7">SUM(F32:H32)</f>
        <v>72</v>
      </c>
    </row>
    <row r="33" spans="2:9" ht="14.1" customHeight="1" x14ac:dyDescent="0.25">
      <c r="B33" s="363"/>
      <c r="C33" s="378" t="s">
        <v>425</v>
      </c>
      <c r="D33" s="358" t="s">
        <v>64</v>
      </c>
      <c r="E33" s="358"/>
      <c r="G33" s="236">
        <v>0.1</v>
      </c>
      <c r="I33" s="238"/>
    </row>
    <row r="34" spans="2:9" ht="14.1" customHeight="1" x14ac:dyDescent="0.25">
      <c r="B34" s="363"/>
      <c r="C34" s="378"/>
      <c r="D34" s="358" t="s">
        <v>65</v>
      </c>
      <c r="E34" s="358"/>
      <c r="G34" s="236">
        <f>TRUNC((144*G33),2)</f>
        <v>14.4</v>
      </c>
      <c r="I34" s="231">
        <f t="shared" ref="I34:I35" si="8">SUM(F34:H34)</f>
        <v>14.4</v>
      </c>
    </row>
    <row r="35" spans="2:9" ht="14.1" customHeight="1" x14ac:dyDescent="0.25">
      <c r="B35" s="363"/>
      <c r="C35" s="376" t="s">
        <v>426</v>
      </c>
      <c r="D35" s="377"/>
      <c r="E35" s="378"/>
      <c r="G35" s="236">
        <f>G34</f>
        <v>14.4</v>
      </c>
      <c r="I35" s="231">
        <f t="shared" si="8"/>
        <v>14.4</v>
      </c>
    </row>
    <row r="36" spans="2:9" ht="14.1" customHeight="1" x14ac:dyDescent="0.25">
      <c r="B36" s="363"/>
      <c r="C36" s="378" t="s">
        <v>313</v>
      </c>
      <c r="D36" s="358"/>
      <c r="E36" s="230">
        <f>IF('Resumo DMT''s'!$E$14&gt;30,30,'Resumo DMT''s'!$E$14)</f>
        <v>30</v>
      </c>
      <c r="G36" s="236">
        <f>TRUNC(((G30+G32+G34)*$E$36),2)</f>
        <v>3024</v>
      </c>
      <c r="I36" s="231">
        <f t="shared" si="6"/>
        <v>3024</v>
      </c>
    </row>
    <row r="37" spans="2:9" ht="14.1" customHeight="1" x14ac:dyDescent="0.25">
      <c r="B37" s="364"/>
      <c r="C37" s="378" t="s">
        <v>313</v>
      </c>
      <c r="D37" s="358"/>
      <c r="E37" s="230">
        <f>IF('Resumo DMT''s'!$E$14&gt;30,'Resumo DMT''s'!$E$14-30,0)</f>
        <v>23.6</v>
      </c>
      <c r="G37" s="236">
        <f>TRUNC(((G30+G32+G34)*$E$37),2)</f>
        <v>2378.88</v>
      </c>
      <c r="I37" s="231">
        <f t="shared" si="6"/>
        <v>2378.88</v>
      </c>
    </row>
    <row r="41" spans="2:9" ht="12.75" customHeight="1" x14ac:dyDescent="0.25"/>
    <row r="47" spans="2:9" ht="12.75" customHeight="1" x14ac:dyDescent="0.25"/>
    <row r="56" ht="12.75" customHeight="1" x14ac:dyDescent="0.25"/>
    <row r="58" ht="12.75" customHeight="1" x14ac:dyDescent="0.25"/>
    <row r="60" ht="12.75" customHeight="1" x14ac:dyDescent="0.25"/>
    <row r="62" ht="12.75" customHeight="1" x14ac:dyDescent="0.25"/>
    <row r="63" ht="12.75" customHeight="1" x14ac:dyDescent="0.25"/>
  </sheetData>
  <mergeCells count="32">
    <mergeCell ref="D15:E15"/>
    <mergeCell ref="D16:E16"/>
    <mergeCell ref="D17:E17"/>
    <mergeCell ref="D18:E18"/>
    <mergeCell ref="D19:E19"/>
    <mergeCell ref="D20:E20"/>
    <mergeCell ref="C21:E21"/>
    <mergeCell ref="C23:C27"/>
    <mergeCell ref="B8:E8"/>
    <mergeCell ref="B10:B37"/>
    <mergeCell ref="C10:E10"/>
    <mergeCell ref="C11:E11"/>
    <mergeCell ref="C12:E12"/>
    <mergeCell ref="D23:E23"/>
    <mergeCell ref="D24:E24"/>
    <mergeCell ref="D26:E26"/>
    <mergeCell ref="C37:D37"/>
    <mergeCell ref="C13:E13"/>
    <mergeCell ref="C14:E14"/>
    <mergeCell ref="C15:C20"/>
    <mergeCell ref="C35:E35"/>
    <mergeCell ref="C36:D36"/>
    <mergeCell ref="D27:E27"/>
    <mergeCell ref="C29:C30"/>
    <mergeCell ref="D29:E29"/>
    <mergeCell ref="D30:E30"/>
    <mergeCell ref="C33:C34"/>
    <mergeCell ref="D33:E33"/>
    <mergeCell ref="D34:E34"/>
    <mergeCell ref="C31:C32"/>
    <mergeCell ref="D31:E31"/>
    <mergeCell ref="D32:E32"/>
  </mergeCells>
  <printOptions horizontalCentered="1"/>
  <pageMargins left="0.59055118110236227" right="0.39370078740157483" top="0.39370078740157483" bottom="0.98425196850393704" header="0.31496062992125984" footer="0.31496062992125984"/>
  <pageSetup paperSize="9" scale="81" orientation="landscape" r:id="rId1"/>
  <headerFooter>
    <oddFooter>&amp;L&amp;"Palatino Linotype,Negrito"&amp;8Rua Antônio Maria Coelho, 4.017 | Santa Fé
Campo Grande - MS | 79021-170
(67) 2525 0350 | elemento@elementoms.com.br&amp;C&amp;"Palatino Linotype,Negrito"&amp;8&amp;P/&amp;N&amp;R&amp;G</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tabColor rgb="FF00B050"/>
  </sheetPr>
  <dimension ref="B1:K43"/>
  <sheetViews>
    <sheetView showGridLines="0" view="pageBreakPreview" zoomScaleSheetLayoutView="100" workbookViewId="0">
      <pane ySplit="8" topLeftCell="A9" activePane="bottomLeft" state="frozen"/>
      <selection activeCell="B2" sqref="B2"/>
      <selection pane="bottomLeft" activeCell="M16" sqref="M16"/>
    </sheetView>
  </sheetViews>
  <sheetFormatPr defaultRowHeight="12.75" x14ac:dyDescent="0.25"/>
  <cols>
    <col min="1" max="1" width="1.7109375" style="4" customWidth="1"/>
    <col min="2" max="2" width="11.7109375" style="4" customWidth="1"/>
    <col min="3" max="3" width="16.7109375" style="4" customWidth="1"/>
    <col min="4" max="4" width="40.7109375" style="4" customWidth="1"/>
    <col min="5" max="5" width="7.7109375" style="4" customWidth="1"/>
    <col min="6" max="6" width="1.7109375" style="4" customWidth="1"/>
    <col min="7" max="7" width="10.7109375" style="4" customWidth="1"/>
    <col min="8" max="8" width="1.7109375" style="4" customWidth="1"/>
    <col min="9" max="16384" width="9.140625" style="4"/>
  </cols>
  <sheetData>
    <row r="1" spans="2:9" ht="5.0999999999999996" customHeight="1" x14ac:dyDescent="0.25"/>
    <row r="2" spans="2:9" ht="14.1" customHeight="1" x14ac:dyDescent="0.25">
      <c r="B2" s="80" t="str">
        <f>DADOS!$B$3</f>
        <v>CLIENTE:</v>
      </c>
      <c r="C2" s="61" t="str">
        <f>DADOS!$C$3</f>
        <v>PREFEITURA MUNICIPAL DE JARDIM / MS</v>
      </c>
      <c r="D2" s="28"/>
      <c r="E2" s="28"/>
      <c r="F2" s="28"/>
      <c r="G2" s="28"/>
      <c r="H2" s="28"/>
      <c r="I2" s="31"/>
    </row>
    <row r="3" spans="2:9" ht="14.1" customHeight="1" x14ac:dyDescent="0.25">
      <c r="B3" s="81" t="str">
        <f>DADOS!$B$4</f>
        <v>ENDEREÇO:</v>
      </c>
      <c r="C3" s="62" t="str">
        <f>DADOS!$C$4</f>
        <v>RUA CEL. JUVÊNCIO, Nº 547 - CENTRO</v>
      </c>
      <c r="I3" s="32"/>
    </row>
    <row r="4" spans="2:9" ht="14.1" customHeight="1" x14ac:dyDescent="0.2">
      <c r="B4" s="63"/>
      <c r="C4" s="62"/>
      <c r="I4" s="32"/>
    </row>
    <row r="5" spans="2:9" ht="14.1" customHeight="1" x14ac:dyDescent="0.25">
      <c r="B5" s="81" t="str">
        <f>DADOS!$B$7</f>
        <v>OBRA:</v>
      </c>
      <c r="C5" s="62" t="str">
        <f>DADOS!$C$7</f>
        <v>PAVIMENTAÇÃO ASFÁLTICA E DRENAGEM DE ÁGUAS PLUVIAIS</v>
      </c>
      <c r="I5" s="32"/>
    </row>
    <row r="6" spans="2:9" ht="14.1" customHeight="1" x14ac:dyDescent="0.25">
      <c r="B6" s="64" t="str">
        <f>DADOS!$B$8</f>
        <v>LOCAL:</v>
      </c>
      <c r="C6" s="65" t="str">
        <f>DADOS!$C$8</f>
        <v>RUA RUBI, JARDIM / MS</v>
      </c>
      <c r="D6" s="33"/>
      <c r="E6" s="33"/>
      <c r="F6" s="33"/>
      <c r="G6" s="33"/>
      <c r="H6" s="33"/>
      <c r="I6" s="34"/>
    </row>
    <row r="7" spans="2:9" ht="5.0999999999999996" customHeight="1" x14ac:dyDescent="0.25"/>
    <row r="8" spans="2:9" ht="30" customHeight="1" x14ac:dyDescent="0.25">
      <c r="B8" s="376" t="s">
        <v>46</v>
      </c>
      <c r="C8" s="377"/>
      <c r="D8" s="377"/>
      <c r="E8" s="378"/>
      <c r="F8" s="9"/>
      <c r="G8" s="13">
        <f>'Dre-Terraplenagem'!G8</f>
        <v>1</v>
      </c>
      <c r="H8" s="9"/>
      <c r="I8" s="10" t="s">
        <v>5</v>
      </c>
    </row>
    <row r="9" spans="2:9" ht="5.0999999999999996" customHeight="1" x14ac:dyDescent="0.25"/>
    <row r="10" spans="2:9" ht="14.1" customHeight="1" x14ac:dyDescent="0.25">
      <c r="B10" s="362" t="s">
        <v>69</v>
      </c>
      <c r="C10" s="378" t="s">
        <v>47</v>
      </c>
      <c r="D10" s="358"/>
      <c r="E10" s="358"/>
      <c r="G10" s="21">
        <f>'Dre-Terraplenagem'!G10</f>
        <v>12</v>
      </c>
      <c r="I10" s="15">
        <f>SUM(F10:H10)</f>
        <v>12</v>
      </c>
    </row>
    <row r="11" spans="2:9" ht="14.1" customHeight="1" x14ac:dyDescent="0.25">
      <c r="B11" s="363"/>
      <c r="C11" s="378" t="s">
        <v>48</v>
      </c>
      <c r="D11" s="358"/>
      <c r="E11" s="358"/>
      <c r="G11" s="283">
        <f>'Dre-Terraplenagem'!G11</f>
        <v>1.5</v>
      </c>
      <c r="I11" s="16"/>
    </row>
    <row r="12" spans="2:9" ht="14.1" customHeight="1" x14ac:dyDescent="0.25">
      <c r="B12" s="363"/>
      <c r="C12" s="378" t="s">
        <v>49</v>
      </c>
      <c r="D12" s="358"/>
      <c r="E12" s="358"/>
      <c r="G12" s="283">
        <f>'Dre-Terraplenagem'!G12</f>
        <v>2</v>
      </c>
      <c r="I12" s="17"/>
    </row>
    <row r="13" spans="2:9" ht="14.1" customHeight="1" x14ac:dyDescent="0.25">
      <c r="B13" s="363"/>
      <c r="C13" s="378" t="s">
        <v>315</v>
      </c>
      <c r="D13" s="358"/>
      <c r="E13" s="358"/>
      <c r="G13" s="283" t="str">
        <f>'Dre-Terraplenagem'!G13</f>
        <v>C</v>
      </c>
      <c r="I13" s="17"/>
    </row>
    <row r="14" spans="2:9" ht="14.1" customHeight="1" x14ac:dyDescent="0.25">
      <c r="B14" s="363"/>
      <c r="C14" s="378" t="s">
        <v>50</v>
      </c>
      <c r="D14" s="358"/>
      <c r="E14" s="358"/>
      <c r="G14" s="283" t="str">
        <f>'Dre-Terraplenagem'!G14</f>
        <v>PA-1</v>
      </c>
      <c r="I14" s="17"/>
    </row>
    <row r="15" spans="2:9" ht="14.1" customHeight="1" x14ac:dyDescent="0.25">
      <c r="B15" s="363"/>
      <c r="C15" s="378" t="s">
        <v>51</v>
      </c>
      <c r="D15" s="358" t="s">
        <v>52</v>
      </c>
      <c r="E15" s="358"/>
      <c r="G15" s="283">
        <f>'Dre-Terraplenagem'!G15</f>
        <v>2.4</v>
      </c>
      <c r="I15" s="17"/>
    </row>
    <row r="16" spans="2:9" ht="14.1" customHeight="1" x14ac:dyDescent="0.25">
      <c r="B16" s="363"/>
      <c r="C16" s="378"/>
      <c r="D16" s="358" t="s">
        <v>57</v>
      </c>
      <c r="E16" s="358"/>
      <c r="G16" s="283">
        <f>'Dre-Terraplenagem'!G16</f>
        <v>2.4</v>
      </c>
      <c r="I16" s="17"/>
    </row>
    <row r="17" spans="2:11" ht="14.1" customHeight="1" x14ac:dyDescent="0.25">
      <c r="B17" s="363"/>
      <c r="C17" s="378"/>
      <c r="D17" s="358" t="s">
        <v>53</v>
      </c>
      <c r="E17" s="358"/>
      <c r="G17" s="283">
        <f>'Dre-Terraplenagem'!G17</f>
        <v>2.4</v>
      </c>
      <c r="I17" s="17"/>
    </row>
    <row r="18" spans="2:11" ht="14.1" customHeight="1" x14ac:dyDescent="0.25">
      <c r="B18" s="363"/>
      <c r="C18" s="378"/>
      <c r="D18" s="358" t="s">
        <v>54</v>
      </c>
      <c r="E18" s="358"/>
      <c r="G18" s="283">
        <f>'Dre-Terraplenagem'!G18</f>
        <v>0.315</v>
      </c>
      <c r="I18" s="17"/>
    </row>
    <row r="19" spans="2:11" ht="14.1" customHeight="1" x14ac:dyDescent="0.25">
      <c r="B19" s="363"/>
      <c r="C19" s="378"/>
      <c r="D19" s="358" t="s">
        <v>40</v>
      </c>
      <c r="E19" s="358"/>
      <c r="G19" s="283">
        <f>'Dre-Terraplenagem'!G19</f>
        <v>0.6</v>
      </c>
      <c r="I19" s="17"/>
    </row>
    <row r="20" spans="2:11" ht="14.1" customHeight="1" x14ac:dyDescent="0.25">
      <c r="B20" s="363"/>
      <c r="C20" s="378"/>
      <c r="D20" s="358" t="s">
        <v>55</v>
      </c>
      <c r="E20" s="358"/>
      <c r="G20" s="283">
        <f>'Dre-Terraplenagem'!G20</f>
        <v>3.3149999999999999</v>
      </c>
      <c r="I20" s="17"/>
    </row>
    <row r="21" spans="2:11" ht="14.1" customHeight="1" x14ac:dyDescent="0.25">
      <c r="B21" s="363"/>
      <c r="C21" s="378" t="s">
        <v>56</v>
      </c>
      <c r="D21" s="358"/>
      <c r="E21" s="358"/>
      <c r="G21" s="283">
        <f>'Dre-Terraplenagem'!G21</f>
        <v>3</v>
      </c>
      <c r="I21" s="18"/>
    </row>
    <row r="22" spans="2:11" ht="5.0999999999999996" customHeight="1" x14ac:dyDescent="0.25">
      <c r="B22" s="363"/>
    </row>
    <row r="23" spans="2:11" ht="14.1" customHeight="1" x14ac:dyDescent="0.25">
      <c r="B23" s="363"/>
      <c r="C23" s="277" t="s">
        <v>70</v>
      </c>
      <c r="D23" s="358" t="s">
        <v>71</v>
      </c>
      <c r="E23" s="358"/>
      <c r="G23" s="21">
        <f>IF(AND(G11&gt;0,G11=1.5,G13="C"),G10*G12,0)</f>
        <v>24</v>
      </c>
      <c r="I23" s="15">
        <f>SUM(F23:H23)</f>
        <v>24</v>
      </c>
    </row>
    <row r="24" spans="2:11" ht="5.0999999999999996" customHeight="1" x14ac:dyDescent="0.25">
      <c r="B24" s="363"/>
    </row>
    <row r="25" spans="2:11" ht="14.1" customHeight="1" x14ac:dyDescent="0.25">
      <c r="B25" s="363"/>
      <c r="C25" s="277" t="s">
        <v>72</v>
      </c>
      <c r="D25" s="358" t="s">
        <v>71</v>
      </c>
      <c r="E25" s="358"/>
      <c r="G25" s="210">
        <f>G23</f>
        <v>24</v>
      </c>
      <c r="I25" s="198">
        <f>SUM(F25:H25)</f>
        <v>24</v>
      </c>
    </row>
    <row r="26" spans="2:11" ht="5.0999999999999996" customHeight="1" x14ac:dyDescent="0.25">
      <c r="B26" s="363"/>
    </row>
    <row r="27" spans="2:11" ht="14.1" hidden="1" customHeight="1" x14ac:dyDescent="0.25">
      <c r="B27" s="363"/>
      <c r="C27" s="277" t="s">
        <v>73</v>
      </c>
      <c r="D27" s="368" t="s">
        <v>363</v>
      </c>
      <c r="E27" s="368"/>
      <c r="G27" s="93">
        <f>1933.33/1000</f>
        <v>1.93333</v>
      </c>
      <c r="I27" s="17"/>
      <c r="K27" s="91"/>
    </row>
    <row r="28" spans="2:11" ht="14.1" customHeight="1" x14ac:dyDescent="0.25">
      <c r="B28" s="363"/>
      <c r="C28" s="219"/>
      <c r="D28" s="358" t="s">
        <v>189</v>
      </c>
      <c r="E28" s="358"/>
      <c r="G28" s="21">
        <f>TRUNC((G23*G27),2)</f>
        <v>46.39</v>
      </c>
      <c r="I28" s="15">
        <f>SUM(F28:H28)</f>
        <v>46.39</v>
      </c>
    </row>
    <row r="29" spans="2:11" ht="14.1" customHeight="1" x14ac:dyDescent="0.25">
      <c r="B29" s="363"/>
      <c r="C29" s="378" t="s">
        <v>159</v>
      </c>
      <c r="D29" s="358"/>
      <c r="E29" s="14">
        <f>IF('Resumo DMT''s'!$E$15&gt;30,30,'Resumo DMT''s'!$E$15)</f>
        <v>3.6</v>
      </c>
      <c r="G29" s="21">
        <f>TRUNC((G28*$E$29),2)</f>
        <v>167</v>
      </c>
      <c r="I29" s="15">
        <f>SUM(F29:H29)</f>
        <v>167</v>
      </c>
    </row>
    <row r="30" spans="2:11" ht="5.0999999999999996" customHeight="1" x14ac:dyDescent="0.25">
      <c r="B30" s="363"/>
      <c r="C30" s="177"/>
      <c r="D30" s="174"/>
      <c r="E30" s="174"/>
    </row>
    <row r="31" spans="2:11" ht="14.1" hidden="1" customHeight="1" x14ac:dyDescent="0.25">
      <c r="B31" s="363"/>
      <c r="C31" s="378" t="s">
        <v>75</v>
      </c>
      <c r="D31" s="368" t="s">
        <v>191</v>
      </c>
      <c r="E31" s="368"/>
      <c r="G31" s="93">
        <v>0.58720000000000006</v>
      </c>
      <c r="I31" s="30"/>
    </row>
    <row r="32" spans="2:11" ht="14.1" customHeight="1" x14ac:dyDescent="0.25">
      <c r="B32" s="363"/>
      <c r="C32" s="378"/>
      <c r="D32" s="358" t="s">
        <v>76</v>
      </c>
      <c r="E32" s="358"/>
      <c r="G32" s="217">
        <v>2</v>
      </c>
      <c r="I32" s="22">
        <f>SUM(F32:H32)</f>
        <v>2</v>
      </c>
    </row>
    <row r="33" spans="2:9" ht="14.1" hidden="1" customHeight="1" x14ac:dyDescent="0.25">
      <c r="B33" s="363"/>
      <c r="C33" s="378"/>
      <c r="D33" s="368" t="s">
        <v>192</v>
      </c>
      <c r="E33" s="368"/>
      <c r="G33" s="92">
        <v>1.8149999999999999</v>
      </c>
      <c r="I33" s="30"/>
    </row>
    <row r="34" spans="2:9" ht="14.1" customHeight="1" x14ac:dyDescent="0.25">
      <c r="B34" s="363"/>
      <c r="C34" s="378"/>
      <c r="D34" s="358" t="s">
        <v>79</v>
      </c>
      <c r="E34" s="358"/>
      <c r="G34" s="21">
        <f>TRUNC((G32*G31*G33),2)</f>
        <v>2.13</v>
      </c>
      <c r="I34" s="15">
        <f>SUM(F34:H34)</f>
        <v>2.13</v>
      </c>
    </row>
    <row r="35" spans="2:9" ht="14.1" customHeight="1" x14ac:dyDescent="0.25">
      <c r="B35" s="363"/>
      <c r="C35" s="378"/>
      <c r="D35" s="11" t="s">
        <v>74</v>
      </c>
      <c r="E35" s="14">
        <f>IF('Resumo DMT''s'!$E$14&gt;30,30,'Resumo DMT''s'!$E$14)</f>
        <v>30</v>
      </c>
      <c r="G35" s="21">
        <f>TRUNC((G34*$E$35),2)</f>
        <v>63.9</v>
      </c>
      <c r="I35" s="15">
        <f>SUM(F35:H35)</f>
        <v>63.9</v>
      </c>
    </row>
    <row r="36" spans="2:9" ht="14.1" customHeight="1" x14ac:dyDescent="0.25">
      <c r="B36" s="363"/>
      <c r="C36" s="378"/>
      <c r="D36" s="11" t="s">
        <v>74</v>
      </c>
      <c r="E36" s="14">
        <f>IF('Resumo DMT''s'!$E$14&gt;30,'Resumo DMT''s'!$E$14-30,0)</f>
        <v>23.6</v>
      </c>
      <c r="G36" s="21">
        <f>TRUNC((G34*$E$36),2)</f>
        <v>50.26</v>
      </c>
      <c r="I36" s="15">
        <f>SUM(F36:H36)</f>
        <v>50.26</v>
      </c>
    </row>
    <row r="37" spans="2:9" ht="5.0999999999999996" customHeight="1" x14ac:dyDescent="0.25">
      <c r="B37" s="363"/>
      <c r="C37" s="177"/>
      <c r="D37" s="174"/>
      <c r="E37" s="174"/>
    </row>
    <row r="38" spans="2:9" ht="14.1" hidden="1" customHeight="1" x14ac:dyDescent="0.25">
      <c r="B38" s="363"/>
      <c r="C38" s="378" t="s">
        <v>77</v>
      </c>
      <c r="D38" s="368" t="s">
        <v>193</v>
      </c>
      <c r="E38" s="368"/>
      <c r="G38" s="92">
        <v>0.94499999999999995</v>
      </c>
      <c r="I38" s="30"/>
    </row>
    <row r="39" spans="2:9" ht="14.1" customHeight="1" x14ac:dyDescent="0.25">
      <c r="B39" s="363"/>
      <c r="C39" s="378"/>
      <c r="D39" s="358" t="s">
        <v>78</v>
      </c>
      <c r="E39" s="358"/>
      <c r="G39" s="217">
        <v>2</v>
      </c>
      <c r="I39" s="22">
        <f>SUM(F39:H39)</f>
        <v>2</v>
      </c>
    </row>
    <row r="40" spans="2:9" ht="14.1" hidden="1" customHeight="1" x14ac:dyDescent="0.25">
      <c r="B40" s="363"/>
      <c r="C40" s="378"/>
      <c r="D40" s="368" t="s">
        <v>194</v>
      </c>
      <c r="E40" s="368"/>
      <c r="G40" s="92">
        <v>8.9499999999999993</v>
      </c>
      <c r="I40" s="30"/>
    </row>
    <row r="41" spans="2:9" ht="14.1" customHeight="1" x14ac:dyDescent="0.25">
      <c r="B41" s="363"/>
      <c r="C41" s="378"/>
      <c r="D41" s="358" t="s">
        <v>80</v>
      </c>
      <c r="E41" s="358"/>
      <c r="G41" s="21">
        <f>TRUNC((G39*G38*G40),2)</f>
        <v>16.91</v>
      </c>
      <c r="I41" s="15">
        <f>SUM(F41:H41)</f>
        <v>16.91</v>
      </c>
    </row>
    <row r="42" spans="2:9" ht="14.1" customHeight="1" x14ac:dyDescent="0.25">
      <c r="B42" s="363"/>
      <c r="C42" s="378"/>
      <c r="D42" s="11" t="s">
        <v>74</v>
      </c>
      <c r="E42" s="14">
        <f>IF('Resumo DMT''s'!$E$14&gt;30,30,'Resumo DMT''s'!$E$14)</f>
        <v>30</v>
      </c>
      <c r="G42" s="21">
        <f>TRUNC((G41*$E$42),2)</f>
        <v>507.3</v>
      </c>
      <c r="I42" s="15">
        <f>SUM(F42:H42)</f>
        <v>507.3</v>
      </c>
    </row>
    <row r="43" spans="2:9" ht="14.1" customHeight="1" x14ac:dyDescent="0.25">
      <c r="B43" s="364"/>
      <c r="C43" s="378"/>
      <c r="D43" s="11" t="s">
        <v>74</v>
      </c>
      <c r="E43" s="14">
        <f>IF('Resumo DMT''s'!$E$14&gt;30,'Resumo DMT''s'!$E$14-30,0)</f>
        <v>23.6</v>
      </c>
      <c r="G43" s="21">
        <f>TRUNC((G41*$E$43),2)</f>
        <v>399.07</v>
      </c>
      <c r="I43" s="15">
        <f>SUM(F43:H43)</f>
        <v>399.07</v>
      </c>
    </row>
  </sheetData>
  <mergeCells count="30">
    <mergeCell ref="B8:E8"/>
    <mergeCell ref="B10:B43"/>
    <mergeCell ref="C10:E10"/>
    <mergeCell ref="C11:E11"/>
    <mergeCell ref="C12:E12"/>
    <mergeCell ref="C21:E21"/>
    <mergeCell ref="C14:E14"/>
    <mergeCell ref="C15:C20"/>
    <mergeCell ref="D15:E15"/>
    <mergeCell ref="D16:E16"/>
    <mergeCell ref="D17:E17"/>
    <mergeCell ref="D18:E18"/>
    <mergeCell ref="D20:E20"/>
    <mergeCell ref="C29:D29"/>
    <mergeCell ref="D39:E39"/>
    <mergeCell ref="D41:E41"/>
    <mergeCell ref="D25:E25"/>
    <mergeCell ref="C13:E13"/>
    <mergeCell ref="D19:E19"/>
    <mergeCell ref="D23:E23"/>
    <mergeCell ref="D31:E31"/>
    <mergeCell ref="C31:C36"/>
    <mergeCell ref="D33:E33"/>
    <mergeCell ref="D27:E27"/>
    <mergeCell ref="C38:C43"/>
    <mergeCell ref="D38:E38"/>
    <mergeCell ref="D28:E28"/>
    <mergeCell ref="D32:E32"/>
    <mergeCell ref="D34:E34"/>
    <mergeCell ref="D40:E40"/>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5">
    <tabColor rgb="FF00B050"/>
  </sheetPr>
  <dimension ref="B1:K51"/>
  <sheetViews>
    <sheetView showGridLines="0" view="pageBreakPreview" zoomScaleSheetLayoutView="100" workbookViewId="0">
      <pane ySplit="8" topLeftCell="A27" activePane="bottomLeft" state="frozen"/>
      <selection activeCell="B2" sqref="B2"/>
      <selection pane="bottomLeft" activeCell="P32" sqref="P32"/>
    </sheetView>
  </sheetViews>
  <sheetFormatPr defaultRowHeight="12.75" x14ac:dyDescent="0.25"/>
  <cols>
    <col min="1" max="1" width="1.7109375" style="4" customWidth="1"/>
    <col min="2" max="2" width="11.7109375" style="4" customWidth="1"/>
    <col min="3" max="3" width="13.7109375" style="4" customWidth="1"/>
    <col min="4" max="4" width="10.7109375" style="4" customWidth="1"/>
    <col min="5" max="5" width="14.7109375" style="4" customWidth="1"/>
    <col min="6" max="6" width="22.7109375" style="4" customWidth="1"/>
    <col min="7" max="7" width="7.7109375" style="4" customWidth="1"/>
    <col min="8" max="8" width="1.7109375" style="4" customWidth="1"/>
    <col min="9" max="9" width="8.7109375" style="4" customWidth="1"/>
    <col min="10" max="10" width="1.7109375" style="4" customWidth="1"/>
    <col min="11" max="11" width="10.7109375" style="4" customWidth="1"/>
    <col min="12" max="16384" width="9.140625" style="4"/>
  </cols>
  <sheetData>
    <row r="1" spans="2:11" ht="5.0999999999999996" customHeight="1" x14ac:dyDescent="0.25"/>
    <row r="2" spans="2:11" ht="14.1" customHeight="1" x14ac:dyDescent="0.25">
      <c r="B2" s="80" t="str">
        <f>DADOS!$B$3</f>
        <v>CLIENTE:</v>
      </c>
      <c r="C2" s="61" t="str">
        <f>DADOS!$C$3</f>
        <v>PREFEITURA MUNICIPAL DE JARDIM / MS</v>
      </c>
      <c r="D2" s="35"/>
      <c r="E2" s="35"/>
      <c r="F2" s="28"/>
      <c r="G2" s="28"/>
      <c r="H2" s="28"/>
      <c r="I2" s="28"/>
      <c r="J2" s="28"/>
      <c r="K2" s="31"/>
    </row>
    <row r="3" spans="2:11" ht="14.1" customHeight="1" x14ac:dyDescent="0.25">
      <c r="B3" s="81" t="str">
        <f>DADOS!$B$4</f>
        <v>ENDEREÇO:</v>
      </c>
      <c r="C3" s="62" t="str">
        <f>DADOS!$C$4</f>
        <v>RUA CEL. JUVÊNCIO, Nº 547 - CENTRO</v>
      </c>
      <c r="D3" s="3"/>
      <c r="E3" s="3"/>
      <c r="K3" s="32"/>
    </row>
    <row r="4" spans="2:11" ht="14.1" customHeight="1" x14ac:dyDescent="0.2">
      <c r="B4" s="63"/>
      <c r="C4" s="62"/>
      <c r="D4" s="3"/>
      <c r="E4" s="3"/>
      <c r="K4" s="32"/>
    </row>
    <row r="5" spans="2:11" ht="14.1" customHeight="1" x14ac:dyDescent="0.25">
      <c r="B5" s="81" t="str">
        <f>DADOS!$B$7</f>
        <v>OBRA:</v>
      </c>
      <c r="C5" s="62" t="str">
        <f>DADOS!$C$7</f>
        <v>PAVIMENTAÇÃO ASFÁLTICA E DRENAGEM DE ÁGUAS PLUVIAIS</v>
      </c>
      <c r="D5" s="3"/>
      <c r="E5" s="3"/>
      <c r="K5" s="32"/>
    </row>
    <row r="6" spans="2:11" ht="14.1" customHeight="1" x14ac:dyDescent="0.25">
      <c r="B6" s="64" t="str">
        <f>DADOS!$B$8</f>
        <v>LOCAL:</v>
      </c>
      <c r="C6" s="65" t="str">
        <f>DADOS!$C$8</f>
        <v>RUA RUBI, JARDIM / MS</v>
      </c>
      <c r="D6" s="6"/>
      <c r="E6" s="6"/>
      <c r="F6" s="33"/>
      <c r="G6" s="33"/>
      <c r="H6" s="33"/>
      <c r="I6" s="33"/>
      <c r="J6" s="33"/>
      <c r="K6" s="34"/>
    </row>
    <row r="7" spans="2:11" ht="5.0999999999999996" customHeight="1" x14ac:dyDescent="0.25"/>
    <row r="8" spans="2:11" ht="30" customHeight="1" x14ac:dyDescent="0.25">
      <c r="B8" s="376" t="s">
        <v>46</v>
      </c>
      <c r="C8" s="377"/>
      <c r="D8" s="377"/>
      <c r="E8" s="377"/>
      <c r="F8" s="377"/>
      <c r="G8" s="378"/>
      <c r="H8" s="9"/>
      <c r="I8" s="13">
        <f>'Dre-Terraplenagem'!G8</f>
        <v>1</v>
      </c>
      <c r="J8" s="9"/>
      <c r="K8" s="10" t="s">
        <v>5</v>
      </c>
    </row>
    <row r="9" spans="2:11" ht="5.0999999999999996" customHeight="1" x14ac:dyDescent="0.25">
      <c r="C9" s="8"/>
      <c r="D9" s="8"/>
      <c r="E9" s="8"/>
      <c r="F9" s="8"/>
      <c r="G9" s="8"/>
      <c r="H9" s="8"/>
      <c r="I9" s="8"/>
      <c r="J9" s="8"/>
      <c r="K9" s="8"/>
    </row>
    <row r="10" spans="2:11" ht="14.1" customHeight="1" x14ac:dyDescent="0.25">
      <c r="B10" s="362" t="s">
        <v>143</v>
      </c>
      <c r="C10" s="358" t="s">
        <v>47</v>
      </c>
      <c r="D10" s="358"/>
      <c r="E10" s="358"/>
      <c r="F10" s="358"/>
      <c r="G10" s="358"/>
      <c r="H10" s="8"/>
      <c r="I10" s="283">
        <v>12</v>
      </c>
      <c r="J10" s="8"/>
      <c r="K10" s="15">
        <f>SUM(H10:J10)</f>
        <v>12</v>
      </c>
    </row>
    <row r="11" spans="2:11" ht="14.1" customHeight="1" x14ac:dyDescent="0.25">
      <c r="B11" s="363"/>
      <c r="C11" s="358" t="s">
        <v>48</v>
      </c>
      <c r="D11" s="358"/>
      <c r="E11" s="358"/>
      <c r="F11" s="358"/>
      <c r="G11" s="358"/>
      <c r="H11" s="8"/>
      <c r="I11" s="283">
        <v>1.5</v>
      </c>
      <c r="J11" s="8"/>
      <c r="K11" s="16"/>
    </row>
    <row r="12" spans="2:11" ht="14.1" customHeight="1" x14ac:dyDescent="0.25">
      <c r="B12" s="363"/>
      <c r="C12" s="358" t="s">
        <v>49</v>
      </c>
      <c r="D12" s="358"/>
      <c r="E12" s="358"/>
      <c r="F12" s="358"/>
      <c r="G12" s="358"/>
      <c r="H12" s="8"/>
      <c r="I12" s="283">
        <v>2</v>
      </c>
      <c r="J12" s="8"/>
      <c r="K12" s="17"/>
    </row>
    <row r="13" spans="2:11" ht="14.1" customHeight="1" x14ac:dyDescent="0.25">
      <c r="B13" s="363"/>
      <c r="C13" s="358" t="s">
        <v>315</v>
      </c>
      <c r="D13" s="358"/>
      <c r="E13" s="358"/>
      <c r="F13" s="358"/>
      <c r="G13" s="358"/>
      <c r="H13" s="224"/>
      <c r="I13" s="283" t="s">
        <v>91</v>
      </c>
      <c r="J13" s="224"/>
      <c r="K13" s="233"/>
    </row>
    <row r="14" spans="2:11" ht="14.1" customHeight="1" x14ac:dyDescent="0.25">
      <c r="B14" s="363"/>
      <c r="C14" s="358" t="s">
        <v>50</v>
      </c>
      <c r="D14" s="358"/>
      <c r="E14" s="358"/>
      <c r="F14" s="358"/>
      <c r="G14" s="358"/>
      <c r="H14" s="8"/>
      <c r="I14" s="283" t="s">
        <v>429</v>
      </c>
      <c r="J14" s="8"/>
      <c r="K14" s="17"/>
    </row>
    <row r="15" spans="2:11" ht="14.1" customHeight="1" x14ac:dyDescent="0.25">
      <c r="B15" s="363"/>
      <c r="C15" s="358" t="s">
        <v>51</v>
      </c>
      <c r="D15" s="358"/>
      <c r="E15" s="358" t="s">
        <v>52</v>
      </c>
      <c r="F15" s="358"/>
      <c r="G15" s="358"/>
      <c r="H15" s="8"/>
      <c r="I15" s="283">
        <v>2.4</v>
      </c>
      <c r="J15" s="8"/>
      <c r="K15" s="17"/>
    </row>
    <row r="16" spans="2:11" ht="14.1" customHeight="1" x14ac:dyDescent="0.25">
      <c r="B16" s="363"/>
      <c r="C16" s="358"/>
      <c r="D16" s="358"/>
      <c r="E16" s="358" t="s">
        <v>57</v>
      </c>
      <c r="F16" s="358"/>
      <c r="G16" s="358"/>
      <c r="H16" s="8"/>
      <c r="I16" s="283">
        <v>2.4</v>
      </c>
      <c r="J16" s="8"/>
      <c r="K16" s="17"/>
    </row>
    <row r="17" spans="2:11" ht="14.1" customHeight="1" x14ac:dyDescent="0.25">
      <c r="B17" s="363"/>
      <c r="C17" s="358"/>
      <c r="D17" s="358"/>
      <c r="E17" s="358" t="s">
        <v>53</v>
      </c>
      <c r="F17" s="358"/>
      <c r="G17" s="358"/>
      <c r="H17" s="8"/>
      <c r="I17" s="283">
        <f t="shared" ref="I17" si="0">ROUND(((I15+I16)/2),2)</f>
        <v>2.4</v>
      </c>
      <c r="J17" s="8"/>
      <c r="K17" s="17"/>
    </row>
    <row r="18" spans="2:11" ht="14.1" customHeight="1" x14ac:dyDescent="0.25">
      <c r="B18" s="363"/>
      <c r="C18" s="358"/>
      <c r="D18" s="358"/>
      <c r="E18" s="358" t="s">
        <v>54</v>
      </c>
      <c r="F18" s="358"/>
      <c r="G18" s="358"/>
      <c r="H18" s="8"/>
      <c r="I18" s="283">
        <f t="shared" ref="I18" si="1">IF(I11=0,0,IF(I14="PVC",0,I11*0.21))</f>
        <v>0.315</v>
      </c>
      <c r="J18" s="8"/>
      <c r="K18" s="17"/>
    </row>
    <row r="19" spans="2:11" ht="14.1" customHeight="1" x14ac:dyDescent="0.25">
      <c r="B19" s="363"/>
      <c r="C19" s="358"/>
      <c r="D19" s="358"/>
      <c r="E19" s="358" t="s">
        <v>40</v>
      </c>
      <c r="F19" s="358"/>
      <c r="G19" s="358"/>
      <c r="H19" s="8"/>
      <c r="I19" s="283">
        <f t="shared" ref="I19" si="2">I52+I54</f>
        <v>0</v>
      </c>
      <c r="J19" s="8"/>
      <c r="K19" s="17"/>
    </row>
    <row r="20" spans="2:11" ht="14.1" customHeight="1" x14ac:dyDescent="0.25">
      <c r="B20" s="363"/>
      <c r="C20" s="358"/>
      <c r="D20" s="358"/>
      <c r="E20" s="358" t="s">
        <v>55</v>
      </c>
      <c r="F20" s="358"/>
      <c r="G20" s="358"/>
      <c r="I20" s="283">
        <f t="shared" ref="I20" si="3">I17+I18+I19</f>
        <v>2.7149999999999999</v>
      </c>
      <c r="K20" s="17"/>
    </row>
    <row r="21" spans="2:11" ht="14.1" customHeight="1" x14ac:dyDescent="0.25">
      <c r="B21" s="363"/>
      <c r="C21" s="378" t="s">
        <v>56</v>
      </c>
      <c r="D21" s="358"/>
      <c r="E21" s="358"/>
      <c r="F21" s="358"/>
      <c r="G21" s="358"/>
      <c r="I21" s="283">
        <v>3</v>
      </c>
      <c r="K21" s="18"/>
    </row>
    <row r="22" spans="2:11" ht="5.0999999999999996" customHeight="1" x14ac:dyDescent="0.25">
      <c r="B22" s="363"/>
    </row>
    <row r="23" spans="2:11" ht="14.1" customHeight="1" x14ac:dyDescent="0.25">
      <c r="B23" s="363"/>
      <c r="C23" s="378" t="s">
        <v>58</v>
      </c>
      <c r="D23" s="358"/>
      <c r="E23" s="358" t="s">
        <v>61</v>
      </c>
      <c r="F23" s="358"/>
      <c r="G23" s="358"/>
      <c r="H23" s="8"/>
      <c r="I23" s="21">
        <f t="shared" ref="I23" si="4">IF(I16&lt;=4.5,IF(I14="PVC",0.4*2+I11*IF(I12=1,1,IF(I12=2,3,5)),I11*IF(I12=1,2,IF(I12=2,3.5,5))),0)</f>
        <v>5.25</v>
      </c>
      <c r="J23" s="8"/>
      <c r="K23" s="16"/>
    </row>
    <row r="24" spans="2:11" ht="14.1" customHeight="1" x14ac:dyDescent="0.25">
      <c r="B24" s="363"/>
      <c r="C24" s="378"/>
      <c r="D24" s="358"/>
      <c r="E24" s="358" t="s">
        <v>62</v>
      </c>
      <c r="F24" s="358"/>
      <c r="G24" s="358"/>
      <c r="H24" s="8"/>
      <c r="I24" s="21">
        <f t="shared" ref="I24" si="5">IF(I23=0,IF(I14="PVC",0.8*2+I11*IF(I12=1,1,IF(I12=2,3,5)),I11*IF(I12=1,3,IF(I12=2,4.5,6))),0)</f>
        <v>0</v>
      </c>
      <c r="J24" s="8"/>
      <c r="K24" s="17"/>
    </row>
    <row r="25" spans="2:11" ht="14.1" customHeight="1" x14ac:dyDescent="0.25">
      <c r="B25" s="363"/>
      <c r="C25" s="378"/>
      <c r="D25" s="358"/>
      <c r="E25" s="358" t="s">
        <v>60</v>
      </c>
      <c r="F25" s="358"/>
      <c r="G25" s="358"/>
      <c r="I25" s="21">
        <f t="shared" ref="I25" si="6">IF(I21="V",I23+I24,I20/I21*2+I23+I24)</f>
        <v>7.06</v>
      </c>
      <c r="K25" s="17"/>
    </row>
    <row r="26" spans="2:11" ht="14.1" customHeight="1" x14ac:dyDescent="0.25">
      <c r="B26" s="363"/>
      <c r="C26" s="378" t="s">
        <v>59</v>
      </c>
      <c r="D26" s="358"/>
      <c r="E26" s="358"/>
      <c r="F26" s="358"/>
      <c r="G26" s="358"/>
      <c r="I26" s="21">
        <f>ROUND(((PI()*(I11*1.2)^2/4)*I12),2)</f>
        <v>5.09</v>
      </c>
      <c r="K26" s="18"/>
    </row>
    <row r="27" spans="2:11" ht="5.0999999999999996" customHeight="1" x14ac:dyDescent="0.25">
      <c r="B27" s="363"/>
    </row>
    <row r="28" spans="2:11" ht="14.1" customHeight="1" x14ac:dyDescent="0.25">
      <c r="B28" s="363"/>
      <c r="C28" s="378" t="s">
        <v>110</v>
      </c>
      <c r="D28" s="358"/>
      <c r="E28" s="358"/>
      <c r="F28" s="358"/>
      <c r="G28" s="358"/>
      <c r="I28" s="21">
        <f>TRUNC((I10*(0.5+I25+0.5)),2)</f>
        <v>96.72</v>
      </c>
      <c r="K28" s="15">
        <f>SUM(H28:J28)</f>
        <v>96.72</v>
      </c>
    </row>
    <row r="29" spans="2:11" ht="5.0999999999999996" customHeight="1" x14ac:dyDescent="0.25">
      <c r="B29" s="363"/>
    </row>
    <row r="30" spans="2:11" ht="14.1" customHeight="1" x14ac:dyDescent="0.25">
      <c r="B30" s="363"/>
      <c r="C30" s="378" t="s">
        <v>88</v>
      </c>
      <c r="D30" s="358"/>
      <c r="E30" s="358"/>
      <c r="F30" s="358"/>
      <c r="G30" s="358"/>
      <c r="I30" s="21">
        <f>I28</f>
        <v>96.72</v>
      </c>
      <c r="K30" s="15">
        <f>SUM(H30:J30)</f>
        <v>96.72</v>
      </c>
    </row>
    <row r="31" spans="2:11" ht="5.0999999999999996" customHeight="1" x14ac:dyDescent="0.25">
      <c r="B31" s="363"/>
    </row>
    <row r="32" spans="2:11" ht="14.1" customHeight="1" x14ac:dyDescent="0.25">
      <c r="B32" s="363"/>
      <c r="C32" s="378" t="s">
        <v>98</v>
      </c>
      <c r="D32" s="358"/>
      <c r="E32" s="356" t="s">
        <v>94</v>
      </c>
      <c r="F32" s="358" t="s">
        <v>92</v>
      </c>
      <c r="G32" s="358"/>
      <c r="I32" s="216">
        <v>0.15</v>
      </c>
      <c r="K32" s="16"/>
    </row>
    <row r="33" spans="2:11" ht="14.1" customHeight="1" x14ac:dyDescent="0.25">
      <c r="B33" s="363"/>
      <c r="C33" s="378"/>
      <c r="D33" s="358"/>
      <c r="E33" s="379"/>
      <c r="F33" s="376" t="s">
        <v>93</v>
      </c>
      <c r="G33" s="378"/>
      <c r="I33" s="21">
        <f>TRUNC((I28*I32),2)</f>
        <v>14.5</v>
      </c>
      <c r="K33" s="15">
        <f>SUM(H33:J33)</f>
        <v>14.5</v>
      </c>
    </row>
    <row r="34" spans="2:11" ht="14.1" customHeight="1" x14ac:dyDescent="0.25">
      <c r="B34" s="363"/>
      <c r="C34" s="378"/>
      <c r="D34" s="358"/>
      <c r="E34" s="376" t="s">
        <v>95</v>
      </c>
      <c r="F34" s="377"/>
      <c r="G34" s="378"/>
      <c r="I34" s="21">
        <f>TRUNC((I33*1.3),2)</f>
        <v>18.850000000000001</v>
      </c>
      <c r="K34" s="15">
        <f>SUM(H34:J34)</f>
        <v>18.850000000000001</v>
      </c>
    </row>
    <row r="35" spans="2:11" ht="27.95" customHeight="1" x14ac:dyDescent="0.25">
      <c r="B35" s="363"/>
      <c r="C35" s="378"/>
      <c r="D35" s="358"/>
      <c r="E35" s="227" t="s">
        <v>96</v>
      </c>
      <c r="F35" s="376" t="s">
        <v>93</v>
      </c>
      <c r="G35" s="378"/>
      <c r="I35" s="21">
        <f>I34</f>
        <v>18.850000000000001</v>
      </c>
      <c r="K35" s="15">
        <f>SUM(H35:J35)</f>
        <v>18.850000000000001</v>
      </c>
    </row>
    <row r="36" spans="2:11" ht="14.1" customHeight="1" x14ac:dyDescent="0.25">
      <c r="B36" s="363"/>
      <c r="C36" s="378"/>
      <c r="D36" s="358"/>
      <c r="E36" s="356" t="s">
        <v>37</v>
      </c>
      <c r="F36" s="11" t="s">
        <v>97</v>
      </c>
      <c r="G36" s="14">
        <f>IF('Resumo DMT''s'!$E$16&gt;30,30,'Resumo DMT''s'!$E$16)</f>
        <v>30</v>
      </c>
      <c r="I36" s="21">
        <f>TRUNC((I35*$G$36),2)</f>
        <v>565.5</v>
      </c>
      <c r="K36" s="15">
        <f>SUM(H36:J36)</f>
        <v>565.5</v>
      </c>
    </row>
    <row r="37" spans="2:11" ht="14.1" customHeight="1" x14ac:dyDescent="0.25">
      <c r="B37" s="363"/>
      <c r="C37" s="378"/>
      <c r="D37" s="358"/>
      <c r="E37" s="357"/>
      <c r="F37" s="11" t="s">
        <v>97</v>
      </c>
      <c r="G37" s="14">
        <f>IF('Resumo DMT''s'!$E$16&gt;30,'Resumo DMT''s'!$E$16-30,0)</f>
        <v>23.6</v>
      </c>
      <c r="I37" s="21">
        <f>TRUNC((I35*$G$37),2)</f>
        <v>444.86</v>
      </c>
      <c r="K37" s="15">
        <f>SUM(H37:J37)</f>
        <v>444.86</v>
      </c>
    </row>
    <row r="38" spans="2:11" ht="5.0999999999999996" customHeight="1" x14ac:dyDescent="0.25">
      <c r="B38" s="363"/>
    </row>
    <row r="39" spans="2:11" ht="14.1" customHeight="1" x14ac:dyDescent="0.25">
      <c r="B39" s="363"/>
      <c r="C39" s="378" t="s">
        <v>41</v>
      </c>
      <c r="D39" s="358"/>
      <c r="E39" s="358" t="s">
        <v>99</v>
      </c>
      <c r="F39" s="358"/>
      <c r="G39" s="358"/>
      <c r="I39" s="21">
        <f>I28</f>
        <v>96.72</v>
      </c>
      <c r="K39" s="15">
        <f>SUM(H39:J39)</f>
        <v>96.72</v>
      </c>
    </row>
    <row r="40" spans="2:11" ht="14.1" hidden="1" customHeight="1" x14ac:dyDescent="0.25">
      <c r="B40" s="363"/>
      <c r="C40" s="378"/>
      <c r="D40" s="358"/>
      <c r="E40" s="368" t="s">
        <v>282</v>
      </c>
      <c r="F40" s="368"/>
      <c r="G40" s="368"/>
      <c r="I40" s="93">
        <f>1.2/1000</f>
        <v>1.1999999999999999E-3</v>
      </c>
      <c r="K40" s="29"/>
    </row>
    <row r="41" spans="2:11" ht="14.1" customHeight="1" x14ac:dyDescent="0.25">
      <c r="B41" s="363"/>
      <c r="C41" s="378"/>
      <c r="D41" s="358"/>
      <c r="E41" s="358" t="s">
        <v>270</v>
      </c>
      <c r="F41" s="358"/>
      <c r="G41" s="358"/>
      <c r="I41" s="21">
        <f>TRUNC((I39*I40),2)</f>
        <v>0.11</v>
      </c>
      <c r="K41" s="15">
        <f>SUM(H41:J41)</f>
        <v>0.11</v>
      </c>
    </row>
    <row r="42" spans="2:11" ht="14.1" customHeight="1" x14ac:dyDescent="0.25">
      <c r="B42" s="363"/>
      <c r="C42" s="378"/>
      <c r="D42" s="358"/>
      <c r="E42" s="358" t="s">
        <v>269</v>
      </c>
      <c r="F42" s="358"/>
      <c r="G42" s="14">
        <f>IF('Resumo DMT''s'!$E$17&gt;30,30,'Resumo DMT''s'!$E$17)</f>
        <v>30</v>
      </c>
      <c r="I42" s="21">
        <f>TRUNC((I41*$G$42),2)</f>
        <v>3.3</v>
      </c>
      <c r="K42" s="15">
        <f>SUM(H42:J42)</f>
        <v>3.3</v>
      </c>
    </row>
    <row r="43" spans="2:11" ht="14.1" customHeight="1" x14ac:dyDescent="0.25">
      <c r="B43" s="363"/>
      <c r="C43" s="378"/>
      <c r="D43" s="358"/>
      <c r="E43" s="358" t="s">
        <v>269</v>
      </c>
      <c r="F43" s="358"/>
      <c r="G43" s="14">
        <f>IF('Resumo DMT''s'!$E$17&gt;30,'Resumo DMT''s'!$E$17-30,0)</f>
        <v>206</v>
      </c>
      <c r="I43" s="21">
        <f>TRUNC((I41*$G$43),2)</f>
        <v>22.66</v>
      </c>
      <c r="K43" s="15">
        <f>SUM(H43:J43)</f>
        <v>22.66</v>
      </c>
    </row>
    <row r="44" spans="2:11" ht="5.0999999999999996" customHeight="1" x14ac:dyDescent="0.25">
      <c r="B44" s="363"/>
    </row>
    <row r="45" spans="2:11" ht="14.1" customHeight="1" x14ac:dyDescent="0.25">
      <c r="B45" s="363"/>
      <c r="C45" s="378" t="s">
        <v>42</v>
      </c>
      <c r="D45" s="358"/>
      <c r="E45" s="358" t="s">
        <v>100</v>
      </c>
      <c r="F45" s="358"/>
      <c r="G45" s="358"/>
      <c r="I45" s="216">
        <v>0.03</v>
      </c>
      <c r="K45" s="16"/>
    </row>
    <row r="46" spans="2:11" ht="14.1" hidden="1" customHeight="1" x14ac:dyDescent="0.25">
      <c r="B46" s="363"/>
      <c r="C46" s="378"/>
      <c r="D46" s="358"/>
      <c r="E46" s="368" t="s">
        <v>275</v>
      </c>
      <c r="F46" s="368"/>
      <c r="G46" s="368"/>
      <c r="I46" s="93">
        <v>2.5548000000000002</v>
      </c>
      <c r="K46" s="29"/>
    </row>
    <row r="47" spans="2:11" ht="14.1" customHeight="1" x14ac:dyDescent="0.25">
      <c r="B47" s="363"/>
      <c r="C47" s="378"/>
      <c r="D47" s="358"/>
      <c r="E47" s="358" t="s">
        <v>271</v>
      </c>
      <c r="F47" s="358"/>
      <c r="G47" s="358"/>
      <c r="I47" s="21">
        <f>TRUNC((I28*I45*I46),2)</f>
        <v>7.41</v>
      </c>
      <c r="K47" s="15">
        <f t="shared" ref="K47:K51" si="7">SUM(H47:J47)</f>
        <v>7.41</v>
      </c>
    </row>
    <row r="48" spans="2:11" ht="14.1" customHeight="1" x14ac:dyDescent="0.25">
      <c r="B48" s="363"/>
      <c r="C48" s="378"/>
      <c r="D48" s="358"/>
      <c r="E48" s="358" t="s">
        <v>273</v>
      </c>
      <c r="F48" s="358"/>
      <c r="G48" s="358"/>
      <c r="I48" s="21">
        <f>I47</f>
        <v>7.41</v>
      </c>
      <c r="K48" s="15">
        <f t="shared" si="7"/>
        <v>7.41</v>
      </c>
    </row>
    <row r="49" spans="2:11" ht="14.1" customHeight="1" x14ac:dyDescent="0.25">
      <c r="B49" s="363"/>
      <c r="C49" s="378"/>
      <c r="D49" s="358"/>
      <c r="E49" s="358" t="s">
        <v>272</v>
      </c>
      <c r="F49" s="358"/>
      <c r="G49" s="358"/>
      <c r="I49" s="21">
        <f>I48</f>
        <v>7.41</v>
      </c>
      <c r="K49" s="15">
        <f t="shared" si="7"/>
        <v>7.41</v>
      </c>
    </row>
    <row r="50" spans="2:11" ht="14.1" customHeight="1" x14ac:dyDescent="0.25">
      <c r="B50" s="363"/>
      <c r="C50" s="378"/>
      <c r="D50" s="358"/>
      <c r="E50" s="358" t="s">
        <v>274</v>
      </c>
      <c r="F50" s="358"/>
      <c r="G50" s="14">
        <f>IF('Resumo DMT''s'!$E$19&gt;30,30,'Resumo DMT''s'!$E$19)</f>
        <v>7.4</v>
      </c>
      <c r="I50" s="21">
        <f>TRUNC((I47*$G$50),2)</f>
        <v>54.83</v>
      </c>
      <c r="K50" s="15">
        <f t="shared" si="7"/>
        <v>54.83</v>
      </c>
    </row>
    <row r="51" spans="2:11" ht="14.1" customHeight="1" x14ac:dyDescent="0.25">
      <c r="B51" s="364"/>
      <c r="C51" s="378"/>
      <c r="D51" s="358"/>
      <c r="E51" s="358" t="s">
        <v>274</v>
      </c>
      <c r="F51" s="358"/>
      <c r="G51" s="14">
        <f>IF('Resumo DMT''s'!$E$19&gt;30,'Resumo DMT''s'!$E$19-30,0)</f>
        <v>0</v>
      </c>
      <c r="I51" s="21">
        <f>TRUNC((I47*$G$51),2)</f>
        <v>0</v>
      </c>
      <c r="K51" s="15">
        <f t="shared" si="7"/>
        <v>0</v>
      </c>
    </row>
  </sheetData>
  <mergeCells count="43">
    <mergeCell ref="C45:D51"/>
    <mergeCell ref="E45:G45"/>
    <mergeCell ref="E48:G48"/>
    <mergeCell ref="E49:G49"/>
    <mergeCell ref="E51:F51"/>
    <mergeCell ref="E50:F50"/>
    <mergeCell ref="E46:G46"/>
    <mergeCell ref="E47:G47"/>
    <mergeCell ref="C39:D43"/>
    <mergeCell ref="E39:G39"/>
    <mergeCell ref="E40:G40"/>
    <mergeCell ref="E41:G41"/>
    <mergeCell ref="E43:F43"/>
    <mergeCell ref="E42:F42"/>
    <mergeCell ref="B8:G8"/>
    <mergeCell ref="B10:B51"/>
    <mergeCell ref="C28:G28"/>
    <mergeCell ref="C23:D25"/>
    <mergeCell ref="C15:D20"/>
    <mergeCell ref="E15:G15"/>
    <mergeCell ref="E16:G16"/>
    <mergeCell ref="E17:G17"/>
    <mergeCell ref="E18:G18"/>
    <mergeCell ref="E20:G20"/>
    <mergeCell ref="E23:G23"/>
    <mergeCell ref="E24:G24"/>
    <mergeCell ref="E25:G25"/>
    <mergeCell ref="C26:G26"/>
    <mergeCell ref="C21:G21"/>
    <mergeCell ref="C30:G30"/>
    <mergeCell ref="E36:E37"/>
    <mergeCell ref="E19:G19"/>
    <mergeCell ref="C14:G14"/>
    <mergeCell ref="C10:G10"/>
    <mergeCell ref="C11:G11"/>
    <mergeCell ref="C12:G12"/>
    <mergeCell ref="C13:G13"/>
    <mergeCell ref="C32:D37"/>
    <mergeCell ref="E32:E33"/>
    <mergeCell ref="F32:G32"/>
    <mergeCell ref="F33:G33"/>
    <mergeCell ref="E34:G34"/>
    <mergeCell ref="F35:G35"/>
  </mergeCells>
  <printOptions horizontalCentered="1"/>
  <pageMargins left="0.59055118110236227" right="0.39370078740157483" top="0.39370078740157483" bottom="0.98425196850393704" header="0.31496062992125984" footer="0.31496062992125984"/>
  <pageSetup paperSize="9" scale="73"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0">
    <tabColor rgb="FF00B050"/>
  </sheetPr>
  <dimension ref="B1:I15"/>
  <sheetViews>
    <sheetView showGridLines="0" view="pageBreakPreview" zoomScaleSheetLayoutView="100" workbookViewId="0">
      <selection activeCell="D25" sqref="D25"/>
    </sheetView>
  </sheetViews>
  <sheetFormatPr defaultRowHeight="12.75" x14ac:dyDescent="0.25"/>
  <cols>
    <col min="1" max="1" width="1.7109375" style="4" customWidth="1"/>
    <col min="2" max="2" width="11.7109375" style="4" customWidth="1"/>
    <col min="3" max="3" width="15.7109375" style="4" customWidth="1"/>
    <col min="4" max="4" width="35.7109375" style="4" customWidth="1"/>
    <col min="5" max="5" width="7.7109375" style="4" customWidth="1"/>
    <col min="6" max="6" width="1.7109375" style="4" customWidth="1"/>
    <col min="7" max="7" width="10.7109375" style="4" customWidth="1"/>
    <col min="8" max="8" width="1.7109375" style="4" customWidth="1"/>
    <col min="9" max="9" width="10.7109375" style="4" customWidth="1"/>
    <col min="10" max="16384" width="9.140625" style="4"/>
  </cols>
  <sheetData>
    <row r="1" spans="2:9" ht="5.0999999999999996" customHeight="1" x14ac:dyDescent="0.25"/>
    <row r="2" spans="2:9" ht="14.1" customHeight="1" x14ac:dyDescent="0.25">
      <c r="B2" s="80" t="str">
        <f>DADOS!$B$3</f>
        <v>CLIENTE:</v>
      </c>
      <c r="C2" s="61" t="str">
        <f>DADOS!$C$3</f>
        <v>PREFEITURA MUNICIPAL DE JARDIM / MS</v>
      </c>
      <c r="D2" s="28"/>
      <c r="E2" s="28"/>
      <c r="F2" s="28"/>
      <c r="G2" s="28"/>
      <c r="H2" s="28"/>
      <c r="I2" s="31"/>
    </row>
    <row r="3" spans="2:9" ht="14.1" customHeight="1" x14ac:dyDescent="0.25">
      <c r="B3" s="81" t="str">
        <f>DADOS!$B$4</f>
        <v>ENDEREÇO:</v>
      </c>
      <c r="C3" s="62" t="str">
        <f>DADOS!$C$4</f>
        <v>RUA CEL. JUVÊNCIO, Nº 547 - CENTRO</v>
      </c>
      <c r="I3" s="32"/>
    </row>
    <row r="4" spans="2:9" ht="14.1" customHeight="1" x14ac:dyDescent="0.2">
      <c r="B4" s="63"/>
      <c r="C4" s="62"/>
      <c r="I4" s="32"/>
    </row>
    <row r="5" spans="2:9" ht="14.1" customHeight="1" x14ac:dyDescent="0.25">
      <c r="B5" s="81" t="str">
        <f>DADOS!$B$7</f>
        <v>OBRA:</v>
      </c>
      <c r="C5" s="62" t="str">
        <f>DADOS!$C$7</f>
        <v>PAVIMENTAÇÃO ASFÁLTICA E DRENAGEM DE ÁGUAS PLUVIAIS</v>
      </c>
      <c r="I5" s="32"/>
    </row>
    <row r="6" spans="2:9" ht="14.1" customHeight="1" x14ac:dyDescent="0.25">
      <c r="B6" s="64" t="str">
        <f>DADOS!$B$8</f>
        <v>LOCAL:</v>
      </c>
      <c r="C6" s="65" t="str">
        <f>DADOS!$C$8</f>
        <v>RUA RUBI, JARDIM / MS</v>
      </c>
      <c r="D6" s="33"/>
      <c r="E6" s="33"/>
      <c r="F6" s="33"/>
      <c r="G6" s="33"/>
      <c r="H6" s="33"/>
      <c r="I6" s="34"/>
    </row>
    <row r="7" spans="2:9" ht="5.0999999999999996" customHeight="1" x14ac:dyDescent="0.25"/>
    <row r="8" spans="2:9" ht="30" customHeight="1" x14ac:dyDescent="0.25">
      <c r="B8" s="376" t="s">
        <v>87</v>
      </c>
      <c r="C8" s="377"/>
      <c r="D8" s="377"/>
      <c r="E8" s="378"/>
      <c r="G8" s="13" t="s">
        <v>436</v>
      </c>
      <c r="I8" s="13" t="s">
        <v>5</v>
      </c>
    </row>
    <row r="9" spans="2:9" ht="5.0999999999999996" customHeight="1" x14ac:dyDescent="0.25"/>
    <row r="10" spans="2:9" ht="14.1" customHeight="1" x14ac:dyDescent="0.25">
      <c r="B10" s="362" t="s">
        <v>104</v>
      </c>
      <c r="C10" s="356" t="s">
        <v>435</v>
      </c>
      <c r="D10" s="358" t="s">
        <v>105</v>
      </c>
      <c r="E10" s="358"/>
      <c r="G10" s="216">
        <v>11</v>
      </c>
      <c r="I10" s="15">
        <f>SUM(F10:H10)</f>
        <v>11</v>
      </c>
    </row>
    <row r="11" spans="2:9" ht="13.5" hidden="1" customHeight="1" x14ac:dyDescent="0.25">
      <c r="B11" s="363"/>
      <c r="C11" s="379"/>
      <c r="D11" s="368" t="s">
        <v>196</v>
      </c>
      <c r="E11" s="368"/>
      <c r="G11" s="93">
        <v>6.1499999999999999E-2</v>
      </c>
      <c r="I11" s="30"/>
    </row>
    <row r="12" spans="2:9" ht="14.1" hidden="1" customHeight="1" x14ac:dyDescent="0.25">
      <c r="B12" s="363"/>
      <c r="C12" s="379"/>
      <c r="D12" s="368" t="s">
        <v>190</v>
      </c>
      <c r="E12" s="368"/>
      <c r="G12" s="93">
        <v>0.58720000000000006</v>
      </c>
      <c r="I12" s="30"/>
    </row>
    <row r="13" spans="2:9" ht="14.1" customHeight="1" x14ac:dyDescent="0.25">
      <c r="B13" s="363"/>
      <c r="C13" s="379"/>
      <c r="D13" s="358" t="s">
        <v>106</v>
      </c>
      <c r="E13" s="358"/>
      <c r="G13" s="21">
        <f>TRUNC(((G10*G12*G11)),2)</f>
        <v>0.39</v>
      </c>
      <c r="I13" s="15">
        <f>SUM(F13:H13)</f>
        <v>0.39</v>
      </c>
    </row>
    <row r="14" spans="2:9" ht="14.1" customHeight="1" x14ac:dyDescent="0.25">
      <c r="B14" s="363"/>
      <c r="C14" s="379"/>
      <c r="D14" s="11" t="s">
        <v>74</v>
      </c>
      <c r="E14" s="14">
        <f>IF('Resumo DMT''s'!$E$14&gt;30,30,'Resumo DMT''s'!$E$14)</f>
        <v>30</v>
      </c>
      <c r="G14" s="21">
        <f>TRUNC((G13*$E$14),2)</f>
        <v>11.7</v>
      </c>
      <c r="I14" s="15">
        <f>SUM(F14:H14)</f>
        <v>11.7</v>
      </c>
    </row>
    <row r="15" spans="2:9" ht="14.1" customHeight="1" x14ac:dyDescent="0.25">
      <c r="B15" s="364"/>
      <c r="C15" s="357"/>
      <c r="D15" s="11" t="s">
        <v>74</v>
      </c>
      <c r="E15" s="14">
        <f>IF('Resumo DMT''s'!$E$14&gt;30,'Resumo DMT''s'!$E$14-30,0)</f>
        <v>23.6</v>
      </c>
      <c r="G15" s="21">
        <f>TRUNC((G13*$E$15),2)</f>
        <v>9.1999999999999993</v>
      </c>
      <c r="I15" s="15">
        <f>SUM(F15:H15)</f>
        <v>9.1999999999999993</v>
      </c>
    </row>
  </sheetData>
  <mergeCells count="7">
    <mergeCell ref="B8:E8"/>
    <mergeCell ref="D12:E12"/>
    <mergeCell ref="D10:E10"/>
    <mergeCell ref="B10:B15"/>
    <mergeCell ref="D11:E11"/>
    <mergeCell ref="C10:C15"/>
    <mergeCell ref="D13:E13"/>
  </mergeCells>
  <printOptions horizontalCentered="1"/>
  <pageMargins left="0.59055118110236227" right="0.39370078740157483" top="0.39370078740157483" bottom="0.98425196850393704" header="0.31496062992125984" footer="0.31496062992125984"/>
  <pageSetup paperSize="9" scale="81" fitToHeight="11" orientation="landscape" r:id="rId1"/>
  <headerFooter>
    <oddFooter>&amp;L&amp;"Palatino Linotype,Negrito"&amp;8Rua Antônio Maria Coelho, 4.017, Sala 03 | Santa Fé 
Campo Grande - MS | 79021-170
(67) 2525 0350 | elemento@elementoms.com.br&amp;C&amp;"Palatino Linotype,Negrito"&amp;8&amp;P/&amp;N&amp;R&amp;G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24</vt:i4>
      </vt:variant>
    </vt:vector>
  </HeadingPairs>
  <TitlesOfParts>
    <vt:vector size="39" baseType="lpstr">
      <vt:lpstr>DADOS</vt:lpstr>
      <vt:lpstr>Resumo DMT's</vt:lpstr>
      <vt:lpstr>Orçamento</vt:lpstr>
      <vt:lpstr>BDI SERVIÇO</vt:lpstr>
      <vt:lpstr>BDI INSUMO</vt:lpstr>
      <vt:lpstr>Tabela Resumo</vt:lpstr>
      <vt:lpstr>Cronograma</vt:lpstr>
      <vt:lpstr>Serv. Preliminares</vt:lpstr>
      <vt:lpstr>Demolições</vt:lpstr>
      <vt:lpstr>Dre-Dados</vt:lpstr>
      <vt:lpstr>Cubação Terrapl</vt:lpstr>
      <vt:lpstr>Dre-Terraplenagem</vt:lpstr>
      <vt:lpstr>Dre-Disp. Estruturais</vt:lpstr>
      <vt:lpstr>Dre-Fech de Vala</vt:lpstr>
      <vt:lpstr>Serv. Complementares</vt:lpstr>
      <vt:lpstr>'BDI INSUMO'!Area_de_impressao</vt:lpstr>
      <vt:lpstr>'BDI SERVIÇO'!Area_de_impressao</vt:lpstr>
      <vt:lpstr>Cronograma!Area_de_impressao</vt:lpstr>
      <vt:lpstr>'Cubação Terrapl'!Area_de_impressao</vt:lpstr>
      <vt:lpstr>DADOS!Area_de_impressao</vt:lpstr>
      <vt:lpstr>Demolições!Area_de_impressao</vt:lpstr>
      <vt:lpstr>'Dre-Dados'!Area_de_impressao</vt:lpstr>
      <vt:lpstr>'Dre-Disp. Estruturais'!Area_de_impressao</vt:lpstr>
      <vt:lpstr>'Dre-Fech de Vala'!Area_de_impressao</vt:lpstr>
      <vt:lpstr>'Dre-Terraplenagem'!Area_de_impressao</vt:lpstr>
      <vt:lpstr>Orçamento!Area_de_impressao</vt:lpstr>
      <vt:lpstr>'Resumo DMT''s'!Area_de_impressao</vt:lpstr>
      <vt:lpstr>'Serv. Complementares'!Area_de_impressao</vt:lpstr>
      <vt:lpstr>'Serv. Preliminares'!Area_de_impressao</vt:lpstr>
      <vt:lpstr>'Tabela Resumo'!Area_de_impressao</vt:lpstr>
      <vt:lpstr>Cronograma!Titulos_de_impressao</vt:lpstr>
      <vt:lpstr>'Cubação Terrapl'!Titulos_de_impressao</vt:lpstr>
      <vt:lpstr>Demolições!Titulos_de_impressao</vt:lpstr>
      <vt:lpstr>'Dre-Disp. Estruturais'!Titulos_de_impressao</vt:lpstr>
      <vt:lpstr>'Dre-Fech de Vala'!Titulos_de_impressao</vt:lpstr>
      <vt:lpstr>'Dre-Terraplenagem'!Titulos_de_impressao</vt:lpstr>
      <vt:lpstr>Orçamento!Titulos_de_impressao</vt:lpstr>
      <vt:lpstr>'Serv. Complementares'!Titulos_de_impressao</vt:lpstr>
      <vt:lpstr>'Serv. Preliminares'!Titulos_de_impressao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ELEMENTO</cp:lastModifiedBy>
  <cp:lastPrinted>2025-08-04T21:08:10Z</cp:lastPrinted>
  <dcterms:created xsi:type="dcterms:W3CDTF">2019-12-01T21:24:16Z</dcterms:created>
  <dcterms:modified xsi:type="dcterms:W3CDTF">2025-08-04T21:11:28Z</dcterms:modified>
</cp:coreProperties>
</file>