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24226"/>
  <mc:AlternateContent xmlns:mc="http://schemas.openxmlformats.org/markup-compatibility/2006">
    <mc:Choice Requires="x15">
      <x15ac:absPath xmlns:x15ac="http://schemas.microsoft.com/office/spreadsheetml/2010/11/ac" url="Z:\OBRAS PÚBLICAS\2026\PM JARDIM\INFRAESTRUTURA\BAIRRO PREVISUL\Projetos\Planilhas\"/>
    </mc:Choice>
  </mc:AlternateContent>
  <bookViews>
    <workbookView xWindow="0" yWindow="0" windowWidth="14400" windowHeight="4170" tabRatio="947" activeTab="2"/>
  </bookViews>
  <sheets>
    <sheet name="DADOS" sheetId="102" r:id="rId1"/>
    <sheet name="Resumo DMT's" sheetId="151" r:id="rId2"/>
    <sheet name="Orçamento" sheetId="1" r:id="rId3"/>
    <sheet name="BDI SERVIÇO" sheetId="153" r:id="rId4"/>
    <sheet name="Tabela Resumo" sheetId="51" r:id="rId5"/>
    <sheet name="Cronograma" sheetId="53" r:id="rId6"/>
    <sheet name="Serv. Preliminares" sheetId="62" r:id="rId7"/>
    <sheet name="Demolições" sheetId="162" r:id="rId8"/>
    <sheet name="Dre-Dados" sheetId="56" r:id="rId9"/>
    <sheet name="Dre-Dim" sheetId="55" r:id="rId10"/>
    <sheet name="Dre-Terraplenagem" sheetId="59" r:id="rId11"/>
    <sheet name="Dre-Disp. Estruturais" sheetId="58" r:id="rId12"/>
    <sheet name="Pav-Terrapl" sheetId="67" r:id="rId13"/>
    <sheet name="Pav-Pavimento" sheetId="66" r:id="rId14"/>
    <sheet name="Serv. Complementares" sheetId="65" r:id="rId15"/>
    <sheet name="Passeio com Acessibilidade" sheetId="64" r:id="rId16"/>
    <sheet name="Sinalização" sheetId="54" r:id="rId17"/>
    <sheet name="EEA-SP-05 - Comp. Banheiro Quim" sheetId="183" r:id="rId18"/>
    <sheet name="EEA-SP-06 - Comp. Tapume" sheetId="184" r:id="rId19"/>
    <sheet name="EEA-SP-03 - Comp. Sin. F Laranj" sheetId="182" r:id="rId20"/>
    <sheet name="EEA-LT-02 - Comp. Pedra de Mão" sheetId="202" r:id="rId21"/>
    <sheet name="EEA-DR-05 - Comp. PV-1" sheetId="185" r:id="rId22"/>
    <sheet name="EEA-DR-17 - Comp. BLSC" sheetId="186" r:id="rId23"/>
    <sheet name="EEA-DR-18 - Comp. BLDC" sheetId="205" r:id="rId24"/>
    <sheet name="EEA-DR-19 - Comp. BLTC" sheetId="204" r:id="rId25"/>
    <sheet name="EEA-DR-60 - DIS. TIPO 01" sheetId="197" r:id="rId26"/>
    <sheet name="EEA-IM-01 - Comp. Imprimação" sheetId="187" r:id="rId27"/>
    <sheet name="EEA-AP-01 - Comp. Aplic. CBUQ" sheetId="188" r:id="rId28"/>
    <sheet name="EEA-SC-01 - Comp. MF com Sarj" sheetId="189" r:id="rId29"/>
    <sheet name="EEA-SC-04 - Comp. Tento" sheetId="190" r:id="rId30"/>
    <sheet name="EEA-AC-01 - Comp. Prep. Manual" sheetId="192" r:id="rId31"/>
    <sheet name="EEA-AC-08 - Rampa Projeto" sheetId="200" r:id="rId32"/>
    <sheet name="EEA-AC-09 - Piso tátil" sheetId="201" r:id="rId33"/>
    <sheet name="EEA-SV-01 - Comp. Placa 0,36m²" sheetId="193" r:id="rId34"/>
    <sheet name="EEA-SV-02 - Comp. Pl. Lograd" sheetId="194" r:id="rId35"/>
    <sheet name="EEA-SV-03 - Comp. Suporte" sheetId="195" r:id="rId36"/>
    <sheet name="EEA-PR-01 - Comp. Recorte" sheetId="196" r:id="rId37"/>
    <sheet name="EEA-SD-04 - Regula. Manual" sheetId="199" r:id="rId38"/>
    <sheet name="EEA-SD-05 - Esc. Manual" sheetId="206" r:id="rId39"/>
    <sheet name="EEA-SD-06 - Alv. de Tijolo" sheetId="208" r:id="rId40"/>
    <sheet name="EEA-SD-07 - Conc não estrutural" sheetId="210" r:id="rId41"/>
    <sheet name="EEA-SD-08 - Pintura a base" sheetId="211" r:id="rId42"/>
  </sheets>
  <definedNames>
    <definedName name="_xlnm.Print_Area" localSheetId="3">'BDI SERVIÇO'!$B$2:$H$67</definedName>
    <definedName name="_xlnm.Print_Area" localSheetId="5">Cronograma!$B$2:$L$78</definedName>
    <definedName name="_xlnm.Print_Area" localSheetId="0">DADOS!$B$2:$C$23</definedName>
    <definedName name="_xlnm.Print_Area" localSheetId="7">Demolições!$B$2:$I$23</definedName>
    <definedName name="_xlnm.Print_Area" localSheetId="8">'Dre-Dados'!$B$2:$L$37</definedName>
    <definedName name="_xlnm.Print_Area" localSheetId="9">'Dre-Dim'!$B$1:$AD$42</definedName>
    <definedName name="_xlnm.Print_Area" localSheetId="11">'Dre-Disp. Estruturais'!$B$2:$X$66</definedName>
    <definedName name="_xlnm.Print_Area" localSheetId="10">'Dre-Terraplenagem'!$B$2:$V$79</definedName>
    <definedName name="_xlnm.Print_Area" localSheetId="30">'EEA-AC-01 - Comp. Prep. Manual'!$B$2:$I$41</definedName>
    <definedName name="_xlnm.Print_Area" localSheetId="31">'EEA-AC-08 - Rampa Projeto'!$B$2:$I$43</definedName>
    <definedName name="_xlnm.Print_Area" localSheetId="32">'EEA-AC-09 - Piso tátil'!$B$2:$I$43</definedName>
    <definedName name="_xlnm.Print_Area" localSheetId="27">'EEA-AP-01 - Comp. Aplic. CBUQ'!$B$2:$I$45</definedName>
    <definedName name="_xlnm.Print_Area" localSheetId="21">'EEA-DR-05 - Comp. PV-1'!$B$2:$I$52</definedName>
    <definedName name="_xlnm.Print_Area" localSheetId="22">'EEA-DR-17 - Comp. BLSC'!$B$2:$I$49</definedName>
    <definedName name="_xlnm.Print_Area" localSheetId="23">'EEA-DR-18 - Comp. BLDC'!$B$2:$I$49</definedName>
    <definedName name="_xlnm.Print_Area" localSheetId="24">'EEA-DR-19 - Comp. BLTC'!$B$2:$I$49</definedName>
    <definedName name="_xlnm.Print_Area" localSheetId="25">'EEA-DR-60 - DIS. TIPO 01'!$B$2:$I$50</definedName>
    <definedName name="_xlnm.Print_Area" localSheetId="26">'EEA-IM-01 - Comp. Imprimação'!$B$2:$I$43</definedName>
    <definedName name="_xlnm.Print_Area" localSheetId="20">'EEA-LT-02 - Comp. Pedra de Mão'!$B$2:$I$42</definedName>
    <definedName name="_xlnm.Print_Area" localSheetId="36">'EEA-PR-01 - Comp. Recorte'!$B$2:$I$41</definedName>
    <definedName name="_xlnm.Print_Area" localSheetId="28">'EEA-SC-01 - Comp. MF com Sarj'!$B$2:$I$46</definedName>
    <definedName name="_xlnm.Print_Area" localSheetId="29">'EEA-SC-04 - Comp. Tento'!$B$2:$I$43</definedName>
    <definedName name="_xlnm.Print_Area" localSheetId="37">'EEA-SD-04 - Regula. Manual'!$B$2:$I$40</definedName>
    <definedName name="_xlnm.Print_Area" localSheetId="38">'EEA-SD-05 - Esc. Manual'!$B$2:$I$40</definedName>
    <definedName name="_xlnm.Print_Area" localSheetId="39">'EEA-SD-06 - Alv. de Tijolo'!$B$2:$I$43</definedName>
    <definedName name="_xlnm.Print_Area" localSheetId="40">'EEA-SD-07 - Conc não estrutural'!$B$2:$I$43</definedName>
    <definedName name="_xlnm.Print_Area" localSheetId="41">'EEA-SD-08 - Pintura a base'!$B$2:$I$42</definedName>
    <definedName name="_xlnm.Print_Area" localSheetId="19">'EEA-SP-03 - Comp. Sin. F Laranj'!$B$2:$I$45</definedName>
    <definedName name="_xlnm.Print_Area" localSheetId="17">'EEA-SP-05 - Comp. Banheiro Quim'!$B$2:$I$41</definedName>
    <definedName name="_xlnm.Print_Area" localSheetId="18">'EEA-SP-06 - Comp. Tapume'!$B$2:$I$43</definedName>
    <definedName name="_xlnm.Print_Area" localSheetId="33">'EEA-SV-01 - Comp. Placa 0,36m²'!$B$2:$I$47</definedName>
    <definedName name="_xlnm.Print_Area" localSheetId="34">'EEA-SV-02 - Comp. Pl. Lograd'!$B$2:$I$42</definedName>
    <definedName name="_xlnm.Print_Area" localSheetId="35">'EEA-SV-03 - Comp. Suporte'!$B$2:$I$45</definedName>
    <definedName name="_xlnm.Print_Area" localSheetId="2">Orçamento!$B$2:$L$222</definedName>
    <definedName name="_xlnm.Print_Area" localSheetId="15">'Passeio com Acessibilidade'!$B$2:$R$39</definedName>
    <definedName name="_xlnm.Print_Area" localSheetId="13">'Pav-Pavimento'!$B$2:$S$43</definedName>
    <definedName name="_xlnm.Print_Area" localSheetId="12">'Pav-Terrapl'!$B$2:$R$33</definedName>
    <definedName name="_xlnm.Print_Area" localSheetId="1">'Resumo DMT''s'!$B$2:$E$20</definedName>
    <definedName name="_xlnm.Print_Area" localSheetId="14">'Serv. Complementares'!$B$2:$R$19</definedName>
    <definedName name="_xlnm.Print_Area" localSheetId="6">'Serv. Preliminares'!$B$2:$J$19</definedName>
    <definedName name="_xlnm.Print_Area" localSheetId="16">Sinalização!$B$2:$S$31</definedName>
    <definedName name="_xlnm.Print_Area" localSheetId="4">'Tabela Resumo'!$B$2:$F$22</definedName>
    <definedName name="LINHA7" localSheetId="3">#REF!</definedName>
    <definedName name="LINHA7" localSheetId="7">#REF!</definedName>
    <definedName name="LINHA7" localSheetId="30">#REF!</definedName>
    <definedName name="LINHA7" localSheetId="31">#REF!</definedName>
    <definedName name="LINHA7" localSheetId="32">#REF!</definedName>
    <definedName name="LINHA7" localSheetId="27">#REF!</definedName>
    <definedName name="LINHA7" localSheetId="21">#REF!</definedName>
    <definedName name="LINHA7" localSheetId="22">#REF!</definedName>
    <definedName name="LINHA7" localSheetId="23">#REF!</definedName>
    <definedName name="LINHA7" localSheetId="24">#REF!</definedName>
    <definedName name="LINHA7" localSheetId="25">#REF!</definedName>
    <definedName name="LINHA7" localSheetId="26">#REF!</definedName>
    <definedName name="LINHA7" localSheetId="20">#REF!</definedName>
    <definedName name="LINHA7" localSheetId="36">#REF!</definedName>
    <definedName name="LINHA7" localSheetId="28">#REF!</definedName>
    <definedName name="LINHA7" localSheetId="29">#REF!</definedName>
    <definedName name="LINHA7" localSheetId="37">#REF!</definedName>
    <definedName name="LINHA7" localSheetId="38">#REF!</definedName>
    <definedName name="LINHA7" localSheetId="39">#REF!</definedName>
    <definedName name="LINHA7" localSheetId="40">#REF!</definedName>
    <definedName name="LINHA7" localSheetId="41">#REF!</definedName>
    <definedName name="LINHA7" localSheetId="19">#REF!</definedName>
    <definedName name="LINHA7" localSheetId="17">#REF!</definedName>
    <definedName name="LINHA7" localSheetId="18">#REF!</definedName>
    <definedName name="LINHA7" localSheetId="33">#REF!</definedName>
    <definedName name="LINHA7" localSheetId="34">#REF!</definedName>
    <definedName name="LINHA7" localSheetId="35">#REF!</definedName>
    <definedName name="LINHA7">#REF!</definedName>
    <definedName name="Print_Area_MI" localSheetId="23">#REF!</definedName>
    <definedName name="Print_Area_MI" localSheetId="20">#REF!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#REF!</definedName>
    <definedName name="_xlnm.Print_Titles" localSheetId="5">Cronograma!$B:$F,Cronograma!$2:$7</definedName>
    <definedName name="_xlnm.Print_Titles" localSheetId="7">Demolições!$B:$F,Demolições!$2:$6</definedName>
    <definedName name="_xlnm.Print_Titles" localSheetId="11">'Dre-Disp. Estruturais'!$B:$F,'Dre-Disp. Estruturais'!$2:$6</definedName>
    <definedName name="_xlnm.Print_Titles" localSheetId="10">'Dre-Terraplenagem'!$B:$F,'Dre-Terraplenagem'!$2:$6</definedName>
    <definedName name="_xlnm.Print_Titles" localSheetId="2">Orçamento!$2:$12</definedName>
    <definedName name="_xlnm.Print_Titles" localSheetId="15">'Passeio com Acessibilidade'!$B:$F,'Passeio com Acessibilidade'!$2:$6</definedName>
    <definedName name="_xlnm.Print_Titles" localSheetId="13">'Pav-Pavimento'!$B:$G,'Pav-Pavimento'!$2:$6</definedName>
    <definedName name="_xlnm.Print_Titles" localSheetId="12">'Pav-Terrapl'!$B:$F,'Pav-Terrapl'!$2:$6</definedName>
    <definedName name="_xlnm.Print_Titles" localSheetId="14">'Serv. Complementares'!$B:$F,'Serv. Complementares'!$2:$6</definedName>
    <definedName name="_xlnm.Print_Titles" localSheetId="6">'Serv. Preliminares'!$B:$F,'Serv. Preliminares'!$2:$6</definedName>
    <definedName name="_xlnm.Print_Titles" localSheetId="16">Sinalização!$B:$G,Sinalização!$2:$6</definedName>
    <definedName name="Z_0B914F5C_7316_4563_8D6F_D6875F91F0FA_.wvu.Cols" localSheetId="3" hidden="1">'BDI SERVIÇO'!$J:$K,'BDI SERVIÇO'!$O:$AT</definedName>
    <definedName name="Z_0B914F5C_7316_4563_8D6F_D6875F91F0FA_.wvu.PrintArea" localSheetId="3" hidden="1">'BDI SERVIÇO'!$B$2:$H$61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7" i="211" l="1"/>
  <c r="I17" i="201"/>
  <c r="I17" i="200"/>
  <c r="I17" i="192"/>
  <c r="I17" i="197"/>
  <c r="I17" i="185"/>
  <c r="E33" i="201" l="1"/>
  <c r="I39" i="204"/>
  <c r="D38" i="204"/>
  <c r="C38" i="204"/>
  <c r="B38" i="204"/>
  <c r="D37" i="204"/>
  <c r="C37" i="204"/>
  <c r="B37" i="204"/>
  <c r="I36" i="204"/>
  <c r="I35" i="204"/>
  <c r="D34" i="204"/>
  <c r="C34" i="204"/>
  <c r="B34" i="204"/>
  <c r="I33" i="204"/>
  <c r="I32" i="204"/>
  <c r="I31" i="204"/>
  <c r="I39" i="205"/>
  <c r="D38" i="205"/>
  <c r="C38" i="205"/>
  <c r="B38" i="205"/>
  <c r="D37" i="205"/>
  <c r="C37" i="205"/>
  <c r="B37" i="205"/>
  <c r="I36" i="205"/>
  <c r="I35" i="205"/>
  <c r="D34" i="205"/>
  <c r="C34" i="205"/>
  <c r="B34" i="205"/>
  <c r="I33" i="205"/>
  <c r="I32" i="205"/>
  <c r="I31" i="205"/>
  <c r="I15" i="204"/>
  <c r="I17" i="204" s="1"/>
  <c r="I15" i="205"/>
  <c r="I17" i="205" s="1"/>
  <c r="D38" i="186"/>
  <c r="D34" i="186"/>
  <c r="B38" i="186"/>
  <c r="B34" i="186"/>
  <c r="D38" i="185"/>
  <c r="D42" i="185"/>
  <c r="B42" i="185"/>
  <c r="B38" i="185"/>
  <c r="D31" i="185"/>
  <c r="C31" i="185"/>
  <c r="B31" i="185"/>
  <c r="I39" i="197"/>
  <c r="I38" i="197"/>
  <c r="I37" i="197"/>
  <c r="I36" i="197"/>
  <c r="I35" i="197"/>
  <c r="I34" i="197"/>
  <c r="I33" i="197"/>
  <c r="I32" i="197"/>
  <c r="I31" i="197"/>
  <c r="I33" i="210"/>
  <c r="I15" i="210"/>
  <c r="I17" i="210" s="1"/>
  <c r="D34" i="193"/>
  <c r="C34" i="193"/>
  <c r="B34" i="193"/>
  <c r="D35" i="193"/>
  <c r="C35" i="193"/>
  <c r="B35" i="193"/>
  <c r="D37" i="193"/>
  <c r="C37" i="193"/>
  <c r="B37" i="193"/>
  <c r="I22" i="211"/>
  <c r="I40" i="211"/>
  <c r="I32" i="211"/>
  <c r="I34" i="211" s="1"/>
  <c r="I21" i="211"/>
  <c r="C6" i="211"/>
  <c r="B6" i="211"/>
  <c r="C5" i="211"/>
  <c r="B5" i="211"/>
  <c r="C3" i="211"/>
  <c r="B3" i="211"/>
  <c r="G2" i="211"/>
  <c r="C2" i="211"/>
  <c r="B2" i="211"/>
  <c r="I41" i="210"/>
  <c r="I32" i="210"/>
  <c r="I31" i="210"/>
  <c r="I21" i="210"/>
  <c r="I23" i="210" s="1"/>
  <c r="C6" i="210"/>
  <c r="B6" i="210"/>
  <c r="C5" i="210"/>
  <c r="B5" i="210"/>
  <c r="C3" i="210"/>
  <c r="B3" i="210"/>
  <c r="G2" i="210"/>
  <c r="C2" i="210"/>
  <c r="B2" i="210"/>
  <c r="D33" i="200"/>
  <c r="C33" i="200"/>
  <c r="B33" i="200"/>
  <c r="D37" i="186"/>
  <c r="C37" i="186"/>
  <c r="B37" i="186"/>
  <c r="D36" i="189"/>
  <c r="C36" i="189"/>
  <c r="B36" i="189"/>
  <c r="I35" i="210" l="1"/>
  <c r="I24" i="211"/>
  <c r="I26" i="211" s="1"/>
  <c r="I28" i="211" s="1"/>
  <c r="I42" i="211" s="1"/>
  <c r="E37" i="193" s="1"/>
  <c r="I25" i="210"/>
  <c r="I27" i="210" s="1"/>
  <c r="I43" i="210" l="1"/>
  <c r="E34" i="193" s="1"/>
  <c r="I21" i="199" l="1"/>
  <c r="I15" i="186"/>
  <c r="I33" i="186"/>
  <c r="C38" i="185" l="1"/>
  <c r="I22" i="201"/>
  <c r="L75" i="53" l="1"/>
  <c r="J75" i="53"/>
  <c r="H75" i="53"/>
  <c r="L57" i="53"/>
  <c r="J57" i="53"/>
  <c r="H57" i="53"/>
  <c r="L39" i="53"/>
  <c r="J39" i="53"/>
  <c r="H39" i="53"/>
  <c r="L21" i="53"/>
  <c r="J21" i="53"/>
  <c r="H21" i="53"/>
  <c r="N38" i="53"/>
  <c r="N56" i="53" s="1"/>
  <c r="N74" i="53" s="1"/>
  <c r="N12" i="53"/>
  <c r="N30" i="53" s="1"/>
  <c r="N48" i="53" s="1"/>
  <c r="N66" i="53" s="1"/>
  <c r="N13" i="53"/>
  <c r="N31" i="53" s="1"/>
  <c r="N49" i="53" s="1"/>
  <c r="N67" i="53" s="1"/>
  <c r="N14" i="53"/>
  <c r="N32" i="53" s="1"/>
  <c r="N50" i="53" s="1"/>
  <c r="N68" i="53" s="1"/>
  <c r="N15" i="53"/>
  <c r="N33" i="53" s="1"/>
  <c r="N51" i="53" s="1"/>
  <c r="N69" i="53" s="1"/>
  <c r="N16" i="53"/>
  <c r="N34" i="53" s="1"/>
  <c r="N52" i="53" s="1"/>
  <c r="N70" i="53" s="1"/>
  <c r="N17" i="53"/>
  <c r="N35" i="53" s="1"/>
  <c r="N53" i="53" s="1"/>
  <c r="N71" i="53" s="1"/>
  <c r="N18" i="53"/>
  <c r="N36" i="53" s="1"/>
  <c r="N54" i="53" s="1"/>
  <c r="N72" i="53" s="1"/>
  <c r="N19" i="53"/>
  <c r="N37" i="53" s="1"/>
  <c r="N55" i="53" s="1"/>
  <c r="N73" i="53" s="1"/>
  <c r="N20" i="53"/>
  <c r="N11" i="53"/>
  <c r="D100" i="1"/>
  <c r="D99" i="1"/>
  <c r="F100" i="1"/>
  <c r="F99" i="1"/>
  <c r="B100" i="1"/>
  <c r="B99" i="1"/>
  <c r="I21" i="190"/>
  <c r="C6" i="204"/>
  <c r="B6" i="204"/>
  <c r="C5" i="204"/>
  <c r="B5" i="204"/>
  <c r="C3" i="204"/>
  <c r="B3" i="204"/>
  <c r="G2" i="204"/>
  <c r="C2" i="204"/>
  <c r="B2" i="204"/>
  <c r="C6" i="205"/>
  <c r="B6" i="205"/>
  <c r="C5" i="205"/>
  <c r="B5" i="205"/>
  <c r="C3" i="205"/>
  <c r="B3" i="205"/>
  <c r="G2" i="205"/>
  <c r="C2" i="205"/>
  <c r="B2" i="205"/>
  <c r="C34" i="186"/>
  <c r="C38" i="186"/>
  <c r="C42" i="185"/>
  <c r="I22" i="208"/>
  <c r="I21" i="208"/>
  <c r="I32" i="208"/>
  <c r="I33" i="208"/>
  <c r="I41" i="208"/>
  <c r="I17" i="208"/>
  <c r="C6" i="208"/>
  <c r="B6" i="208"/>
  <c r="C5" i="208"/>
  <c r="B5" i="208"/>
  <c r="C3" i="208"/>
  <c r="B3" i="208"/>
  <c r="G2" i="208"/>
  <c r="C2" i="208"/>
  <c r="B2" i="208"/>
  <c r="I38" i="206"/>
  <c r="I32" i="206"/>
  <c r="I21" i="206"/>
  <c r="I23" i="206" s="1"/>
  <c r="I17" i="206"/>
  <c r="C6" i="206"/>
  <c r="B6" i="206"/>
  <c r="C5" i="206"/>
  <c r="B5" i="206"/>
  <c r="C3" i="206"/>
  <c r="B3" i="206"/>
  <c r="G2" i="206"/>
  <c r="C2" i="206"/>
  <c r="B2" i="206"/>
  <c r="I47" i="205"/>
  <c r="I23" i="205"/>
  <c r="I25" i="205" s="1"/>
  <c r="I27" i="205" s="1"/>
  <c r="I47" i="204"/>
  <c r="I23" i="204"/>
  <c r="I25" i="204" s="1"/>
  <c r="I27" i="204" s="1"/>
  <c r="N21" i="53" l="1"/>
  <c r="N39" i="53" s="1"/>
  <c r="N57" i="53" s="1"/>
  <c r="N75" i="53" s="1"/>
  <c r="I25" i="206"/>
  <c r="I27" i="206" s="1"/>
  <c r="I40" i="206" s="1"/>
  <c r="I35" i="208"/>
  <c r="I24" i="208"/>
  <c r="I26" i="208" s="1"/>
  <c r="I28" i="208" s="1"/>
  <c r="I43" i="208" s="1"/>
  <c r="E31" i="185" s="1"/>
  <c r="I31" i="185" s="1"/>
  <c r="E34" i="204" l="1"/>
  <c r="I34" i="204" s="1"/>
  <c r="E38" i="185"/>
  <c r="I38" i="185" s="1"/>
  <c r="E34" i="186"/>
  <c r="E34" i="205"/>
  <c r="I34" i="205" s="1"/>
  <c r="E35" i="193"/>
  <c r="I34" i="186"/>
  <c r="F50" i="1"/>
  <c r="D50" i="1"/>
  <c r="B50" i="1"/>
  <c r="C6" i="202"/>
  <c r="B6" i="202"/>
  <c r="C5" i="202"/>
  <c r="B5" i="202"/>
  <c r="C3" i="202"/>
  <c r="B3" i="202"/>
  <c r="G2" i="202"/>
  <c r="C2" i="202"/>
  <c r="B2" i="202"/>
  <c r="I40" i="202"/>
  <c r="I32" i="202"/>
  <c r="I34" i="202" s="1"/>
  <c r="I22" i="202"/>
  <c r="I24" i="202" s="1"/>
  <c r="I16" i="202"/>
  <c r="I15" i="202"/>
  <c r="I18" i="202" l="1"/>
  <c r="I26" i="202" s="1"/>
  <c r="I28" i="202" s="1"/>
  <c r="I42" i="202" s="1"/>
  <c r="H50" i="1" s="1"/>
  <c r="O23" i="58" l="1"/>
  <c r="N23" i="58"/>
  <c r="H23" i="58"/>
  <c r="G29" i="67"/>
  <c r="G30" i="67" s="1"/>
  <c r="G32" i="67" s="1"/>
  <c r="H29" i="67"/>
  <c r="H30" i="67" s="1"/>
  <c r="I29" i="67"/>
  <c r="I30" i="67" s="1"/>
  <c r="J29" i="67"/>
  <c r="J30" i="67" s="1"/>
  <c r="K29" i="67"/>
  <c r="K30" i="67" s="1"/>
  <c r="K32" i="67" s="1"/>
  <c r="L29" i="67"/>
  <c r="L30" i="67" s="1"/>
  <c r="M29" i="67"/>
  <c r="M30" i="67" s="1"/>
  <c r="N29" i="67"/>
  <c r="N30" i="67" s="1"/>
  <c r="O29" i="67"/>
  <c r="O30" i="67" s="1"/>
  <c r="P29" i="67"/>
  <c r="G33" i="67"/>
  <c r="R29" i="67" l="1"/>
  <c r="O32" i="67"/>
  <c r="N32" i="67"/>
  <c r="M32" i="67"/>
  <c r="L32" i="67"/>
  <c r="J32" i="67"/>
  <c r="I32" i="67"/>
  <c r="H32" i="67"/>
  <c r="P30" i="67"/>
  <c r="F206" i="1"/>
  <c r="F205" i="1"/>
  <c r="F204" i="1"/>
  <c r="D206" i="1"/>
  <c r="D205" i="1"/>
  <c r="D204" i="1"/>
  <c r="B206" i="1"/>
  <c r="B205" i="1"/>
  <c r="B204" i="1"/>
  <c r="F191" i="1"/>
  <c r="F185" i="1"/>
  <c r="D191" i="1"/>
  <c r="D185" i="1"/>
  <c r="B185" i="1"/>
  <c r="B191" i="1"/>
  <c r="F176" i="1"/>
  <c r="D176" i="1"/>
  <c r="B176" i="1"/>
  <c r="F166" i="1"/>
  <c r="F165" i="1"/>
  <c r="D166" i="1"/>
  <c r="D165" i="1"/>
  <c r="B166" i="1"/>
  <c r="B165" i="1"/>
  <c r="F149" i="1"/>
  <c r="F156" i="1"/>
  <c r="D106" i="1"/>
  <c r="F106" i="1"/>
  <c r="B106" i="1"/>
  <c r="F98" i="1"/>
  <c r="F88" i="1"/>
  <c r="D98" i="1"/>
  <c r="D88" i="1"/>
  <c r="B98" i="1"/>
  <c r="B88" i="1"/>
  <c r="F20" i="1"/>
  <c r="F19" i="1"/>
  <c r="F18" i="1"/>
  <c r="D20" i="1"/>
  <c r="D19" i="1"/>
  <c r="D18" i="1"/>
  <c r="B20" i="1"/>
  <c r="B19" i="1"/>
  <c r="B18" i="1"/>
  <c r="D156" i="1"/>
  <c r="B156" i="1"/>
  <c r="D149" i="1"/>
  <c r="B149" i="1"/>
  <c r="G122" i="1"/>
  <c r="P33" i="67"/>
  <c r="O33" i="67"/>
  <c r="N33" i="67"/>
  <c r="M33" i="67"/>
  <c r="L33" i="67"/>
  <c r="K33" i="67"/>
  <c r="J33" i="67"/>
  <c r="I33" i="67"/>
  <c r="H33" i="67"/>
  <c r="E31" i="67"/>
  <c r="O31" i="67" s="1"/>
  <c r="E124" i="1" l="1"/>
  <c r="R33" i="67"/>
  <c r="G126" i="1" s="1"/>
  <c r="I31" i="67"/>
  <c r="J31" i="67"/>
  <c r="L31" i="67"/>
  <c r="M31" i="67"/>
  <c r="K31" i="67"/>
  <c r="G31" i="67"/>
  <c r="N31" i="67"/>
  <c r="H31" i="67"/>
  <c r="P32" i="67"/>
  <c r="R32" i="67" s="1"/>
  <c r="G125" i="1" s="1"/>
  <c r="P31" i="67"/>
  <c r="R30" i="67"/>
  <c r="G123" i="1" s="1"/>
  <c r="R31" i="67" l="1"/>
  <c r="G124" i="1" s="1"/>
  <c r="R21" i="67"/>
  <c r="R20" i="67"/>
  <c r="P22" i="67"/>
  <c r="P24" i="67" s="1"/>
  <c r="O22" i="67"/>
  <c r="O24" i="67" s="1"/>
  <c r="N22" i="67"/>
  <c r="N24" i="67" s="1"/>
  <c r="M22" i="67"/>
  <c r="M24" i="67" s="1"/>
  <c r="L22" i="67"/>
  <c r="L24" i="67" s="1"/>
  <c r="K22" i="67"/>
  <c r="K24" i="67" s="1"/>
  <c r="J22" i="67"/>
  <c r="J24" i="67" s="1"/>
  <c r="I22" i="67"/>
  <c r="I24" i="67" s="1"/>
  <c r="H22" i="67"/>
  <c r="H24" i="67" s="1"/>
  <c r="G22" i="67"/>
  <c r="V63" i="58"/>
  <c r="V64" i="58" s="1"/>
  <c r="V57" i="58"/>
  <c r="V40" i="58"/>
  <c r="V47" i="58" s="1"/>
  <c r="V48" i="58" s="1"/>
  <c r="V31" i="58"/>
  <c r="V30" i="58"/>
  <c r="V27" i="58"/>
  <c r="V21" i="58"/>
  <c r="U63" i="58"/>
  <c r="U64" i="58" s="1"/>
  <c r="U57" i="58"/>
  <c r="U40" i="58"/>
  <c r="U44" i="58" s="1"/>
  <c r="U31" i="58"/>
  <c r="U30" i="58"/>
  <c r="U27" i="58"/>
  <c r="U21" i="58"/>
  <c r="T63" i="58"/>
  <c r="T64" i="58" s="1"/>
  <c r="T57" i="58"/>
  <c r="T40" i="58"/>
  <c r="T47" i="58" s="1"/>
  <c r="T48" i="58" s="1"/>
  <c r="T31" i="58"/>
  <c r="T30" i="58"/>
  <c r="T27" i="58"/>
  <c r="T21" i="58"/>
  <c r="S63" i="58"/>
  <c r="S64" i="58" s="1"/>
  <c r="S57" i="58"/>
  <c r="S40" i="58"/>
  <c r="S47" i="58" s="1"/>
  <c r="S48" i="58" s="1"/>
  <c r="S31" i="58"/>
  <c r="S30" i="58"/>
  <c r="S27" i="58"/>
  <c r="S21" i="58"/>
  <c r="R63" i="58"/>
  <c r="R64" i="58" s="1"/>
  <c r="R57" i="58"/>
  <c r="R40" i="58"/>
  <c r="R47" i="58" s="1"/>
  <c r="R48" i="58" s="1"/>
  <c r="R31" i="58"/>
  <c r="R30" i="58"/>
  <c r="R27" i="58"/>
  <c r="R21" i="58"/>
  <c r="N63" i="58"/>
  <c r="N64" i="58" s="1"/>
  <c r="N57" i="58"/>
  <c r="N40" i="58"/>
  <c r="N47" i="58" s="1"/>
  <c r="N48" i="58" s="1"/>
  <c r="N31" i="58"/>
  <c r="N30" i="58"/>
  <c r="N27" i="58"/>
  <c r="N25" i="58"/>
  <c r="M63" i="58"/>
  <c r="M64" i="58" s="1"/>
  <c r="M57" i="58"/>
  <c r="M40" i="58"/>
  <c r="M47" i="58" s="1"/>
  <c r="M48" i="58" s="1"/>
  <c r="M31" i="58"/>
  <c r="M30" i="58"/>
  <c r="M27" i="58"/>
  <c r="M25" i="58"/>
  <c r="M28" i="58" s="1"/>
  <c r="H63" i="58"/>
  <c r="I63" i="58"/>
  <c r="J63" i="58"/>
  <c r="K63" i="58"/>
  <c r="L63" i="58"/>
  <c r="O63" i="58"/>
  <c r="P63" i="58"/>
  <c r="Q63" i="58"/>
  <c r="G63" i="58"/>
  <c r="R13" i="59"/>
  <c r="V13" i="58" s="1"/>
  <c r="Q13" i="59"/>
  <c r="U13" i="58" s="1"/>
  <c r="P13" i="59"/>
  <c r="T13" i="58" s="1"/>
  <c r="R12" i="59"/>
  <c r="V12" i="58" s="1"/>
  <c r="Q12" i="59"/>
  <c r="U12" i="58" s="1"/>
  <c r="P12" i="59"/>
  <c r="T12" i="58" s="1"/>
  <c r="R11" i="59"/>
  <c r="V11" i="58" s="1"/>
  <c r="Q11" i="59"/>
  <c r="U11" i="58" s="1"/>
  <c r="P11" i="59"/>
  <c r="T11" i="58" s="1"/>
  <c r="R19" i="59"/>
  <c r="V19" i="58" s="1"/>
  <c r="Q19" i="59"/>
  <c r="U19" i="58" s="1"/>
  <c r="P19" i="59"/>
  <c r="T19" i="58" s="1"/>
  <c r="O13" i="59"/>
  <c r="S13" i="58" s="1"/>
  <c r="N13" i="59"/>
  <c r="R13" i="58" s="1"/>
  <c r="O12" i="59"/>
  <c r="S12" i="58" s="1"/>
  <c r="N12" i="59"/>
  <c r="R12" i="58" s="1"/>
  <c r="O11" i="59"/>
  <c r="S11" i="58" s="1"/>
  <c r="N11" i="59"/>
  <c r="R11" i="58" s="1"/>
  <c r="O19" i="59"/>
  <c r="S19" i="58" s="1"/>
  <c r="N19" i="59"/>
  <c r="R19" i="58" s="1"/>
  <c r="N32" i="58" l="1"/>
  <c r="R22" i="67"/>
  <c r="G24" i="67"/>
  <c r="U47" i="58"/>
  <c r="U48" i="58" s="1"/>
  <c r="S44" i="58"/>
  <c r="V44" i="58"/>
  <c r="T44" i="58"/>
  <c r="R44" i="58"/>
  <c r="M32" i="58"/>
  <c r="M44" i="58"/>
  <c r="N44" i="58"/>
  <c r="N28" i="58"/>
  <c r="G42" i="55"/>
  <c r="G34" i="55"/>
  <c r="G21" i="55"/>
  <c r="AJ42" i="55"/>
  <c r="AP42" i="55" s="1"/>
  <c r="AI42" i="55"/>
  <c r="AO42" i="55" s="1"/>
  <c r="AH42" i="55"/>
  <c r="AG42" i="55"/>
  <c r="L42" i="55"/>
  <c r="K42" i="55"/>
  <c r="J42" i="55"/>
  <c r="R10" i="59" s="1"/>
  <c r="V10" i="58" s="1"/>
  <c r="V25" i="58" s="1"/>
  <c r="C42" i="55"/>
  <c r="AJ41" i="55"/>
  <c r="AP41" i="55" s="1"/>
  <c r="AI41" i="55"/>
  <c r="AO41" i="55" s="1"/>
  <c r="AH41" i="55"/>
  <c r="AG41" i="55"/>
  <c r="L41" i="55"/>
  <c r="K41" i="55"/>
  <c r="J41" i="55"/>
  <c r="Q10" i="59" s="1"/>
  <c r="U10" i="58" s="1"/>
  <c r="U25" i="58" s="1"/>
  <c r="U32" i="58" s="1"/>
  <c r="C41" i="55"/>
  <c r="AJ40" i="55"/>
  <c r="AP40" i="55" s="1"/>
  <c r="AI40" i="55"/>
  <c r="AO40" i="55" s="1"/>
  <c r="AH40" i="55"/>
  <c r="AG40" i="55"/>
  <c r="L40" i="55"/>
  <c r="K40" i="55"/>
  <c r="J40" i="55"/>
  <c r="P10" i="59" s="1"/>
  <c r="T10" i="58" s="1"/>
  <c r="T25" i="58" s="1"/>
  <c r="T28" i="58" s="1"/>
  <c r="C40" i="55"/>
  <c r="AJ39" i="55"/>
  <c r="AM39" i="55" s="1"/>
  <c r="AI39" i="55"/>
  <c r="AL39" i="55" s="1"/>
  <c r="AH39" i="55"/>
  <c r="AK39" i="55" s="1"/>
  <c r="AG39" i="55"/>
  <c r="L39" i="55"/>
  <c r="K39" i="55"/>
  <c r="J39" i="55"/>
  <c r="C39" i="55"/>
  <c r="AJ38" i="55"/>
  <c r="AP38" i="55" s="1"/>
  <c r="AI38" i="55"/>
  <c r="AO38" i="55" s="1"/>
  <c r="AH38" i="55"/>
  <c r="AG38" i="55"/>
  <c r="L38" i="55"/>
  <c r="K38" i="55"/>
  <c r="J38" i="55"/>
  <c r="C38" i="55"/>
  <c r="AJ37" i="55"/>
  <c r="AM37" i="55" s="1"/>
  <c r="AI37" i="55"/>
  <c r="AL37" i="55" s="1"/>
  <c r="AH37" i="55"/>
  <c r="AK37" i="55" s="1"/>
  <c r="AG37" i="55"/>
  <c r="L37" i="55"/>
  <c r="K37" i="55"/>
  <c r="J37" i="55"/>
  <c r="C37" i="55"/>
  <c r="AJ36" i="55"/>
  <c r="AM36" i="55" s="1"/>
  <c r="AI36" i="55"/>
  <c r="AO36" i="55" s="1"/>
  <c r="AH36" i="55"/>
  <c r="AN36" i="55" s="1"/>
  <c r="AG36" i="55"/>
  <c r="L36" i="55"/>
  <c r="K36" i="55"/>
  <c r="J36" i="55"/>
  <c r="C36" i="55"/>
  <c r="AJ35" i="55"/>
  <c r="AP35" i="55" s="1"/>
  <c r="AI35" i="55"/>
  <c r="AL35" i="55" s="1"/>
  <c r="AH35" i="55"/>
  <c r="AN35" i="55" s="1"/>
  <c r="AG35" i="55"/>
  <c r="L35" i="55"/>
  <c r="K35" i="55"/>
  <c r="J35" i="55"/>
  <c r="C35" i="55"/>
  <c r="AJ34" i="55"/>
  <c r="AM34" i="55" s="1"/>
  <c r="AI34" i="55"/>
  <c r="AO34" i="55" s="1"/>
  <c r="AH34" i="55"/>
  <c r="AG34" i="55"/>
  <c r="L34" i="55"/>
  <c r="K34" i="55"/>
  <c r="J34" i="55"/>
  <c r="O10" i="59" s="1"/>
  <c r="S10" i="58" s="1"/>
  <c r="S25" i="58" s="1"/>
  <c r="C34" i="55"/>
  <c r="AJ33" i="55"/>
  <c r="AP33" i="55" s="1"/>
  <c r="AI33" i="55"/>
  <c r="AH33" i="55"/>
  <c r="AG33" i="55"/>
  <c r="L33" i="55"/>
  <c r="K33" i="55"/>
  <c r="J33" i="55"/>
  <c r="N10" i="59" s="1"/>
  <c r="R10" i="58" s="1"/>
  <c r="R25" i="58" s="1"/>
  <c r="R28" i="58" s="1"/>
  <c r="C33" i="55"/>
  <c r="L28" i="56"/>
  <c r="L30" i="56"/>
  <c r="L31" i="56"/>
  <c r="L32" i="56"/>
  <c r="G38" i="55"/>
  <c r="G35" i="55"/>
  <c r="G37" i="55"/>
  <c r="G41" i="55"/>
  <c r="G39" i="55"/>
  <c r="G40" i="55"/>
  <c r="G36" i="55"/>
  <c r="G33" i="55"/>
  <c r="AP37" i="55" l="1"/>
  <c r="AN39" i="55"/>
  <c r="AO37" i="55"/>
  <c r="V28" i="58"/>
  <c r="V32" i="58"/>
  <c r="S32" i="58"/>
  <c r="S28" i="58"/>
  <c r="AP36" i="55"/>
  <c r="O36" i="55" s="1"/>
  <c r="P36" i="55" s="1"/>
  <c r="M40" i="55"/>
  <c r="N40" i="55" s="1"/>
  <c r="AO39" i="55"/>
  <c r="M36" i="55"/>
  <c r="N36" i="55" s="1"/>
  <c r="U28" i="58"/>
  <c r="T32" i="58"/>
  <c r="R32" i="58"/>
  <c r="T41" i="55"/>
  <c r="T36" i="55"/>
  <c r="T38" i="55"/>
  <c r="T35" i="55"/>
  <c r="T39" i="55"/>
  <c r="E39" i="55"/>
  <c r="H39" i="55" s="1"/>
  <c r="I39" i="55" s="1"/>
  <c r="AK35" i="55"/>
  <c r="M37" i="55"/>
  <c r="N37" i="55" s="1"/>
  <c r="AP39" i="55"/>
  <c r="AM40" i="55"/>
  <c r="AL41" i="55"/>
  <c r="AP34" i="55"/>
  <c r="M39" i="55"/>
  <c r="N39" i="55" s="1"/>
  <c r="T40" i="55"/>
  <c r="AM41" i="55"/>
  <c r="AL34" i="55"/>
  <c r="E37" i="55"/>
  <c r="H37" i="55" s="1"/>
  <c r="I37" i="55" s="1"/>
  <c r="AL42" i="55"/>
  <c r="M38" i="55"/>
  <c r="N38" i="55" s="1"/>
  <c r="AM42" i="55"/>
  <c r="T37" i="55"/>
  <c r="AN37" i="55"/>
  <c r="T42" i="55"/>
  <c r="AM33" i="55"/>
  <c r="AO35" i="55"/>
  <c r="O35" i="55" s="1"/>
  <c r="AL38" i="55"/>
  <c r="AN40" i="55"/>
  <c r="O40" i="55" s="1"/>
  <c r="AM35" i="55"/>
  <c r="AL40" i="55"/>
  <c r="T33" i="55"/>
  <c r="AK38" i="55"/>
  <c r="AK36" i="55"/>
  <c r="AM38" i="55"/>
  <c r="AK40" i="55"/>
  <c r="M35" i="55"/>
  <c r="N35" i="55" s="1"/>
  <c r="AL36" i="55"/>
  <c r="AN38" i="55"/>
  <c r="O38" i="55" s="1"/>
  <c r="T34" i="55"/>
  <c r="L34" i="56"/>
  <c r="L33" i="56"/>
  <c r="M41" i="55"/>
  <c r="O37" i="55" l="1"/>
  <c r="P37" i="55" s="1"/>
  <c r="Q37" i="55" s="1"/>
  <c r="R37" i="55" s="1"/>
  <c r="S37" i="55" s="1"/>
  <c r="AR37" i="55" s="1"/>
  <c r="O39" i="55"/>
  <c r="P39" i="55" s="1"/>
  <c r="Q39" i="55" s="1"/>
  <c r="Q36" i="55"/>
  <c r="R36" i="55" s="1"/>
  <c r="S36" i="55" s="1"/>
  <c r="V36" i="55" s="1"/>
  <c r="F39" i="55"/>
  <c r="E35" i="55"/>
  <c r="H35" i="55" s="1"/>
  <c r="I35" i="55" s="1"/>
  <c r="F37" i="55"/>
  <c r="E38" i="55"/>
  <c r="F38" i="55" s="1"/>
  <c r="N41" i="55"/>
  <c r="P38" i="55"/>
  <c r="P40" i="55"/>
  <c r="E40" i="55"/>
  <c r="P35" i="55"/>
  <c r="E36" i="55"/>
  <c r="L35" i="56"/>
  <c r="D236" i="1"/>
  <c r="D235" i="1"/>
  <c r="D19" i="51" s="1"/>
  <c r="D38" i="53" s="1"/>
  <c r="D56" i="53" s="1"/>
  <c r="D74" i="53" s="1"/>
  <c r="D234" i="1"/>
  <c r="D18" i="51" s="1"/>
  <c r="D37" i="53" s="1"/>
  <c r="D55" i="53" s="1"/>
  <c r="D73" i="53" s="1"/>
  <c r="D233" i="1"/>
  <c r="D17" i="51" s="1"/>
  <c r="D36" i="53" s="1"/>
  <c r="D54" i="53" s="1"/>
  <c r="D72" i="53" s="1"/>
  <c r="D232" i="1"/>
  <c r="D16" i="51" s="1"/>
  <c r="D231" i="1"/>
  <c r="D15" i="51" s="1"/>
  <c r="D34" i="53" s="1"/>
  <c r="D52" i="53" s="1"/>
  <c r="D70" i="53" s="1"/>
  <c r="D230" i="1"/>
  <c r="D14" i="51" s="1"/>
  <c r="D229" i="1"/>
  <c r="D13" i="51" s="1"/>
  <c r="D228" i="1"/>
  <c r="D12" i="51" s="1"/>
  <c r="D31" i="53" s="1"/>
  <c r="D49" i="53" s="1"/>
  <c r="D67" i="53" s="1"/>
  <c r="D227" i="1"/>
  <c r="C236" i="1"/>
  <c r="C235" i="1"/>
  <c r="C19" i="51" s="1"/>
  <c r="C38" i="53" s="1"/>
  <c r="C56" i="53" s="1"/>
  <c r="C74" i="53" s="1"/>
  <c r="C234" i="1"/>
  <c r="C18" i="51" s="1"/>
  <c r="C37" i="53" s="1"/>
  <c r="C55" i="53" s="1"/>
  <c r="C73" i="53" s="1"/>
  <c r="C233" i="1"/>
  <c r="C17" i="51" s="1"/>
  <c r="C36" i="53" s="1"/>
  <c r="C54" i="53" s="1"/>
  <c r="C72" i="53" s="1"/>
  <c r="C232" i="1"/>
  <c r="C16" i="51" s="1"/>
  <c r="C231" i="1"/>
  <c r="C15" i="51" s="1"/>
  <c r="C34" i="53" s="1"/>
  <c r="C52" i="53" s="1"/>
  <c r="C70" i="53" s="1"/>
  <c r="C230" i="1"/>
  <c r="C14" i="51" s="1"/>
  <c r="C229" i="1"/>
  <c r="C13" i="51" s="1"/>
  <c r="C228" i="1"/>
  <c r="C12" i="51" s="1"/>
  <c r="C31" i="53" s="1"/>
  <c r="C49" i="53" s="1"/>
  <c r="C67" i="53" s="1"/>
  <c r="C227" i="1"/>
  <c r="C226" i="1"/>
  <c r="E160" i="1"/>
  <c r="E128" i="1"/>
  <c r="E111" i="1"/>
  <c r="E83" i="1"/>
  <c r="E68" i="1"/>
  <c r="M42" i="55"/>
  <c r="D14" i="53" l="1"/>
  <c r="D32" i="53"/>
  <c r="D50" i="53" s="1"/>
  <c r="D68" i="53" s="1"/>
  <c r="D17" i="53"/>
  <c r="D35" i="53"/>
  <c r="D53" i="53" s="1"/>
  <c r="D71" i="53" s="1"/>
  <c r="C14" i="53"/>
  <c r="C32" i="53"/>
  <c r="C50" i="53" s="1"/>
  <c r="C68" i="53" s="1"/>
  <c r="C15" i="53"/>
  <c r="C33" i="53"/>
  <c r="C51" i="53" s="1"/>
  <c r="C69" i="53" s="1"/>
  <c r="D15" i="53"/>
  <c r="D33" i="53"/>
  <c r="D51" i="53" s="1"/>
  <c r="D69" i="53" s="1"/>
  <c r="C17" i="53"/>
  <c r="C35" i="53"/>
  <c r="C53" i="53" s="1"/>
  <c r="C71" i="53" s="1"/>
  <c r="N42" i="55"/>
  <c r="AV37" i="55"/>
  <c r="AR36" i="55"/>
  <c r="AV36" i="55"/>
  <c r="AU36" i="55"/>
  <c r="AB36" i="55" s="1"/>
  <c r="AQ36" i="55"/>
  <c r="L36" i="56"/>
  <c r="AS37" i="55"/>
  <c r="AA37" i="55" s="1"/>
  <c r="AT37" i="55" s="1"/>
  <c r="AC37" i="55" s="1"/>
  <c r="AD37" i="55" s="1"/>
  <c r="AW36" i="55"/>
  <c r="AS36" i="55"/>
  <c r="AA36" i="55" s="1"/>
  <c r="AT36" i="55" s="1"/>
  <c r="AC36" i="55" s="1"/>
  <c r="AD36" i="55" s="1"/>
  <c r="AU37" i="55"/>
  <c r="AB37" i="55" s="1"/>
  <c r="AQ37" i="55"/>
  <c r="AW37" i="55"/>
  <c r="V37" i="55"/>
  <c r="F35" i="55"/>
  <c r="R39" i="55"/>
  <c r="S39" i="55" s="1"/>
  <c r="AU39" i="55" s="1"/>
  <c r="AB39" i="55" s="1"/>
  <c r="H38" i="55"/>
  <c r="I38" i="55" s="1"/>
  <c r="H36" i="55"/>
  <c r="I36" i="55" s="1"/>
  <c r="F36" i="55"/>
  <c r="Q35" i="55"/>
  <c r="R35" i="55" s="1"/>
  <c r="S35" i="55" s="1"/>
  <c r="H40" i="55"/>
  <c r="F40" i="55"/>
  <c r="P15" i="59" s="1"/>
  <c r="T15" i="58" s="1"/>
  <c r="Q40" i="55"/>
  <c r="R40" i="55" s="1"/>
  <c r="S40" i="55" s="1"/>
  <c r="Q38" i="55"/>
  <c r="R38" i="55" s="1"/>
  <c r="S38" i="55" s="1"/>
  <c r="I21" i="201"/>
  <c r="I41" i="201"/>
  <c r="I33" i="201"/>
  <c r="I32" i="201"/>
  <c r="C6" i="201"/>
  <c r="B6" i="201"/>
  <c r="C5" i="201"/>
  <c r="B5" i="201"/>
  <c r="C3" i="201"/>
  <c r="B3" i="201"/>
  <c r="G2" i="201"/>
  <c r="C2" i="201"/>
  <c r="B2" i="201"/>
  <c r="I15" i="199"/>
  <c r="I17" i="199" s="1"/>
  <c r="I31" i="200"/>
  <c r="I32" i="200"/>
  <c r="I30" i="200"/>
  <c r="I41" i="200"/>
  <c r="I22" i="200"/>
  <c r="C6" i="200"/>
  <c r="B6" i="200"/>
  <c r="C5" i="200"/>
  <c r="B5" i="200"/>
  <c r="C3" i="200"/>
  <c r="B3" i="200"/>
  <c r="G2" i="200"/>
  <c r="C2" i="200"/>
  <c r="B2" i="200"/>
  <c r="I23" i="199"/>
  <c r="C6" i="199"/>
  <c r="B6" i="199"/>
  <c r="C5" i="199"/>
  <c r="B5" i="199"/>
  <c r="C3" i="199"/>
  <c r="B3" i="199"/>
  <c r="G2" i="199"/>
  <c r="C2" i="199"/>
  <c r="B2" i="199"/>
  <c r="C6" i="196"/>
  <c r="B6" i="196"/>
  <c r="C5" i="196"/>
  <c r="B5" i="196"/>
  <c r="C3" i="196"/>
  <c r="B3" i="196"/>
  <c r="G2" i="196"/>
  <c r="C2" i="196"/>
  <c r="B2" i="196"/>
  <c r="I38" i="199"/>
  <c r="I32" i="199"/>
  <c r="I40" i="197"/>
  <c r="B2" i="197"/>
  <c r="I48" i="197"/>
  <c r="I23" i="197"/>
  <c r="C6" i="197"/>
  <c r="B6" i="197"/>
  <c r="C5" i="197"/>
  <c r="B5" i="197"/>
  <c r="C3" i="197"/>
  <c r="B3" i="197"/>
  <c r="G2" i="197"/>
  <c r="C2" i="197"/>
  <c r="I39" i="196"/>
  <c r="I31" i="196"/>
  <c r="I33" i="196" s="1"/>
  <c r="I21" i="196"/>
  <c r="I23" i="196" s="1"/>
  <c r="I15" i="196"/>
  <c r="I17" i="196" s="1"/>
  <c r="C6" i="195"/>
  <c r="B6" i="195"/>
  <c r="C5" i="195"/>
  <c r="B5" i="195"/>
  <c r="C3" i="195"/>
  <c r="B3" i="195"/>
  <c r="G2" i="195"/>
  <c r="C2" i="195"/>
  <c r="B2" i="195"/>
  <c r="C6" i="194"/>
  <c r="B6" i="194"/>
  <c r="C5" i="194"/>
  <c r="B5" i="194"/>
  <c r="C3" i="194"/>
  <c r="B3" i="194"/>
  <c r="G2" i="194"/>
  <c r="C2" i="194"/>
  <c r="B2" i="194"/>
  <c r="C6" i="193"/>
  <c r="B6" i="193"/>
  <c r="C5" i="193"/>
  <c r="B5" i="193"/>
  <c r="C3" i="193"/>
  <c r="B3" i="193"/>
  <c r="G2" i="193"/>
  <c r="C2" i="193"/>
  <c r="B2" i="193"/>
  <c r="C6" i="192"/>
  <c r="B6" i="192"/>
  <c r="C5" i="192"/>
  <c r="B5" i="192"/>
  <c r="C3" i="192"/>
  <c r="B3" i="192"/>
  <c r="G2" i="192"/>
  <c r="C2" i="192"/>
  <c r="B2" i="192"/>
  <c r="C6" i="190"/>
  <c r="B6" i="190"/>
  <c r="C5" i="190"/>
  <c r="B5" i="190"/>
  <c r="C3" i="190"/>
  <c r="B3" i="190"/>
  <c r="G2" i="190"/>
  <c r="C2" i="190"/>
  <c r="B2" i="190"/>
  <c r="C6" i="189"/>
  <c r="B6" i="189"/>
  <c r="C5" i="189"/>
  <c r="B5" i="189"/>
  <c r="C3" i="189"/>
  <c r="B3" i="189"/>
  <c r="G2" i="189"/>
  <c r="C2" i="189"/>
  <c r="B2" i="189"/>
  <c r="C6" i="188"/>
  <c r="B6" i="188"/>
  <c r="C5" i="188"/>
  <c r="B5" i="188"/>
  <c r="C3" i="188"/>
  <c r="B3" i="188"/>
  <c r="G2" i="188"/>
  <c r="C2" i="188"/>
  <c r="B2" i="188"/>
  <c r="C6" i="187"/>
  <c r="B6" i="187"/>
  <c r="C5" i="187"/>
  <c r="B5" i="187"/>
  <c r="C3" i="187"/>
  <c r="B3" i="187"/>
  <c r="G2" i="187"/>
  <c r="C2" i="187"/>
  <c r="B2" i="187"/>
  <c r="C6" i="186"/>
  <c r="B6" i="186"/>
  <c r="C5" i="186"/>
  <c r="B5" i="186"/>
  <c r="C3" i="186"/>
  <c r="B3" i="186"/>
  <c r="G2" i="186"/>
  <c r="C2" i="186"/>
  <c r="B2" i="186"/>
  <c r="C6" i="185"/>
  <c r="B6" i="185"/>
  <c r="C5" i="185"/>
  <c r="B5" i="185"/>
  <c r="C3" i="185"/>
  <c r="B3" i="185"/>
  <c r="G2" i="185"/>
  <c r="C2" i="185"/>
  <c r="B2" i="185"/>
  <c r="C6" i="184"/>
  <c r="B6" i="184"/>
  <c r="C5" i="184"/>
  <c r="B5" i="184"/>
  <c r="C3" i="184"/>
  <c r="B3" i="184"/>
  <c r="G2" i="184"/>
  <c r="C2" i="184"/>
  <c r="B2" i="184"/>
  <c r="C6" i="183"/>
  <c r="B6" i="183"/>
  <c r="C5" i="183"/>
  <c r="B5" i="183"/>
  <c r="C3" i="183"/>
  <c r="B3" i="183"/>
  <c r="G2" i="183"/>
  <c r="C2" i="183"/>
  <c r="B2" i="183"/>
  <c r="G2" i="182"/>
  <c r="C6" i="182"/>
  <c r="B6" i="182"/>
  <c r="C5" i="182"/>
  <c r="B5" i="182"/>
  <c r="C3" i="182"/>
  <c r="B3" i="182"/>
  <c r="C2" i="182"/>
  <c r="B2" i="182"/>
  <c r="I17" i="195"/>
  <c r="I21" i="195"/>
  <c r="I22" i="195"/>
  <c r="I23" i="195"/>
  <c r="I33" i="195"/>
  <c r="I34" i="195"/>
  <c r="I35" i="195"/>
  <c r="I43" i="195"/>
  <c r="I17" i="194"/>
  <c r="I21" i="194"/>
  <c r="I23" i="194" s="1"/>
  <c r="I25" i="194" s="1"/>
  <c r="I27" i="194" s="1"/>
  <c r="I31" i="194"/>
  <c r="I32" i="194"/>
  <c r="I40" i="194"/>
  <c r="I15" i="193"/>
  <c r="I17" i="193" s="1"/>
  <c r="I21" i="193"/>
  <c r="I22" i="193"/>
  <c r="I32" i="193"/>
  <c r="I33" i="193"/>
  <c r="I34" i="193"/>
  <c r="I35" i="193"/>
  <c r="I36" i="193"/>
  <c r="I37" i="193"/>
  <c r="I45" i="193"/>
  <c r="I21" i="192"/>
  <c r="I23" i="192" s="1"/>
  <c r="I33" i="192"/>
  <c r="I39" i="192"/>
  <c r="I17" i="190"/>
  <c r="I23" i="190"/>
  <c r="I31" i="190"/>
  <c r="I32" i="190"/>
  <c r="I33" i="190"/>
  <c r="I41" i="190"/>
  <c r="I17" i="189"/>
  <c r="I23" i="189"/>
  <c r="I31" i="189"/>
  <c r="I32" i="189"/>
  <c r="I33" i="189"/>
  <c r="I34" i="189"/>
  <c r="I35" i="189"/>
  <c r="I44" i="189"/>
  <c r="I15" i="188"/>
  <c r="I16" i="188"/>
  <c r="I17" i="188"/>
  <c r="I18" i="188"/>
  <c r="I19" i="188"/>
  <c r="I25" i="188"/>
  <c r="I27" i="188" s="1"/>
  <c r="I37" i="188"/>
  <c r="I43" i="188"/>
  <c r="I15" i="187"/>
  <c r="I16" i="187"/>
  <c r="I17" i="187"/>
  <c r="I23" i="187"/>
  <c r="I25" i="187" s="1"/>
  <c r="I35" i="187"/>
  <c r="I41" i="187"/>
  <c r="I17" i="186"/>
  <c r="I23" i="186"/>
  <c r="I31" i="186"/>
  <c r="I32" i="186"/>
  <c r="I35" i="186"/>
  <c r="I36" i="186"/>
  <c r="I47" i="186"/>
  <c r="I23" i="185"/>
  <c r="I32" i="185"/>
  <c r="I33" i="185"/>
  <c r="I34" i="185"/>
  <c r="I35" i="185"/>
  <c r="I36" i="185"/>
  <c r="I37" i="185"/>
  <c r="I39" i="185"/>
  <c r="I40" i="185"/>
  <c r="I41" i="185"/>
  <c r="I50" i="185"/>
  <c r="I41" i="184"/>
  <c r="I33" i="184"/>
  <c r="I32" i="184"/>
  <c r="I31" i="184"/>
  <c r="I21" i="184"/>
  <c r="I23" i="184" s="1"/>
  <c r="I17" i="184"/>
  <c r="I39" i="183"/>
  <c r="I31" i="183"/>
  <c r="I33" i="183" s="1"/>
  <c r="I23" i="183"/>
  <c r="I17" i="183"/>
  <c r="I43" i="182"/>
  <c r="I35" i="182"/>
  <c r="I34" i="182"/>
  <c r="I33" i="182"/>
  <c r="I32" i="182"/>
  <c r="I22" i="182"/>
  <c r="I21" i="182"/>
  <c r="I17" i="182"/>
  <c r="P218" i="1"/>
  <c r="P217" i="1"/>
  <c r="P216" i="1"/>
  <c r="P215" i="1"/>
  <c r="P214" i="1"/>
  <c r="AK41" i="55"/>
  <c r="I25" i="185" l="1"/>
  <c r="I27" i="185" s="1"/>
  <c r="I25" i="190"/>
  <c r="I27" i="190" s="1"/>
  <c r="I25" i="186"/>
  <c r="I27" i="186" s="1"/>
  <c r="I24" i="193"/>
  <c r="I25" i="196"/>
  <c r="I27" i="196" s="1"/>
  <c r="I37" i="195"/>
  <c r="I24" i="201"/>
  <c r="I26" i="201" s="1"/>
  <c r="I28" i="201" s="1"/>
  <c r="I25" i="195"/>
  <c r="I27" i="195" s="1"/>
  <c r="I29" i="195" s="1"/>
  <c r="I45" i="195" s="1"/>
  <c r="H206" i="1" s="1"/>
  <c r="I25" i="189"/>
  <c r="I27" i="189" s="1"/>
  <c r="I25" i="192"/>
  <c r="I27" i="192" s="1"/>
  <c r="I41" i="192" s="1"/>
  <c r="H176" i="1" s="1"/>
  <c r="I35" i="184"/>
  <c r="I25" i="183"/>
  <c r="I27" i="183" s="1"/>
  <c r="I41" i="183" s="1"/>
  <c r="H18" i="1" s="1"/>
  <c r="AS39" i="55"/>
  <c r="AV39" i="55"/>
  <c r="AR39" i="55"/>
  <c r="AW39" i="55"/>
  <c r="V39" i="55"/>
  <c r="AQ39" i="55"/>
  <c r="E41" i="55"/>
  <c r="AS40" i="55"/>
  <c r="AR40" i="55"/>
  <c r="AQ40" i="55"/>
  <c r="AW40" i="55"/>
  <c r="AU40" i="55"/>
  <c r="V40" i="55"/>
  <c r="AV40" i="55"/>
  <c r="AQ38" i="55"/>
  <c r="AS38" i="55"/>
  <c r="AU38" i="55"/>
  <c r="AB38" i="55" s="1"/>
  <c r="V38" i="55"/>
  <c r="AV38" i="55"/>
  <c r="AW38" i="55"/>
  <c r="AR38" i="55"/>
  <c r="AS35" i="55"/>
  <c r="AR35" i="55"/>
  <c r="AQ35" i="55"/>
  <c r="V35" i="55"/>
  <c r="AU35" i="55"/>
  <c r="AB35" i="55" s="1"/>
  <c r="AV35" i="55"/>
  <c r="AW35" i="55"/>
  <c r="I40" i="55"/>
  <c r="P16" i="59" s="1"/>
  <c r="I26" i="193"/>
  <c r="I28" i="193" s="1"/>
  <c r="I19" i="187"/>
  <c r="I27" i="187" s="1"/>
  <c r="I29" i="187" s="1"/>
  <c r="I43" i="187" s="1"/>
  <c r="H149" i="1" s="1"/>
  <c r="I34" i="194"/>
  <c r="I42" i="194" s="1"/>
  <c r="H205" i="1" s="1"/>
  <c r="I39" i="193"/>
  <c r="I35" i="190"/>
  <c r="I43" i="190" s="1"/>
  <c r="H166" i="1" s="1"/>
  <c r="I41" i="196"/>
  <c r="I24" i="182"/>
  <c r="I26" i="182" s="1"/>
  <c r="I28" i="182" s="1"/>
  <c r="I25" i="184"/>
  <c r="I27" i="184" s="1"/>
  <c r="I37" i="182"/>
  <c r="I21" i="188"/>
  <c r="I29" i="188" s="1"/>
  <c r="I31" i="188" s="1"/>
  <c r="I45" i="188" s="1"/>
  <c r="H156" i="1" s="1"/>
  <c r="I35" i="201"/>
  <c r="I24" i="200"/>
  <c r="I26" i="200" s="1"/>
  <c r="I25" i="199"/>
  <c r="I27" i="199" s="1"/>
  <c r="I40" i="199" s="1"/>
  <c r="I25" i="197"/>
  <c r="I27" i="197" s="1"/>
  <c r="I42" i="197"/>
  <c r="I39" i="186"/>
  <c r="E33" i="200" l="1"/>
  <c r="E38" i="204"/>
  <c r="I38" i="204" s="1"/>
  <c r="E38" i="186"/>
  <c r="E38" i="205"/>
  <c r="I38" i="205" s="1"/>
  <c r="E42" i="185"/>
  <c r="I42" i="185" s="1"/>
  <c r="E37" i="205"/>
  <c r="I37" i="205" s="1"/>
  <c r="I41" i="205" s="1"/>
  <c r="I49" i="205" s="1"/>
  <c r="H99" i="1" s="1"/>
  <c r="E37" i="186"/>
  <c r="I37" i="186" s="1"/>
  <c r="I41" i="186" s="1"/>
  <c r="I49" i="186" s="1"/>
  <c r="H98" i="1" s="1"/>
  <c r="E36" i="189"/>
  <c r="I36" i="189" s="1"/>
  <c r="I38" i="189" s="1"/>
  <c r="I46" i="189" s="1"/>
  <c r="H165" i="1" s="1"/>
  <c r="E37" i="204"/>
  <c r="I37" i="204" s="1"/>
  <c r="I38" i="186"/>
  <c r="I41" i="204"/>
  <c r="I49" i="204" s="1"/>
  <c r="H100" i="1" s="1"/>
  <c r="I43" i="184"/>
  <c r="H19" i="1" s="1"/>
  <c r="I45" i="182"/>
  <c r="H20" i="1" s="1"/>
  <c r="AA39" i="55"/>
  <c r="AT39" i="55" s="1"/>
  <c r="AC39" i="55" s="1"/>
  <c r="AD39" i="55" s="1"/>
  <c r="T16" i="58"/>
  <c r="P17" i="59"/>
  <c r="T17" i="58" s="1"/>
  <c r="AB40" i="55"/>
  <c r="AA38" i="55"/>
  <c r="AT38" i="55" s="1"/>
  <c r="AC38" i="55" s="1"/>
  <c r="AD38" i="55" s="1"/>
  <c r="AA35" i="55"/>
  <c r="AT35" i="55" s="1"/>
  <c r="AC35" i="55" s="1"/>
  <c r="AD35" i="55" s="1"/>
  <c r="AA40" i="55"/>
  <c r="AT40" i="55" s="1"/>
  <c r="AC40" i="55" s="1"/>
  <c r="AD40" i="55" s="1"/>
  <c r="H41" i="55"/>
  <c r="F41" i="55"/>
  <c r="Q15" i="59" s="1"/>
  <c r="I47" i="193"/>
  <c r="H204" i="1" s="1"/>
  <c r="I43" i="201"/>
  <c r="H191" i="1" s="1"/>
  <c r="I33" i="200"/>
  <c r="I35" i="200" s="1"/>
  <c r="I43" i="200" s="1"/>
  <c r="H185" i="1" s="1"/>
  <c r="I50" i="197"/>
  <c r="H106" i="1" s="1"/>
  <c r="AK42" i="55"/>
  <c r="AN41" i="55"/>
  <c r="I44" i="185" l="1"/>
  <c r="I52" i="185" s="1"/>
  <c r="H88" i="1" s="1"/>
  <c r="U15" i="58"/>
  <c r="E42" i="55"/>
  <c r="O41" i="55"/>
  <c r="I41" i="55"/>
  <c r="Q16" i="59" s="1"/>
  <c r="I10" i="54"/>
  <c r="G18" i="162"/>
  <c r="G8" i="162"/>
  <c r="G12" i="64"/>
  <c r="H33" i="64"/>
  <c r="I33" i="64"/>
  <c r="J33" i="64"/>
  <c r="K33" i="64"/>
  <c r="L33" i="64"/>
  <c r="M33" i="64"/>
  <c r="N33" i="64"/>
  <c r="O33" i="64"/>
  <c r="P33" i="64"/>
  <c r="G33" i="64"/>
  <c r="H24" i="64"/>
  <c r="I24" i="64"/>
  <c r="J24" i="64"/>
  <c r="K24" i="64"/>
  <c r="L24" i="64"/>
  <c r="M24" i="64"/>
  <c r="N24" i="64"/>
  <c r="O24" i="64"/>
  <c r="P24" i="64"/>
  <c r="G24" i="64"/>
  <c r="H17" i="65"/>
  <c r="I17" i="65"/>
  <c r="J17" i="65"/>
  <c r="K17" i="65"/>
  <c r="L17" i="65"/>
  <c r="M17" i="65"/>
  <c r="N17" i="65"/>
  <c r="O17" i="65"/>
  <c r="P17" i="65"/>
  <c r="G17" i="65"/>
  <c r="U16" i="58" l="1"/>
  <c r="P41" i="55"/>
  <c r="Q41" i="55" s="1"/>
  <c r="H42" i="55"/>
  <c r="I42" i="55" s="1"/>
  <c r="R16" i="59" s="1"/>
  <c r="V16" i="58" s="1"/>
  <c r="F42" i="55"/>
  <c r="R15" i="59" s="1"/>
  <c r="V15" i="58" s="1"/>
  <c r="R35" i="67"/>
  <c r="R41" i="55" l="1"/>
  <c r="G22" i="55"/>
  <c r="L18" i="56"/>
  <c r="L19" i="56"/>
  <c r="L20" i="56"/>
  <c r="L21" i="56"/>
  <c r="L22" i="56"/>
  <c r="L23" i="56"/>
  <c r="L24" i="56"/>
  <c r="S41" i="55"/>
  <c r="V41" i="55" l="1"/>
  <c r="AR41" i="55"/>
  <c r="AW41" i="55"/>
  <c r="AV41" i="55"/>
  <c r="AS41" i="55"/>
  <c r="AU41" i="55"/>
  <c r="AQ41" i="55"/>
  <c r="J19" i="62"/>
  <c r="G22" i="1" s="1"/>
  <c r="AB41" i="55" l="1"/>
  <c r="AA41" i="55"/>
  <c r="AT41" i="55" s="1"/>
  <c r="AC41" i="55" s="1"/>
  <c r="AD41" i="55" s="1"/>
  <c r="Q27" i="58"/>
  <c r="P27" i="58"/>
  <c r="O27" i="58"/>
  <c r="L27" i="58"/>
  <c r="K27" i="58"/>
  <c r="J27" i="58"/>
  <c r="I27" i="58"/>
  <c r="H27" i="58"/>
  <c r="G27" i="58"/>
  <c r="AN42" i="55"/>
  <c r="O42" i="55" l="1"/>
  <c r="P42" i="55" l="1"/>
  <c r="Q42" i="55" s="1"/>
  <c r="E66" i="58"/>
  <c r="E65" i="58"/>
  <c r="V65" i="58" l="1"/>
  <c r="U65" i="58"/>
  <c r="U66" i="58"/>
  <c r="V66" i="58"/>
  <c r="S65" i="58"/>
  <c r="T65" i="58"/>
  <c r="R65" i="58"/>
  <c r="T66" i="58"/>
  <c r="S66" i="58"/>
  <c r="R66" i="58"/>
  <c r="E109" i="1"/>
  <c r="M66" i="58"/>
  <c r="N66" i="58"/>
  <c r="E108" i="1"/>
  <c r="M65" i="58"/>
  <c r="N65" i="58"/>
  <c r="R42" i="55"/>
  <c r="N29" i="53"/>
  <c r="N47" i="53" s="1"/>
  <c r="N65" i="53" s="1"/>
  <c r="P35" i="64"/>
  <c r="O35" i="64"/>
  <c r="N35" i="64"/>
  <c r="M35" i="64"/>
  <c r="L35" i="64"/>
  <c r="K35" i="64"/>
  <c r="J35" i="64"/>
  <c r="I35" i="64"/>
  <c r="H35" i="64"/>
  <c r="G35" i="64"/>
  <c r="P25" i="64"/>
  <c r="O25" i="64"/>
  <c r="L25" i="64"/>
  <c r="K25" i="64"/>
  <c r="J25" i="64"/>
  <c r="I25" i="64"/>
  <c r="H25" i="64"/>
  <c r="N25" i="64"/>
  <c r="M25" i="64"/>
  <c r="S42" i="55"/>
  <c r="AU42" i="55" l="1"/>
  <c r="V42" i="55"/>
  <c r="AS42" i="55"/>
  <c r="AR42" i="55"/>
  <c r="AQ42" i="55"/>
  <c r="AW42" i="55"/>
  <c r="AV42" i="55"/>
  <c r="R35" i="64"/>
  <c r="G191" i="1" s="1"/>
  <c r="AA42" i="55" l="1"/>
  <c r="AT42" i="55" s="1"/>
  <c r="AC42" i="55" s="1"/>
  <c r="AD42" i="55" s="1"/>
  <c r="AB42" i="55"/>
  <c r="G14" i="62"/>
  <c r="J14" i="62" s="1"/>
  <c r="G17" i="1" s="1"/>
  <c r="K6" i="1"/>
  <c r="G15" i="62" l="1"/>
  <c r="J15" i="62" s="1"/>
  <c r="G18" i="1" s="1"/>
  <c r="P29" i="64" l="1"/>
  <c r="O29" i="64"/>
  <c r="N29" i="64"/>
  <c r="M29" i="64"/>
  <c r="L29" i="64"/>
  <c r="K29" i="64"/>
  <c r="J29" i="64"/>
  <c r="I29" i="64"/>
  <c r="H29" i="64"/>
  <c r="G25" i="64"/>
  <c r="G18" i="67" l="1"/>
  <c r="P36" i="64"/>
  <c r="P37" i="64" s="1"/>
  <c r="O36" i="64"/>
  <c r="O37" i="64" s="1"/>
  <c r="N36" i="64"/>
  <c r="N37" i="64" s="1"/>
  <c r="M36" i="64"/>
  <c r="M37" i="64" s="1"/>
  <c r="L36" i="64"/>
  <c r="L37" i="64" s="1"/>
  <c r="K36" i="64"/>
  <c r="K37" i="64" s="1"/>
  <c r="J36" i="64"/>
  <c r="J37" i="64" s="1"/>
  <c r="I36" i="64"/>
  <c r="I37" i="64" s="1"/>
  <c r="H36" i="64"/>
  <c r="H37" i="64" s="1"/>
  <c r="P14" i="64"/>
  <c r="P19" i="64" s="1"/>
  <c r="O14" i="64"/>
  <c r="O19" i="64" s="1"/>
  <c r="N14" i="64"/>
  <c r="N16" i="64" s="1"/>
  <c r="M14" i="64"/>
  <c r="M16" i="64" s="1"/>
  <c r="L14" i="64"/>
  <c r="L16" i="64" s="1"/>
  <c r="K14" i="64"/>
  <c r="K16" i="64" s="1"/>
  <c r="J14" i="64"/>
  <c r="J16" i="64" s="1"/>
  <c r="I14" i="64"/>
  <c r="I16" i="64" s="1"/>
  <c r="H14" i="64"/>
  <c r="H16" i="64" s="1"/>
  <c r="G36" i="64"/>
  <c r="G37" i="64" s="1"/>
  <c r="G14" i="64"/>
  <c r="G19" i="64" s="1"/>
  <c r="Q23" i="54"/>
  <c r="P23" i="54"/>
  <c r="O23" i="54"/>
  <c r="N23" i="54"/>
  <c r="M23" i="54"/>
  <c r="L23" i="54"/>
  <c r="K23" i="54"/>
  <c r="J23" i="54"/>
  <c r="I23" i="54"/>
  <c r="Q20" i="54"/>
  <c r="P20" i="54"/>
  <c r="O20" i="54"/>
  <c r="N20" i="54"/>
  <c r="M20" i="54"/>
  <c r="L20" i="54"/>
  <c r="K20" i="54"/>
  <c r="J20" i="54"/>
  <c r="I20" i="54"/>
  <c r="Q17" i="54"/>
  <c r="P17" i="54"/>
  <c r="O17" i="54"/>
  <c r="N17" i="54"/>
  <c r="M17" i="54"/>
  <c r="L17" i="54"/>
  <c r="K17" i="54"/>
  <c r="J17" i="54"/>
  <c r="I17" i="54"/>
  <c r="Q13" i="54"/>
  <c r="P13" i="54"/>
  <c r="O13" i="54"/>
  <c r="N13" i="54"/>
  <c r="M13" i="54"/>
  <c r="L13" i="54"/>
  <c r="K13" i="54"/>
  <c r="J13" i="54"/>
  <c r="I13" i="54"/>
  <c r="Q31" i="54"/>
  <c r="P31" i="54"/>
  <c r="O31" i="54"/>
  <c r="N31" i="54"/>
  <c r="M31" i="54"/>
  <c r="L31" i="54"/>
  <c r="K31" i="54"/>
  <c r="J31" i="54"/>
  <c r="I31" i="54"/>
  <c r="H31" i="54"/>
  <c r="H23" i="54"/>
  <c r="H20" i="54"/>
  <c r="H17" i="54"/>
  <c r="H13" i="54"/>
  <c r="Q33" i="66"/>
  <c r="P33" i="66"/>
  <c r="O33" i="66"/>
  <c r="N33" i="66"/>
  <c r="M33" i="66"/>
  <c r="L33" i="66"/>
  <c r="K33" i="66"/>
  <c r="J33" i="66"/>
  <c r="I33" i="66"/>
  <c r="Q64" i="58"/>
  <c r="P64" i="58"/>
  <c r="O64" i="58"/>
  <c r="L64" i="58"/>
  <c r="K64" i="58"/>
  <c r="J64" i="58"/>
  <c r="I64" i="58"/>
  <c r="H64" i="58"/>
  <c r="G64" i="58"/>
  <c r="Q57" i="58"/>
  <c r="P57" i="58"/>
  <c r="O57" i="58"/>
  <c r="L57" i="58"/>
  <c r="K57" i="58"/>
  <c r="J57" i="58"/>
  <c r="I57" i="58"/>
  <c r="H57" i="58"/>
  <c r="G57" i="58"/>
  <c r="Q40" i="58"/>
  <c r="P40" i="58"/>
  <c r="O40" i="58"/>
  <c r="L40" i="58"/>
  <c r="K40" i="58"/>
  <c r="J40" i="58"/>
  <c r="I40" i="58"/>
  <c r="H40" i="58"/>
  <c r="G40" i="58"/>
  <c r="Q31" i="58"/>
  <c r="P31" i="58"/>
  <c r="O31" i="58"/>
  <c r="L31" i="58"/>
  <c r="K31" i="58"/>
  <c r="J31" i="58"/>
  <c r="I31" i="58"/>
  <c r="H31" i="58"/>
  <c r="G31" i="58"/>
  <c r="Q30" i="58"/>
  <c r="P30" i="58"/>
  <c r="O30" i="58"/>
  <c r="L30" i="58"/>
  <c r="K30" i="58"/>
  <c r="J30" i="58"/>
  <c r="I30" i="58"/>
  <c r="H30" i="58"/>
  <c r="G30" i="58"/>
  <c r="O47" i="58" l="1"/>
  <c r="O48" i="58" s="1"/>
  <c r="O44" i="58"/>
  <c r="P44" i="58"/>
  <c r="P47" i="58"/>
  <c r="P48" i="58" s="1"/>
  <c r="Q47" i="58"/>
  <c r="Q48" i="58" s="1"/>
  <c r="Q44" i="58"/>
  <c r="G47" i="58"/>
  <c r="G48" i="58" s="1"/>
  <c r="G44" i="58"/>
  <c r="H47" i="58"/>
  <c r="H48" i="58" s="1"/>
  <c r="H44" i="58"/>
  <c r="I47" i="58"/>
  <c r="I48" i="58" s="1"/>
  <c r="I44" i="58"/>
  <c r="J47" i="58"/>
  <c r="J48" i="58" s="1"/>
  <c r="J44" i="58"/>
  <c r="K47" i="58"/>
  <c r="K48" i="58" s="1"/>
  <c r="K44" i="58"/>
  <c r="L47" i="58"/>
  <c r="L48" i="58" s="1"/>
  <c r="L44" i="58"/>
  <c r="G29" i="64"/>
  <c r="O16" i="64"/>
  <c r="P16" i="64"/>
  <c r="H19" i="64"/>
  <c r="I19" i="64"/>
  <c r="J19" i="64"/>
  <c r="K19" i="64"/>
  <c r="L19" i="64"/>
  <c r="M19" i="64"/>
  <c r="N19" i="64"/>
  <c r="G16" i="64"/>
  <c r="M13" i="59"/>
  <c r="Q13" i="58" s="1"/>
  <c r="L13" i="59"/>
  <c r="P13" i="58" s="1"/>
  <c r="K13" i="59"/>
  <c r="O13" i="58" s="1"/>
  <c r="J13" i="59"/>
  <c r="L13" i="58" s="1"/>
  <c r="I13" i="59"/>
  <c r="K13" i="58" s="1"/>
  <c r="H13" i="59"/>
  <c r="J13" i="58" s="1"/>
  <c r="G13" i="59"/>
  <c r="I13" i="58" s="1"/>
  <c r="T27" i="59" l="1"/>
  <c r="G20" i="162"/>
  <c r="G21" i="162" s="1"/>
  <c r="G12" i="162"/>
  <c r="G14" i="162" s="1"/>
  <c r="G218" i="1" l="1"/>
  <c r="G217" i="1"/>
  <c r="E208" i="1"/>
  <c r="E220" i="1"/>
  <c r="E195" i="1"/>
  <c r="E171" i="1"/>
  <c r="E40" i="1"/>
  <c r="E24" i="1"/>
  <c r="AJ32" i="55" l="1"/>
  <c r="AP32" i="55" s="1"/>
  <c r="AI32" i="55"/>
  <c r="AO32" i="55" s="1"/>
  <c r="AH32" i="55"/>
  <c r="AG32" i="55"/>
  <c r="L32" i="55"/>
  <c r="K32" i="55"/>
  <c r="J32" i="55"/>
  <c r="C32" i="55"/>
  <c r="AJ31" i="55"/>
  <c r="AP31" i="55" s="1"/>
  <c r="AI31" i="55"/>
  <c r="AO31" i="55" s="1"/>
  <c r="AH31" i="55"/>
  <c r="AG31" i="55"/>
  <c r="L31" i="55"/>
  <c r="K31" i="55"/>
  <c r="J31" i="55"/>
  <c r="C31" i="55"/>
  <c r="AJ30" i="55"/>
  <c r="AP30" i="55" s="1"/>
  <c r="AI30" i="55"/>
  <c r="AO30" i="55" s="1"/>
  <c r="AH30" i="55"/>
  <c r="AG30" i="55"/>
  <c r="L30" i="55"/>
  <c r="K30" i="55"/>
  <c r="J30" i="55"/>
  <c r="C30" i="55"/>
  <c r="AJ29" i="55"/>
  <c r="AM29" i="55" s="1"/>
  <c r="AI29" i="55"/>
  <c r="AL29" i="55" s="1"/>
  <c r="AH29" i="55"/>
  <c r="AG29" i="55"/>
  <c r="L29" i="55"/>
  <c r="K29" i="55"/>
  <c r="J29" i="55"/>
  <c r="C29" i="55"/>
  <c r="AJ28" i="55"/>
  <c r="AP28" i="55" s="1"/>
  <c r="AI28" i="55"/>
  <c r="AH28" i="55"/>
  <c r="AG28" i="55"/>
  <c r="L28" i="55"/>
  <c r="K28" i="55"/>
  <c r="J28" i="55"/>
  <c r="C28" i="55"/>
  <c r="AJ27" i="55"/>
  <c r="AM27" i="55" s="1"/>
  <c r="AI27" i="55"/>
  <c r="AL27" i="55" s="1"/>
  <c r="AH27" i="55"/>
  <c r="AG27" i="55"/>
  <c r="L27" i="55"/>
  <c r="K27" i="55"/>
  <c r="J27" i="55"/>
  <c r="C27" i="55"/>
  <c r="AJ26" i="55"/>
  <c r="AP26" i="55" s="1"/>
  <c r="AI26" i="55"/>
  <c r="AO26" i="55" s="1"/>
  <c r="AH26" i="55"/>
  <c r="AG26" i="55"/>
  <c r="L26" i="55"/>
  <c r="K26" i="55"/>
  <c r="J26" i="55"/>
  <c r="C26" i="55"/>
  <c r="AJ25" i="55"/>
  <c r="AP25" i="55" s="1"/>
  <c r="AI25" i="55"/>
  <c r="AO25" i="55" s="1"/>
  <c r="AH25" i="55"/>
  <c r="AG25" i="55"/>
  <c r="L25" i="55"/>
  <c r="K25" i="55"/>
  <c r="J25" i="55"/>
  <c r="C25" i="55"/>
  <c r="AJ24" i="55"/>
  <c r="AM24" i="55" s="1"/>
  <c r="AI24" i="55"/>
  <c r="AO24" i="55" s="1"/>
  <c r="AH24" i="55"/>
  <c r="AG24" i="55"/>
  <c r="L24" i="55"/>
  <c r="K24" i="55"/>
  <c r="J24" i="55"/>
  <c r="C24" i="55"/>
  <c r="AJ23" i="55"/>
  <c r="AI23" i="55"/>
  <c r="AO23" i="55" s="1"/>
  <c r="AH23" i="55"/>
  <c r="AG23" i="55"/>
  <c r="L23" i="55"/>
  <c r="K23" i="55"/>
  <c r="J23" i="55"/>
  <c r="C23" i="55"/>
  <c r="AJ22" i="55"/>
  <c r="AM22" i="55" s="1"/>
  <c r="AI22" i="55"/>
  <c r="AL22" i="55" s="1"/>
  <c r="AH22" i="55"/>
  <c r="AG22" i="55"/>
  <c r="L22" i="55"/>
  <c r="K22" i="55"/>
  <c r="J22" i="55"/>
  <c r="C22" i="55"/>
  <c r="AJ21" i="55"/>
  <c r="AP21" i="55" s="1"/>
  <c r="AI21" i="55"/>
  <c r="AH21" i="55"/>
  <c r="AG21" i="55"/>
  <c r="L21" i="55"/>
  <c r="K21" i="55"/>
  <c r="J21" i="55"/>
  <c r="C21" i="55"/>
  <c r="AJ20" i="55"/>
  <c r="AP20" i="55" s="1"/>
  <c r="AI20" i="55"/>
  <c r="AH20" i="55"/>
  <c r="AG20" i="55"/>
  <c r="L20" i="55"/>
  <c r="K20" i="55"/>
  <c r="J20" i="55"/>
  <c r="C20" i="55"/>
  <c r="AJ19" i="55"/>
  <c r="AP19" i="55" s="1"/>
  <c r="AI19" i="55"/>
  <c r="AO19" i="55" s="1"/>
  <c r="AH19" i="55"/>
  <c r="AG19" i="55"/>
  <c r="L19" i="55"/>
  <c r="K19" i="55"/>
  <c r="J19" i="55"/>
  <c r="C19" i="55"/>
  <c r="AJ18" i="55"/>
  <c r="AP18" i="55" s="1"/>
  <c r="AI18" i="55"/>
  <c r="AO18" i="55" s="1"/>
  <c r="AH18" i="55"/>
  <c r="AG18" i="55"/>
  <c r="L18" i="55"/>
  <c r="K18" i="55"/>
  <c r="J18" i="55"/>
  <c r="C18" i="55"/>
  <c r="AJ17" i="55"/>
  <c r="AM17" i="55" s="1"/>
  <c r="AI17" i="55"/>
  <c r="AH17" i="55"/>
  <c r="AG17" i="55"/>
  <c r="L17" i="55"/>
  <c r="K17" i="55"/>
  <c r="J17" i="55"/>
  <c r="C17" i="55"/>
  <c r="AJ16" i="55"/>
  <c r="AM16" i="55" s="1"/>
  <c r="AI16" i="55"/>
  <c r="AH16" i="55"/>
  <c r="AG16" i="55"/>
  <c r="L16" i="55"/>
  <c r="K16" i="55"/>
  <c r="J16" i="55"/>
  <c r="C16" i="55"/>
  <c r="AJ15" i="55"/>
  <c r="AP15" i="55" s="1"/>
  <c r="AI15" i="55"/>
  <c r="AL15" i="55" s="1"/>
  <c r="AH15" i="55"/>
  <c r="AG15" i="55"/>
  <c r="L15" i="55"/>
  <c r="K15" i="55"/>
  <c r="J15" i="55"/>
  <c r="C15" i="55"/>
  <c r="AJ14" i="55"/>
  <c r="AP14" i="55" s="1"/>
  <c r="AI14" i="55"/>
  <c r="AO14" i="55" s="1"/>
  <c r="AH14" i="55"/>
  <c r="AG14" i="55"/>
  <c r="L14" i="55"/>
  <c r="K14" i="55"/>
  <c r="J14" i="55"/>
  <c r="C14" i="55"/>
  <c r="G32" i="55"/>
  <c r="G16" i="55"/>
  <c r="G14" i="55"/>
  <c r="G19" i="55"/>
  <c r="G23" i="55"/>
  <c r="G30" i="55"/>
  <c r="G20" i="55"/>
  <c r="G29" i="55"/>
  <c r="G15" i="55"/>
  <c r="G27" i="55"/>
  <c r="G31" i="55"/>
  <c r="G28" i="55"/>
  <c r="G17" i="55"/>
  <c r="G24" i="55"/>
  <c r="G26" i="55"/>
  <c r="G25" i="55"/>
  <c r="G18" i="55"/>
  <c r="AM18" i="55" l="1"/>
  <c r="AP16" i="55"/>
  <c r="AM15" i="55"/>
  <c r="AP22" i="55"/>
  <c r="AO22" i="55"/>
  <c r="AL23" i="55"/>
  <c r="AP24" i="55"/>
  <c r="AM25" i="55"/>
  <c r="AM20" i="55"/>
  <c r="AP17" i="55"/>
  <c r="AL14" i="55"/>
  <c r="AL32" i="55"/>
  <c r="AM14" i="55"/>
  <c r="AO29" i="55"/>
  <c r="AL30" i="55"/>
  <c r="AM32" i="55"/>
  <c r="AP29" i="55"/>
  <c r="AM30" i="55"/>
  <c r="AO27" i="55"/>
  <c r="AP27" i="55"/>
  <c r="AL25" i="55"/>
  <c r="T30" i="55"/>
  <c r="T23" i="55"/>
  <c r="T32" i="55"/>
  <c r="T25" i="55"/>
  <c r="T15" i="55"/>
  <c r="T16" i="55"/>
  <c r="T14" i="55"/>
  <c r="AO15" i="55"/>
  <c r="T26" i="55"/>
  <c r="T19" i="55"/>
  <c r="T20" i="55"/>
  <c r="T28" i="55"/>
  <c r="AO28" i="55"/>
  <c r="AL28" i="55"/>
  <c r="AP23" i="55"/>
  <c r="AM23" i="55"/>
  <c r="T29" i="55"/>
  <c r="T17" i="55"/>
  <c r="AO17" i="55"/>
  <c r="AL17" i="55"/>
  <c r="T21" i="55"/>
  <c r="T22" i="55"/>
  <c r="T24" i="55"/>
  <c r="T31" i="55"/>
  <c r="T27" i="55"/>
  <c r="T18" i="55"/>
  <c r="AL18" i="55"/>
  <c r="AM28" i="55"/>
  <c r="AM21" i="55"/>
  <c r="AL26" i="55"/>
  <c r="AL19" i="55"/>
  <c r="AM26" i="55"/>
  <c r="AL31" i="55"/>
  <c r="AM19" i="55"/>
  <c r="AL24" i="55"/>
  <c r="AM31" i="55"/>
  <c r="I18" i="162"/>
  <c r="I12" i="162" l="1"/>
  <c r="G29" i="1" s="1"/>
  <c r="G23" i="162"/>
  <c r="I20" i="162"/>
  <c r="G35" i="1" s="1"/>
  <c r="I21" i="162"/>
  <c r="G36" i="1" s="1"/>
  <c r="I23" i="162" l="1"/>
  <c r="G38" i="1" s="1"/>
  <c r="D11" i="51" l="1"/>
  <c r="D30" i="53" s="1"/>
  <c r="D48" i="53" s="1"/>
  <c r="D66" i="53" s="1"/>
  <c r="C11" i="51"/>
  <c r="C30" i="53" s="1"/>
  <c r="C48" i="53" s="1"/>
  <c r="C66" i="53" s="1"/>
  <c r="G16" i="162"/>
  <c r="I16" i="162" s="1"/>
  <c r="G32" i="1" s="1"/>
  <c r="I10" i="162"/>
  <c r="C6" i="162"/>
  <c r="B6" i="162"/>
  <c r="C5" i="162"/>
  <c r="B5" i="162"/>
  <c r="C3" i="162"/>
  <c r="B3" i="162"/>
  <c r="C2" i="162"/>
  <c r="B2" i="162"/>
  <c r="G11" i="62"/>
  <c r="J11" i="62" s="1"/>
  <c r="G16" i="1" s="1"/>
  <c r="R12" i="64"/>
  <c r="C12" i="53" l="1"/>
  <c r="D12" i="53"/>
  <c r="I14" i="162"/>
  <c r="G30" i="1" s="1"/>
  <c r="C6" i="151" l="1"/>
  <c r="B6" i="151"/>
  <c r="C5" i="151"/>
  <c r="B5" i="151"/>
  <c r="C3" i="151"/>
  <c r="B3" i="151"/>
  <c r="C2" i="151"/>
  <c r="B2" i="151"/>
  <c r="E15" i="162" l="1"/>
  <c r="E22" i="162"/>
  <c r="G22" i="162" l="1"/>
  <c r="G15" i="162"/>
  <c r="E31" i="1"/>
  <c r="E37" i="1"/>
  <c r="I15" i="162" l="1"/>
  <c r="G31" i="1" s="1"/>
  <c r="I22" i="162"/>
  <c r="G37" i="1" s="1"/>
  <c r="R36" i="64"/>
  <c r="T19" i="59" l="1"/>
  <c r="B5" i="55"/>
  <c r="B4" i="55"/>
  <c r="B2" i="55"/>
  <c r="B1" i="55"/>
  <c r="BV311" i="153" l="1"/>
  <c r="BV310" i="153"/>
  <c r="BV309" i="153"/>
  <c r="BU308" i="153"/>
  <c r="BV308" i="153" s="1"/>
  <c r="CF307" i="153"/>
  <c r="CE307" i="153"/>
  <c r="CE308" i="153" s="1"/>
  <c r="CE309" i="153" s="1"/>
  <c r="CE310" i="153" s="1"/>
  <c r="CE311" i="153" s="1"/>
  <c r="CE312" i="153" s="1"/>
  <c r="BV307" i="153"/>
  <c r="BU306" i="153"/>
  <c r="BV306" i="153" s="1"/>
  <c r="CF300" i="153"/>
  <c r="CE300" i="153"/>
  <c r="CE301" i="153" s="1"/>
  <c r="CE302" i="153" s="1"/>
  <c r="CE303" i="153" s="1"/>
  <c r="CE304" i="153" s="1"/>
  <c r="CE305" i="153" s="1"/>
  <c r="CF294" i="153"/>
  <c r="CE294" i="153"/>
  <c r="CE295" i="153" s="1"/>
  <c r="CE296" i="153" s="1"/>
  <c r="CE297" i="153" s="1"/>
  <c r="CE298" i="153" s="1"/>
  <c r="CE299" i="153" s="1"/>
  <c r="CF287" i="153"/>
  <c r="CE287" i="153"/>
  <c r="CE288" i="153" s="1"/>
  <c r="CE289" i="153" s="1"/>
  <c r="CE290" i="153" s="1"/>
  <c r="CE291" i="153" s="1"/>
  <c r="CE292" i="153" s="1"/>
  <c r="CF279" i="153"/>
  <c r="CE279" i="153"/>
  <c r="CE280" i="153" s="1"/>
  <c r="CE281" i="153" s="1"/>
  <c r="CE282" i="153" s="1"/>
  <c r="CE283" i="153" s="1"/>
  <c r="CE284" i="153" s="1"/>
  <c r="CF271" i="153"/>
  <c r="CE271" i="153"/>
  <c r="CE272" i="153" s="1"/>
  <c r="CE273" i="153" s="1"/>
  <c r="CE274" i="153" s="1"/>
  <c r="CE275" i="153" s="1"/>
  <c r="CE276" i="153" s="1"/>
  <c r="BW262" i="153"/>
  <c r="BW261" i="153"/>
  <c r="BW260" i="153"/>
  <c r="BW259" i="153"/>
  <c r="BW258" i="153"/>
  <c r="BV295" i="153" s="1"/>
  <c r="BW257" i="153"/>
  <c r="J41" i="153"/>
  <c r="J40" i="153"/>
  <c r="J39" i="153"/>
  <c r="J38" i="153"/>
  <c r="J37" i="153"/>
  <c r="D26" i="153"/>
  <c r="D21" i="153"/>
  <c r="E20" i="153"/>
  <c r="D20" i="153"/>
  <c r="L17" i="153"/>
  <c r="L9" i="153"/>
  <c r="CJ267" i="153" l="1"/>
  <c r="BX295" i="153"/>
  <c r="E54" i="153" s="1"/>
  <c r="BV296" i="153"/>
  <c r="BW295" i="153"/>
  <c r="D54" i="153" s="1"/>
  <c r="C13" i="153"/>
  <c r="BY295" i="153"/>
  <c r="F54" i="153" s="1"/>
  <c r="CJ266" i="153"/>
  <c r="G28" i="153" s="1"/>
  <c r="G60" i="153" l="1"/>
  <c r="J60" i="153" s="1"/>
  <c r="F58" i="153" s="1"/>
  <c r="G43" i="153"/>
  <c r="J43" i="153" s="1"/>
  <c r="F50" i="153" s="1"/>
  <c r="BV297" i="153"/>
  <c r="BW296" i="153"/>
  <c r="D37" i="153" s="1"/>
  <c r="BY296" i="153"/>
  <c r="F37" i="153" s="1"/>
  <c r="BX296" i="153"/>
  <c r="E37" i="153" s="1"/>
  <c r="C52" i="153" l="1"/>
  <c r="C16" i="102"/>
  <c r="L6" i="1" s="1"/>
  <c r="BY297" i="153"/>
  <c r="F38" i="153" s="1"/>
  <c r="BX297" i="153"/>
  <c r="E38" i="153" s="1"/>
  <c r="BV298" i="153"/>
  <c r="BW297" i="153"/>
  <c r="D38" i="153" s="1"/>
  <c r="I122" i="1" l="1"/>
  <c r="J122" i="1" s="1"/>
  <c r="K122" i="1" s="1"/>
  <c r="I100" i="1"/>
  <c r="J100" i="1" s="1"/>
  <c r="I99" i="1"/>
  <c r="J99" i="1" s="1"/>
  <c r="I53" i="1"/>
  <c r="J53" i="1" s="1"/>
  <c r="I52" i="1"/>
  <c r="J52" i="1" s="1"/>
  <c r="I51" i="1"/>
  <c r="J51" i="1" s="1"/>
  <c r="I49" i="1"/>
  <c r="J49" i="1" s="1"/>
  <c r="I50" i="1"/>
  <c r="J50" i="1" s="1"/>
  <c r="I125" i="1"/>
  <c r="J125" i="1" s="1"/>
  <c r="K125" i="1" s="1"/>
  <c r="I124" i="1"/>
  <c r="J124" i="1" s="1"/>
  <c r="K124" i="1" s="1"/>
  <c r="I123" i="1"/>
  <c r="J123" i="1" s="1"/>
  <c r="K123" i="1" s="1"/>
  <c r="I22" i="1"/>
  <c r="J22" i="1" s="1"/>
  <c r="K22" i="1" s="1"/>
  <c r="I17" i="1"/>
  <c r="I142" i="1"/>
  <c r="I74" i="1"/>
  <c r="I155" i="1"/>
  <c r="I150" i="1"/>
  <c r="I73" i="1"/>
  <c r="I21" i="1"/>
  <c r="I218" i="1"/>
  <c r="J218" i="1" s="1"/>
  <c r="K218" i="1" s="1"/>
  <c r="I193" i="1"/>
  <c r="I169" i="1"/>
  <c r="I116" i="1"/>
  <c r="I56" i="1"/>
  <c r="I37" i="1"/>
  <c r="J37" i="1" s="1"/>
  <c r="K37" i="1" s="1"/>
  <c r="I58" i="1"/>
  <c r="I107" i="1"/>
  <c r="J107" i="1" s="1"/>
  <c r="I217" i="1"/>
  <c r="J217" i="1" s="1"/>
  <c r="K217" i="1" s="1"/>
  <c r="I185" i="1"/>
  <c r="I192" i="1"/>
  <c r="I145" i="1"/>
  <c r="I94" i="1"/>
  <c r="I45" i="1"/>
  <c r="I64" i="1"/>
  <c r="I77" i="1"/>
  <c r="I29" i="1"/>
  <c r="J29" i="1" s="1"/>
  <c r="K29" i="1" s="1"/>
  <c r="I101" i="1"/>
  <c r="I216" i="1"/>
  <c r="I206" i="1"/>
  <c r="I191" i="1"/>
  <c r="I168" i="1"/>
  <c r="I157" i="1"/>
  <c r="J157" i="1" s="1"/>
  <c r="I133" i="1"/>
  <c r="I126" i="1"/>
  <c r="I98" i="1"/>
  <c r="I91" i="1"/>
  <c r="I61" i="1"/>
  <c r="I30" i="1"/>
  <c r="J30" i="1" s="1"/>
  <c r="K30" i="1" s="1"/>
  <c r="I38" i="1"/>
  <c r="J38" i="1" s="1"/>
  <c r="K38" i="1" s="1"/>
  <c r="I20" i="1"/>
  <c r="I215" i="1"/>
  <c r="I182" i="1"/>
  <c r="I165" i="1"/>
  <c r="I108" i="1"/>
  <c r="J108" i="1" s="1"/>
  <c r="I31" i="1"/>
  <c r="J31" i="1" s="1"/>
  <c r="K31" i="1" s="1"/>
  <c r="I65" i="1"/>
  <c r="I149" i="1"/>
  <c r="I214" i="1"/>
  <c r="I205" i="1"/>
  <c r="I167" i="1"/>
  <c r="I119" i="1"/>
  <c r="I90" i="1"/>
  <c r="I19" i="1"/>
  <c r="I213" i="1"/>
  <c r="I181" i="1"/>
  <c r="I46" i="1"/>
  <c r="I66" i="1"/>
  <c r="I32" i="1"/>
  <c r="J32" i="1" s="1"/>
  <c r="K32" i="1" s="1"/>
  <c r="I204" i="1"/>
  <c r="I166" i="1"/>
  <c r="I118" i="1"/>
  <c r="I188" i="1"/>
  <c r="I180" i="1"/>
  <c r="I152" i="1"/>
  <c r="I136" i="1"/>
  <c r="I146" i="1"/>
  <c r="I109" i="1"/>
  <c r="J109" i="1" s="1"/>
  <c r="I88" i="1"/>
  <c r="I103" i="1"/>
  <c r="I57" i="1"/>
  <c r="I18" i="1"/>
  <c r="I201" i="1"/>
  <c r="I158" i="1"/>
  <c r="J158" i="1" s="1"/>
  <c r="I139" i="1"/>
  <c r="I95" i="1"/>
  <c r="I35" i="1"/>
  <c r="J35" i="1" s="1"/>
  <c r="K35" i="1" s="1"/>
  <c r="I102" i="1"/>
  <c r="I187" i="1"/>
  <c r="I179" i="1"/>
  <c r="I156" i="1"/>
  <c r="J156" i="1" s="1"/>
  <c r="I151" i="1"/>
  <c r="I117" i="1"/>
  <c r="I106" i="1"/>
  <c r="J106" i="1" s="1"/>
  <c r="I89" i="1"/>
  <c r="I81" i="1"/>
  <c r="I78" i="1"/>
  <c r="I186" i="1"/>
  <c r="I200" i="1"/>
  <c r="I16" i="1"/>
  <c r="I36" i="1"/>
  <c r="J36" i="1" s="1"/>
  <c r="K36" i="1" s="1"/>
  <c r="I176" i="1"/>
  <c r="BY298" i="153"/>
  <c r="F39" i="153" s="1"/>
  <c r="BX298" i="153"/>
  <c r="E39" i="153" s="1"/>
  <c r="BV299" i="153"/>
  <c r="BW298" i="153"/>
  <c r="D39" i="153" s="1"/>
  <c r="H3" i="1"/>
  <c r="H4" i="1"/>
  <c r="K3" i="1"/>
  <c r="G3" i="211" l="1"/>
  <c r="G3" i="210"/>
  <c r="G6" i="210"/>
  <c r="G6" i="211"/>
  <c r="G6" i="202"/>
  <c r="G6" i="206"/>
  <c r="G6" i="208"/>
  <c r="G6" i="205"/>
  <c r="G6" i="204"/>
  <c r="G3" i="202"/>
  <c r="G3" i="205"/>
  <c r="G3" i="208"/>
  <c r="G3" i="204"/>
  <c r="G3" i="206"/>
  <c r="G3" i="190"/>
  <c r="G3" i="182"/>
  <c r="G3" i="189"/>
  <c r="G3" i="192"/>
  <c r="G3" i="185"/>
  <c r="G3" i="193"/>
  <c r="G3" i="194"/>
  <c r="G3" i="195"/>
  <c r="G3" i="187"/>
  <c r="G3" i="201"/>
  <c r="G3" i="183"/>
  <c r="G3" i="184"/>
  <c r="G3" i="196"/>
  <c r="G3" i="200"/>
  <c r="G3" i="199"/>
  <c r="G3" i="186"/>
  <c r="G3" i="197"/>
  <c r="G3" i="188"/>
  <c r="G6" i="183"/>
  <c r="G6" i="184"/>
  <c r="G6" i="196"/>
  <c r="G6" i="185"/>
  <c r="G6" i="195"/>
  <c r="G6" i="200"/>
  <c r="G6" i="199"/>
  <c r="G6" i="186"/>
  <c r="G6" i="194"/>
  <c r="G6" i="187"/>
  <c r="G6" i="197"/>
  <c r="G6" i="188"/>
  <c r="G6" i="190"/>
  <c r="G6" i="201"/>
  <c r="G6" i="189"/>
  <c r="G6" i="193"/>
  <c r="G6" i="182"/>
  <c r="G6" i="192"/>
  <c r="K40" i="1"/>
  <c r="K227" i="1" s="1"/>
  <c r="BX299" i="153"/>
  <c r="E40" i="153" s="1"/>
  <c r="BV300" i="153"/>
  <c r="BW299" i="153"/>
  <c r="D40" i="153" s="1"/>
  <c r="BY299" i="153"/>
  <c r="F40" i="153" s="1"/>
  <c r="BW300" i="153" l="1"/>
  <c r="D41" i="153" s="1"/>
  <c r="BY300" i="153"/>
  <c r="F41" i="153" s="1"/>
  <c r="BX300" i="153"/>
  <c r="E41" i="153" s="1"/>
  <c r="J155" i="1" l="1"/>
  <c r="E39" i="64" l="1"/>
  <c r="E38" i="64"/>
  <c r="M38" i="64" l="1"/>
  <c r="N38" i="64"/>
  <c r="P38" i="64"/>
  <c r="K38" i="64"/>
  <c r="H38" i="64"/>
  <c r="J38" i="64"/>
  <c r="G38" i="64"/>
  <c r="L38" i="64"/>
  <c r="I38" i="64"/>
  <c r="O38" i="64"/>
  <c r="P39" i="64"/>
  <c r="K39" i="64"/>
  <c r="M39" i="64"/>
  <c r="J39" i="64"/>
  <c r="G39" i="64"/>
  <c r="L39" i="64"/>
  <c r="H39" i="64"/>
  <c r="I39" i="64"/>
  <c r="N39" i="64"/>
  <c r="O39" i="64"/>
  <c r="H33" i="66" l="1"/>
  <c r="E21" i="64" l="1"/>
  <c r="E20" i="64"/>
  <c r="E31" i="64"/>
  <c r="E30" i="64"/>
  <c r="E19" i="65"/>
  <c r="E18" i="65"/>
  <c r="F43" i="66"/>
  <c r="F42" i="66"/>
  <c r="F36" i="66"/>
  <c r="E152" i="1" s="1"/>
  <c r="F35" i="66"/>
  <c r="E151" i="1" s="1"/>
  <c r="F30" i="66"/>
  <c r="F29" i="66"/>
  <c r="E59" i="58"/>
  <c r="E58" i="58"/>
  <c r="E46" i="58"/>
  <c r="E45" i="58"/>
  <c r="E34" i="58"/>
  <c r="E33" i="58"/>
  <c r="E57" i="59"/>
  <c r="E56" i="59"/>
  <c r="E52" i="1" l="1"/>
  <c r="E51" i="1"/>
  <c r="U45" i="58"/>
  <c r="V45" i="58"/>
  <c r="U46" i="58"/>
  <c r="V46" i="58"/>
  <c r="V58" i="58"/>
  <c r="U58" i="58"/>
  <c r="V33" i="58"/>
  <c r="U33" i="58"/>
  <c r="V34" i="58"/>
  <c r="U34" i="58"/>
  <c r="U59" i="58"/>
  <c r="V59" i="58"/>
  <c r="T45" i="58"/>
  <c r="S45" i="58"/>
  <c r="R45" i="58"/>
  <c r="S46" i="58"/>
  <c r="T46" i="58"/>
  <c r="R46" i="58"/>
  <c r="S34" i="58"/>
  <c r="T34" i="58"/>
  <c r="R34" i="58"/>
  <c r="R58" i="58"/>
  <c r="S58" i="58"/>
  <c r="T58" i="58"/>
  <c r="S33" i="58"/>
  <c r="R33" i="58"/>
  <c r="T33" i="58"/>
  <c r="R59" i="58"/>
  <c r="T59" i="58"/>
  <c r="S59" i="58"/>
  <c r="M46" i="58"/>
  <c r="N46" i="58"/>
  <c r="N33" i="58"/>
  <c r="M33" i="58"/>
  <c r="M45" i="58"/>
  <c r="N45" i="58"/>
  <c r="M58" i="58"/>
  <c r="N58" i="58"/>
  <c r="M34" i="58"/>
  <c r="N34" i="58"/>
  <c r="N59" i="58"/>
  <c r="M59" i="58"/>
  <c r="E145" i="1"/>
  <c r="E146" i="1"/>
  <c r="E157" i="1"/>
  <c r="E158" i="1"/>
  <c r="I30" i="64"/>
  <c r="K30" i="64"/>
  <c r="L30" i="64"/>
  <c r="O30" i="64"/>
  <c r="N30" i="64"/>
  <c r="P30" i="64"/>
  <c r="J30" i="64"/>
  <c r="M30" i="64"/>
  <c r="H30" i="64"/>
  <c r="L31" i="64"/>
  <c r="I31" i="64"/>
  <c r="O31" i="64"/>
  <c r="N31" i="64"/>
  <c r="K31" i="64"/>
  <c r="J31" i="64"/>
  <c r="M31" i="64"/>
  <c r="P31" i="64"/>
  <c r="H31" i="64"/>
  <c r="E187" i="1"/>
  <c r="G30" i="64"/>
  <c r="E188" i="1"/>
  <c r="G31" i="64"/>
  <c r="E181" i="1"/>
  <c r="O20" i="64"/>
  <c r="G20" i="64"/>
  <c r="P20" i="64"/>
  <c r="J20" i="64"/>
  <c r="I20" i="64"/>
  <c r="K20" i="64"/>
  <c r="L20" i="64"/>
  <c r="H20" i="64"/>
  <c r="N20" i="64"/>
  <c r="M20" i="64"/>
  <c r="E182" i="1"/>
  <c r="H21" i="64"/>
  <c r="O21" i="64"/>
  <c r="I21" i="64"/>
  <c r="P21" i="64"/>
  <c r="G21" i="64"/>
  <c r="N21" i="64"/>
  <c r="J21" i="64"/>
  <c r="K21" i="64"/>
  <c r="L21" i="64"/>
  <c r="M21" i="64"/>
  <c r="E168" i="1"/>
  <c r="O18" i="65"/>
  <c r="N18" i="65"/>
  <c r="P18" i="65"/>
  <c r="K18" i="65"/>
  <c r="H18" i="65"/>
  <c r="I18" i="65"/>
  <c r="J18" i="65"/>
  <c r="L18" i="65"/>
  <c r="M18" i="65"/>
  <c r="G18" i="65"/>
  <c r="E169" i="1"/>
  <c r="P19" i="65"/>
  <c r="K19" i="65"/>
  <c r="L19" i="65"/>
  <c r="H19" i="65"/>
  <c r="G19" i="65"/>
  <c r="M19" i="65"/>
  <c r="I19" i="65"/>
  <c r="O19" i="65"/>
  <c r="N19" i="65"/>
  <c r="J19" i="65"/>
  <c r="J65" i="58"/>
  <c r="K65" i="58"/>
  <c r="L65" i="58"/>
  <c r="O65" i="58"/>
  <c r="H65" i="58"/>
  <c r="Q65" i="58"/>
  <c r="G65" i="58"/>
  <c r="P65" i="58"/>
  <c r="I65" i="58"/>
  <c r="I66" i="58"/>
  <c r="P66" i="58"/>
  <c r="J66" i="58"/>
  <c r="K66" i="58"/>
  <c r="O66" i="58"/>
  <c r="G66" i="58"/>
  <c r="H66" i="58"/>
  <c r="Q66" i="58"/>
  <c r="L66" i="58"/>
  <c r="E90" i="1"/>
  <c r="P45" i="58"/>
  <c r="J45" i="58"/>
  <c r="H45" i="58"/>
  <c r="L45" i="58"/>
  <c r="K45" i="58"/>
  <c r="I45" i="58"/>
  <c r="O45" i="58"/>
  <c r="Q45" i="58"/>
  <c r="G45" i="58"/>
  <c r="E91" i="1"/>
  <c r="O46" i="58"/>
  <c r="J46" i="58"/>
  <c r="H46" i="58"/>
  <c r="P46" i="58"/>
  <c r="K46" i="58"/>
  <c r="I46" i="58"/>
  <c r="L46" i="58"/>
  <c r="Q46" i="58"/>
  <c r="G46" i="58"/>
  <c r="E102" i="1"/>
  <c r="H58" i="58"/>
  <c r="P58" i="58"/>
  <c r="G58" i="58"/>
  <c r="K58" i="58"/>
  <c r="Q58" i="58"/>
  <c r="O58" i="58"/>
  <c r="I58" i="58"/>
  <c r="L58" i="58"/>
  <c r="J58" i="58"/>
  <c r="H59" i="58"/>
  <c r="I59" i="58"/>
  <c r="Q59" i="58"/>
  <c r="L59" i="58"/>
  <c r="K59" i="58"/>
  <c r="J59" i="58"/>
  <c r="O59" i="58"/>
  <c r="P59" i="58"/>
  <c r="G59" i="58"/>
  <c r="E103" i="1"/>
  <c r="G216" i="1" l="1"/>
  <c r="G215" i="1"/>
  <c r="G214" i="1"/>
  <c r="G213" i="1"/>
  <c r="C6" i="54" l="1"/>
  <c r="B6" i="54"/>
  <c r="C5" i="54"/>
  <c r="B5" i="54"/>
  <c r="C3" i="54"/>
  <c r="B3" i="54"/>
  <c r="C2" i="54"/>
  <c r="B2" i="54"/>
  <c r="C6" i="64"/>
  <c r="B6" i="64"/>
  <c r="C5" i="64"/>
  <c r="B5" i="64"/>
  <c r="C3" i="64"/>
  <c r="B3" i="64"/>
  <c r="C2" i="64"/>
  <c r="B2" i="64"/>
  <c r="C6" i="65"/>
  <c r="B6" i="65"/>
  <c r="C5" i="65"/>
  <c r="B5" i="65"/>
  <c r="C3" i="65"/>
  <c r="B3" i="65"/>
  <c r="C2" i="65"/>
  <c r="B2" i="65"/>
  <c r="C6" i="66"/>
  <c r="B6" i="66"/>
  <c r="C5" i="66"/>
  <c r="B5" i="66"/>
  <c r="C3" i="66"/>
  <c r="B3" i="66"/>
  <c r="C2" i="66"/>
  <c r="B2" i="66"/>
  <c r="C6" i="67"/>
  <c r="B6" i="67"/>
  <c r="C5" i="67"/>
  <c r="B5" i="67"/>
  <c r="C3" i="67"/>
  <c r="B3" i="67"/>
  <c r="C2" i="67"/>
  <c r="B2" i="67"/>
  <c r="C6" i="58"/>
  <c r="B6" i="58"/>
  <c r="C5" i="58"/>
  <c r="B5" i="58"/>
  <c r="C3" i="58"/>
  <c r="B3" i="58"/>
  <c r="C2" i="58"/>
  <c r="B2" i="58"/>
  <c r="C6" i="59"/>
  <c r="B6" i="59"/>
  <c r="C5" i="59"/>
  <c r="B5" i="59"/>
  <c r="C3" i="59"/>
  <c r="B3" i="59"/>
  <c r="C2" i="59"/>
  <c r="B2" i="59"/>
  <c r="C6" i="62"/>
  <c r="B6" i="62"/>
  <c r="C5" i="62"/>
  <c r="B5" i="62"/>
  <c r="C3" i="62"/>
  <c r="B3" i="62"/>
  <c r="C2" i="62"/>
  <c r="B2" i="62"/>
  <c r="C6" i="53"/>
  <c r="B6" i="53"/>
  <c r="C5" i="53"/>
  <c r="B5" i="53"/>
  <c r="C3" i="53"/>
  <c r="B3" i="53"/>
  <c r="C2" i="53"/>
  <c r="B2" i="53"/>
  <c r="C6" i="51"/>
  <c r="B6" i="51"/>
  <c r="C5" i="51"/>
  <c r="B5" i="51"/>
  <c r="C3" i="51"/>
  <c r="B3" i="51"/>
  <c r="C2" i="51"/>
  <c r="B2" i="51"/>
  <c r="C6" i="1" l="1"/>
  <c r="C5" i="1"/>
  <c r="C3" i="1"/>
  <c r="C2" i="1"/>
  <c r="B6" i="1"/>
  <c r="B5" i="1"/>
  <c r="B3" i="1"/>
  <c r="B2" i="1"/>
  <c r="E192" i="1" l="1"/>
  <c r="E81" i="1" l="1"/>
  <c r="M19" i="59" l="1"/>
  <c r="Q19" i="58" s="1"/>
  <c r="L19" i="59"/>
  <c r="P19" i="58" s="1"/>
  <c r="M12" i="59"/>
  <c r="L12" i="59"/>
  <c r="M11" i="59"/>
  <c r="M27" i="59" s="1"/>
  <c r="L11" i="59"/>
  <c r="L27" i="59" s="1"/>
  <c r="K11" i="59"/>
  <c r="K19" i="59"/>
  <c r="O19" i="58" s="1"/>
  <c r="K12" i="59"/>
  <c r="J19" i="59"/>
  <c r="L19" i="58" s="1"/>
  <c r="I19" i="59"/>
  <c r="K19" i="58" s="1"/>
  <c r="H19" i="59"/>
  <c r="J19" i="58" s="1"/>
  <c r="G19" i="59"/>
  <c r="I19" i="58" s="1"/>
  <c r="J11" i="59"/>
  <c r="I11" i="59"/>
  <c r="H11" i="59"/>
  <c r="G11" i="59"/>
  <c r="J12" i="59"/>
  <c r="I12" i="59"/>
  <c r="H12" i="59"/>
  <c r="G12" i="59"/>
  <c r="C5" i="55"/>
  <c r="C4" i="55"/>
  <c r="C2" i="55"/>
  <c r="C1" i="55"/>
  <c r="I14" i="59" l="1"/>
  <c r="I27" i="59"/>
  <c r="H14" i="59"/>
  <c r="H27" i="59"/>
  <c r="J14" i="59"/>
  <c r="J27" i="59"/>
  <c r="K27" i="59"/>
  <c r="G14" i="59"/>
  <c r="G27" i="59"/>
  <c r="X58" i="58"/>
  <c r="G102" i="1" s="1"/>
  <c r="P8" i="64" l="1"/>
  <c r="O8" i="64"/>
  <c r="N8" i="64"/>
  <c r="M8" i="64"/>
  <c r="L8" i="64"/>
  <c r="K8" i="64"/>
  <c r="J8" i="64"/>
  <c r="I8" i="64"/>
  <c r="H8" i="64"/>
  <c r="G8" i="64"/>
  <c r="D20" i="51" l="1"/>
  <c r="D39" i="53" s="1"/>
  <c r="D57" i="53" s="1"/>
  <c r="D75" i="53" s="1"/>
  <c r="D226" i="1"/>
  <c r="C20" i="51"/>
  <c r="C39" i="53" s="1"/>
  <c r="C57" i="53" s="1"/>
  <c r="C75" i="53" s="1"/>
  <c r="C20" i="53" l="1"/>
  <c r="D20" i="53"/>
  <c r="C19" i="53"/>
  <c r="D19" i="53"/>
  <c r="Q8" i="54" l="1"/>
  <c r="P8" i="54"/>
  <c r="O8" i="54"/>
  <c r="N8" i="54"/>
  <c r="M8" i="54"/>
  <c r="R18" i="65" l="1"/>
  <c r="G168" i="1" s="1"/>
  <c r="M14" i="59" l="1"/>
  <c r="M18" i="59" s="1"/>
  <c r="L14" i="59"/>
  <c r="L18" i="59" s="1"/>
  <c r="K14" i="59"/>
  <c r="AJ13" i="55" l="1"/>
  <c r="AI13" i="55"/>
  <c r="AH13" i="55"/>
  <c r="AG13" i="55"/>
  <c r="AJ12" i="55"/>
  <c r="AI12" i="55"/>
  <c r="AH12" i="55"/>
  <c r="AG12" i="55"/>
  <c r="AJ11" i="55"/>
  <c r="AI11" i="55"/>
  <c r="AH11" i="55"/>
  <c r="AG11" i="55"/>
  <c r="AF11" i="55"/>
  <c r="L13" i="55"/>
  <c r="L12" i="55"/>
  <c r="K13" i="55"/>
  <c r="K12" i="55"/>
  <c r="L11" i="55"/>
  <c r="K11" i="55"/>
  <c r="M10" i="59"/>
  <c r="L10" i="59"/>
  <c r="K10" i="59"/>
  <c r="J10" i="59"/>
  <c r="I10" i="59"/>
  <c r="H10" i="59"/>
  <c r="G10" i="59"/>
  <c r="J13" i="55"/>
  <c r="J12" i="55"/>
  <c r="J11" i="55"/>
  <c r="C13" i="55"/>
  <c r="C12" i="55"/>
  <c r="C11" i="55"/>
  <c r="B11" i="55"/>
  <c r="G12" i="55"/>
  <c r="G13" i="55"/>
  <c r="G11" i="55"/>
  <c r="AP11" i="55" l="1"/>
  <c r="AM11" i="55"/>
  <c r="AM13" i="55"/>
  <c r="AP13" i="55"/>
  <c r="AP12" i="55"/>
  <c r="AM12" i="55"/>
  <c r="M11" i="55"/>
  <c r="AN11" i="55"/>
  <c r="AK11" i="55"/>
  <c r="AL11" i="55"/>
  <c r="AO11" i="55"/>
  <c r="AL12" i="55"/>
  <c r="AO12" i="55"/>
  <c r="AL13" i="55"/>
  <c r="AO13" i="55"/>
  <c r="P9" i="56"/>
  <c r="L26" i="56"/>
  <c r="L25" i="56"/>
  <c r="L15" i="56"/>
  <c r="L14" i="56"/>
  <c r="L13" i="56"/>
  <c r="L12" i="56"/>
  <c r="L11" i="56"/>
  <c r="L10" i="56"/>
  <c r="L9" i="56"/>
  <c r="L8" i="56"/>
  <c r="L7" i="56"/>
  <c r="L6" i="56"/>
  <c r="B7" i="56"/>
  <c r="M12" i="55"/>
  <c r="J150" i="1" l="1"/>
  <c r="J61" i="1"/>
  <c r="N11" i="55"/>
  <c r="E11" i="55"/>
  <c r="O11" i="55"/>
  <c r="N12" i="55"/>
  <c r="B8" i="56"/>
  <c r="AF12" i="55"/>
  <c r="B12" i="55"/>
  <c r="M13" i="55"/>
  <c r="J119" i="1" l="1"/>
  <c r="J94" i="1"/>
  <c r="J45" i="1"/>
  <c r="J58" i="1"/>
  <c r="J118" i="1"/>
  <c r="J77" i="1"/>
  <c r="J133" i="1"/>
  <c r="J205" i="1"/>
  <c r="J188" i="1"/>
  <c r="J169" i="1"/>
  <c r="J145" i="1"/>
  <c r="J102" i="1"/>
  <c r="K102" i="1" s="1"/>
  <c r="J215" i="1"/>
  <c r="K215" i="1" s="1"/>
  <c r="J187" i="1"/>
  <c r="J168" i="1"/>
  <c r="K168" i="1" s="1"/>
  <c r="J151" i="1"/>
  <c r="J216" i="1"/>
  <c r="K216" i="1" s="1"/>
  <c r="J182" i="1"/>
  <c r="J146" i="1"/>
  <c r="J181" i="1"/>
  <c r="J152" i="1"/>
  <c r="J103" i="1"/>
  <c r="J90" i="1"/>
  <c r="J213" i="1"/>
  <c r="K213" i="1" s="1"/>
  <c r="J214" i="1"/>
  <c r="K214" i="1" s="1"/>
  <c r="J91" i="1"/>
  <c r="J46" i="1"/>
  <c r="J66" i="1"/>
  <c r="J101" i="1"/>
  <c r="J56" i="1"/>
  <c r="J57" i="1"/>
  <c r="J74" i="1"/>
  <c r="J73" i="1"/>
  <c r="J64" i="1"/>
  <c r="J126" i="1"/>
  <c r="J136" i="1"/>
  <c r="J139" i="1"/>
  <c r="J167" i="1"/>
  <c r="J192" i="1"/>
  <c r="J179" i="1"/>
  <c r="J193" i="1"/>
  <c r="J65" i="1"/>
  <c r="J116" i="1"/>
  <c r="J149" i="1"/>
  <c r="J200" i="1"/>
  <c r="J186" i="1"/>
  <c r="J201" i="1"/>
  <c r="J81" i="1"/>
  <c r="J89" i="1"/>
  <c r="J117" i="1"/>
  <c r="J142" i="1"/>
  <c r="J180" i="1"/>
  <c r="J176" i="1"/>
  <c r="E193" i="1"/>
  <c r="F11" i="55"/>
  <c r="P11" i="55"/>
  <c r="Q11" i="55" s="1"/>
  <c r="N13" i="55"/>
  <c r="B9" i="56"/>
  <c r="AF13" i="55"/>
  <c r="B13" i="55"/>
  <c r="M14" i="55"/>
  <c r="K220" i="1" l="1"/>
  <c r="B14" i="55"/>
  <c r="AF14" i="55"/>
  <c r="N14" i="55"/>
  <c r="R11" i="55"/>
  <c r="T12" i="55"/>
  <c r="B10" i="56"/>
  <c r="M15" i="55"/>
  <c r="K236" i="1" l="1"/>
  <c r="E20" i="51" s="1"/>
  <c r="F39" i="53" s="1"/>
  <c r="N15" i="55"/>
  <c r="B15" i="55"/>
  <c r="AF15" i="55"/>
  <c r="S11" i="55"/>
  <c r="T13" i="55"/>
  <c r="B11" i="56"/>
  <c r="M16" i="55"/>
  <c r="K39" i="53" l="1"/>
  <c r="F57" i="53"/>
  <c r="G39" i="53"/>
  <c r="I39" i="53"/>
  <c r="N16" i="55"/>
  <c r="B16" i="55"/>
  <c r="G8" i="59" s="1"/>
  <c r="I8" i="58" s="1"/>
  <c r="AF16" i="55"/>
  <c r="R20" i="64"/>
  <c r="G181" i="1" s="1"/>
  <c r="K181" i="1" s="1"/>
  <c r="V11" i="55"/>
  <c r="AU11" i="55"/>
  <c r="AV11" i="55"/>
  <c r="AW11" i="55"/>
  <c r="B12" i="56"/>
  <c r="R23" i="64"/>
  <c r="G185" i="1" s="1"/>
  <c r="Q30" i="54"/>
  <c r="P30" i="54"/>
  <c r="O30" i="54"/>
  <c r="N30" i="54"/>
  <c r="M30" i="54"/>
  <c r="L30" i="54"/>
  <c r="K30" i="54"/>
  <c r="J30" i="54"/>
  <c r="I30" i="54"/>
  <c r="H30" i="54"/>
  <c r="S29" i="54"/>
  <c r="G205" i="1" s="1"/>
  <c r="K205" i="1" s="1"/>
  <c r="S27" i="54"/>
  <c r="S25" i="54"/>
  <c r="G204" i="1" s="1"/>
  <c r="M17" i="55"/>
  <c r="G57" i="53" l="1"/>
  <c r="K75" i="53"/>
  <c r="G75" i="53"/>
  <c r="K57" i="53"/>
  <c r="F75" i="53"/>
  <c r="I57" i="53"/>
  <c r="I75" i="53"/>
  <c r="AB11" i="55"/>
  <c r="N17" i="55"/>
  <c r="B17" i="55"/>
  <c r="H8" i="59" s="1"/>
  <c r="J8" i="58" s="1"/>
  <c r="AF17" i="55"/>
  <c r="I10" i="64"/>
  <c r="M10" i="64"/>
  <c r="B13" i="56"/>
  <c r="S31" i="54"/>
  <c r="G206" i="1" s="1"/>
  <c r="R37" i="64"/>
  <c r="G10" i="64"/>
  <c r="R25" i="64"/>
  <c r="M18" i="55"/>
  <c r="N18" i="55" l="1"/>
  <c r="AF18" i="55"/>
  <c r="B18" i="55"/>
  <c r="I8" i="59" s="1"/>
  <c r="K8" i="58" s="1"/>
  <c r="R39" i="64"/>
  <c r="G193" i="1" s="1"/>
  <c r="K193" i="1" s="1"/>
  <c r="R30" i="64"/>
  <c r="G187" i="1" s="1"/>
  <c r="K187" i="1" s="1"/>
  <c r="R29" i="64"/>
  <c r="G186" i="1" s="1"/>
  <c r="R38" i="64"/>
  <c r="G192" i="1" s="1"/>
  <c r="K192" i="1" s="1"/>
  <c r="J10" i="64"/>
  <c r="O10" i="64"/>
  <c r="N10" i="64"/>
  <c r="K10" i="64"/>
  <c r="L10" i="64"/>
  <c r="H10" i="64"/>
  <c r="P10" i="64"/>
  <c r="R14" i="64"/>
  <c r="T11" i="55"/>
  <c r="B14" i="56"/>
  <c r="M19" i="55"/>
  <c r="K186" i="1" l="1"/>
  <c r="N19" i="55"/>
  <c r="AF19" i="55"/>
  <c r="B19" i="55"/>
  <c r="R31" i="64"/>
  <c r="G188" i="1" s="1"/>
  <c r="K188" i="1" s="1"/>
  <c r="R10" i="64"/>
  <c r="R16" i="64"/>
  <c r="G179" i="1" s="1"/>
  <c r="K179" i="1" s="1"/>
  <c r="R19" i="64"/>
  <c r="G180" i="1" s="1"/>
  <c r="K180" i="1" s="1"/>
  <c r="R21" i="64"/>
  <c r="G182" i="1" s="1"/>
  <c r="K182" i="1" s="1"/>
  <c r="B15" i="56"/>
  <c r="J8" i="59"/>
  <c r="L8" i="58" s="1"/>
  <c r="AS11" i="55"/>
  <c r="AR11" i="55"/>
  <c r="AQ11" i="55"/>
  <c r="H11" i="55"/>
  <c r="S21" i="54"/>
  <c r="S18" i="54"/>
  <c r="S15" i="54"/>
  <c r="S11" i="54"/>
  <c r="S10" i="54"/>
  <c r="I8" i="54"/>
  <c r="J8" i="54"/>
  <c r="K8" i="54"/>
  <c r="L8" i="54"/>
  <c r="H8" i="54"/>
  <c r="R17" i="65"/>
  <c r="G167" i="1" s="1"/>
  <c r="K167" i="1" s="1"/>
  <c r="R14" i="65"/>
  <c r="G166" i="1" s="1"/>
  <c r="R10" i="65"/>
  <c r="G165" i="1" s="1"/>
  <c r="H8" i="65"/>
  <c r="I8" i="65"/>
  <c r="J8" i="65"/>
  <c r="K8" i="65"/>
  <c r="L8" i="65"/>
  <c r="M8" i="65"/>
  <c r="N8" i="65"/>
  <c r="O8" i="65"/>
  <c r="P8" i="65"/>
  <c r="G8" i="65"/>
  <c r="M20" i="55"/>
  <c r="AK12" i="55"/>
  <c r="N20" i="55" l="1"/>
  <c r="AF20" i="55"/>
  <c r="B20" i="55"/>
  <c r="G176" i="1"/>
  <c r="K176" i="1" s="1"/>
  <c r="E12" i="55"/>
  <c r="I11" i="55"/>
  <c r="AA11" i="55"/>
  <c r="B16" i="56"/>
  <c r="S17" i="54"/>
  <c r="S20" i="54"/>
  <c r="S13" i="54"/>
  <c r="G200" i="1" s="1"/>
  <c r="S23" i="54"/>
  <c r="R19" i="65"/>
  <c r="G169" i="1" s="1"/>
  <c r="K169" i="1" s="1"/>
  <c r="M21" i="55"/>
  <c r="B17" i="56" l="1"/>
  <c r="B18" i="56" s="1"/>
  <c r="B19" i="56" s="1"/>
  <c r="B20" i="56" s="1"/>
  <c r="B21" i="56" s="1"/>
  <c r="B22" i="56" s="1"/>
  <c r="B23" i="56" s="1"/>
  <c r="B24" i="56" s="1"/>
  <c r="B25" i="56" s="1"/>
  <c r="L16" i="56"/>
  <c r="G201" i="1"/>
  <c r="N21" i="55"/>
  <c r="AF21" i="55"/>
  <c r="B21" i="55"/>
  <c r="K200" i="1"/>
  <c r="AT11" i="55"/>
  <c r="AC11" i="55" s="1"/>
  <c r="F12" i="55"/>
  <c r="H12" i="55"/>
  <c r="K201" i="1"/>
  <c r="M22" i="55"/>
  <c r="AK13" i="55"/>
  <c r="L17" i="56" l="1"/>
  <c r="N22" i="55"/>
  <c r="AF22" i="55"/>
  <c r="B22" i="55"/>
  <c r="AD11" i="55"/>
  <c r="E13" i="55"/>
  <c r="I12" i="55"/>
  <c r="M23" i="55"/>
  <c r="AN12" i="55"/>
  <c r="N23" i="55" l="1"/>
  <c r="AF23" i="55"/>
  <c r="B23" i="55"/>
  <c r="O12" i="55"/>
  <c r="F13" i="55"/>
  <c r="H13" i="55"/>
  <c r="M24" i="55"/>
  <c r="AK14" i="55"/>
  <c r="N24" i="55" l="1"/>
  <c r="AF24" i="55"/>
  <c r="B24" i="55"/>
  <c r="E14" i="55"/>
  <c r="P12" i="55"/>
  <c r="I13" i="55"/>
  <c r="Q17" i="66"/>
  <c r="P17" i="66"/>
  <c r="O17" i="66"/>
  <c r="N17" i="66"/>
  <c r="M17" i="66"/>
  <c r="L17" i="66"/>
  <c r="K17" i="66"/>
  <c r="J17" i="66"/>
  <c r="Q16" i="66"/>
  <c r="P16" i="66"/>
  <c r="O16" i="66"/>
  <c r="N16" i="66"/>
  <c r="M16" i="66"/>
  <c r="L16" i="66"/>
  <c r="K16" i="66"/>
  <c r="J16" i="66"/>
  <c r="Q15" i="66"/>
  <c r="P15" i="66"/>
  <c r="O15" i="66"/>
  <c r="N15" i="66"/>
  <c r="M15" i="66"/>
  <c r="L15" i="66"/>
  <c r="K15" i="66"/>
  <c r="J15" i="66"/>
  <c r="Q14" i="66"/>
  <c r="P14" i="66"/>
  <c r="O14" i="66"/>
  <c r="N14" i="66"/>
  <c r="M14" i="66"/>
  <c r="L14" i="66"/>
  <c r="K14" i="66"/>
  <c r="J14" i="66"/>
  <c r="Q13" i="66"/>
  <c r="P13" i="66"/>
  <c r="O13" i="66"/>
  <c r="N13" i="66"/>
  <c r="M13" i="66"/>
  <c r="L13" i="66"/>
  <c r="K13" i="66"/>
  <c r="J13" i="66"/>
  <c r="Q12" i="66"/>
  <c r="P12" i="66"/>
  <c r="O12" i="66"/>
  <c r="N12" i="66"/>
  <c r="M12" i="66"/>
  <c r="L12" i="66"/>
  <c r="K12" i="66"/>
  <c r="J12" i="66"/>
  <c r="Q11" i="66"/>
  <c r="P11" i="66"/>
  <c r="O11" i="66"/>
  <c r="N11" i="66"/>
  <c r="M11" i="66"/>
  <c r="L11" i="66"/>
  <c r="K11" i="66"/>
  <c r="J11" i="66"/>
  <c r="Q10" i="66"/>
  <c r="P10" i="66"/>
  <c r="O10" i="66"/>
  <c r="N10" i="66"/>
  <c r="M10" i="66"/>
  <c r="L10" i="66"/>
  <c r="K10" i="66"/>
  <c r="J10" i="66"/>
  <c r="I17" i="66"/>
  <c r="I16" i="66"/>
  <c r="I15" i="66"/>
  <c r="I14" i="66"/>
  <c r="I13" i="66"/>
  <c r="I12" i="66"/>
  <c r="I11" i="66"/>
  <c r="I10" i="66"/>
  <c r="H11" i="66"/>
  <c r="H12" i="66"/>
  <c r="H13" i="66"/>
  <c r="H14" i="66"/>
  <c r="H15" i="66"/>
  <c r="H16" i="66"/>
  <c r="H17" i="66"/>
  <c r="H10" i="66"/>
  <c r="Q8" i="66"/>
  <c r="P8" i="66"/>
  <c r="O8" i="66"/>
  <c r="N8" i="66"/>
  <c r="M8" i="66"/>
  <c r="L8" i="66"/>
  <c r="K8" i="66"/>
  <c r="J8" i="66"/>
  <c r="I8" i="66"/>
  <c r="H8" i="66"/>
  <c r="R17" i="67"/>
  <c r="R15" i="67"/>
  <c r="P18" i="67"/>
  <c r="O18" i="67"/>
  <c r="N18" i="67"/>
  <c r="M18" i="67"/>
  <c r="L18" i="67"/>
  <c r="K18" i="67"/>
  <c r="J18" i="67"/>
  <c r="I18" i="67"/>
  <c r="H18" i="67"/>
  <c r="R10" i="67"/>
  <c r="X63" i="58"/>
  <c r="X61" i="58"/>
  <c r="G106" i="1" s="1"/>
  <c r="K106" i="1" s="1"/>
  <c r="X57" i="58"/>
  <c r="G101" i="1" s="1"/>
  <c r="K101" i="1" s="1"/>
  <c r="X55" i="58"/>
  <c r="G100" i="1" s="1"/>
  <c r="K100" i="1" s="1"/>
  <c r="X53" i="58"/>
  <c r="G99" i="1" s="1"/>
  <c r="K99" i="1" s="1"/>
  <c r="X51" i="58"/>
  <c r="X23" i="58"/>
  <c r="T10" i="59" s="1"/>
  <c r="M25" i="55"/>
  <c r="H25" i="67" l="1"/>
  <c r="H27" i="67" s="1"/>
  <c r="J25" i="67"/>
  <c r="J27" i="67" s="1"/>
  <c r="K25" i="67"/>
  <c r="K27" i="67" s="1"/>
  <c r="I25" i="67"/>
  <c r="I27" i="67" s="1"/>
  <c r="R24" i="67"/>
  <c r="L25" i="67"/>
  <c r="L27" i="67" s="1"/>
  <c r="M25" i="67"/>
  <c r="M27" i="67" s="1"/>
  <c r="N25" i="67"/>
  <c r="N27" i="67" s="1"/>
  <c r="O25" i="67"/>
  <c r="O27" i="67" s="1"/>
  <c r="P25" i="67"/>
  <c r="P27" i="67" s="1"/>
  <c r="N25" i="55"/>
  <c r="H24" i="66"/>
  <c r="H20" i="66"/>
  <c r="Q24" i="66"/>
  <c r="Q20" i="66"/>
  <c r="I20" i="66"/>
  <c r="I24" i="66"/>
  <c r="J20" i="66"/>
  <c r="J24" i="66"/>
  <c r="K24" i="66"/>
  <c r="K20" i="66"/>
  <c r="L24" i="66"/>
  <c r="L20" i="66"/>
  <c r="M24" i="66"/>
  <c r="M20" i="66"/>
  <c r="N24" i="66"/>
  <c r="N20" i="66"/>
  <c r="O20" i="66"/>
  <c r="O24" i="66"/>
  <c r="P20" i="66"/>
  <c r="P24" i="66"/>
  <c r="X66" i="58"/>
  <c r="G109" i="1" s="1"/>
  <c r="K109" i="1" s="1"/>
  <c r="X65" i="58"/>
  <c r="G108" i="1" s="1"/>
  <c r="K108" i="1" s="1"/>
  <c r="AF25" i="55"/>
  <c r="B25" i="55"/>
  <c r="H14" i="55"/>
  <c r="F14" i="55"/>
  <c r="H10" i="62"/>
  <c r="X64" i="58"/>
  <c r="G107" i="1" s="1"/>
  <c r="K107" i="1" s="1"/>
  <c r="G98" i="1"/>
  <c r="Q12" i="55"/>
  <c r="H18" i="66"/>
  <c r="J18" i="66"/>
  <c r="L18" i="66"/>
  <c r="L32" i="66" s="1"/>
  <c r="N18" i="66"/>
  <c r="N32" i="66" s="1"/>
  <c r="P18" i="66"/>
  <c r="P32" i="66" s="1"/>
  <c r="P40" i="66" s="1"/>
  <c r="I18" i="66"/>
  <c r="I32" i="66" s="1"/>
  <c r="K18" i="66"/>
  <c r="K32" i="66" s="1"/>
  <c r="M18" i="66"/>
  <c r="O18" i="66"/>
  <c r="Q18" i="66"/>
  <c r="X59" i="58"/>
  <c r="G103" i="1" s="1"/>
  <c r="K103" i="1" s="1"/>
  <c r="X40" i="58"/>
  <c r="G73" i="1"/>
  <c r="K73" i="1" s="1"/>
  <c r="R18" i="67"/>
  <c r="S10" i="66"/>
  <c r="S15" i="66"/>
  <c r="S17" i="66"/>
  <c r="M26" i="55"/>
  <c r="AL16" i="55"/>
  <c r="AK15" i="55"/>
  <c r="G25" i="67" l="1"/>
  <c r="R25" i="67" s="1"/>
  <c r="G116" i="1"/>
  <c r="K116" i="1" s="1"/>
  <c r="L26" i="66"/>
  <c r="L28" i="66" s="1"/>
  <c r="L27" i="66" s="1"/>
  <c r="J36" i="67"/>
  <c r="J37" i="67" s="1"/>
  <c r="K40" i="66"/>
  <c r="H36" i="67"/>
  <c r="H37" i="67" s="1"/>
  <c r="I40" i="66"/>
  <c r="P41" i="66"/>
  <c r="P43" i="66"/>
  <c r="P42" i="66"/>
  <c r="M26" i="66"/>
  <c r="M28" i="66" s="1"/>
  <c r="M27" i="66" s="1"/>
  <c r="M36" i="67"/>
  <c r="M37" i="67" s="1"/>
  <c r="N40" i="66"/>
  <c r="K36" i="67"/>
  <c r="K37" i="67" s="1"/>
  <c r="L40" i="66"/>
  <c r="J26" i="66"/>
  <c r="J28" i="66" s="1"/>
  <c r="J27" i="66" s="1"/>
  <c r="P26" i="66"/>
  <c r="P28" i="66" s="1"/>
  <c r="P27" i="66" s="1"/>
  <c r="O26" i="66"/>
  <c r="O28" i="66" s="1"/>
  <c r="I26" i="66"/>
  <c r="I28" i="66" s="1"/>
  <c r="I30" i="66" s="1"/>
  <c r="N26" i="66"/>
  <c r="N28" i="66" s="1"/>
  <c r="N30" i="66" s="1"/>
  <c r="J30" i="66"/>
  <c r="J29" i="66"/>
  <c r="O29" i="66"/>
  <c r="O30" i="66"/>
  <c r="K26" i="66"/>
  <c r="K28" i="66" s="1"/>
  <c r="P34" i="66"/>
  <c r="P35" i="66" s="1"/>
  <c r="O36" i="67"/>
  <c r="O37" i="67" s="1"/>
  <c r="H18" i="62"/>
  <c r="H17" i="62"/>
  <c r="H16" i="62"/>
  <c r="O32" i="66"/>
  <c r="O40" i="66" s="1"/>
  <c r="I21" i="66"/>
  <c r="P21" i="66"/>
  <c r="N26" i="55"/>
  <c r="K34" i="66"/>
  <c r="N34" i="66"/>
  <c r="L34" i="66"/>
  <c r="K21" i="66"/>
  <c r="L21" i="66"/>
  <c r="M21" i="66"/>
  <c r="Q26" i="66"/>
  <c r="Q28" i="66" s="1"/>
  <c r="M32" i="66"/>
  <c r="Q21" i="66"/>
  <c r="N21" i="66"/>
  <c r="Q32" i="66"/>
  <c r="J32" i="66"/>
  <c r="J40" i="66" s="1"/>
  <c r="J21" i="66"/>
  <c r="O21" i="66"/>
  <c r="I34" i="66"/>
  <c r="H32" i="66"/>
  <c r="H40" i="66" s="1"/>
  <c r="H21" i="66"/>
  <c r="H26" i="66"/>
  <c r="H28" i="66" s="1"/>
  <c r="AF26" i="55"/>
  <c r="B26" i="55"/>
  <c r="E15" i="55"/>
  <c r="I14" i="55"/>
  <c r="G88" i="1"/>
  <c r="X47" i="58"/>
  <c r="G94" i="1" s="1"/>
  <c r="K94" i="1" s="1"/>
  <c r="S18" i="66"/>
  <c r="R12" i="55"/>
  <c r="X44" i="58"/>
  <c r="G89" i="1" s="1"/>
  <c r="K89" i="1" s="1"/>
  <c r="K126" i="1"/>
  <c r="M27" i="55"/>
  <c r="L30" i="66" l="1"/>
  <c r="L29" i="66"/>
  <c r="G27" i="67"/>
  <c r="M30" i="66"/>
  <c r="M29" i="66"/>
  <c r="G117" i="1"/>
  <c r="K117" i="1" s="1"/>
  <c r="P30" i="66"/>
  <c r="P29" i="66"/>
  <c r="N27" i="66"/>
  <c r="N29" i="66"/>
  <c r="I27" i="66"/>
  <c r="N41" i="66"/>
  <c r="N42" i="66"/>
  <c r="N43" i="66"/>
  <c r="P36" i="67"/>
  <c r="P37" i="67" s="1"/>
  <c r="Q40" i="66"/>
  <c r="L36" i="67"/>
  <c r="L37" i="67" s="1"/>
  <c r="M40" i="66"/>
  <c r="O41" i="66"/>
  <c r="O43" i="66"/>
  <c r="O42" i="66"/>
  <c r="L41" i="66"/>
  <c r="L42" i="66"/>
  <c r="L43" i="66"/>
  <c r="K41" i="66"/>
  <c r="K43" i="66"/>
  <c r="K42" i="66"/>
  <c r="J41" i="66"/>
  <c r="J42" i="66"/>
  <c r="J43" i="66"/>
  <c r="H41" i="66"/>
  <c r="H42" i="66"/>
  <c r="H43" i="66"/>
  <c r="I29" i="66"/>
  <c r="P36" i="66"/>
  <c r="K29" i="66"/>
  <c r="K30" i="66"/>
  <c r="J34" i="66"/>
  <c r="J36" i="66" s="1"/>
  <c r="I36" i="67"/>
  <c r="I37" i="67" s="1"/>
  <c r="O34" i="66"/>
  <c r="O35" i="66" s="1"/>
  <c r="N36" i="67"/>
  <c r="N37" i="67" s="1"/>
  <c r="H34" i="66"/>
  <c r="H35" i="66" s="1"/>
  <c r="G36" i="67"/>
  <c r="G37" i="67" s="1"/>
  <c r="O27" i="66"/>
  <c r="N27" i="55"/>
  <c r="K27" i="66"/>
  <c r="Q34" i="66"/>
  <c r="N36" i="66"/>
  <c r="N35" i="66"/>
  <c r="I41" i="66"/>
  <c r="I42" i="66"/>
  <c r="I43" i="66"/>
  <c r="I35" i="66"/>
  <c r="I36" i="66"/>
  <c r="Q30" i="66"/>
  <c r="Q27" i="66"/>
  <c r="Q29" i="66"/>
  <c r="M34" i="66"/>
  <c r="L36" i="66"/>
  <c r="L35" i="66"/>
  <c r="S32" i="66"/>
  <c r="G149" i="1" s="1"/>
  <c r="K149" i="1" s="1"/>
  <c r="K36" i="66"/>
  <c r="K35" i="66"/>
  <c r="H29" i="66"/>
  <c r="H27" i="66"/>
  <c r="H30" i="66"/>
  <c r="B27" i="55"/>
  <c r="AF27" i="55"/>
  <c r="H15" i="55"/>
  <c r="F15" i="55"/>
  <c r="X46" i="58"/>
  <c r="G91" i="1" s="1"/>
  <c r="K91" i="1" s="1"/>
  <c r="X45" i="58"/>
  <c r="G90" i="1" s="1"/>
  <c r="K90" i="1" s="1"/>
  <c r="S26" i="66"/>
  <c r="G136" i="1" s="1"/>
  <c r="K136" i="1" s="1"/>
  <c r="S21" i="66"/>
  <c r="G133" i="1" s="1"/>
  <c r="K133" i="1" s="1"/>
  <c r="X48" i="58"/>
  <c r="G95" i="1" s="1"/>
  <c r="R27" i="67"/>
  <c r="M28" i="55"/>
  <c r="AK16" i="55"/>
  <c r="S12" i="55"/>
  <c r="AL20" i="55"/>
  <c r="G119" i="1" l="1"/>
  <c r="K119" i="1" s="1"/>
  <c r="J35" i="66"/>
  <c r="O36" i="66"/>
  <c r="H36" i="66"/>
  <c r="S40" i="66"/>
  <c r="G155" i="1" s="1"/>
  <c r="K155" i="1" s="1"/>
  <c r="N28" i="55"/>
  <c r="Q42" i="66"/>
  <c r="Q43" i="66"/>
  <c r="Q41" i="66"/>
  <c r="Q36" i="66"/>
  <c r="Q35" i="66"/>
  <c r="M42" i="66"/>
  <c r="M43" i="66"/>
  <c r="M41" i="66"/>
  <c r="M36" i="66"/>
  <c r="M35" i="66"/>
  <c r="B28" i="55"/>
  <c r="AF28" i="55"/>
  <c r="E16" i="55"/>
  <c r="I15" i="55"/>
  <c r="S27" i="66"/>
  <c r="G139" i="1" s="1"/>
  <c r="K139" i="1" s="1"/>
  <c r="S28" i="66"/>
  <c r="G142" i="1" s="1"/>
  <c r="K142" i="1" s="1"/>
  <c r="AS12" i="55"/>
  <c r="AR12" i="55"/>
  <c r="AU12" i="55"/>
  <c r="V12" i="55"/>
  <c r="AQ12" i="55"/>
  <c r="AW12" i="55"/>
  <c r="AV12" i="55"/>
  <c r="Q21" i="58"/>
  <c r="P21" i="58"/>
  <c r="O21" i="58"/>
  <c r="L21" i="58"/>
  <c r="K21" i="58"/>
  <c r="J21" i="58"/>
  <c r="I21" i="58"/>
  <c r="Q12" i="58"/>
  <c r="P12" i="58"/>
  <c r="O12" i="58"/>
  <c r="L12" i="58"/>
  <c r="K12" i="58"/>
  <c r="J12" i="58"/>
  <c r="I12" i="58"/>
  <c r="Q11" i="58"/>
  <c r="P11" i="58"/>
  <c r="O11" i="58"/>
  <c r="L11" i="58"/>
  <c r="K11" i="58"/>
  <c r="J11" i="58"/>
  <c r="I11" i="58"/>
  <c r="Q10" i="58"/>
  <c r="P10" i="58"/>
  <c r="O10" i="58"/>
  <c r="L10" i="58"/>
  <c r="K10" i="58"/>
  <c r="J10" i="58"/>
  <c r="I10" i="58"/>
  <c r="T17" i="59"/>
  <c r="K18" i="59"/>
  <c r="I18" i="59"/>
  <c r="K18" i="58" s="1"/>
  <c r="H18" i="59"/>
  <c r="J18" i="58" s="1"/>
  <c r="M29" i="55"/>
  <c r="M30" i="55"/>
  <c r="AB12" i="55" l="1"/>
  <c r="N29" i="55"/>
  <c r="G25" i="58"/>
  <c r="I25" i="58"/>
  <c r="K25" i="58"/>
  <c r="O25" i="58"/>
  <c r="H25" i="58"/>
  <c r="L25" i="58"/>
  <c r="P25" i="58"/>
  <c r="Q25" i="58"/>
  <c r="J25" i="58"/>
  <c r="S41" i="66"/>
  <c r="G156" i="1" s="1"/>
  <c r="K156" i="1" s="1"/>
  <c r="N30" i="55"/>
  <c r="B29" i="55"/>
  <c r="AF29" i="55"/>
  <c r="H16" i="55"/>
  <c r="F16" i="55"/>
  <c r="S42" i="66"/>
  <c r="G157" i="1" s="1"/>
  <c r="K157" i="1" s="1"/>
  <c r="S43" i="66"/>
  <c r="G158" i="1" s="1"/>
  <c r="K158" i="1" s="1"/>
  <c r="S29" i="66"/>
  <c r="G145" i="1" s="1"/>
  <c r="K145" i="1" s="1"/>
  <c r="S30" i="66"/>
  <c r="G146" i="1" s="1"/>
  <c r="K146" i="1" s="1"/>
  <c r="P18" i="58"/>
  <c r="O18" i="58"/>
  <c r="AA12" i="55"/>
  <c r="X10" i="58"/>
  <c r="J14" i="58"/>
  <c r="L14" i="58"/>
  <c r="P14" i="58"/>
  <c r="X27" i="58"/>
  <c r="G77" i="1" s="1"/>
  <c r="I14" i="58"/>
  <c r="K14" i="58"/>
  <c r="O14" i="58"/>
  <c r="Q14" i="58"/>
  <c r="J18" i="59"/>
  <c r="L18" i="58" s="1"/>
  <c r="G18" i="59"/>
  <c r="I18" i="58" s="1"/>
  <c r="M31" i="55"/>
  <c r="AK17" i="55"/>
  <c r="G28" i="58" l="1"/>
  <c r="G32" i="58"/>
  <c r="H28" i="58"/>
  <c r="H32" i="58"/>
  <c r="J28" i="58"/>
  <c r="J32" i="58"/>
  <c r="O28" i="58"/>
  <c r="O32" i="58"/>
  <c r="Q28" i="58"/>
  <c r="Q32" i="58"/>
  <c r="K28" i="58"/>
  <c r="K32" i="58"/>
  <c r="I28" i="58"/>
  <c r="I32" i="58"/>
  <c r="P28" i="58"/>
  <c r="P32" i="58"/>
  <c r="L28" i="58"/>
  <c r="L32" i="58"/>
  <c r="G15" i="59"/>
  <c r="I15" i="58" s="1"/>
  <c r="K77" i="1"/>
  <c r="N31" i="55"/>
  <c r="B30" i="55"/>
  <c r="K8" i="59" s="1"/>
  <c r="O8" i="58" s="1"/>
  <c r="AF30" i="55"/>
  <c r="E17" i="55"/>
  <c r="I16" i="55"/>
  <c r="G16" i="59" s="1"/>
  <c r="G23" i="59" s="1"/>
  <c r="Q18" i="58"/>
  <c r="AT12" i="55"/>
  <c r="AC12" i="55" s="1"/>
  <c r="AD12" i="55" s="1"/>
  <c r="B26" i="56"/>
  <c r="X25" i="58"/>
  <c r="AN13" i="55"/>
  <c r="M32" i="55"/>
  <c r="X28" i="58" l="1"/>
  <c r="G78" i="1" s="1"/>
  <c r="G33" i="58"/>
  <c r="G34" i="58"/>
  <c r="L34" i="58"/>
  <c r="L33" i="58"/>
  <c r="P34" i="58"/>
  <c r="P33" i="58"/>
  <c r="Q34" i="58"/>
  <c r="Q33" i="58"/>
  <c r="H34" i="58"/>
  <c r="H33" i="58"/>
  <c r="K33" i="58"/>
  <c r="K34" i="58"/>
  <c r="O34" i="58"/>
  <c r="O33" i="58"/>
  <c r="I33" i="58"/>
  <c r="I34" i="58"/>
  <c r="J34" i="58"/>
  <c r="J33" i="58"/>
  <c r="G55" i="59"/>
  <c r="G53" i="59"/>
  <c r="G24" i="59"/>
  <c r="G61" i="59" s="1"/>
  <c r="N32" i="55"/>
  <c r="B31" i="55"/>
  <c r="L8" i="59" s="1"/>
  <c r="P8" i="58" s="1"/>
  <c r="AF31" i="55"/>
  <c r="H17" i="55"/>
  <c r="F17" i="55"/>
  <c r="H15" i="59" s="1"/>
  <c r="G17" i="59"/>
  <c r="G20" i="59" s="1"/>
  <c r="O13" i="55"/>
  <c r="G74" i="1"/>
  <c r="K74" i="1" s="1"/>
  <c r="B27" i="56"/>
  <c r="X32" i="58"/>
  <c r="T14" i="59"/>
  <c r="T23" i="59" s="1"/>
  <c r="AL21" i="55"/>
  <c r="AL33" i="55"/>
  <c r="M33" i="55"/>
  <c r="AK18" i="55"/>
  <c r="N33" i="55" l="1"/>
  <c r="L27" i="56"/>
  <c r="B28" i="56"/>
  <c r="T24" i="59"/>
  <c r="T61" i="59" s="1"/>
  <c r="T55" i="59"/>
  <c r="T53" i="59"/>
  <c r="G56" i="59"/>
  <c r="G57" i="59"/>
  <c r="G58" i="59"/>
  <c r="G77" i="59"/>
  <c r="G60" i="59"/>
  <c r="G65" i="59"/>
  <c r="G33" i="59"/>
  <c r="G29" i="59"/>
  <c r="G25" i="59" s="1"/>
  <c r="G26" i="59"/>
  <c r="G64" i="59" s="1"/>
  <c r="B32" i="55"/>
  <c r="M8" i="59" s="1"/>
  <c r="Q8" i="58" s="1"/>
  <c r="AF32" i="55"/>
  <c r="E18" i="55"/>
  <c r="I17" i="55"/>
  <c r="H16" i="59" s="1"/>
  <c r="H23" i="59" s="1"/>
  <c r="X34" i="58"/>
  <c r="X33" i="58"/>
  <c r="G81" i="1" s="1"/>
  <c r="K81" i="1" s="1"/>
  <c r="I16" i="58"/>
  <c r="I17" i="58"/>
  <c r="P13" i="55"/>
  <c r="J15" i="58"/>
  <c r="T18" i="59"/>
  <c r="M34" i="55"/>
  <c r="N34" i="55" l="1"/>
  <c r="B33" i="55"/>
  <c r="N8" i="59" s="1"/>
  <c r="R8" i="58" s="1"/>
  <c r="B29" i="56"/>
  <c r="B30" i="56" s="1"/>
  <c r="AF33" i="55"/>
  <c r="G69" i="59"/>
  <c r="G68" i="59"/>
  <c r="G63" i="59"/>
  <c r="T58" i="59"/>
  <c r="T56" i="59"/>
  <c r="T57" i="59"/>
  <c r="T77" i="59"/>
  <c r="T60" i="59"/>
  <c r="H55" i="59"/>
  <c r="H53" i="59"/>
  <c r="H24" i="59"/>
  <c r="H61" i="59" s="1"/>
  <c r="G34" i="59"/>
  <c r="G49" i="59" s="1"/>
  <c r="G48" i="59" s="1"/>
  <c r="G32" i="59"/>
  <c r="G31" i="59" s="1"/>
  <c r="G79" i="59"/>
  <c r="H18" i="55"/>
  <c r="F18" i="55"/>
  <c r="I15" i="59" s="1"/>
  <c r="I20" i="58"/>
  <c r="Q13" i="55"/>
  <c r="J16" i="58"/>
  <c r="H17" i="59"/>
  <c r="H20" i="59" s="1"/>
  <c r="T20" i="59"/>
  <c r="AK19" i="55"/>
  <c r="B31" i="56" l="1"/>
  <c r="AF35" i="55"/>
  <c r="B35" i="55"/>
  <c r="V10" i="59"/>
  <c r="G10" i="62" s="1"/>
  <c r="L29" i="56"/>
  <c r="AF34" i="55"/>
  <c r="B34" i="55"/>
  <c r="O8" i="59" s="1"/>
  <c r="S8" i="58" s="1"/>
  <c r="G18" i="62"/>
  <c r="G17" i="62"/>
  <c r="G16" i="62"/>
  <c r="T26" i="59"/>
  <c r="T70" i="59"/>
  <c r="T69" i="59"/>
  <c r="T68" i="59"/>
  <c r="T33" i="59"/>
  <c r="T29" i="59"/>
  <c r="T25" i="59" s="1"/>
  <c r="T79" i="59"/>
  <c r="G30" i="59"/>
  <c r="H60" i="59"/>
  <c r="H65" i="59"/>
  <c r="H33" i="59"/>
  <c r="H29" i="59"/>
  <c r="H25" i="59" s="1"/>
  <c r="H26" i="59"/>
  <c r="H63" i="59" s="1"/>
  <c r="H56" i="59"/>
  <c r="H58" i="59"/>
  <c r="H57" i="59"/>
  <c r="H77" i="59"/>
  <c r="G43" i="59"/>
  <c r="G36" i="59"/>
  <c r="G45" i="59" s="1"/>
  <c r="G35" i="59"/>
  <c r="G47" i="59" s="1"/>
  <c r="G46" i="59" s="1"/>
  <c r="E19" i="55"/>
  <c r="I18" i="55"/>
  <c r="I16" i="59" s="1"/>
  <c r="I23" i="59" s="1"/>
  <c r="J17" i="58"/>
  <c r="R13" i="55"/>
  <c r="K15" i="58"/>
  <c r="J20" i="58"/>
  <c r="S13" i="55"/>
  <c r="B32" i="56" l="1"/>
  <c r="AF36" i="55"/>
  <c r="B36" i="55"/>
  <c r="H69" i="59"/>
  <c r="H68" i="59"/>
  <c r="G40" i="59"/>
  <c r="H64" i="59"/>
  <c r="J16" i="62"/>
  <c r="G19" i="1" s="1"/>
  <c r="J18" i="62"/>
  <c r="G21" i="1" s="1"/>
  <c r="T71" i="59"/>
  <c r="T72" i="59" s="1"/>
  <c r="G37" i="59"/>
  <c r="G50" i="59" s="1"/>
  <c r="T49" i="59"/>
  <c r="T32" i="59"/>
  <c r="T48" i="59"/>
  <c r="T31" i="59"/>
  <c r="T34" i="59"/>
  <c r="G44" i="59"/>
  <c r="H79" i="59"/>
  <c r="I55" i="59"/>
  <c r="I53" i="59"/>
  <c r="I24" i="59"/>
  <c r="I60" i="59" s="1"/>
  <c r="H34" i="59"/>
  <c r="H49" i="59" s="1"/>
  <c r="H48" i="59" s="1"/>
  <c r="H32" i="59"/>
  <c r="H31" i="59" s="1"/>
  <c r="J10" i="62"/>
  <c r="H19" i="55"/>
  <c r="F19" i="55"/>
  <c r="J15" i="59" s="1"/>
  <c r="I17" i="59"/>
  <c r="I20" i="59" s="1"/>
  <c r="AR13" i="55"/>
  <c r="AQ13" i="55"/>
  <c r="AS13" i="55"/>
  <c r="AV13" i="55"/>
  <c r="AU13" i="55"/>
  <c r="AW13" i="55"/>
  <c r="V13" i="55"/>
  <c r="S34" i="66"/>
  <c r="G150" i="1" s="1"/>
  <c r="K150" i="1" s="1"/>
  <c r="J206" i="1"/>
  <c r="K206" i="1" s="1"/>
  <c r="AK20" i="55"/>
  <c r="B33" i="56" l="1"/>
  <c r="AF37" i="55"/>
  <c r="B37" i="55"/>
  <c r="G42" i="59"/>
  <c r="G41" i="59" s="1"/>
  <c r="G39" i="59" s="1"/>
  <c r="G67" i="59" s="1"/>
  <c r="T30" i="59"/>
  <c r="T37" i="59"/>
  <c r="T40" i="59"/>
  <c r="T42" i="59"/>
  <c r="T41" i="59"/>
  <c r="T36" i="59"/>
  <c r="T45" i="59" s="1"/>
  <c r="T44" i="59" s="1"/>
  <c r="T43" i="59"/>
  <c r="T35" i="59"/>
  <c r="T46" i="59"/>
  <c r="T47" i="59"/>
  <c r="H30" i="59"/>
  <c r="H37" i="59" s="1"/>
  <c r="H43" i="59"/>
  <c r="H36" i="59"/>
  <c r="H45" i="59" s="1"/>
  <c r="I65" i="59"/>
  <c r="I33" i="59"/>
  <c r="I29" i="59"/>
  <c r="I25" i="59" s="1"/>
  <c r="I26" i="59"/>
  <c r="I63" i="59" s="1"/>
  <c r="I56" i="59"/>
  <c r="I57" i="59"/>
  <c r="I58" i="59"/>
  <c r="I77" i="59"/>
  <c r="I61" i="59"/>
  <c r="H35" i="59"/>
  <c r="H47" i="59" s="1"/>
  <c r="H46" i="59" s="1"/>
  <c r="J17" i="62"/>
  <c r="G20" i="1" s="1"/>
  <c r="E20" i="55"/>
  <c r="I19" i="55"/>
  <c r="J16" i="59" s="1"/>
  <c r="J23" i="59" s="1"/>
  <c r="S35" i="66"/>
  <c r="G151" i="1" s="1"/>
  <c r="K151" i="1" s="1"/>
  <c r="S36" i="66"/>
  <c r="G152" i="1" s="1"/>
  <c r="K152" i="1" s="1"/>
  <c r="J98" i="1"/>
  <c r="K98" i="1" s="1"/>
  <c r="J166" i="1"/>
  <c r="K166" i="1" s="1"/>
  <c r="J191" i="1"/>
  <c r="K191" i="1" s="1"/>
  <c r="K16" i="58"/>
  <c r="K17" i="58"/>
  <c r="AA13" i="55"/>
  <c r="AB13" i="55"/>
  <c r="L15" i="58"/>
  <c r="J185" i="1"/>
  <c r="K185" i="1" s="1"/>
  <c r="J165" i="1"/>
  <c r="K165" i="1" s="1"/>
  <c r="J88" i="1"/>
  <c r="K88" i="1" s="1"/>
  <c r="B38" i="55" l="1"/>
  <c r="B34" i="56"/>
  <c r="AF38" i="55"/>
  <c r="G70" i="59"/>
  <c r="K160" i="1"/>
  <c r="K232" i="1" s="1"/>
  <c r="E16" i="51" s="1"/>
  <c r="I68" i="59"/>
  <c r="I69" i="59"/>
  <c r="I64" i="59"/>
  <c r="H42" i="59"/>
  <c r="H40" i="59"/>
  <c r="T50" i="59"/>
  <c r="T39" i="59" s="1"/>
  <c r="T67" i="59" s="1"/>
  <c r="T73" i="59" s="1"/>
  <c r="T74" i="59" s="1"/>
  <c r="T75" i="59" s="1"/>
  <c r="H44" i="59"/>
  <c r="H50" i="59"/>
  <c r="J55" i="59"/>
  <c r="J53" i="59"/>
  <c r="J24" i="59"/>
  <c r="J60" i="59" s="1"/>
  <c r="I79" i="59"/>
  <c r="I34" i="59"/>
  <c r="I49" i="59" s="1"/>
  <c r="I48" i="59" s="1"/>
  <c r="I32" i="59"/>
  <c r="K171" i="1"/>
  <c r="K195" i="1"/>
  <c r="H20" i="55"/>
  <c r="F20" i="55"/>
  <c r="AT13" i="55"/>
  <c r="AC13" i="55" s="1"/>
  <c r="K20" i="58"/>
  <c r="L16" i="58"/>
  <c r="J17" i="59"/>
  <c r="J20" i="59" s="1"/>
  <c r="AK21" i="55"/>
  <c r="F17" i="53" l="1"/>
  <c r="F35" i="53"/>
  <c r="B39" i="55"/>
  <c r="B35" i="56"/>
  <c r="AF39" i="55"/>
  <c r="G17" i="53"/>
  <c r="I17" i="53"/>
  <c r="K17" i="53"/>
  <c r="K234" i="1"/>
  <c r="K233" i="1"/>
  <c r="E17" i="51" s="1"/>
  <c r="H41" i="59"/>
  <c r="H39" i="59" s="1"/>
  <c r="H67" i="59" s="1"/>
  <c r="G71" i="59"/>
  <c r="G72" i="59" s="1"/>
  <c r="G73" i="59" s="1"/>
  <c r="G74" i="59" s="1"/>
  <c r="G75" i="59" s="1"/>
  <c r="J61" i="59"/>
  <c r="I35" i="59"/>
  <c r="I47" i="59" s="1"/>
  <c r="I46" i="59" s="1"/>
  <c r="J58" i="59"/>
  <c r="J56" i="59"/>
  <c r="J57" i="59"/>
  <c r="J77" i="59"/>
  <c r="J65" i="59"/>
  <c r="J33" i="59"/>
  <c r="J29" i="59"/>
  <c r="J25" i="59" s="1"/>
  <c r="J26" i="59"/>
  <c r="J63" i="59" s="1"/>
  <c r="I31" i="59"/>
  <c r="E21" i="55"/>
  <c r="I20" i="55"/>
  <c r="AD13" i="55"/>
  <c r="L17" i="58"/>
  <c r="L20" i="58"/>
  <c r="AN14" i="55"/>
  <c r="F18" i="53" l="1"/>
  <c r="F36" i="53"/>
  <c r="I35" i="53"/>
  <c r="F53" i="53"/>
  <c r="K35" i="53"/>
  <c r="I18" i="53"/>
  <c r="K18" i="53"/>
  <c r="G18" i="53"/>
  <c r="AF40" i="55"/>
  <c r="B36" i="56"/>
  <c r="B40" i="55"/>
  <c r="P8" i="59" s="1"/>
  <c r="T8" i="58" s="1"/>
  <c r="E18" i="51"/>
  <c r="H70" i="59"/>
  <c r="J69" i="59"/>
  <c r="J68" i="59"/>
  <c r="J64" i="59"/>
  <c r="J34" i="59"/>
  <c r="J49" i="59" s="1"/>
  <c r="J48" i="59" s="1"/>
  <c r="J32" i="59"/>
  <c r="J31" i="59" s="1"/>
  <c r="I43" i="59"/>
  <c r="I36" i="59"/>
  <c r="J79" i="59"/>
  <c r="I30" i="59"/>
  <c r="O14" i="55"/>
  <c r="H21" i="55"/>
  <c r="F21" i="55"/>
  <c r="AK22" i="55"/>
  <c r="G53" i="53" l="1"/>
  <c r="K71" i="53"/>
  <c r="I71" i="53"/>
  <c r="G71" i="53"/>
  <c r="F71" i="53"/>
  <c r="I53" i="53"/>
  <c r="K53" i="53"/>
  <c r="F19" i="53"/>
  <c r="G19" i="53" s="1"/>
  <c r="F37" i="53"/>
  <c r="I36" i="53"/>
  <c r="F54" i="53"/>
  <c r="K36" i="53"/>
  <c r="G36" i="53"/>
  <c r="B41" i="55"/>
  <c r="Q8" i="59" s="1"/>
  <c r="U8" i="58" s="1"/>
  <c r="B37" i="56"/>
  <c r="AF41" i="55"/>
  <c r="H71" i="59"/>
  <c r="H72" i="59" s="1"/>
  <c r="H73" i="59" s="1"/>
  <c r="H74" i="59" s="1"/>
  <c r="H75" i="59" s="1"/>
  <c r="J43" i="59"/>
  <c r="J36" i="59"/>
  <c r="J45" i="59" s="1"/>
  <c r="I45" i="59"/>
  <c r="I44" i="59" s="1"/>
  <c r="J35" i="59"/>
  <c r="J47" i="59" s="1"/>
  <c r="J46" i="59" s="1"/>
  <c r="J30" i="59"/>
  <c r="I40" i="59"/>
  <c r="I37" i="59"/>
  <c r="I50" i="59" s="1"/>
  <c r="E22" i="55"/>
  <c r="I21" i="55"/>
  <c r="P14" i="55"/>
  <c r="Q14" i="55" s="1"/>
  <c r="D18" i="53"/>
  <c r="C18" i="53"/>
  <c r="D16" i="53"/>
  <c r="D13" i="53"/>
  <c r="C16" i="53"/>
  <c r="C13" i="53"/>
  <c r="I19" i="53" l="1"/>
  <c r="K19" i="53"/>
  <c r="G54" i="53"/>
  <c r="F72" i="53"/>
  <c r="I54" i="53"/>
  <c r="K54" i="53"/>
  <c r="G72" i="53"/>
  <c r="K72" i="53"/>
  <c r="I72" i="53"/>
  <c r="I37" i="53"/>
  <c r="F55" i="53"/>
  <c r="G37" i="53"/>
  <c r="K37" i="53"/>
  <c r="B42" i="55"/>
  <c r="R8" i="59" s="1"/>
  <c r="V8" i="58" s="1"/>
  <c r="L37" i="56"/>
  <c r="AF42" i="55"/>
  <c r="I42" i="59"/>
  <c r="I41" i="59" s="1"/>
  <c r="I39" i="59" s="1"/>
  <c r="I67" i="59" s="1"/>
  <c r="J44" i="59"/>
  <c r="J37" i="59"/>
  <c r="J50" i="59" s="1"/>
  <c r="J40" i="59"/>
  <c r="R14" i="55"/>
  <c r="H22" i="55"/>
  <c r="F22" i="55"/>
  <c r="AK23" i="55"/>
  <c r="S14" i="55"/>
  <c r="G55" i="53" l="1"/>
  <c r="K73" i="53"/>
  <c r="I73" i="53"/>
  <c r="I55" i="53"/>
  <c r="G73" i="53"/>
  <c r="F73" i="53"/>
  <c r="K55" i="53"/>
  <c r="J42" i="59"/>
  <c r="J41" i="59" s="1"/>
  <c r="J39" i="59" s="1"/>
  <c r="J67" i="59" s="1"/>
  <c r="I70" i="59"/>
  <c r="E23" i="55"/>
  <c r="AQ14" i="55"/>
  <c r="V14" i="55"/>
  <c r="AS14" i="55"/>
  <c r="AW14" i="55"/>
  <c r="AV14" i="55"/>
  <c r="AU14" i="55"/>
  <c r="AR14" i="55"/>
  <c r="I22" i="55"/>
  <c r="D21" i="53"/>
  <c r="C21" i="53"/>
  <c r="D10" i="51"/>
  <c r="C10" i="51"/>
  <c r="J70" i="59" l="1"/>
  <c r="I71" i="59"/>
  <c r="I72" i="59" s="1"/>
  <c r="I73" i="59" s="1"/>
  <c r="D11" i="53"/>
  <c r="D29" i="53"/>
  <c r="D47" i="53" s="1"/>
  <c r="D65" i="53" s="1"/>
  <c r="C11" i="53"/>
  <c r="C29" i="53"/>
  <c r="C47" i="53" s="1"/>
  <c r="C65" i="53" s="1"/>
  <c r="AB14" i="55"/>
  <c r="AA14" i="55"/>
  <c r="AT14" i="55" s="1"/>
  <c r="AC14" i="55" s="1"/>
  <c r="AD14" i="55" s="1"/>
  <c r="H23" i="55"/>
  <c r="F23" i="55"/>
  <c r="AK24" i="55"/>
  <c r="AO16" i="55"/>
  <c r="AN15" i="55"/>
  <c r="J71" i="59" l="1"/>
  <c r="J72" i="59" s="1"/>
  <c r="J73" i="59" s="1"/>
  <c r="I74" i="59"/>
  <c r="I75" i="59" s="1"/>
  <c r="E24" i="55"/>
  <c r="O15" i="55"/>
  <c r="I23" i="55"/>
  <c r="J74" i="59" l="1"/>
  <c r="J75" i="59" s="1"/>
  <c r="P15" i="55"/>
  <c r="H24" i="55"/>
  <c r="F24" i="55"/>
  <c r="F21" i="53"/>
  <c r="AK25" i="55"/>
  <c r="I21" i="53" l="1"/>
  <c r="K21" i="53"/>
  <c r="G21" i="53"/>
  <c r="E25" i="55"/>
  <c r="I24" i="55"/>
  <c r="Q15" i="55"/>
  <c r="R15" i="55" s="1"/>
  <c r="S15" i="55"/>
  <c r="V15" i="55" l="1"/>
  <c r="AW15" i="55"/>
  <c r="AV15" i="55"/>
  <c r="AU15" i="55"/>
  <c r="AS15" i="55"/>
  <c r="AR15" i="55"/>
  <c r="AQ15" i="55"/>
  <c r="F25" i="55"/>
  <c r="H25" i="55"/>
  <c r="AK26" i="55"/>
  <c r="AB15" i="55" l="1"/>
  <c r="E26" i="55"/>
  <c r="I25" i="55"/>
  <c r="AA15" i="55"/>
  <c r="AT15" i="55" s="1"/>
  <c r="AC15" i="55" s="1"/>
  <c r="AD15" i="55" s="1"/>
  <c r="AN16" i="55"/>
  <c r="AO20" i="55"/>
  <c r="O16" i="55" l="1"/>
  <c r="H26" i="55"/>
  <c r="F26" i="55"/>
  <c r="AK27" i="55"/>
  <c r="E27" i="55" l="1"/>
  <c r="I26" i="55"/>
  <c r="P16" i="55"/>
  <c r="Q16" i="55" s="1"/>
  <c r="P8" i="56"/>
  <c r="P7" i="56"/>
  <c r="R16" i="55" l="1"/>
  <c r="S16" i="55" s="1"/>
  <c r="H27" i="55"/>
  <c r="F27" i="55"/>
  <c r="P6" i="56"/>
  <c r="P10" i="56"/>
  <c r="AK28" i="55"/>
  <c r="E28" i="55" l="1"/>
  <c r="AS16" i="55"/>
  <c r="AR16" i="55"/>
  <c r="AQ16" i="55"/>
  <c r="V16" i="55"/>
  <c r="AW16" i="55"/>
  <c r="AU16" i="55"/>
  <c r="AV16" i="55"/>
  <c r="I27" i="55"/>
  <c r="AB16" i="55" l="1"/>
  <c r="AA16" i="55"/>
  <c r="AT16" i="55" s="1"/>
  <c r="AC16" i="55" s="1"/>
  <c r="AD16" i="55" s="1"/>
  <c r="H28" i="55"/>
  <c r="F28" i="55"/>
  <c r="AK29" i="55"/>
  <c r="AN17" i="55"/>
  <c r="E29" i="55" l="1"/>
  <c r="O17" i="55"/>
  <c r="I28" i="55"/>
  <c r="P17" i="55" l="1"/>
  <c r="Q17" i="55" s="1"/>
  <c r="H29" i="55"/>
  <c r="F29" i="55"/>
  <c r="AK30" i="55"/>
  <c r="E30" i="55" l="1"/>
  <c r="I29" i="55"/>
  <c r="R17" i="55"/>
  <c r="S17" i="55"/>
  <c r="V17" i="55" l="1"/>
  <c r="AW17" i="55"/>
  <c r="AV17" i="55"/>
  <c r="AS17" i="55"/>
  <c r="AR17" i="55"/>
  <c r="AQ17" i="55"/>
  <c r="AU17" i="55"/>
  <c r="F30" i="55"/>
  <c r="K15" i="59" s="1"/>
  <c r="H30" i="55"/>
  <c r="AK31" i="55"/>
  <c r="AB17" i="55" l="1"/>
  <c r="E31" i="55"/>
  <c r="I30" i="55"/>
  <c r="K16" i="59" s="1"/>
  <c r="K23" i="59" s="1"/>
  <c r="AA17" i="55"/>
  <c r="AT17" i="55" s="1"/>
  <c r="AC17" i="55" s="1"/>
  <c r="AD17" i="55" s="1"/>
  <c r="O15" i="58"/>
  <c r="AO21" i="55"/>
  <c r="AO33" i="55"/>
  <c r="AN18" i="55"/>
  <c r="K55" i="59" l="1"/>
  <c r="K53" i="59"/>
  <c r="K24" i="59"/>
  <c r="K60" i="59" s="1"/>
  <c r="O18" i="55"/>
  <c r="H31" i="55"/>
  <c r="F31" i="55"/>
  <c r="L15" i="59" s="1"/>
  <c r="O16" i="58"/>
  <c r="K17" i="59"/>
  <c r="K20" i="59" s="1"/>
  <c r="AK32" i="55"/>
  <c r="K65" i="59" l="1"/>
  <c r="K33" i="59"/>
  <c r="K29" i="59"/>
  <c r="K25" i="59" s="1"/>
  <c r="K26" i="59"/>
  <c r="K64" i="59" s="1"/>
  <c r="K61" i="59"/>
  <c r="K56" i="59"/>
  <c r="K58" i="59"/>
  <c r="K57" i="59"/>
  <c r="K77" i="59"/>
  <c r="E32" i="55"/>
  <c r="I31" i="55"/>
  <c r="L16" i="59" s="1"/>
  <c r="L23" i="59" s="1"/>
  <c r="P18" i="55"/>
  <c r="Q18" i="55" s="1"/>
  <c r="O17" i="58"/>
  <c r="O20" i="58"/>
  <c r="P15" i="58"/>
  <c r="K69" i="59" l="1"/>
  <c r="K68" i="59"/>
  <c r="K63" i="59"/>
  <c r="L55" i="59"/>
  <c r="L53" i="59"/>
  <c r="L24" i="59"/>
  <c r="L61" i="59" s="1"/>
  <c r="K79" i="59"/>
  <c r="K34" i="59"/>
  <c r="K49" i="59" s="1"/>
  <c r="K48" i="59" s="1"/>
  <c r="K32" i="59"/>
  <c r="K31" i="59" s="1"/>
  <c r="R18" i="55"/>
  <c r="H32" i="55"/>
  <c r="F32" i="55"/>
  <c r="M15" i="59" s="1"/>
  <c r="L17" i="59"/>
  <c r="L20" i="59" s="1"/>
  <c r="AK33" i="55"/>
  <c r="S18" i="55"/>
  <c r="E33" i="55" l="1"/>
  <c r="L60" i="59"/>
  <c r="K30" i="59"/>
  <c r="K40" i="59" s="1"/>
  <c r="K43" i="59"/>
  <c r="K36" i="59"/>
  <c r="L65" i="59"/>
  <c r="L33" i="59"/>
  <c r="L29" i="59"/>
  <c r="L25" i="59" s="1"/>
  <c r="L26" i="59"/>
  <c r="L63" i="59" s="1"/>
  <c r="L58" i="59"/>
  <c r="L56" i="59"/>
  <c r="L57" i="59"/>
  <c r="L77" i="59"/>
  <c r="K35" i="59"/>
  <c r="K47" i="59" s="1"/>
  <c r="K46" i="59" s="1"/>
  <c r="AV18" i="55"/>
  <c r="AU18" i="55"/>
  <c r="AS18" i="55"/>
  <c r="AR18" i="55"/>
  <c r="AQ18" i="55"/>
  <c r="V18" i="55"/>
  <c r="AW18" i="55"/>
  <c r="I32" i="55"/>
  <c r="M16" i="59" s="1"/>
  <c r="M23" i="59" s="1"/>
  <c r="P16" i="58"/>
  <c r="P17" i="58"/>
  <c r="Q15" i="58"/>
  <c r="H33" i="55" l="1"/>
  <c r="F33" i="55"/>
  <c r="N15" i="59" s="1"/>
  <c r="R15" i="58" s="1"/>
  <c r="L68" i="59"/>
  <c r="L69" i="59"/>
  <c r="L64" i="59"/>
  <c r="K37" i="59"/>
  <c r="K50" i="59" s="1"/>
  <c r="K45" i="59"/>
  <c r="K44" i="59" s="1"/>
  <c r="M55" i="59"/>
  <c r="M53" i="59"/>
  <c r="M24" i="59"/>
  <c r="M60" i="59" s="1"/>
  <c r="L34" i="59"/>
  <c r="L49" i="59" s="1"/>
  <c r="L48" i="59" s="1"/>
  <c r="L32" i="59"/>
  <c r="L31" i="59" s="1"/>
  <c r="L79" i="59"/>
  <c r="AB18" i="55"/>
  <c r="AA18" i="55"/>
  <c r="AT18" i="55" s="1"/>
  <c r="AC18" i="55" s="1"/>
  <c r="AD18" i="55" s="1"/>
  <c r="P20" i="58"/>
  <c r="M17" i="59"/>
  <c r="M20" i="59" s="1"/>
  <c r="AN19" i="55"/>
  <c r="AK34" i="55"/>
  <c r="E34" i="55" l="1"/>
  <c r="I33" i="55"/>
  <c r="N16" i="59" s="1"/>
  <c r="R16" i="58" s="1"/>
  <c r="K42" i="59"/>
  <c r="K41" i="59" s="1"/>
  <c r="K39" i="59" s="1"/>
  <c r="K67" i="59" s="1"/>
  <c r="M65" i="59"/>
  <c r="M33" i="59"/>
  <c r="M29" i="59"/>
  <c r="M25" i="59" s="1"/>
  <c r="M26" i="59"/>
  <c r="M63" i="59" s="1"/>
  <c r="M61" i="59"/>
  <c r="M58" i="59"/>
  <c r="M57" i="59"/>
  <c r="M56" i="59"/>
  <c r="M77" i="59"/>
  <c r="L35" i="59"/>
  <c r="L47" i="59" s="1"/>
  <c r="L46" i="59" s="1"/>
  <c r="L43" i="59"/>
  <c r="L36" i="59"/>
  <c r="L45" i="59" s="1"/>
  <c r="L30" i="59"/>
  <c r="O19" i="55"/>
  <c r="P19" i="55" s="1"/>
  <c r="Q19" i="55" s="1"/>
  <c r="Q17" i="58"/>
  <c r="Q16" i="58"/>
  <c r="N17" i="59" l="1"/>
  <c r="R17" i="58" s="1"/>
  <c r="H34" i="55"/>
  <c r="F34" i="55"/>
  <c r="O15" i="59" s="1"/>
  <c r="S15" i="58" s="1"/>
  <c r="M68" i="59"/>
  <c r="M69" i="59"/>
  <c r="K70" i="59"/>
  <c r="M64" i="59"/>
  <c r="L44" i="59"/>
  <c r="M79" i="59"/>
  <c r="L37" i="59"/>
  <c r="L50" i="59" s="1"/>
  <c r="L40" i="59"/>
  <c r="M34" i="59"/>
  <c r="M49" i="59" s="1"/>
  <c r="M48" i="59" s="1"/>
  <c r="M32" i="59"/>
  <c r="R19" i="55"/>
  <c r="Q20" i="58"/>
  <c r="S19" i="55"/>
  <c r="I34" i="55" l="1"/>
  <c r="Q17" i="59"/>
  <c r="L42" i="59"/>
  <c r="L41" i="59" s="1"/>
  <c r="L39" i="59" s="1"/>
  <c r="L67" i="59" s="1"/>
  <c r="K71" i="59"/>
  <c r="K72" i="59" s="1"/>
  <c r="K73" i="59" s="1"/>
  <c r="K74" i="59" s="1"/>
  <c r="K75" i="59" s="1"/>
  <c r="M31" i="59"/>
  <c r="M30" i="59" s="1"/>
  <c r="M35" i="59"/>
  <c r="M47" i="59" s="1"/>
  <c r="M46" i="59" s="1"/>
  <c r="AQ19" i="55"/>
  <c r="V19" i="55"/>
  <c r="AW19" i="55"/>
  <c r="AV19" i="55"/>
  <c r="AU19" i="55"/>
  <c r="AS19" i="55"/>
  <c r="AR19" i="55"/>
  <c r="U17" i="58" l="1"/>
  <c r="O16" i="59"/>
  <c r="R17" i="59"/>
  <c r="V17" i="58" s="1"/>
  <c r="L70" i="59"/>
  <c r="L71" i="59" s="1"/>
  <c r="L72" i="59" s="1"/>
  <c r="M36" i="59"/>
  <c r="M45" i="59" s="1"/>
  <c r="M43" i="59"/>
  <c r="M37" i="59"/>
  <c r="M42" i="59" s="1"/>
  <c r="M40" i="59"/>
  <c r="AB19" i="55"/>
  <c r="AA19" i="55"/>
  <c r="AT19" i="55" s="1"/>
  <c r="AC19" i="55" s="1"/>
  <c r="AD19" i="55" s="1"/>
  <c r="AN20" i="55"/>
  <c r="O17" i="59" l="1"/>
  <c r="S17" i="58" s="1"/>
  <c r="S16" i="58"/>
  <c r="M41" i="59"/>
  <c r="L73" i="59"/>
  <c r="L74" i="59" s="1"/>
  <c r="L75" i="59" s="1"/>
  <c r="M50" i="59"/>
  <c r="M44" i="59"/>
  <c r="O20" i="55"/>
  <c r="P20" i="55" s="1"/>
  <c r="Q20" i="55" s="1"/>
  <c r="M39" i="59" l="1"/>
  <c r="M67" i="59" s="1"/>
  <c r="R20" i="55"/>
  <c r="S20" i="55"/>
  <c r="M70" i="59" l="1"/>
  <c r="M71" i="59" s="1"/>
  <c r="M72" i="59" s="1"/>
  <c r="AW20" i="55"/>
  <c r="AV20" i="55"/>
  <c r="AU20" i="55"/>
  <c r="AS20" i="55"/>
  <c r="AR20" i="55"/>
  <c r="AQ20" i="55"/>
  <c r="V20" i="55"/>
  <c r="M73" i="59" l="1"/>
  <c r="M74" i="59" s="1"/>
  <c r="M75" i="59" s="1"/>
  <c r="AB20" i="55"/>
  <c r="AA20" i="55"/>
  <c r="AT20" i="55" s="1"/>
  <c r="AC20" i="55" s="1"/>
  <c r="AD20" i="55" s="1"/>
  <c r="AN21" i="55"/>
  <c r="O21" i="55" l="1"/>
  <c r="P21" i="55" l="1"/>
  <c r="Q21" i="55" l="1"/>
  <c r="R21" i="55" s="1"/>
  <c r="S21" i="55"/>
  <c r="AS21" i="55" l="1"/>
  <c r="AR21" i="55"/>
  <c r="AQ21" i="55"/>
  <c r="V21" i="55"/>
  <c r="AW21" i="55"/>
  <c r="AV21" i="55"/>
  <c r="AU21" i="55"/>
  <c r="AB21" i="55" l="1"/>
  <c r="AA21" i="55"/>
  <c r="AT21" i="55" s="1"/>
  <c r="AC21" i="55" s="1"/>
  <c r="AD21" i="55" s="1"/>
  <c r="AN22" i="55"/>
  <c r="O22" i="55" l="1"/>
  <c r="P22" i="55" s="1"/>
  <c r="Q22" i="55" s="1"/>
  <c r="R22" i="55" l="1"/>
  <c r="S22" i="55" s="1"/>
  <c r="V22" i="55" l="1"/>
  <c r="AW22" i="55"/>
  <c r="AV22" i="55"/>
  <c r="AU22" i="55"/>
  <c r="AS22" i="55"/>
  <c r="AR22" i="55"/>
  <c r="AQ22" i="55"/>
  <c r="AB22" i="55" l="1"/>
  <c r="AA22" i="55"/>
  <c r="AT22" i="55" s="1"/>
  <c r="AC22" i="55" s="1"/>
  <c r="AD22" i="55" s="1"/>
  <c r="AN23" i="55"/>
  <c r="O23" i="55" l="1"/>
  <c r="P23" i="55" l="1"/>
  <c r="Q23" i="55" s="1"/>
  <c r="R23" i="55" l="1"/>
  <c r="S23" i="55" s="1"/>
  <c r="AU23" i="55" l="1"/>
  <c r="AS23" i="55"/>
  <c r="AR23" i="55"/>
  <c r="AQ23" i="55"/>
  <c r="V23" i="55"/>
  <c r="AW23" i="55"/>
  <c r="AV23" i="55"/>
  <c r="AA23" i="55" l="1"/>
  <c r="AT23" i="55" s="1"/>
  <c r="AC23" i="55" s="1"/>
  <c r="AD23" i="55" s="1"/>
  <c r="AB23" i="55"/>
  <c r="AN24" i="55"/>
  <c r="O24" i="55" l="1"/>
  <c r="P24" i="55" l="1"/>
  <c r="Q24" i="55" s="1"/>
  <c r="R24" i="55" l="1"/>
  <c r="S24" i="55" s="1"/>
  <c r="V24" i="55" l="1"/>
  <c r="AW24" i="55"/>
  <c r="AV24" i="55"/>
  <c r="AU24" i="55"/>
  <c r="AS24" i="55"/>
  <c r="AR24" i="55"/>
  <c r="AQ24" i="55"/>
  <c r="AB24" i="55" l="1"/>
  <c r="AA24" i="55"/>
  <c r="AT24" i="55" s="1"/>
  <c r="AC24" i="55" s="1"/>
  <c r="AD24" i="55" s="1"/>
  <c r="AN25" i="55"/>
  <c r="O25" i="55" l="1"/>
  <c r="P25" i="55" l="1"/>
  <c r="Q25" i="55" s="1"/>
  <c r="R25" i="55" l="1"/>
  <c r="S25" i="55" s="1"/>
  <c r="AW25" i="55" l="1"/>
  <c r="AV25" i="55"/>
  <c r="AU25" i="55"/>
  <c r="AS25" i="55"/>
  <c r="AR25" i="55"/>
  <c r="AQ25" i="55"/>
  <c r="V25" i="55"/>
  <c r="AB25" i="55" l="1"/>
  <c r="AA25" i="55"/>
  <c r="AT25" i="55" s="1"/>
  <c r="AC25" i="55" s="1"/>
  <c r="AD25" i="55" s="1"/>
  <c r="AN26" i="55"/>
  <c r="O26" i="55" l="1"/>
  <c r="P26" i="55" l="1"/>
  <c r="Q26" i="55" l="1"/>
  <c r="R26" i="55" s="1"/>
  <c r="S26" i="55" s="1"/>
  <c r="AR26" i="55" l="1"/>
  <c r="AQ26" i="55"/>
  <c r="V26" i="55"/>
  <c r="AW26" i="55"/>
  <c r="AV26" i="55"/>
  <c r="AU26" i="55"/>
  <c r="AS26" i="55"/>
  <c r="AA26" i="55" l="1"/>
  <c r="AT26" i="55" s="1"/>
  <c r="AC26" i="55" s="1"/>
  <c r="AD26" i="55" s="1"/>
  <c r="AB26" i="55"/>
  <c r="AN27" i="55"/>
  <c r="O27" i="55" l="1"/>
  <c r="P27" i="55" s="1"/>
  <c r="Q27" i="55" s="1"/>
  <c r="R27" i="55" l="1"/>
  <c r="S27" i="55" s="1"/>
  <c r="V27" i="55" l="1"/>
  <c r="AW27" i="55"/>
  <c r="AV27" i="55"/>
  <c r="AU27" i="55"/>
  <c r="AS27" i="55"/>
  <c r="AR27" i="55"/>
  <c r="AQ27" i="55"/>
  <c r="AB27" i="55" l="1"/>
  <c r="AA27" i="55"/>
  <c r="AT27" i="55" s="1"/>
  <c r="AC27" i="55" s="1"/>
  <c r="AD27" i="55" s="1"/>
  <c r="AN28" i="55"/>
  <c r="O28" i="55" l="1"/>
  <c r="P28" i="55" l="1"/>
  <c r="Q28" i="55" s="1"/>
  <c r="R28" i="55" l="1"/>
  <c r="S28" i="55" s="1"/>
  <c r="AS28" i="55" l="1"/>
  <c r="AR28" i="55"/>
  <c r="AQ28" i="55"/>
  <c r="V28" i="55"/>
  <c r="AW28" i="55"/>
  <c r="AV28" i="55"/>
  <c r="AU28" i="55"/>
  <c r="AB28" i="55" l="1"/>
  <c r="AA28" i="55"/>
  <c r="AT28" i="55" s="1"/>
  <c r="AC28" i="55" s="1"/>
  <c r="AD28" i="55" s="1"/>
  <c r="AN29" i="55"/>
  <c r="O29" i="55" l="1"/>
  <c r="P29" i="55" l="1"/>
  <c r="Q29" i="55" s="1"/>
  <c r="R29" i="55" l="1"/>
  <c r="S29" i="55" s="1"/>
  <c r="V29" i="55" l="1"/>
  <c r="AW29" i="55"/>
  <c r="AV29" i="55"/>
  <c r="AU29" i="55"/>
  <c r="AS29" i="55"/>
  <c r="AR29" i="55"/>
  <c r="AQ29" i="55"/>
  <c r="AB29" i="55" l="1"/>
  <c r="AA29" i="55"/>
  <c r="AT29" i="55" s="1"/>
  <c r="AC29" i="55" s="1"/>
  <c r="AD29" i="55" s="1"/>
  <c r="AN30" i="55"/>
  <c r="O30" i="55" l="1"/>
  <c r="P30" i="55" s="1"/>
  <c r="Q30" i="55" l="1"/>
  <c r="R30" i="55" s="1"/>
  <c r="S30" i="55" s="1"/>
  <c r="AV30" i="55" l="1"/>
  <c r="AU30" i="55"/>
  <c r="AS30" i="55"/>
  <c r="AR30" i="55"/>
  <c r="AQ30" i="55"/>
  <c r="V30" i="55"/>
  <c r="AW30" i="55"/>
  <c r="AA30" i="55" l="1"/>
  <c r="AT30" i="55" s="1"/>
  <c r="AC30" i="55" s="1"/>
  <c r="AD30" i="55" s="1"/>
  <c r="AB30" i="55"/>
  <c r="AN31" i="55"/>
  <c r="O31" i="55" l="1"/>
  <c r="P31" i="55" s="1"/>
  <c r="Q31" i="55" s="1"/>
  <c r="R31" i="55" l="1"/>
  <c r="S31" i="55"/>
  <c r="AQ31" i="55" l="1"/>
  <c r="V31" i="55"/>
  <c r="AW31" i="55"/>
  <c r="AV31" i="55"/>
  <c r="AU31" i="55"/>
  <c r="AS31" i="55"/>
  <c r="AR31" i="55"/>
  <c r="J16" i="1"/>
  <c r="K16" i="1" s="1"/>
  <c r="J20" i="1"/>
  <c r="K20" i="1" s="1"/>
  <c r="J19" i="1"/>
  <c r="K19" i="1" s="1"/>
  <c r="J21" i="1"/>
  <c r="K21" i="1" s="1"/>
  <c r="J18" i="1"/>
  <c r="K18" i="1" s="1"/>
  <c r="J17" i="1"/>
  <c r="K17" i="1" s="1"/>
  <c r="AA31" i="55" l="1"/>
  <c r="AT31" i="55" s="1"/>
  <c r="AC31" i="55" s="1"/>
  <c r="AD31" i="55" s="1"/>
  <c r="AB31" i="55"/>
  <c r="J78" i="1"/>
  <c r="K78" i="1" s="1"/>
  <c r="J95" i="1"/>
  <c r="K95" i="1" s="1"/>
  <c r="K111" i="1" s="1"/>
  <c r="K230" i="1" s="1"/>
  <c r="E14" i="51" s="1"/>
  <c r="AN32" i="55"/>
  <c r="F15" i="53" l="1"/>
  <c r="G15" i="53" s="1"/>
  <c r="F33" i="53"/>
  <c r="K83" i="1"/>
  <c r="K229" i="1" s="1"/>
  <c r="E13" i="51" s="1"/>
  <c r="O32" i="55"/>
  <c r="P32" i="55" s="1"/>
  <c r="Q32" i="55" s="1"/>
  <c r="K15" i="53" l="1"/>
  <c r="I15" i="53"/>
  <c r="F14" i="53"/>
  <c r="F32" i="53"/>
  <c r="I33" i="53"/>
  <c r="F51" i="53"/>
  <c r="K33" i="53"/>
  <c r="G33" i="53"/>
  <c r="K14" i="53"/>
  <c r="G14" i="53"/>
  <c r="I14" i="53"/>
  <c r="R32" i="55"/>
  <c r="S32" i="55"/>
  <c r="G51" i="53" l="1"/>
  <c r="K69" i="53"/>
  <c r="K51" i="53"/>
  <c r="I69" i="53"/>
  <c r="G69" i="53"/>
  <c r="F69" i="53"/>
  <c r="I51" i="53"/>
  <c r="I32" i="53"/>
  <c r="F50" i="53"/>
  <c r="K32" i="53"/>
  <c r="AW32" i="55"/>
  <c r="AV32" i="55"/>
  <c r="AU32" i="55"/>
  <c r="AS32" i="55"/>
  <c r="AR32" i="55"/>
  <c r="AQ32" i="55"/>
  <c r="V32" i="55"/>
  <c r="G50" i="53" l="1"/>
  <c r="F68" i="53"/>
  <c r="K50" i="53"/>
  <c r="K68" i="53"/>
  <c r="I50" i="53"/>
  <c r="G68" i="53"/>
  <c r="I68" i="53"/>
  <c r="AA32" i="55"/>
  <c r="AB32" i="55"/>
  <c r="O14" i="59" l="1"/>
  <c r="O27" i="59"/>
  <c r="AT32" i="55"/>
  <c r="AC32" i="55" s="1"/>
  <c r="AD32" i="55" s="1"/>
  <c r="AN33" i="55"/>
  <c r="O23" i="59" l="1"/>
  <c r="O24" i="59" s="1"/>
  <c r="S14" i="58"/>
  <c r="O18" i="59"/>
  <c r="O33" i="55"/>
  <c r="P33" i="55" s="1"/>
  <c r="Q33" i="55" s="1"/>
  <c r="N14" i="59"/>
  <c r="R14" i="58" s="1"/>
  <c r="N27" i="59"/>
  <c r="O53" i="59" l="1"/>
  <c r="O55" i="59"/>
  <c r="O20" i="59"/>
  <c r="S20" i="58" s="1"/>
  <c r="S18" i="58"/>
  <c r="N23" i="59"/>
  <c r="O61" i="59"/>
  <c r="O60" i="59"/>
  <c r="N18" i="59"/>
  <c r="R33" i="55"/>
  <c r="J204" i="1"/>
  <c r="K204" i="1" s="1"/>
  <c r="K208" i="1" s="1"/>
  <c r="S33" i="55"/>
  <c r="O57" i="59" l="1"/>
  <c r="O56" i="59"/>
  <c r="O26" i="59"/>
  <c r="O63" i="59" s="1"/>
  <c r="O77" i="59"/>
  <c r="O79" i="59" s="1"/>
  <c r="O29" i="59"/>
  <c r="O25" i="59" s="1"/>
  <c r="O33" i="59"/>
  <c r="O32" i="59" s="1"/>
  <c r="O31" i="59" s="1"/>
  <c r="O30" i="59" s="1"/>
  <c r="O65" i="59"/>
  <c r="N20" i="59"/>
  <c r="R20" i="58" s="1"/>
  <c r="R18" i="58"/>
  <c r="K235" i="1"/>
  <c r="N55" i="59"/>
  <c r="N53" i="59"/>
  <c r="N24" i="59"/>
  <c r="O68" i="59"/>
  <c r="O69" i="59"/>
  <c r="AR33" i="55"/>
  <c r="V33" i="55"/>
  <c r="AQ33" i="55"/>
  <c r="AS33" i="55"/>
  <c r="AA33" i="55" s="1"/>
  <c r="AT33" i="55" s="1"/>
  <c r="AC33" i="55" s="1"/>
  <c r="AD33" i="55" s="1"/>
  <c r="AW33" i="55"/>
  <c r="AU33" i="55"/>
  <c r="AV33" i="55"/>
  <c r="AN34" i="55"/>
  <c r="O64" i="59" l="1"/>
  <c r="N26" i="59"/>
  <c r="N64" i="59" s="1"/>
  <c r="O34" i="59"/>
  <c r="O49" i="59" s="1"/>
  <c r="O48" i="59" s="1"/>
  <c r="N68" i="59"/>
  <c r="N70" i="59"/>
  <c r="N29" i="59"/>
  <c r="N69" i="59"/>
  <c r="N33" i="59"/>
  <c r="N34" i="59" s="1"/>
  <c r="N65" i="59"/>
  <c r="E19" i="51"/>
  <c r="N25" i="59"/>
  <c r="N61" i="59"/>
  <c r="N60" i="59"/>
  <c r="N58" i="59"/>
  <c r="N57" i="59"/>
  <c r="N56" i="59"/>
  <c r="N77" i="59"/>
  <c r="O40" i="59"/>
  <c r="O37" i="59"/>
  <c r="O42" i="59" s="1"/>
  <c r="O41" i="59" s="1"/>
  <c r="O35" i="59"/>
  <c r="O47" i="59"/>
  <c r="O46" i="59"/>
  <c r="O43" i="59"/>
  <c r="O36" i="59"/>
  <c r="O45" i="59" s="1"/>
  <c r="AB33" i="55"/>
  <c r="O34" i="55"/>
  <c r="P34" i="55" s="1"/>
  <c r="E78" i="59"/>
  <c r="O78" i="59" s="1"/>
  <c r="E26" i="67"/>
  <c r="F20" i="53" l="1"/>
  <c r="F38" i="53"/>
  <c r="N63" i="59"/>
  <c r="N71" i="59"/>
  <c r="N72" i="59" s="1"/>
  <c r="N32" i="59"/>
  <c r="N46" i="59" s="1"/>
  <c r="G20" i="53"/>
  <c r="K20" i="53"/>
  <c r="I20" i="53"/>
  <c r="O44" i="59"/>
  <c r="N79" i="59"/>
  <c r="N78" i="59"/>
  <c r="O50" i="59"/>
  <c r="N49" i="59"/>
  <c r="Q34" i="55"/>
  <c r="R34" i="55" s="1"/>
  <c r="J26" i="67"/>
  <c r="H26" i="67"/>
  <c r="O26" i="67"/>
  <c r="I26" i="67"/>
  <c r="K26" i="67"/>
  <c r="N26" i="67"/>
  <c r="P26" i="67"/>
  <c r="L26" i="67"/>
  <c r="M26" i="67"/>
  <c r="G26" i="67"/>
  <c r="G78" i="59"/>
  <c r="T78" i="59"/>
  <c r="H78" i="59"/>
  <c r="I78" i="59"/>
  <c r="J78" i="59"/>
  <c r="K78" i="59"/>
  <c r="L78" i="59"/>
  <c r="M78" i="59"/>
  <c r="E65" i="1"/>
  <c r="E118" i="1"/>
  <c r="S34" i="55"/>
  <c r="K38" i="53" l="1"/>
  <c r="F56" i="53"/>
  <c r="G38" i="53"/>
  <c r="I38" i="53"/>
  <c r="N35" i="59"/>
  <c r="N47" i="59"/>
  <c r="N31" i="59"/>
  <c r="N30" i="59" s="1"/>
  <c r="N41" i="59" s="1"/>
  <c r="G35" i="53"/>
  <c r="O39" i="59"/>
  <c r="O67" i="59" s="1"/>
  <c r="O58" i="59" s="1"/>
  <c r="O70" i="59"/>
  <c r="N48" i="59"/>
  <c r="V34" i="55"/>
  <c r="AW34" i="55"/>
  <c r="AQ34" i="55"/>
  <c r="AR34" i="55"/>
  <c r="AU34" i="55"/>
  <c r="AV34" i="55"/>
  <c r="AS34" i="55"/>
  <c r="R26" i="67"/>
  <c r="G56" i="53" l="1"/>
  <c r="F74" i="53"/>
  <c r="G74" i="53"/>
  <c r="I56" i="53"/>
  <c r="K56" i="53"/>
  <c r="K74" i="53"/>
  <c r="I74" i="53"/>
  <c r="N43" i="59"/>
  <c r="N36" i="59"/>
  <c r="N45" i="59" s="1"/>
  <c r="N37" i="59"/>
  <c r="N40" i="59"/>
  <c r="N42" i="59"/>
  <c r="O71" i="59"/>
  <c r="O72" i="59" s="1"/>
  <c r="O73" i="59" s="1"/>
  <c r="O74" i="59" s="1"/>
  <c r="O75" i="59" s="1"/>
  <c r="AA34" i="55"/>
  <c r="AB34" i="55"/>
  <c r="G118" i="1"/>
  <c r="K118" i="1" s="1"/>
  <c r="K24" i="1"/>
  <c r="K226" i="1" s="1"/>
  <c r="E11" i="51"/>
  <c r="F30" i="53" s="1"/>
  <c r="K30" i="53" l="1"/>
  <c r="F48" i="53"/>
  <c r="I30" i="53"/>
  <c r="N44" i="59"/>
  <c r="N50" i="59"/>
  <c r="Q27" i="59"/>
  <c r="Q14" i="59"/>
  <c r="AT34" i="55"/>
  <c r="AC34" i="55" s="1"/>
  <c r="K128" i="1"/>
  <c r="F12" i="53"/>
  <c r="G48" i="53" l="1"/>
  <c r="K48" i="53"/>
  <c r="I48" i="53"/>
  <c r="K66" i="53"/>
  <c r="I66" i="53"/>
  <c r="G66" i="53"/>
  <c r="F66" i="53"/>
  <c r="N39" i="59"/>
  <c r="N67" i="59" s="1"/>
  <c r="G12" i="53"/>
  <c r="K12" i="53"/>
  <c r="I12" i="53"/>
  <c r="Q23" i="59"/>
  <c r="Q24" i="59" s="1"/>
  <c r="Q61" i="59" s="1"/>
  <c r="U14" i="58"/>
  <c r="K231" i="1"/>
  <c r="E15" i="51" s="1"/>
  <c r="AD34" i="55"/>
  <c r="Q18" i="59"/>
  <c r="P14" i="59"/>
  <c r="P27" i="59"/>
  <c r="G30" i="53"/>
  <c r="E10" i="51"/>
  <c r="F29" i="53" s="1"/>
  <c r="F16" i="53" l="1"/>
  <c r="F34" i="53"/>
  <c r="F47" i="53"/>
  <c r="K29" i="53"/>
  <c r="I29" i="53"/>
  <c r="Q53" i="59"/>
  <c r="Q55" i="59"/>
  <c r="T14" i="58"/>
  <c r="P23" i="59"/>
  <c r="Q20" i="59"/>
  <c r="Q65" i="59" s="1"/>
  <c r="U18" i="58"/>
  <c r="G16" i="53"/>
  <c r="I16" i="53"/>
  <c r="K16" i="53"/>
  <c r="G32" i="53"/>
  <c r="Q60" i="59"/>
  <c r="R14" i="59"/>
  <c r="R27" i="59"/>
  <c r="P18" i="59"/>
  <c r="N73" i="59"/>
  <c r="G29" i="53"/>
  <c r="F11" i="53"/>
  <c r="G47" i="53" l="1"/>
  <c r="I65" i="53"/>
  <c r="G65" i="53"/>
  <c r="K65" i="53"/>
  <c r="F65" i="53"/>
  <c r="K47" i="53"/>
  <c r="I47" i="53"/>
  <c r="I34" i="53"/>
  <c r="F52" i="53"/>
  <c r="K34" i="53"/>
  <c r="G34" i="53"/>
  <c r="Q58" i="59"/>
  <c r="Q57" i="59"/>
  <c r="Q56" i="59"/>
  <c r="Q77" i="59"/>
  <c r="Q79" i="59" s="1"/>
  <c r="Q33" i="59"/>
  <c r="Q34" i="59" s="1"/>
  <c r="Q49" i="59" s="1"/>
  <c r="Q48" i="59" s="1"/>
  <c r="U20" i="58"/>
  <c r="R23" i="59"/>
  <c r="R24" i="59" s="1"/>
  <c r="R61" i="59" s="1"/>
  <c r="V14" i="58"/>
  <c r="P55" i="59"/>
  <c r="P53" i="59"/>
  <c r="P20" i="59"/>
  <c r="T20" i="58" s="1"/>
  <c r="T18" i="58"/>
  <c r="Q26" i="59"/>
  <c r="Q64" i="59" s="1"/>
  <c r="Q29" i="59"/>
  <c r="Q25" i="59" s="1"/>
  <c r="I11" i="53"/>
  <c r="K11" i="53"/>
  <c r="P24" i="59"/>
  <c r="Q68" i="59"/>
  <c r="Q69" i="59"/>
  <c r="R18" i="59"/>
  <c r="N74" i="59"/>
  <c r="N75" i="59" s="1"/>
  <c r="G11" i="53"/>
  <c r="G52" i="53" l="1"/>
  <c r="F70" i="53"/>
  <c r="G70" i="53"/>
  <c r="I52" i="53"/>
  <c r="K70" i="53"/>
  <c r="I70" i="53"/>
  <c r="K52" i="53"/>
  <c r="Q78" i="59"/>
  <c r="R53" i="59"/>
  <c r="V53" i="59" s="1"/>
  <c r="G49" i="1" s="1"/>
  <c r="K49" i="1" s="1"/>
  <c r="Q32" i="59"/>
  <c r="Q31" i="59" s="1"/>
  <c r="Q30" i="59" s="1"/>
  <c r="Q40" i="59" s="1"/>
  <c r="R55" i="59"/>
  <c r="V55" i="59" s="1"/>
  <c r="G50" i="1" s="1"/>
  <c r="K50" i="1" s="1"/>
  <c r="P69" i="59"/>
  <c r="P70" i="59"/>
  <c r="P26" i="59"/>
  <c r="P63" i="59" s="1"/>
  <c r="R20" i="59"/>
  <c r="V20" i="58" s="1"/>
  <c r="V18" i="58"/>
  <c r="P29" i="59"/>
  <c r="P25" i="59" s="1"/>
  <c r="P33" i="59"/>
  <c r="P34" i="59" s="1"/>
  <c r="P49" i="59" s="1"/>
  <c r="P68" i="59"/>
  <c r="P58" i="59"/>
  <c r="P57" i="59"/>
  <c r="P56" i="59"/>
  <c r="P77" i="59"/>
  <c r="P60" i="59"/>
  <c r="P61" i="59"/>
  <c r="V61" i="59" s="1"/>
  <c r="G57" i="1" s="1"/>
  <c r="K57" i="1" s="1"/>
  <c r="P65" i="59"/>
  <c r="Q63" i="59"/>
  <c r="R60" i="59"/>
  <c r="R33" i="59" l="1"/>
  <c r="P71" i="59"/>
  <c r="R77" i="59"/>
  <c r="R79" i="59" s="1"/>
  <c r="R65" i="59"/>
  <c r="V65" i="59" s="1"/>
  <c r="Q46" i="59"/>
  <c r="Q47" i="59"/>
  <c r="Q35" i="59"/>
  <c r="Q43" i="59"/>
  <c r="Q36" i="59"/>
  <c r="Q45" i="59" s="1"/>
  <c r="Q42" i="59"/>
  <c r="Q41" i="59" s="1"/>
  <c r="Q37" i="59"/>
  <c r="R29" i="59"/>
  <c r="R25" i="59" s="1"/>
  <c r="P32" i="59"/>
  <c r="P31" i="59" s="1"/>
  <c r="P43" i="59" s="1"/>
  <c r="R26" i="59"/>
  <c r="R64" i="59" s="1"/>
  <c r="R56" i="59"/>
  <c r="V56" i="59" s="1"/>
  <c r="G51" i="1" s="1"/>
  <c r="K51" i="1" s="1"/>
  <c r="P64" i="59"/>
  <c r="R57" i="59"/>
  <c r="V57" i="59" s="1"/>
  <c r="G52" i="1" s="1"/>
  <c r="K52" i="1" s="1"/>
  <c r="P79" i="59"/>
  <c r="V79" i="59" s="1"/>
  <c r="G66" i="1" s="1"/>
  <c r="K66" i="1" s="1"/>
  <c r="P78" i="59"/>
  <c r="V60" i="59"/>
  <c r="G56" i="1" s="1"/>
  <c r="K56" i="1" s="1"/>
  <c r="V77" i="59"/>
  <c r="G64" i="1" s="1"/>
  <c r="K64" i="1" s="1"/>
  <c r="R78" i="59"/>
  <c r="R68" i="59"/>
  <c r="V68" i="59" s="1"/>
  <c r="R69" i="59"/>
  <c r="V69" i="59" s="1"/>
  <c r="R48" i="59"/>
  <c r="R49" i="59"/>
  <c r="V49" i="59" s="1"/>
  <c r="R34" i="59"/>
  <c r="R32" i="59"/>
  <c r="R31" i="59" s="1"/>
  <c r="P48" i="59"/>
  <c r="P72" i="59"/>
  <c r="Q44" i="59" l="1"/>
  <c r="V64" i="59"/>
  <c r="G58" i="1" s="1"/>
  <c r="K58" i="1" s="1"/>
  <c r="Q50" i="59"/>
  <c r="R63" i="59"/>
  <c r="V63" i="59" s="1"/>
  <c r="P47" i="59"/>
  <c r="P46" i="59"/>
  <c r="P35" i="59"/>
  <c r="P30" i="59"/>
  <c r="P41" i="59" s="1"/>
  <c r="P36" i="59"/>
  <c r="P45" i="59" s="1"/>
  <c r="P44" i="59" s="1"/>
  <c r="V78" i="59"/>
  <c r="G65" i="1" s="1"/>
  <c r="K65" i="1" s="1"/>
  <c r="Q39" i="59"/>
  <c r="Q67" i="59" s="1"/>
  <c r="Q70" i="59" s="1"/>
  <c r="Q71" i="59" s="1"/>
  <c r="Q72" i="59" s="1"/>
  <c r="Q73" i="59" s="1"/>
  <c r="V48" i="59"/>
  <c r="R30" i="59"/>
  <c r="R40" i="59" s="1"/>
  <c r="R43" i="59"/>
  <c r="V43" i="59" s="1"/>
  <c r="R36" i="59"/>
  <c r="R45" i="59" s="1"/>
  <c r="R35" i="59"/>
  <c r="R47" i="59"/>
  <c r="R46" i="59"/>
  <c r="V46" i="59" l="1"/>
  <c r="V47" i="59"/>
  <c r="P37" i="59"/>
  <c r="P50" i="59" s="1"/>
  <c r="P42" i="59"/>
  <c r="P40" i="59"/>
  <c r="V45" i="59"/>
  <c r="G45" i="1" s="1"/>
  <c r="K45" i="1" s="1"/>
  <c r="Q74" i="59"/>
  <c r="Q75" i="59" s="1"/>
  <c r="R37" i="59"/>
  <c r="R42" i="59" s="1"/>
  <c r="R41" i="59" s="1"/>
  <c r="V41" i="59" s="1"/>
  <c r="R44" i="59"/>
  <c r="V44" i="59" s="1"/>
  <c r="V40" i="59"/>
  <c r="P39" i="59" l="1"/>
  <c r="P67" i="59" s="1"/>
  <c r="P73" i="59" s="1"/>
  <c r="P74" i="59" s="1"/>
  <c r="R50" i="59"/>
  <c r="V50" i="59" s="1"/>
  <c r="G46" i="1" s="1"/>
  <c r="K46" i="1" s="1"/>
  <c r="V42" i="59"/>
  <c r="R39" i="59" l="1"/>
  <c r="P75" i="59"/>
  <c r="R70" i="59"/>
  <c r="R67" i="59" l="1"/>
  <c r="V39" i="59"/>
  <c r="V70" i="59"/>
  <c r="R71" i="59"/>
  <c r="R58" i="59" l="1"/>
  <c r="V58" i="59" s="1"/>
  <c r="G53" i="1" s="1"/>
  <c r="K53" i="1" s="1"/>
  <c r="V67" i="59"/>
  <c r="R72" i="59"/>
  <c r="V72" i="59" s="1"/>
  <c r="V71" i="59"/>
  <c r="R73" i="59" l="1"/>
  <c r="R74" i="59" s="1"/>
  <c r="V73" i="59" l="1"/>
  <c r="G61" i="1" s="1"/>
  <c r="K61" i="1" s="1"/>
  <c r="V74" i="59"/>
  <c r="R75" i="59"/>
  <c r="V75" i="59" s="1"/>
  <c r="K68" i="1" l="1"/>
  <c r="K222" i="1" l="1"/>
  <c r="K228" i="1"/>
  <c r="L99" i="1" l="1"/>
  <c r="L100" i="1"/>
  <c r="K238" i="1"/>
  <c r="E12" i="51"/>
  <c r="L150" i="1"/>
  <c r="L38" i="1"/>
  <c r="L176" i="1"/>
  <c r="L77" i="1"/>
  <c r="L180" i="1"/>
  <c r="L103" i="1"/>
  <c r="L213" i="1"/>
  <c r="L18" i="1"/>
  <c r="L46" i="1"/>
  <c r="L108" i="1"/>
  <c r="L145" i="1"/>
  <c r="L19" i="1"/>
  <c r="L169" i="1"/>
  <c r="L214" i="1"/>
  <c r="L179" i="1"/>
  <c r="L61" i="1"/>
  <c r="L21" i="1"/>
  <c r="L107" i="1"/>
  <c r="L215" i="1"/>
  <c r="L204" i="1"/>
  <c r="L200" i="1"/>
  <c r="L58" i="1"/>
  <c r="L32" i="1"/>
  <c r="L57" i="1"/>
  <c r="L29" i="1"/>
  <c r="L78" i="1"/>
  <c r="L181" i="1"/>
  <c r="L45" i="1"/>
  <c r="L49" i="1"/>
  <c r="L152" i="1"/>
  <c r="L95" i="1"/>
  <c r="L157" i="1"/>
  <c r="L142" i="1"/>
  <c r="L66" i="1"/>
  <c r="L156" i="1"/>
  <c r="L117" i="1"/>
  <c r="L16" i="1"/>
  <c r="L50" i="1"/>
  <c r="L187" i="1"/>
  <c r="L155" i="1"/>
  <c r="L205" i="1"/>
  <c r="L56" i="1"/>
  <c r="L91" i="1"/>
  <c r="L94" i="1"/>
  <c r="L109" i="1"/>
  <c r="L119" i="1"/>
  <c r="L191" i="1"/>
  <c r="L146" i="1"/>
  <c r="L51" i="1"/>
  <c r="L52" i="1"/>
  <c r="L217" i="1"/>
  <c r="L185" i="1"/>
  <c r="L118" i="1"/>
  <c r="L53" i="1"/>
  <c r="L186" i="1"/>
  <c r="L74" i="1"/>
  <c r="L167" i="1"/>
  <c r="L188" i="1"/>
  <c r="L90" i="1"/>
  <c r="L88" i="1"/>
  <c r="L133" i="1"/>
  <c r="L30" i="1"/>
  <c r="L193" i="1"/>
  <c r="L35" i="1"/>
  <c r="L123" i="1"/>
  <c r="L206" i="1"/>
  <c r="L81" i="1"/>
  <c r="L216" i="1"/>
  <c r="L36" i="1"/>
  <c r="L20" i="1"/>
  <c r="L166" i="1"/>
  <c r="L98" i="1"/>
  <c r="L122" i="1"/>
  <c r="L64" i="1"/>
  <c r="L165" i="1"/>
  <c r="L126" i="1"/>
  <c r="L139" i="1"/>
  <c r="L89" i="1"/>
  <c r="L168" i="1"/>
  <c r="L182" i="1"/>
  <c r="L17" i="1"/>
  <c r="L125" i="1"/>
  <c r="L22" i="1"/>
  <c r="L106" i="1"/>
  <c r="L149" i="1"/>
  <c r="L37" i="1"/>
  <c r="L101" i="1"/>
  <c r="L73" i="1"/>
  <c r="L136" i="1"/>
  <c r="L65" i="1"/>
  <c r="L192" i="1"/>
  <c r="L124" i="1"/>
  <c r="L102" i="1"/>
  <c r="L201" i="1"/>
  <c r="L218" i="1"/>
  <c r="L116" i="1"/>
  <c r="L151" i="1"/>
  <c r="L158" i="1"/>
  <c r="L31" i="1"/>
  <c r="F13" i="53" l="1"/>
  <c r="K13" i="53" s="1"/>
  <c r="F31" i="53"/>
  <c r="F49" i="53" s="1"/>
  <c r="E22" i="51"/>
  <c r="H20" i="51" s="1"/>
  <c r="G13" i="53"/>
  <c r="G23" i="53" s="1"/>
  <c r="I13" i="53"/>
  <c r="I23" i="53" s="1"/>
  <c r="L208" i="1"/>
  <c r="L235" i="1" s="1"/>
  <c r="F19" i="51" s="1"/>
  <c r="L160" i="1"/>
  <c r="L232" i="1" s="1"/>
  <c r="F16" i="51" s="1"/>
  <c r="L68" i="1"/>
  <c r="L228" i="1" s="1"/>
  <c r="F12" i="51" s="1"/>
  <c r="L111" i="1"/>
  <c r="L195" i="1"/>
  <c r="L128" i="1"/>
  <c r="L231" i="1" s="1"/>
  <c r="L83" i="1"/>
  <c r="L229" i="1" s="1"/>
  <c r="F13" i="51" s="1"/>
  <c r="L171" i="1"/>
  <c r="L220" i="1"/>
  <c r="L236" i="1" s="1"/>
  <c r="F20" i="51" s="1"/>
  <c r="L40" i="1"/>
  <c r="L227" i="1" s="1"/>
  <c r="L24" i="1"/>
  <c r="L226" i="1" s="1"/>
  <c r="F10" i="51" s="1"/>
  <c r="E29" i="53" s="1"/>
  <c r="E47" i="53" s="1"/>
  <c r="E65" i="53" s="1"/>
  <c r="F41" i="53"/>
  <c r="G31" i="53"/>
  <c r="G41" i="53" s="1"/>
  <c r="K23" i="53"/>
  <c r="F23" i="53"/>
  <c r="K67" i="53" l="1"/>
  <c r="K77" i="53" s="1"/>
  <c r="I67" i="53"/>
  <c r="I77" i="53" s="1"/>
  <c r="G67" i="53"/>
  <c r="G77" i="53" s="1"/>
  <c r="F67" i="53"/>
  <c r="F77" i="53" s="1"/>
  <c r="G49" i="53"/>
  <c r="I49" i="53"/>
  <c r="I59" i="53" s="1"/>
  <c r="J59" i="53" s="1"/>
  <c r="K49" i="53"/>
  <c r="F59" i="53"/>
  <c r="K59" i="53"/>
  <c r="L59" i="53" s="1"/>
  <c r="G59" i="53"/>
  <c r="H59" i="53" s="1"/>
  <c r="K31" i="53"/>
  <c r="K41" i="53" s="1"/>
  <c r="L41" i="53" s="1"/>
  <c r="I31" i="53"/>
  <c r="I41" i="53" s="1"/>
  <c r="J41" i="53" s="1"/>
  <c r="E17" i="53"/>
  <c r="E35" i="53"/>
  <c r="E53" i="53" s="1"/>
  <c r="E71" i="53" s="1"/>
  <c r="E13" i="53"/>
  <c r="E31" i="53"/>
  <c r="E49" i="53" s="1"/>
  <c r="E67" i="53" s="1"/>
  <c r="E39" i="53"/>
  <c r="E57" i="53" s="1"/>
  <c r="E75" i="53" s="1"/>
  <c r="E20" i="53"/>
  <c r="E38" i="53"/>
  <c r="E56" i="53" s="1"/>
  <c r="E74" i="53" s="1"/>
  <c r="E14" i="53"/>
  <c r="E32" i="53"/>
  <c r="E50" i="53" s="1"/>
  <c r="E68" i="53" s="1"/>
  <c r="F15" i="51"/>
  <c r="F11" i="51"/>
  <c r="E30" i="53" s="1"/>
  <c r="E48" i="53" s="1"/>
  <c r="E66" i="53" s="1"/>
  <c r="L234" i="1"/>
  <c r="F18" i="51" s="1"/>
  <c r="L230" i="1"/>
  <c r="F14" i="51" s="1"/>
  <c r="L233" i="1"/>
  <c r="F17" i="51" s="1"/>
  <c r="N222" i="1"/>
  <c r="L222" i="1"/>
  <c r="E11" i="53"/>
  <c r="E21" i="53"/>
  <c r="J23" i="53"/>
  <c r="L23" i="53"/>
  <c r="H41" i="53"/>
  <c r="H23" i="53"/>
  <c r="H24" i="53" s="1"/>
  <c r="G24" i="53"/>
  <c r="I24" i="53" s="1"/>
  <c r="K24" i="53" s="1"/>
  <c r="G42" i="53" s="1"/>
  <c r="H77" i="53" l="1"/>
  <c r="J77" i="53"/>
  <c r="L77" i="53"/>
  <c r="I42" i="53"/>
  <c r="K42" i="53" s="1"/>
  <c r="G60" i="53" s="1"/>
  <c r="I60" i="53" s="1"/>
  <c r="K60" i="53" s="1"/>
  <c r="G78" i="53" s="1"/>
  <c r="I78" i="53" s="1"/>
  <c r="K78" i="53" s="1"/>
  <c r="E18" i="53"/>
  <c r="E36" i="53"/>
  <c r="E54" i="53" s="1"/>
  <c r="E72" i="53" s="1"/>
  <c r="E15" i="53"/>
  <c r="E33" i="53"/>
  <c r="E51" i="53" s="1"/>
  <c r="E69" i="53" s="1"/>
  <c r="E19" i="53"/>
  <c r="E37" i="53"/>
  <c r="E55" i="53" s="1"/>
  <c r="E73" i="53" s="1"/>
  <c r="E16" i="53"/>
  <c r="E34" i="53"/>
  <c r="E52" i="53" s="1"/>
  <c r="E70" i="53" s="1"/>
  <c r="L238" i="1"/>
  <c r="E12" i="53"/>
  <c r="J24" i="53"/>
  <c r="L24" i="53" s="1"/>
  <c r="H42" i="53" s="1"/>
  <c r="J42" i="53" s="1"/>
  <c r="L42" i="53" s="1"/>
  <c r="H60" i="53" s="1"/>
  <c r="J60" i="53" s="1"/>
  <c r="L60" i="53" s="1"/>
  <c r="E77" i="53" l="1"/>
  <c r="H78" i="53"/>
  <c r="J78" i="53" s="1"/>
  <c r="L78" i="53" s="1"/>
  <c r="F22" i="51"/>
  <c r="E23" i="53"/>
  <c r="E41" i="53" l="1"/>
  <c r="E59" i="53"/>
</calcChain>
</file>

<file path=xl/sharedStrings.xml><?xml version="1.0" encoding="utf-8"?>
<sst xmlns="http://schemas.openxmlformats.org/spreadsheetml/2006/main" count="2421" uniqueCount="898">
  <si>
    <t>ITEM</t>
  </si>
  <si>
    <t>SERVIÇO</t>
  </si>
  <si>
    <t>DMT</t>
  </si>
  <si>
    <t>UNID.</t>
  </si>
  <si>
    <t>QUANT.</t>
  </si>
  <si>
    <t>TOTAL</t>
  </si>
  <si>
    <t>PREÇO (R$)</t>
  </si>
  <si>
    <t>%</t>
  </si>
  <si>
    <t>SICRO / SINAPI</t>
  </si>
  <si>
    <t>PLANILHA ORÇAMENTÁRIA</t>
  </si>
  <si>
    <t>SEM DESONERAÇÃO</t>
  </si>
  <si>
    <t>SERVIÇOS PRELIMINARES</t>
  </si>
  <si>
    <t>TOTAL GERAL</t>
  </si>
  <si>
    <t>m²</t>
  </si>
  <si>
    <t>m</t>
  </si>
  <si>
    <t>un.</t>
  </si>
  <si>
    <t>m³</t>
  </si>
  <si>
    <t>m³.km</t>
  </si>
  <si>
    <t>QUADRO RESUMO</t>
  </si>
  <si>
    <t>ADMINISTRAÇÃO LOCAL</t>
  </si>
  <si>
    <t>ESCAVAÇÃO DE VALA</t>
  </si>
  <si>
    <t>REGULARIZAÇÃO E ESCORAMENTO DE VALA</t>
  </si>
  <si>
    <t>REATERRO DE VALA</t>
  </si>
  <si>
    <t>CARGA, ESPALHAMENTO E TRANSPORTE DE BOTA FORA</t>
  </si>
  <si>
    <t>FORNECIMENTO DE TUBOS</t>
  </si>
  <si>
    <t>7781 - Insumo</t>
  </si>
  <si>
    <t>7750 - Insumo</t>
  </si>
  <si>
    <t>ASSENTAMENTO DE TUBOS</t>
  </si>
  <si>
    <t>t.km</t>
  </si>
  <si>
    <t>POÇO DE VISITA</t>
  </si>
  <si>
    <t>CHAMINÉ E TAMPÃO</t>
  </si>
  <si>
    <t>BOCA DE LOBO</t>
  </si>
  <si>
    <t>REGULARIZAÇÃO</t>
  </si>
  <si>
    <t>EXECUÇÃO DA BASE</t>
  </si>
  <si>
    <t>kg</t>
  </si>
  <si>
    <t>CORTE</t>
  </si>
  <si>
    <t>SERVIÇOS COMPLEMENTARES</t>
  </si>
  <si>
    <t>PASSEIO COM ACESSIBILIDADE</t>
  </si>
  <si>
    <t>SINALIZAÇÃO VIÁRIA</t>
  </si>
  <si>
    <t>Cone de sinalização em PVC rígido com faixa refletiva, H = 70cm / 76cm</t>
  </si>
  <si>
    <t>Escavação manual de vala com profundidade menor ou igual a 1,30m</t>
  </si>
  <si>
    <t>Chaminé circular para poço de visita para esgoto, em alvenaria com tijolos cerâmicos maciços, diâmetro interno = 0,60m</t>
  </si>
  <si>
    <t>Execução e compactação de aterro com solo predominantemente argiloso, exclusive escavação, carga e transporte de solo</t>
  </si>
  <si>
    <t>MEIO FIO E TENTO</t>
  </si>
  <si>
    <t>CALÇADAS</t>
  </si>
  <si>
    <t>RAMPAS DE ACESSO</t>
  </si>
  <si>
    <t>PISO PODOTÁTIL</t>
  </si>
  <si>
    <t>Preparo manual de terreno sem raspagem superficial</t>
  </si>
  <si>
    <t>PINTURA</t>
  </si>
  <si>
    <t>PLACAS</t>
  </si>
  <si>
    <t>CÓDIGO</t>
  </si>
  <si>
    <t>h</t>
  </si>
  <si>
    <t>TRANSPORTE</t>
  </si>
  <si>
    <t>Segurança de trânsito de advertência de obra com placa (fundo laranja) sobre cavalete, conforme ABNT NBR 7678</t>
  </si>
  <si>
    <t>BLSC - Boca de lobo simples, em concreto simples fck = 20MPa, incluindo forma, escavação, calçamento ao redor e grelha em FºFº tipo pesada, conforme projeto tipo</t>
  </si>
  <si>
    <t>Fornecimento e instalação de placa de sinalização viária (placa até 0,36m²), incluindo suporte de madeira pintado a cal e fixado em base de concreto não estrutural</t>
  </si>
  <si>
    <t>LASTRO</t>
  </si>
  <si>
    <t>IMPRIMAÇÃO</t>
  </si>
  <si>
    <t>CBUQ</t>
  </si>
  <si>
    <t>VALOR</t>
  </si>
  <si>
    <t>VALOR GERAL</t>
  </si>
  <si>
    <t>TABELA RESUMO</t>
  </si>
  <si>
    <t>BIGODE - Ø0,40m</t>
  </si>
  <si>
    <r>
      <t xml:space="preserve">TRECHO </t>
    </r>
    <r>
      <rPr>
        <b/>
        <sz val="8"/>
        <color rgb="FFFF0000"/>
        <rFont val="Arial"/>
        <family val="2"/>
      </rPr>
      <t>Nº</t>
    </r>
  </si>
  <si>
    <r>
      <t xml:space="preserve">EXTENSÃO </t>
    </r>
    <r>
      <rPr>
        <b/>
        <sz val="8"/>
        <color rgb="FFFF0000"/>
        <rFont val="Arial"/>
        <family val="2"/>
      </rPr>
      <t>(m)</t>
    </r>
  </si>
  <si>
    <r>
      <t xml:space="preserve">DIÂMETRO </t>
    </r>
    <r>
      <rPr>
        <b/>
        <sz val="8"/>
        <color rgb="FFFF0000"/>
        <rFont val="Arial"/>
        <family val="2"/>
      </rPr>
      <t>(m)</t>
    </r>
  </si>
  <si>
    <r>
      <t xml:space="preserve">N° DE LINHAS </t>
    </r>
    <r>
      <rPr>
        <b/>
        <sz val="8"/>
        <color rgb="FFFF0000"/>
        <rFont val="Arial"/>
        <family val="2"/>
      </rPr>
      <t>(un)</t>
    </r>
  </si>
  <si>
    <t>PS-1 / PS-2 / PVC</t>
  </si>
  <si>
    <t>PROFUNDIDADE</t>
  </si>
  <si>
    <t>MONTANTE (PV)</t>
  </si>
  <si>
    <t>MÉDIA</t>
  </si>
  <si>
    <t>BOLSA + ESPESSURA</t>
  </si>
  <si>
    <r>
      <t>MÉDIA + BOLSA</t>
    </r>
    <r>
      <rPr>
        <b/>
        <sz val="8"/>
        <color rgb="FFFF0000"/>
        <rFont val="Arial"/>
        <family val="2"/>
      </rPr>
      <t xml:space="preserve"> (H)</t>
    </r>
  </si>
  <si>
    <r>
      <t xml:space="preserve">TALUDE </t>
    </r>
    <r>
      <rPr>
        <b/>
        <sz val="8"/>
        <color rgb="FFFF0000"/>
        <rFont val="Arial"/>
        <family val="2"/>
      </rPr>
      <t>(1:V)</t>
    </r>
  </si>
  <si>
    <t>JUSANTE (PV)</t>
  </si>
  <si>
    <r>
      <t xml:space="preserve">BASE </t>
    </r>
    <r>
      <rPr>
        <b/>
        <sz val="8"/>
        <color rgb="FFFF0000"/>
        <rFont val="Arial"/>
        <family val="2"/>
      </rPr>
      <t>(m)</t>
    </r>
  </si>
  <si>
    <r>
      <t>ÁREA DO TUBO</t>
    </r>
    <r>
      <rPr>
        <b/>
        <sz val="8"/>
        <color rgb="FFFF0000"/>
        <rFont val="Arial"/>
        <family val="2"/>
      </rPr>
      <t xml:space="preserve"> (m²)</t>
    </r>
  </si>
  <si>
    <t>TOPO (BOCA DA VALA)</t>
  </si>
  <si>
    <t>INFERIOR H &lt; 4,50m (L = 2Ø)</t>
  </si>
  <si>
    <t>INFERIOR H &gt; 4,50m (L = 3Ø)</t>
  </si>
  <si>
    <t>REATERRO MECÂNICO</t>
  </si>
  <si>
    <t>1,51m &lt; H2 &lt; 3,00m</t>
  </si>
  <si>
    <t>H1 &lt; 1,50m</t>
  </si>
  <si>
    <t>3,01m &lt; H3 &lt; 4,50m</t>
  </si>
  <si>
    <t>H4 &gt; 4,51m</t>
  </si>
  <si>
    <t>ESCAVAÇÃO</t>
  </si>
  <si>
    <t>CÁLCULO DA ESCAVAÇÃO</t>
  </si>
  <si>
    <r>
      <t xml:space="preserve">VOLUME TOTAL DA ESCAVAÇÃO </t>
    </r>
    <r>
      <rPr>
        <b/>
        <sz val="8"/>
        <color rgb="FFFF0000"/>
        <rFont val="Arial"/>
        <family val="2"/>
      </rPr>
      <t>(m³)</t>
    </r>
  </si>
  <si>
    <r>
      <t xml:space="preserve">ESCAVAÇÃO MANUAL </t>
    </r>
    <r>
      <rPr>
        <b/>
        <sz val="8"/>
        <color rgb="FFFF0000"/>
        <rFont val="Arial"/>
        <family val="2"/>
      </rPr>
      <t>(m³)</t>
    </r>
  </si>
  <si>
    <r>
      <t xml:space="preserve">ESCAVAÇÃO MECÂNICA </t>
    </r>
    <r>
      <rPr>
        <b/>
        <sz val="8"/>
        <color rgb="FFFF0000"/>
        <rFont val="Arial"/>
        <family val="2"/>
      </rPr>
      <t>(m³)</t>
    </r>
  </si>
  <si>
    <t>(H ≤ 1,50m) (L ≤ 0,80m)</t>
  </si>
  <si>
    <t>(H ≤ 1,50m) (0,80m &lt; L ≤ 1,50m)</t>
  </si>
  <si>
    <t>(H ≤ 1,50m) (L &gt; 1,50m)</t>
  </si>
  <si>
    <t>(1,50m &lt; H ≤ 3,00m) (L ≤ 0,80m)</t>
  </si>
  <si>
    <t>(1,50m &lt; H ≤ 3,00m) (0,80m &lt; L ≤ 1,50m)</t>
  </si>
  <si>
    <t>(1,50m &lt; H ≤ 3,00m) (L &gt; 1,50m)</t>
  </si>
  <si>
    <t>(3,00m &lt; H ≤ 4,50m) (L &gt; 1,50m)</t>
  </si>
  <si>
    <t>(3,00m &lt; H ≤ 4,50m) (L ≤ 1,50m)</t>
  </si>
  <si>
    <t>(4,50m &lt; H ≤ 6,00m) (L ≤ 1,50m)</t>
  </si>
  <si>
    <t>(4,50m &lt; H ≤ 6,00m) (L &gt; 1,50m)</t>
  </si>
  <si>
    <r>
      <t xml:space="preserve">LASTRO DE BRITA </t>
    </r>
    <r>
      <rPr>
        <b/>
        <sz val="8"/>
        <color rgb="FFFF0000"/>
        <rFont val="Arial"/>
        <family val="2"/>
      </rPr>
      <t>(m³)</t>
    </r>
  </si>
  <si>
    <t>ESPESSURA</t>
  </si>
  <si>
    <t>VOLUME</t>
  </si>
  <si>
    <r>
      <t xml:space="preserve">LASTRO DE PEDRA DE MÃO </t>
    </r>
    <r>
      <rPr>
        <b/>
        <sz val="8"/>
        <color rgb="FFFF0000"/>
        <rFont val="Arial"/>
        <family val="2"/>
      </rPr>
      <t>(m³)</t>
    </r>
  </si>
  <si>
    <r>
      <t xml:space="preserve">ESGOTAMENTO COM MOTO BOMBA </t>
    </r>
    <r>
      <rPr>
        <b/>
        <sz val="8"/>
        <color rgb="FFFF0000"/>
        <rFont val="Arial"/>
        <family val="2"/>
      </rPr>
      <t>(H)</t>
    </r>
  </si>
  <si>
    <r>
      <t xml:space="preserve">TRANSPORTE DE PEDRA DE MÃO E BRITA </t>
    </r>
    <r>
      <rPr>
        <b/>
        <sz val="8"/>
        <color rgb="FFFF0000"/>
        <rFont val="Arial"/>
        <family val="2"/>
      </rPr>
      <t>(m³.km)</t>
    </r>
  </si>
  <si>
    <r>
      <t xml:space="preserve">REGULARIZAÇÃO </t>
    </r>
    <r>
      <rPr>
        <b/>
        <sz val="8"/>
        <color rgb="FFFF0000"/>
        <rFont val="Arial"/>
        <family val="2"/>
      </rPr>
      <t>(m²)</t>
    </r>
  </si>
  <si>
    <t>BASE ≤ 1,50m</t>
  </si>
  <si>
    <t>BASE &gt; 1,50m</t>
  </si>
  <si>
    <r>
      <t xml:space="preserve">ESCORAMENTO METÁLICO </t>
    </r>
    <r>
      <rPr>
        <b/>
        <sz val="8"/>
        <color rgb="FFFF0000"/>
        <rFont val="Arial"/>
        <family val="2"/>
      </rPr>
      <t>(m²)</t>
    </r>
  </si>
  <si>
    <r>
      <t xml:space="preserve">ESCORAMENTO PONTALETE </t>
    </r>
    <r>
      <rPr>
        <b/>
        <sz val="8"/>
        <color rgb="FFFF0000"/>
        <rFont val="Arial"/>
        <family val="2"/>
      </rPr>
      <t>(m²)</t>
    </r>
  </si>
  <si>
    <t>(H &gt; 3,00m)</t>
  </si>
  <si>
    <r>
      <t xml:space="preserve">VOLUME TOTAL DO REATERRO </t>
    </r>
    <r>
      <rPr>
        <b/>
        <sz val="8"/>
        <color rgb="FFFF0000"/>
        <rFont val="Arial"/>
        <family val="2"/>
      </rPr>
      <t>(m³)</t>
    </r>
  </si>
  <si>
    <r>
      <t xml:space="preserve">REATERRO MECÂNICO </t>
    </r>
    <r>
      <rPr>
        <b/>
        <sz val="8"/>
        <color rgb="FFFF0000"/>
        <rFont val="Arial"/>
        <family val="2"/>
      </rPr>
      <t>(m³)</t>
    </r>
  </si>
  <si>
    <r>
      <t xml:space="preserve">ESPALHAMENTO (BOTA FORA) </t>
    </r>
    <r>
      <rPr>
        <b/>
        <sz val="8"/>
        <color rgb="FFFF0000"/>
        <rFont val="Arial"/>
        <family val="2"/>
      </rPr>
      <t>(m³)</t>
    </r>
  </si>
  <si>
    <r>
      <t xml:space="preserve">TRANSPORTE DO BOTA FORA </t>
    </r>
    <r>
      <rPr>
        <b/>
        <sz val="8"/>
        <color rgb="FFFF0000"/>
        <rFont val="Arial"/>
        <family val="2"/>
      </rPr>
      <t>(m³.km)</t>
    </r>
  </si>
  <si>
    <r>
      <t xml:space="preserve">CARGA E DESCARGA (BOTA FORA) </t>
    </r>
    <r>
      <rPr>
        <b/>
        <sz val="8"/>
        <color rgb="FFFF0000"/>
        <rFont val="Arial"/>
        <family val="2"/>
      </rPr>
      <t>(m³)</t>
    </r>
  </si>
  <si>
    <t>MEMÓRIA DE CÁLCULO DE DRENAGEM DE ÁGUAS PLUVIAIS - TERRAPLENAGEM</t>
  </si>
  <si>
    <t>MEMÓRIA DE CÁLCULO DE DRENAGEM DE ÁGUAS PLUVIAIS - DISPOSITIVOS ESTRUTURAIS</t>
  </si>
  <si>
    <r>
      <t>BIGODES</t>
    </r>
    <r>
      <rPr>
        <b/>
        <sz val="8"/>
        <color rgb="FFFF0000"/>
        <rFont val="Arial"/>
        <family val="2"/>
      </rPr>
      <t xml:space="preserve"> (m)</t>
    </r>
  </si>
  <si>
    <t>CLASSE PS-1 Ø0,40m</t>
  </si>
  <si>
    <r>
      <t xml:space="preserve">REDE </t>
    </r>
    <r>
      <rPr>
        <b/>
        <sz val="8"/>
        <color rgb="FFFF0000"/>
        <rFont val="Arial"/>
        <family val="2"/>
      </rPr>
      <t>(m)</t>
    </r>
  </si>
  <si>
    <t>CLASSE PA-1 Ø0,80m</t>
  </si>
  <si>
    <r>
      <t xml:space="preserve">ASSENTAMENTO </t>
    </r>
    <r>
      <rPr>
        <b/>
        <sz val="8"/>
        <color rgb="FFFF0000"/>
        <rFont val="Arial"/>
        <family val="2"/>
      </rPr>
      <t>(m)</t>
    </r>
  </si>
  <si>
    <r>
      <t>PESO DOS TUBOS</t>
    </r>
    <r>
      <rPr>
        <b/>
        <sz val="8"/>
        <color rgb="FFFF0000"/>
        <rFont val="Arial"/>
        <family val="2"/>
      </rPr>
      <t xml:space="preserve"> (t)</t>
    </r>
  </si>
  <si>
    <r>
      <t xml:space="preserve">PV TIPO </t>
    </r>
    <r>
      <rPr>
        <b/>
        <sz val="8"/>
        <color rgb="FFFF0000"/>
        <rFont val="Arial"/>
        <family val="2"/>
      </rPr>
      <t>(1, 2, 3, 4, 5, 6)</t>
    </r>
  </si>
  <si>
    <r>
      <t xml:space="preserve">POÇO DE VISITA </t>
    </r>
    <r>
      <rPr>
        <b/>
        <sz val="8"/>
        <color rgb="FFFF0000"/>
        <rFont val="Arial"/>
        <family val="2"/>
      </rPr>
      <t>(un)</t>
    </r>
  </si>
  <si>
    <r>
      <t xml:space="preserve">TAMPÃO DE FºFº Ø0,60m </t>
    </r>
    <r>
      <rPr>
        <b/>
        <sz val="8"/>
        <color rgb="FFFF0000"/>
        <rFont val="Arial"/>
        <family val="2"/>
      </rPr>
      <t>(un)</t>
    </r>
  </si>
  <si>
    <r>
      <t>CHAMINÉ (PESCOÇO)</t>
    </r>
    <r>
      <rPr>
        <b/>
        <sz val="8"/>
        <color rgb="FFFF0000"/>
        <rFont val="Arial"/>
        <family val="2"/>
      </rPr>
      <t xml:space="preserve"> (m)</t>
    </r>
  </si>
  <si>
    <r>
      <t xml:space="preserve">TRANSPORTE DE BRITA </t>
    </r>
    <r>
      <rPr>
        <b/>
        <sz val="8"/>
        <color rgb="FFFF0000"/>
        <rFont val="Arial"/>
        <family val="2"/>
      </rPr>
      <t>(m³.km)</t>
    </r>
  </si>
  <si>
    <r>
      <t xml:space="preserve">CARGA DE BRITA P/ POÇO DE VISITA </t>
    </r>
    <r>
      <rPr>
        <b/>
        <sz val="8"/>
        <color rgb="FFFF0000"/>
        <rFont val="Arial"/>
        <family val="2"/>
      </rPr>
      <t>(m³)</t>
    </r>
  </si>
  <si>
    <r>
      <t xml:space="preserve">BOCA DE LOBO    </t>
    </r>
    <r>
      <rPr>
        <b/>
        <sz val="8"/>
        <color rgb="FFFF0000"/>
        <rFont val="Arial"/>
        <family val="2"/>
      </rPr>
      <t>(un)</t>
    </r>
  </si>
  <si>
    <t>CONCRETO SIMPLES</t>
  </si>
  <si>
    <t>CONCRETO DUPLA</t>
  </si>
  <si>
    <t>CONCRETO TRIPLA</t>
  </si>
  <si>
    <r>
      <t xml:space="preserve">CARGA DE BRITA P/ BOCA DE LOBO </t>
    </r>
    <r>
      <rPr>
        <b/>
        <sz val="8"/>
        <color rgb="FFFF0000"/>
        <rFont val="Arial"/>
        <family val="2"/>
      </rPr>
      <t>(m³)</t>
    </r>
  </si>
  <si>
    <r>
      <t xml:space="preserve">DISSIPADOR DE ENERGIA </t>
    </r>
    <r>
      <rPr>
        <b/>
        <sz val="8"/>
        <color rgb="FFFF0000"/>
        <rFont val="Arial"/>
        <family val="2"/>
      </rPr>
      <t>(un)</t>
    </r>
  </si>
  <si>
    <t>CRONOGRAMA FÍSICO FINANCEIRO</t>
  </si>
  <si>
    <t>PREÇO TOTAL</t>
  </si>
  <si>
    <t>MÊS 01</t>
  </si>
  <si>
    <t>TOTAL MENSAL</t>
  </si>
  <si>
    <t>TOTAL MENSAL ACUMULADO</t>
  </si>
  <si>
    <t>MÊS 02</t>
  </si>
  <si>
    <t>MÊS 03</t>
  </si>
  <si>
    <t>MÊS 04</t>
  </si>
  <si>
    <t>MÊS 05</t>
  </si>
  <si>
    <t>MÊS 06</t>
  </si>
  <si>
    <t>NOME DA RUA</t>
  </si>
  <si>
    <r>
      <t xml:space="preserve">CORTE </t>
    </r>
    <r>
      <rPr>
        <b/>
        <sz val="8"/>
        <color rgb="FFFF0000"/>
        <rFont val="Arial"/>
        <family val="2"/>
      </rPr>
      <t>(m³)</t>
    </r>
  </si>
  <si>
    <r>
      <t xml:space="preserve">ATERRO </t>
    </r>
    <r>
      <rPr>
        <b/>
        <sz val="8"/>
        <color rgb="FFFF0000"/>
        <rFont val="Arial"/>
        <family val="2"/>
      </rPr>
      <t>(m³)</t>
    </r>
  </si>
  <si>
    <r>
      <t xml:space="preserve">ESCAVAÇÃO MECÂNICA - PREPARO DO SUBLEITO </t>
    </r>
    <r>
      <rPr>
        <b/>
        <sz val="8"/>
        <color rgb="FFFF0000"/>
        <rFont val="Arial"/>
        <family val="2"/>
      </rPr>
      <t>(m³)</t>
    </r>
  </si>
  <si>
    <r>
      <t xml:space="preserve">CARGA E DESCARGA MECÂNICA DO SUBLEITO </t>
    </r>
    <r>
      <rPr>
        <b/>
        <sz val="8"/>
        <color rgb="FFFF0000"/>
        <rFont val="Arial"/>
        <family val="2"/>
      </rPr>
      <t>(m³)</t>
    </r>
  </si>
  <si>
    <r>
      <t xml:space="preserve">ESPALHAMENTO DO BOTA FORA </t>
    </r>
    <r>
      <rPr>
        <b/>
        <sz val="8"/>
        <color rgb="FFFF0000"/>
        <rFont val="Arial"/>
        <family val="2"/>
      </rPr>
      <t>(m³)</t>
    </r>
  </si>
  <si>
    <r>
      <t xml:space="preserve">COMPACTAÇÃO </t>
    </r>
    <r>
      <rPr>
        <b/>
        <sz val="8"/>
        <color rgb="FFFF0000"/>
        <rFont val="Arial"/>
        <family val="2"/>
      </rPr>
      <t>(m³)</t>
    </r>
  </si>
  <si>
    <t>MEMÓRIA DE CÁLCULO DE PAVIMENTAÇÃO ASFÁLTICA - TERRAPLENAGEM</t>
  </si>
  <si>
    <r>
      <t xml:space="preserve">LARGURA DA PISTA + ACOSTAMENTO </t>
    </r>
    <r>
      <rPr>
        <b/>
        <sz val="8"/>
        <color rgb="FFFF0000"/>
        <rFont val="Arial"/>
        <family val="2"/>
      </rPr>
      <t>(m)</t>
    </r>
  </si>
  <si>
    <r>
      <t>DECLIVIDADE TRANSVERSAL DA PISTA</t>
    </r>
    <r>
      <rPr>
        <b/>
        <sz val="8"/>
        <color rgb="FFFF0000"/>
        <rFont val="Arial"/>
        <family val="2"/>
      </rPr>
      <t xml:space="preserve"> (SIMPLES OU DUPLA)</t>
    </r>
  </si>
  <si>
    <t>DUPLA</t>
  </si>
  <si>
    <t>RAIOS</t>
  </si>
  <si>
    <r>
      <t>QUANTIDADE DE RAIOS DE 5,00m</t>
    </r>
    <r>
      <rPr>
        <b/>
        <sz val="8"/>
        <color rgb="FFFF0000"/>
        <rFont val="Arial"/>
        <family val="2"/>
      </rPr>
      <t xml:space="preserve"> (un)</t>
    </r>
  </si>
  <si>
    <r>
      <t>ÁREA DO RAIO DE 5,00m</t>
    </r>
    <r>
      <rPr>
        <b/>
        <sz val="8"/>
        <color rgb="FFFF0000"/>
        <rFont val="Arial"/>
        <family val="2"/>
      </rPr>
      <t xml:space="preserve"> (m²)</t>
    </r>
  </si>
  <si>
    <r>
      <t>ÁREA RESTANTE</t>
    </r>
    <r>
      <rPr>
        <b/>
        <sz val="8"/>
        <color rgb="FFFF0000"/>
        <rFont val="Arial"/>
        <family val="2"/>
      </rPr>
      <t xml:space="preserve"> (m²)</t>
    </r>
  </si>
  <si>
    <r>
      <t>ÁREA TOTAL</t>
    </r>
    <r>
      <rPr>
        <b/>
        <sz val="8"/>
        <color rgb="FFFF0000"/>
        <rFont val="Arial"/>
        <family val="2"/>
      </rPr>
      <t xml:space="preserve"> (m²)</t>
    </r>
  </si>
  <si>
    <r>
      <t xml:space="preserve">MEIO FIO COM SARJETA </t>
    </r>
    <r>
      <rPr>
        <b/>
        <sz val="8"/>
        <color rgb="FFFF0000"/>
        <rFont val="Arial"/>
        <family val="2"/>
      </rPr>
      <t>(m)</t>
    </r>
  </si>
  <si>
    <r>
      <t xml:space="preserve">MEIO FIO GUIA </t>
    </r>
    <r>
      <rPr>
        <b/>
        <sz val="8"/>
        <color rgb="FFFF0000"/>
        <rFont val="Arial"/>
        <family val="2"/>
      </rPr>
      <t>(m)</t>
    </r>
  </si>
  <si>
    <t>MEMÓRIA DE CÁLCULO DE PAVIMENTAÇÃO ASFÁLTICA - PAVIMENTAÇÃO</t>
  </si>
  <si>
    <r>
      <t>ÁREA DE REGULARIZAÇÃO</t>
    </r>
    <r>
      <rPr>
        <b/>
        <sz val="8"/>
        <color rgb="FFFF0000"/>
        <rFont val="Arial"/>
        <family val="2"/>
      </rPr>
      <t xml:space="preserve"> (m²)</t>
    </r>
  </si>
  <si>
    <r>
      <t>LARGURA</t>
    </r>
    <r>
      <rPr>
        <b/>
        <sz val="8"/>
        <color rgb="FFFF0000"/>
        <rFont val="Arial"/>
        <family val="2"/>
      </rPr>
      <t xml:space="preserve"> (m)</t>
    </r>
  </si>
  <si>
    <t>A = ARENITO   C = CASCALHO   SB = SOLO BRITA   BC = BICA CORRIDA</t>
  </si>
  <si>
    <t>A</t>
  </si>
  <si>
    <t>C</t>
  </si>
  <si>
    <r>
      <t>ESPESSURA</t>
    </r>
    <r>
      <rPr>
        <b/>
        <sz val="8"/>
        <color rgb="FFFF0000"/>
        <rFont val="Arial"/>
        <family val="2"/>
      </rPr>
      <t xml:space="preserve"> (m)</t>
    </r>
  </si>
  <si>
    <r>
      <t>CASCALHO</t>
    </r>
    <r>
      <rPr>
        <b/>
        <sz val="8"/>
        <color rgb="FFFF0000"/>
        <rFont val="Arial"/>
        <family val="2"/>
      </rPr>
      <t xml:space="preserve"> (m³)</t>
    </r>
  </si>
  <si>
    <t>EXECUÇÃO E COMPACTAÇÃO</t>
  </si>
  <si>
    <r>
      <t>ESCAVAÇÃO DO MATERIAL</t>
    </r>
    <r>
      <rPr>
        <b/>
        <sz val="8"/>
        <color rgb="FFFF0000"/>
        <rFont val="Arial"/>
        <family val="2"/>
      </rPr>
      <t xml:space="preserve"> (m³)</t>
    </r>
  </si>
  <si>
    <r>
      <t>CASCALHO</t>
    </r>
    <r>
      <rPr>
        <b/>
        <sz val="8"/>
        <color rgb="FFFF0000"/>
        <rFont val="Arial"/>
        <family val="2"/>
      </rPr>
      <t xml:space="preserve"> (m³.km)</t>
    </r>
  </si>
  <si>
    <t>BASE</t>
  </si>
  <si>
    <r>
      <t xml:space="preserve">ÁREA DA IMPRIMAÇÃO </t>
    </r>
    <r>
      <rPr>
        <b/>
        <sz val="8"/>
        <color rgb="FFFF0000"/>
        <rFont val="Arial"/>
        <family val="2"/>
      </rPr>
      <t>(m²)</t>
    </r>
  </si>
  <si>
    <r>
      <t xml:space="preserve">ESPESSURA </t>
    </r>
    <r>
      <rPr>
        <b/>
        <sz val="8"/>
        <color rgb="FFFF0000"/>
        <rFont val="Arial"/>
        <family val="2"/>
      </rPr>
      <t>(m)</t>
    </r>
  </si>
  <si>
    <t>AQUISIÇÃO DA BASE</t>
  </si>
  <si>
    <t>ESCAVAÇÃO DA BASE</t>
  </si>
  <si>
    <t>TRANSPORTE DA BASE</t>
  </si>
  <si>
    <t>MEMÓRIA DE CÁLCULO DE SERVIÇOS COMPLEMENTARES</t>
  </si>
  <si>
    <r>
      <t>COM SARJETA</t>
    </r>
    <r>
      <rPr>
        <b/>
        <sz val="8"/>
        <color rgb="FFFF0000"/>
        <rFont val="Arial"/>
        <family val="2"/>
      </rPr>
      <t xml:space="preserve"> (m)</t>
    </r>
  </si>
  <si>
    <r>
      <t>TENTO</t>
    </r>
    <r>
      <rPr>
        <b/>
        <sz val="8"/>
        <color rgb="FFFF0000"/>
        <rFont val="Arial"/>
        <family val="2"/>
      </rPr>
      <t xml:space="preserve"> (m)</t>
    </r>
  </si>
  <si>
    <r>
      <t>CARGA DE BRITA P/ MEIO FIO E TENTO</t>
    </r>
    <r>
      <rPr>
        <b/>
        <sz val="8"/>
        <color rgb="FFFF0000"/>
        <rFont val="Arial"/>
        <family val="2"/>
      </rPr>
      <t xml:space="preserve"> (m³)</t>
    </r>
  </si>
  <si>
    <t>MEMÓRIA DE CÁLCULO DE SINALIZAÇÃO VIÁRIA</t>
  </si>
  <si>
    <t>FAIXAS</t>
  </si>
  <si>
    <r>
      <t xml:space="preserve">ÁREA TOTAL </t>
    </r>
    <r>
      <rPr>
        <b/>
        <sz val="8"/>
        <color rgb="FFFF0000"/>
        <rFont val="Arial"/>
        <family val="2"/>
      </rPr>
      <t>(m²)</t>
    </r>
  </si>
  <si>
    <r>
      <t xml:space="preserve">CONDIÇÃO </t>
    </r>
    <r>
      <rPr>
        <b/>
        <sz val="8"/>
        <color rgb="FFFF0000"/>
        <rFont val="Arial"/>
        <family val="2"/>
      </rPr>
      <t>(%)</t>
    </r>
  </si>
  <si>
    <t>CONTÍNUA</t>
  </si>
  <si>
    <t>TRACEJADA</t>
  </si>
  <si>
    <t>AMARELA</t>
  </si>
  <si>
    <t>MARCAS</t>
  </si>
  <si>
    <r>
      <t xml:space="preserve">QUANTIDADES </t>
    </r>
    <r>
      <rPr>
        <b/>
        <sz val="8"/>
        <color rgb="FFFF0000"/>
        <rFont val="Arial"/>
        <family val="2"/>
      </rPr>
      <t>(un)</t>
    </r>
  </si>
  <si>
    <r>
      <t xml:space="preserve">ÁREA UNITÁRIA </t>
    </r>
    <r>
      <rPr>
        <b/>
        <sz val="8"/>
        <color rgb="FFFF0000"/>
        <rFont val="Arial"/>
        <family val="2"/>
      </rPr>
      <t>(m²)</t>
    </r>
  </si>
  <si>
    <t>FAIXA DE RETENÇÃO</t>
  </si>
  <si>
    <t>SENTIDO DA CIRC. DA VIA</t>
  </si>
  <si>
    <t>PARADA OBRIGATÓRIA</t>
  </si>
  <si>
    <t>PLACAS ATÉ 0,36m²</t>
  </si>
  <si>
    <t>VELOCIDADE MÁXIMA PERMITIDA</t>
  </si>
  <si>
    <t>PLACAS DE LOGRADOURO</t>
  </si>
  <si>
    <r>
      <t>SUPORTE PARA PLACAS DE LOGRADOURO</t>
    </r>
    <r>
      <rPr>
        <b/>
        <sz val="8"/>
        <color rgb="FFFF0000"/>
        <rFont val="Arial"/>
        <family val="2"/>
      </rPr>
      <t xml:space="preserve"> (un)</t>
    </r>
  </si>
  <si>
    <t>MEMÓRIA DE CÁLCULO DE PASSEIO COM ACESSIBILIDADE</t>
  </si>
  <si>
    <r>
      <t xml:space="preserve">PREPARO MANUAL DO TERRENO </t>
    </r>
    <r>
      <rPr>
        <b/>
        <sz val="8"/>
        <color rgb="FFFF0000"/>
        <rFont val="Arial"/>
        <family val="2"/>
      </rPr>
      <t>(m²)</t>
    </r>
  </si>
  <si>
    <r>
      <t>CALÇADAS</t>
    </r>
    <r>
      <rPr>
        <b/>
        <sz val="8"/>
        <color rgb="FFFF0000"/>
        <rFont val="Arial"/>
        <family val="2"/>
      </rPr>
      <t xml:space="preserve"> (m²)</t>
    </r>
  </si>
  <si>
    <r>
      <t>LARGURA DAS CALÇADAS</t>
    </r>
    <r>
      <rPr>
        <b/>
        <sz val="8"/>
        <color rgb="FFFF0000"/>
        <rFont val="Arial"/>
        <family val="2"/>
      </rPr>
      <t xml:space="preserve"> (m)</t>
    </r>
  </si>
  <si>
    <r>
      <t>ÁREA DO REVESTIMENTO EM CONCRETO</t>
    </r>
    <r>
      <rPr>
        <b/>
        <sz val="8"/>
        <color rgb="FFFF0000"/>
        <rFont val="Arial"/>
        <family val="2"/>
      </rPr>
      <t xml:space="preserve"> (m²)</t>
    </r>
  </si>
  <si>
    <r>
      <t xml:space="preserve">TRANSPORTE DO BRITA </t>
    </r>
    <r>
      <rPr>
        <b/>
        <sz val="8"/>
        <color rgb="FFFF0000"/>
        <rFont val="Arial"/>
        <family val="2"/>
      </rPr>
      <t>(m³.km)</t>
    </r>
  </si>
  <si>
    <r>
      <t>CARGA DE BRITA P/ CALÇADAS</t>
    </r>
    <r>
      <rPr>
        <b/>
        <sz val="8"/>
        <color rgb="FFFF0000"/>
        <rFont val="Arial"/>
        <family val="2"/>
      </rPr>
      <t xml:space="preserve"> (m³)</t>
    </r>
  </si>
  <si>
    <r>
      <t>RAMPAS DE ACESSO</t>
    </r>
    <r>
      <rPr>
        <b/>
        <sz val="8"/>
        <color rgb="FFFF0000"/>
        <rFont val="Arial"/>
        <family val="2"/>
      </rPr>
      <t xml:space="preserve"> (un)</t>
    </r>
  </si>
  <si>
    <r>
      <t>ÁREA TOTAL DAS RAMPAS DE ACESSO</t>
    </r>
    <r>
      <rPr>
        <b/>
        <sz val="8"/>
        <color rgb="FFFF0000"/>
        <rFont val="Arial"/>
        <family val="2"/>
      </rPr>
      <t xml:space="preserve"> (m²)</t>
    </r>
  </si>
  <si>
    <r>
      <t>CARGA DE BRITA P/ RAMPAS DE ACESSO</t>
    </r>
    <r>
      <rPr>
        <b/>
        <sz val="8"/>
        <color rgb="FFFF0000"/>
        <rFont val="Arial"/>
        <family val="2"/>
      </rPr>
      <t xml:space="preserve"> (m³)</t>
    </r>
  </si>
  <si>
    <r>
      <t>PISO PODOTÁTIL</t>
    </r>
    <r>
      <rPr>
        <b/>
        <sz val="8"/>
        <color rgb="FFFF0000"/>
        <rFont val="Arial"/>
        <family val="2"/>
      </rPr>
      <t xml:space="preserve"> (m)</t>
    </r>
  </si>
  <si>
    <r>
      <t>CARGA, MANOBRA E DESCARGA</t>
    </r>
    <r>
      <rPr>
        <b/>
        <sz val="8"/>
        <color rgb="FFFF0000"/>
        <rFont val="Arial"/>
        <family val="2"/>
      </rPr>
      <t xml:space="preserve"> (t)</t>
    </r>
  </si>
  <si>
    <t>Cascalho em cava</t>
  </si>
  <si>
    <t>BOTA FORA</t>
  </si>
  <si>
    <t>TUBOS</t>
  </si>
  <si>
    <t>3º QUARTIL</t>
  </si>
  <si>
    <t>MÉDIO</t>
  </si>
  <si>
    <t>1º QUARTIL</t>
  </si>
  <si>
    <t>LUCRO</t>
  </si>
  <si>
    <t>PIS</t>
  </si>
  <si>
    <t>COFINS</t>
  </si>
  <si>
    <t>TRECHO N°</t>
  </si>
  <si>
    <t>MONTANTE</t>
  </si>
  <si>
    <t>JUSANTE</t>
  </si>
  <si>
    <r>
      <t xml:space="preserve">COTA TERRENO </t>
    </r>
    <r>
      <rPr>
        <b/>
        <sz val="8"/>
        <color rgb="FFFF0000"/>
        <rFont val="Arial"/>
        <family val="2"/>
      </rPr>
      <t>(m)</t>
    </r>
  </si>
  <si>
    <t>NÃO DIGITAR NADA NESSA COLUNA</t>
  </si>
  <si>
    <t>B</t>
  </si>
  <si>
    <t>TRECHO À</t>
  </si>
  <si>
    <t>BACIA HIDROGRÁFICA</t>
  </si>
  <si>
    <r>
      <t xml:space="preserve">ÁREA </t>
    </r>
    <r>
      <rPr>
        <b/>
        <sz val="8"/>
        <color rgb="FFFF0000"/>
        <rFont val="Arial"/>
        <family val="2"/>
      </rPr>
      <t>(ha)</t>
    </r>
  </si>
  <si>
    <t>RUN OFF</t>
  </si>
  <si>
    <t>VERIFICAÇÃO DOS TRECHOS:</t>
  </si>
  <si>
    <t>TOTAL DOS MONTANTES:</t>
  </si>
  <si>
    <t>TRECHO QUE FALTA:</t>
  </si>
  <si>
    <t>TOTAL DOS TRECHOS:</t>
  </si>
  <si>
    <t>TOTAL DOS LANÇAMENTOS:</t>
  </si>
  <si>
    <t>TRECHO</t>
  </si>
  <si>
    <t>TAMPA</t>
  </si>
  <si>
    <t>FUNDO</t>
  </si>
  <si>
    <t>DEGRAU</t>
  </si>
  <si>
    <t>PROF.</t>
  </si>
  <si>
    <r>
      <t xml:space="preserve">POÇO DE VISITA - COTAS </t>
    </r>
    <r>
      <rPr>
        <b/>
        <sz val="8"/>
        <color rgb="FFFF0000"/>
        <rFont val="Arial"/>
        <family val="2"/>
      </rPr>
      <t>(m)</t>
    </r>
  </si>
  <si>
    <t>BACIA LOCAL</t>
  </si>
  <si>
    <r>
      <t xml:space="preserve">TEMPO CONC.      </t>
    </r>
    <r>
      <rPr>
        <b/>
        <sz val="8"/>
        <color rgb="FFFF0000"/>
        <rFont val="Arial"/>
        <family val="2"/>
      </rPr>
      <t>(min)</t>
    </r>
  </si>
  <si>
    <r>
      <t xml:space="preserve">INTENS. PLUVIOM.      </t>
    </r>
    <r>
      <rPr>
        <b/>
        <sz val="8"/>
        <color rgb="FFFF0000"/>
        <rFont val="Arial"/>
        <family val="2"/>
      </rPr>
      <t>(mm/h)</t>
    </r>
  </si>
  <si>
    <r>
      <t xml:space="preserve">ÁREA TOTAL    </t>
    </r>
    <r>
      <rPr>
        <b/>
        <sz val="8"/>
        <color rgb="FFFF0000"/>
        <rFont val="Arial"/>
        <family val="2"/>
      </rPr>
      <t xml:space="preserve"> (ha)</t>
    </r>
  </si>
  <si>
    <r>
      <t xml:space="preserve">COEF.           DIST.           </t>
    </r>
    <r>
      <rPr>
        <b/>
        <sz val="8"/>
        <color rgb="FFFF0000"/>
        <rFont val="Arial"/>
        <family val="2"/>
      </rPr>
      <t>(n)</t>
    </r>
  </si>
  <si>
    <r>
      <t xml:space="preserve">VAZÃO À ESCOAR    </t>
    </r>
    <r>
      <rPr>
        <b/>
        <sz val="8"/>
        <color rgb="FFFF0000"/>
        <rFont val="Arial"/>
        <family val="2"/>
      </rPr>
      <t>(l/s)</t>
    </r>
  </si>
  <si>
    <r>
      <t>COEF.      DEFLÚVIO</t>
    </r>
    <r>
      <rPr>
        <b/>
        <sz val="8"/>
        <color rgb="FFFF0000"/>
        <rFont val="Arial"/>
        <family val="2"/>
      </rPr>
      <t xml:space="preserve"> (f)</t>
    </r>
  </si>
  <si>
    <r>
      <t>DECLIVIDADE</t>
    </r>
    <r>
      <rPr>
        <b/>
        <sz val="8"/>
        <color rgb="FFFF0000"/>
        <rFont val="Arial"/>
        <family val="2"/>
      </rPr>
      <t xml:space="preserve"> (%)</t>
    </r>
  </si>
  <si>
    <t>GALERIA</t>
  </si>
  <si>
    <t>PROJETO</t>
  </si>
  <si>
    <t>MÍNIMA</t>
  </si>
  <si>
    <r>
      <t xml:space="preserve">DEFLÚVIO LOCAL    </t>
    </r>
    <r>
      <rPr>
        <b/>
        <sz val="8"/>
        <color rgb="FFFF0000"/>
        <rFont val="Arial"/>
        <family val="2"/>
      </rPr>
      <t xml:space="preserve"> (l/s)</t>
    </r>
  </si>
  <si>
    <t>TERRENO NATURAL</t>
  </si>
  <si>
    <r>
      <t xml:space="preserve">TEMPO DE PERCURSO    </t>
    </r>
    <r>
      <rPr>
        <b/>
        <sz val="8"/>
        <color rgb="FFFF0000"/>
        <rFont val="Arial"/>
        <family val="2"/>
      </rPr>
      <t>(min)</t>
    </r>
  </si>
  <si>
    <r>
      <t xml:space="preserve">VELOC.   </t>
    </r>
    <r>
      <rPr>
        <b/>
        <sz val="8"/>
        <color rgb="FFFF0000"/>
        <rFont val="Arial"/>
        <family val="2"/>
      </rPr>
      <t>(m/s)</t>
    </r>
  </si>
  <si>
    <r>
      <t xml:space="preserve">ALTURA D'ÁGUA </t>
    </r>
    <r>
      <rPr>
        <b/>
        <sz val="8"/>
        <color rgb="FFFF0000"/>
        <rFont val="Arial"/>
        <family val="2"/>
      </rPr>
      <t>(m)</t>
    </r>
  </si>
  <si>
    <t>NORMAL</t>
  </si>
  <si>
    <t>CRÍTICA</t>
  </si>
  <si>
    <t>SEÇÃO DA GALERIA</t>
  </si>
  <si>
    <t>MATERIAL</t>
  </si>
  <si>
    <t>COEF. DE MANNING</t>
  </si>
  <si>
    <t>Nº DE LINHAS</t>
  </si>
  <si>
    <r>
      <t xml:space="preserve">CIRCULAR  Ø             </t>
    </r>
    <r>
      <rPr>
        <b/>
        <sz val="8"/>
        <color rgb="FFFF0000"/>
        <rFont val="Arial"/>
        <family val="2"/>
      </rPr>
      <t>(m)</t>
    </r>
  </si>
  <si>
    <t>COTA DE FUNDO DE MONTANTE</t>
  </si>
  <si>
    <t>TEMPO DE CONCENTRAÇÃO</t>
  </si>
  <si>
    <t>ALTURA D´AGUA - NORMAL</t>
  </si>
  <si>
    <t>ALTURA D´AGUA - CRÍTICA</t>
  </si>
  <si>
    <t>C1</t>
  </si>
  <si>
    <t>hc &lt; 30</t>
  </si>
  <si>
    <t>F1</t>
  </si>
  <si>
    <t>F2</t>
  </si>
  <si>
    <t>F3</t>
  </si>
  <si>
    <t>30 &gt; hc &gt; 85</t>
  </si>
  <si>
    <t>hc &gt; 85</t>
  </si>
  <si>
    <t>ÁREA          Ø</t>
  </si>
  <si>
    <t>G1</t>
  </si>
  <si>
    <t>G2</t>
  </si>
  <si>
    <t>G3</t>
  </si>
  <si>
    <t>MEMÓRIA DE CÁLCULO DE SERVIÇOS PRELIMINARES</t>
  </si>
  <si>
    <t>PAVIMENTAÇÃO ASFÁLTICA</t>
  </si>
  <si>
    <t>DRENAGEM DE ÁGUAS PLUVIAIS</t>
  </si>
  <si>
    <r>
      <t>EXTENSÃO</t>
    </r>
    <r>
      <rPr>
        <b/>
        <sz val="8"/>
        <color rgb="FFFF0000"/>
        <rFont val="Arial"/>
        <family val="2"/>
      </rPr>
      <t xml:space="preserve"> (m)</t>
    </r>
  </si>
  <si>
    <r>
      <t>PLACA DE OBRA</t>
    </r>
    <r>
      <rPr>
        <b/>
        <sz val="8"/>
        <color rgb="FFFF0000"/>
        <rFont val="Arial"/>
        <family val="2"/>
      </rPr>
      <t xml:space="preserve"> (m²)</t>
    </r>
  </si>
  <si>
    <r>
      <t>CONE DE SINALIZAÇÃO</t>
    </r>
    <r>
      <rPr>
        <b/>
        <sz val="8"/>
        <color rgb="FFFF0000"/>
        <rFont val="Arial"/>
        <family val="2"/>
      </rPr>
      <t xml:space="preserve"> (un)</t>
    </r>
  </si>
  <si>
    <r>
      <t>ESPALHAMENTO</t>
    </r>
    <r>
      <rPr>
        <b/>
        <sz val="8"/>
        <color rgb="FFFF0000"/>
        <rFont val="Arial"/>
        <family val="2"/>
      </rPr>
      <t xml:space="preserve"> (m³)</t>
    </r>
  </si>
  <si>
    <t>EQUAÇÃO DE CHUVA</t>
  </si>
  <si>
    <t>I = a.TR ^ b / (tc + c) ^ d</t>
  </si>
  <si>
    <t xml:space="preserve">c = </t>
  </si>
  <si>
    <t>d =</t>
  </si>
  <si>
    <t>Isozona</t>
  </si>
  <si>
    <t>TR =</t>
  </si>
  <si>
    <t>b =</t>
  </si>
  <si>
    <t xml:space="preserve">a = </t>
  </si>
  <si>
    <t>MESES</t>
  </si>
  <si>
    <t>DIAS</t>
  </si>
  <si>
    <t>HORAS</t>
  </si>
  <si>
    <t>Topógrafo com encargos complementares</t>
  </si>
  <si>
    <t>Auxiliar de topógrafo com encargos complementares</t>
  </si>
  <si>
    <r>
      <t>VOLUME DO REVESTIMENTO EM CONCRETO</t>
    </r>
    <r>
      <rPr>
        <b/>
        <sz val="8"/>
        <color rgb="FFFF0000"/>
        <rFont val="Arial"/>
        <family val="2"/>
      </rPr>
      <t xml:space="preserve"> (m³)</t>
    </r>
  </si>
  <si>
    <t>Execução de passeio (calçada) ou piso de concreto com concreto moldado in loco, feito em obra, acabamento convencional, não armado</t>
  </si>
  <si>
    <t>DIMENSIONAMENTO - DRENAGEM DE ÁGUAS PLUVIAIS</t>
  </si>
  <si>
    <t>Espalhamento de material com trator esteiras</t>
  </si>
  <si>
    <t>Lançamento com uso de baldes, adensamento e acabamento de concreto em estruturas</t>
  </si>
  <si>
    <t>Demolição parcial de pavimento asfáltico, de forma mecanizada, sem reaproveitamento</t>
  </si>
  <si>
    <t>BDI</t>
  </si>
  <si>
    <t>UNITÁRIO    C/ BDI</t>
  </si>
  <si>
    <t>UNITÁRIO     S/ BDI</t>
  </si>
  <si>
    <r>
      <t>QUANTIDADE</t>
    </r>
    <r>
      <rPr>
        <b/>
        <sz val="8"/>
        <color rgb="FFFF0000"/>
        <rFont val="Arial"/>
        <family val="2"/>
      </rPr>
      <t xml:space="preserve"> (un)</t>
    </r>
  </si>
  <si>
    <r>
      <t>COMPRIMENTO</t>
    </r>
    <r>
      <rPr>
        <b/>
        <sz val="8"/>
        <color rgb="FFFF0000"/>
        <rFont val="Arial"/>
        <family val="2"/>
      </rPr>
      <t xml:space="preserve"> (m)</t>
    </r>
  </si>
  <si>
    <t>SEGURANÇA DE TRÂNSITO</t>
  </si>
  <si>
    <r>
      <t xml:space="preserve">CARGA E DESCARGA (BOTA FORA)  </t>
    </r>
    <r>
      <rPr>
        <b/>
        <sz val="8"/>
        <color rgb="FFFF0000"/>
        <rFont val="Arial"/>
        <family val="2"/>
      </rPr>
      <t>(m³)</t>
    </r>
  </si>
  <si>
    <t>Preparo de fundo de vala com largura menor que 1,50m (acerto do solo natural)</t>
  </si>
  <si>
    <t>Preparo de fundo de vala com largura maior ou igual a 1,50m e menor que 2,50m (acerto do solo natural)</t>
  </si>
  <si>
    <t>Carga, manobra e descarga de solos e materiais granulares em caminhão basculante 10m³, carga com escavadeira hidráulica (caçamba de 1,20m³ / 155HP) e descarga livre</t>
  </si>
  <si>
    <t>Tubo de concreto simples para águas pluviais, classe PS-1, com encaixe ponta e bolsa, diâmetro nominal de 400mm</t>
  </si>
  <si>
    <t>Tubo de concreto armado para águas pluviais, classe PA-1, com encaixe ponta e bolsa, diâmetro nominal de 800mm</t>
  </si>
  <si>
    <t>TRANSPORTE DE TUBOS</t>
  </si>
  <si>
    <r>
      <t xml:space="preserve">TRANSPORTE DE TUBOS DMT &gt;30Km </t>
    </r>
    <r>
      <rPr>
        <b/>
        <sz val="8"/>
        <color rgb="FFFF0000"/>
        <rFont val="Arial"/>
        <family val="2"/>
      </rPr>
      <t>(t.km)</t>
    </r>
  </si>
  <si>
    <t>Escavação horizontal em solo de 1ª categoria, com trator de esteiras (100HP / lâmina: 2,19m³)</t>
  </si>
  <si>
    <t>Escavação horizontal em solo de 1ª categoria, com trator de esteiras (150HP / lâmina: 3,18m³)</t>
  </si>
  <si>
    <r>
      <t xml:space="preserve">TRANSPORTE DE TUBOS DMT &lt;=30Km </t>
    </r>
    <r>
      <rPr>
        <b/>
        <sz val="8"/>
        <color rgb="FFFF0000"/>
        <rFont val="Arial"/>
        <family val="2"/>
      </rPr>
      <t>(t.km)</t>
    </r>
  </si>
  <si>
    <r>
      <t xml:space="preserve">TRANSPORTE DE TÁTIL &lt;=30km </t>
    </r>
    <r>
      <rPr>
        <b/>
        <sz val="8"/>
        <color rgb="FFFF0000"/>
        <rFont val="Arial"/>
        <family val="2"/>
      </rPr>
      <t>(t.km)</t>
    </r>
  </si>
  <si>
    <r>
      <t xml:space="preserve">TRANSPORTE DE TÁTIL &gt;30km </t>
    </r>
    <r>
      <rPr>
        <b/>
        <sz val="8"/>
        <color rgb="FFFF0000"/>
        <rFont val="Arial"/>
        <family val="2"/>
      </rPr>
      <t>(t.km)</t>
    </r>
  </si>
  <si>
    <t>DADOS DO CONTRATANTE</t>
  </si>
  <si>
    <t>CLIENTE:</t>
  </si>
  <si>
    <t>ENDEREÇO:</t>
  </si>
  <si>
    <t>DADOS DA OBRA</t>
  </si>
  <si>
    <t>OBRA:</t>
  </si>
  <si>
    <t>LOCAL:</t>
  </si>
  <si>
    <t>PAVIMENTAÇÃO ASFÁLTICA E DRENAGEM DE ÁGUAS PLUVIAIS</t>
  </si>
  <si>
    <t>13244 -   Insumo</t>
  </si>
  <si>
    <t>PROFISSIONAL</t>
  </si>
  <si>
    <t>DADOS DA CONTRATADA</t>
  </si>
  <si>
    <r>
      <t xml:space="preserve">PESO </t>
    </r>
    <r>
      <rPr>
        <b/>
        <sz val="8"/>
        <color rgb="FFFF0000"/>
        <rFont val="Arial"/>
        <family val="2"/>
      </rPr>
      <t>(%)</t>
    </r>
  </si>
  <si>
    <t>REFERÊNCIA</t>
  </si>
  <si>
    <r>
      <t xml:space="preserve">Transporte com caminhão carroceria 9T, em via urbana pavimentada, adicional para DMT até 30km - </t>
    </r>
    <r>
      <rPr>
        <sz val="8"/>
        <color rgb="FFFF0000"/>
        <rFont val="Arial"/>
        <family val="2"/>
      </rPr>
      <t>PISO PODOTÁTIL</t>
    </r>
  </si>
  <si>
    <r>
      <t xml:space="preserve">Transporte com caminhão carroceria 9T, em via urbana pavimentada, adicional para DMT excedente a 30km - </t>
    </r>
    <r>
      <rPr>
        <sz val="8"/>
        <color rgb="FFFF0000"/>
        <rFont val="Arial"/>
        <family val="2"/>
      </rPr>
      <t>PISO PODOTÁTIL</t>
    </r>
  </si>
  <si>
    <r>
      <t xml:space="preserve">Transporte com caminhão basculante de 10m³, em via urbana pavimentada, DMT até 30km - </t>
    </r>
    <r>
      <rPr>
        <sz val="8"/>
        <color rgb="FFFF0000"/>
        <rFont val="Arial"/>
        <family val="2"/>
      </rPr>
      <t>CBUQ</t>
    </r>
  </si>
  <si>
    <r>
      <t xml:space="preserve">Execução e compactação de base e ou sub base para pavimentação de solos de comportamento laterítico (arenoso), exclusive solo, escavação, carga e transporte - </t>
    </r>
    <r>
      <rPr>
        <sz val="8"/>
        <color rgb="FFFF0000"/>
        <rFont val="Arial"/>
        <family val="2"/>
      </rPr>
      <t>CASCALHO</t>
    </r>
  </si>
  <si>
    <t>Escoramento de vala, tipo pontaleteamento, com profundidade de 1,50m a 3,00m, largura maior ou igual a 1,50m e menor que 2,50m</t>
  </si>
  <si>
    <t>Encarregado geral com encargos complementares</t>
  </si>
  <si>
    <t>Tampa circular para esgoto e drenagem, em ferro fundido, diâmetro interno = 0,60m</t>
  </si>
  <si>
    <t>Engenheiro civil de obra junior com encargos complentares</t>
  </si>
  <si>
    <r>
      <t xml:space="preserve">Transporte com caminhão basculante de 10m³, em via urbana pavimentada, DMT até 30km - </t>
    </r>
    <r>
      <rPr>
        <sz val="8"/>
        <color rgb="FFFF0000"/>
        <rFont val="Arial"/>
        <family val="2"/>
      </rPr>
      <t>BOTA FORA</t>
    </r>
  </si>
  <si>
    <r>
      <t xml:space="preserve">Transporte com caminhão basculante de 10m³, em via urbana pavimentada, DMT até 30km - </t>
    </r>
    <r>
      <rPr>
        <sz val="8"/>
        <color rgb="FFFF0000"/>
        <rFont val="Arial"/>
        <family val="2"/>
      </rPr>
      <t>BRITA PARA POÇO DE VISITA</t>
    </r>
  </si>
  <si>
    <r>
      <t xml:space="preserve">Transporte com caminhão basculante de 10m³, em via urbana pavimentada, adicional para DMT excedente a 30km - </t>
    </r>
    <r>
      <rPr>
        <sz val="8"/>
        <color rgb="FFFF0000"/>
        <rFont val="Arial"/>
        <family val="2"/>
      </rPr>
      <t>BRITA PARA POÇO DE VISITA</t>
    </r>
  </si>
  <si>
    <r>
      <t xml:space="preserve">Transporte com caminhão basculante de 10m³, em via urbana pavimentada, DMT até 30km - </t>
    </r>
    <r>
      <rPr>
        <sz val="8"/>
        <color rgb="FFFF0000"/>
        <rFont val="Arial"/>
        <family val="2"/>
      </rPr>
      <t>BRITA PARA BOCA DE LOBO</t>
    </r>
  </si>
  <si>
    <r>
      <t xml:space="preserve">Transporte com caminhão basculante de 10m³, em via urbana pavimentada, adicional para DMT excedente a 30km - </t>
    </r>
    <r>
      <rPr>
        <sz val="8"/>
        <color rgb="FFFF0000"/>
        <rFont val="Arial"/>
        <family val="2"/>
      </rPr>
      <t>BRITA PARA BOCA DE LOBO</t>
    </r>
  </si>
  <si>
    <t>Regularização e compactação de subleito de solo predominantemente argiloso</t>
  </si>
  <si>
    <r>
      <t xml:space="preserve">Transporte com caminhão basculante de 10m³, em via urbana pavimentada, adicional para DMT excedente a 30km - </t>
    </r>
    <r>
      <rPr>
        <sz val="8"/>
        <color rgb="FFFF0000"/>
        <rFont val="Arial"/>
        <family val="2"/>
      </rPr>
      <t>CBUQ</t>
    </r>
  </si>
  <si>
    <r>
      <t xml:space="preserve">Transporte com caminhão basculante de 10m³, em via urbana pavimentada, DMT até 30km - </t>
    </r>
    <r>
      <rPr>
        <sz val="8"/>
        <color rgb="FFFF0000"/>
        <rFont val="Arial"/>
        <family val="2"/>
      </rPr>
      <t>CASCALHO</t>
    </r>
  </si>
  <si>
    <r>
      <t xml:space="preserve">Transporte com caminhão basculante de 10m³, em via urbana pavimentada, adicional para DMT excedente a 30km - </t>
    </r>
    <r>
      <rPr>
        <sz val="8"/>
        <color rgb="FFFF0000"/>
        <rFont val="Arial"/>
        <family val="2"/>
      </rPr>
      <t>CASCALHO</t>
    </r>
  </si>
  <si>
    <r>
      <t xml:space="preserve">Transporte com caminhão basculante de 10m³, em via urbana pavimentada, DMT até 30km - </t>
    </r>
    <r>
      <rPr>
        <sz val="8"/>
        <color rgb="FFFF0000"/>
        <rFont val="Arial"/>
        <family val="2"/>
      </rPr>
      <t>BRITA PARA MEIO FIO E TENTO</t>
    </r>
  </si>
  <si>
    <r>
      <t xml:space="preserve">Transporte com caminhão basculante de 10m³, em via urbana pavimentada, adicional para DMT excedente a 30km - </t>
    </r>
    <r>
      <rPr>
        <sz val="8"/>
        <color rgb="FFFF0000"/>
        <rFont val="Arial"/>
        <family val="2"/>
      </rPr>
      <t>BRITA PARA MEIO FIO E TENTO</t>
    </r>
  </si>
  <si>
    <r>
      <t xml:space="preserve">Transporte com caminhão basculante de 10m³, em via urbana pavimentada, DMT até 30km - </t>
    </r>
    <r>
      <rPr>
        <sz val="8"/>
        <color rgb="FFFF0000"/>
        <rFont val="Arial"/>
        <family val="2"/>
      </rPr>
      <t>BRITA PARA CALÇADAS</t>
    </r>
  </si>
  <si>
    <r>
      <t xml:space="preserve">Transporte com caminhão basculante de 10m³, em via urbana pavimentada, adicional para DMT excedente a 30km - </t>
    </r>
    <r>
      <rPr>
        <sz val="8"/>
        <color rgb="FFFF0000"/>
        <rFont val="Arial"/>
        <family val="2"/>
      </rPr>
      <t>BRITA PARA CALÇADAS</t>
    </r>
  </si>
  <si>
    <r>
      <t xml:space="preserve">Transporte com caminhão basculante de 10m³, em via urbana pavimentada, DMT até 30km - </t>
    </r>
    <r>
      <rPr>
        <sz val="8"/>
        <color rgb="FFFF0000"/>
        <rFont val="Arial"/>
        <family val="2"/>
      </rPr>
      <t>BRITA PARA RAMPAS DE ACESSO</t>
    </r>
  </si>
  <si>
    <r>
      <t xml:space="preserve">Transporte com caminhão basculante de 10m³, em via urbana pavimentada, adicional para DMT excedente a 30km - </t>
    </r>
    <r>
      <rPr>
        <sz val="8"/>
        <color rgb="FFFF0000"/>
        <rFont val="Arial"/>
        <family val="2"/>
      </rPr>
      <t>BRITA PARA RAMPAS DE ACESSO</t>
    </r>
  </si>
  <si>
    <r>
      <t xml:space="preserve">CARGA DE TUBOS </t>
    </r>
    <r>
      <rPr>
        <b/>
        <sz val="8"/>
        <color rgb="FFFF0000"/>
        <rFont val="Arial"/>
        <family val="2"/>
      </rPr>
      <t>(t)</t>
    </r>
  </si>
  <si>
    <r>
      <t>BRITA P/ CONCRETO 15MPa</t>
    </r>
    <r>
      <rPr>
        <b/>
        <sz val="8"/>
        <color rgb="FFFF0000"/>
        <rFont val="Arial"/>
        <family val="2"/>
      </rPr>
      <t xml:space="preserve"> (m³)</t>
    </r>
  </si>
  <si>
    <r>
      <t>BRITA P/ CONCRETO 20MPa</t>
    </r>
    <r>
      <rPr>
        <b/>
        <sz val="8"/>
        <color rgb="FFFF0000"/>
        <rFont val="Arial"/>
        <family val="2"/>
      </rPr>
      <t xml:space="preserve"> (m³)</t>
    </r>
  </si>
  <si>
    <r>
      <t>CONCRETO 15MPa P/ PV-1</t>
    </r>
    <r>
      <rPr>
        <b/>
        <sz val="8"/>
        <color rgb="FFFF0000"/>
        <rFont val="Arial"/>
        <family val="2"/>
      </rPr>
      <t xml:space="preserve"> (m³)</t>
    </r>
  </si>
  <si>
    <r>
      <t>BRITA P/ LASTRO</t>
    </r>
    <r>
      <rPr>
        <b/>
        <sz val="8"/>
        <color rgb="FFFF0000"/>
        <rFont val="Arial"/>
        <family val="2"/>
      </rPr>
      <t xml:space="preserve"> (m³)</t>
    </r>
  </si>
  <si>
    <r>
      <t>CONCRETO 20MPa P/ PV-1</t>
    </r>
    <r>
      <rPr>
        <b/>
        <sz val="8"/>
        <color rgb="FFFF0000"/>
        <rFont val="Arial"/>
        <family val="2"/>
      </rPr>
      <t xml:space="preserve"> (m³)</t>
    </r>
  </si>
  <si>
    <r>
      <t>LASTRO P/ PV-1</t>
    </r>
    <r>
      <rPr>
        <b/>
        <sz val="8"/>
        <color rgb="FFFF0000"/>
        <rFont val="Arial"/>
        <family val="2"/>
      </rPr>
      <t xml:space="preserve"> (m³)</t>
    </r>
  </si>
  <si>
    <r>
      <t>CONCRETO 20MPa P/ BLS</t>
    </r>
    <r>
      <rPr>
        <b/>
        <sz val="8"/>
        <color rgb="FFFF0000"/>
        <rFont val="Arial"/>
        <family val="2"/>
      </rPr>
      <t xml:space="preserve"> (m³)</t>
    </r>
  </si>
  <si>
    <r>
      <t>CONCRETO 20MPa P/ BLD</t>
    </r>
    <r>
      <rPr>
        <b/>
        <sz val="8"/>
        <color rgb="FFFF0000"/>
        <rFont val="Arial"/>
        <family val="2"/>
      </rPr>
      <t xml:space="preserve"> (m³)</t>
    </r>
  </si>
  <si>
    <r>
      <t>CONCRETO 20MPa P/ BLT</t>
    </r>
    <r>
      <rPr>
        <b/>
        <sz val="8"/>
        <color rgb="FFFF0000"/>
        <rFont val="Arial"/>
        <family val="2"/>
      </rPr>
      <t xml:space="preserve"> (m³)</t>
    </r>
  </si>
  <si>
    <t>Escavação mecanizada de vala com prof. de 1,50m até 3,00m (média entre montante e jusante / um composição por trecho), com escavadeira hidráulica (1,20m³ / 155HP), larg. de 1,50m a 2,50m, em solo de 1ª categoria, em locais com nível alto de interferência</t>
  </si>
  <si>
    <r>
      <t>SEÇÃO DO MEIO FIO COM SARJETA</t>
    </r>
    <r>
      <rPr>
        <b/>
        <sz val="8"/>
        <color rgb="FFFF0000"/>
        <rFont val="Arial"/>
        <family val="2"/>
      </rPr>
      <t xml:space="preserve"> (m</t>
    </r>
    <r>
      <rPr>
        <sz val="8"/>
        <color rgb="FFFF0000"/>
        <rFont val="Arial"/>
        <family val="2"/>
      </rPr>
      <t>²</t>
    </r>
    <r>
      <rPr>
        <b/>
        <sz val="8"/>
        <color rgb="FFFF0000"/>
        <rFont val="Arial"/>
        <family val="2"/>
      </rPr>
      <t>)</t>
    </r>
  </si>
  <si>
    <r>
      <t>SEÇÃO DO MEIO FIO SEM SARJETA</t>
    </r>
    <r>
      <rPr>
        <b/>
        <sz val="8"/>
        <color rgb="FFFF0000"/>
        <rFont val="Arial"/>
        <family val="2"/>
      </rPr>
      <t xml:space="preserve"> (m</t>
    </r>
    <r>
      <rPr>
        <sz val="8"/>
        <color rgb="FFFF0000"/>
        <rFont val="Arial"/>
        <family val="2"/>
      </rPr>
      <t>²</t>
    </r>
    <r>
      <rPr>
        <b/>
        <sz val="8"/>
        <color rgb="FFFF0000"/>
        <rFont val="Arial"/>
        <family val="2"/>
      </rPr>
      <t>)</t>
    </r>
  </si>
  <si>
    <r>
      <t>SEÇÃO DO TENTO</t>
    </r>
    <r>
      <rPr>
        <b/>
        <sz val="8"/>
        <color rgb="FFFF0000"/>
        <rFont val="Arial"/>
        <family val="2"/>
      </rPr>
      <t xml:space="preserve"> (m</t>
    </r>
    <r>
      <rPr>
        <sz val="8"/>
        <color rgb="FFFF0000"/>
        <rFont val="Arial"/>
        <family val="2"/>
      </rPr>
      <t>²</t>
    </r>
    <r>
      <rPr>
        <b/>
        <sz val="8"/>
        <color rgb="FFFF0000"/>
        <rFont val="Arial"/>
        <family val="2"/>
      </rPr>
      <t>)</t>
    </r>
  </si>
  <si>
    <r>
      <t>SEÇÃO DO MEIO FIO ROTATÓRIA</t>
    </r>
    <r>
      <rPr>
        <b/>
        <sz val="8"/>
        <color rgb="FFFF0000"/>
        <rFont val="Arial"/>
        <family val="2"/>
      </rPr>
      <t xml:space="preserve"> (m</t>
    </r>
    <r>
      <rPr>
        <sz val="8"/>
        <color rgb="FFFF0000"/>
        <rFont val="Arial"/>
        <family val="2"/>
      </rPr>
      <t>²</t>
    </r>
    <r>
      <rPr>
        <b/>
        <sz val="8"/>
        <color rgb="FFFF0000"/>
        <rFont val="Arial"/>
        <family val="2"/>
      </rPr>
      <t>)</t>
    </r>
  </si>
  <si>
    <t>BRITA P/ CONCRETO 15MPa</t>
  </si>
  <si>
    <t>CONSUMO DE CONCRETO 20MPa P/ CALÇADAS</t>
  </si>
  <si>
    <t>CONSUMO DE CONCRETO 20MPa P/ RAMPAS</t>
  </si>
  <si>
    <t>BANCOS</t>
  </si>
  <si>
    <t>ENCARGOS SOCIAIS</t>
  </si>
  <si>
    <t>MARCELLA BERNARDO LIMA - CREA 61634 / D - MS</t>
  </si>
  <si>
    <t>FERNANDO PEREIRA KHALIL - CREA 17392 / D - MS</t>
  </si>
  <si>
    <t>CAMPO GRANDE/MS</t>
  </si>
  <si>
    <t>VANESSA CRISTINA DE SOUZA - CAU A229391-9</t>
  </si>
  <si>
    <t>ELEMENTO ENGENHARIA E ARQUITETURA LTDA - CREA 20196 - MS</t>
  </si>
  <si>
    <t>Pintura de eixo viário sobre asfalto com tinta retrorrefletiva a base de resina acrilica, com microesferas de vidro, aplicação mecânica com demarcadora auto propelida</t>
  </si>
  <si>
    <t>Pintura de símbolos e textos com tinta acrilica, demarcação com fita a adesiva e aplicação com rolo</t>
  </si>
  <si>
    <t>VERIFICAÇÃO DO BDI - ACÓRDÃO 2.622/2013</t>
  </si>
  <si>
    <t>DADOS INICIAIS</t>
  </si>
  <si>
    <t>TIPO DE OBRA:</t>
  </si>
  <si>
    <t>Construção de rodovias e ferrovias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</si>
  <si>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</si>
  <si>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</si>
  <si>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</si>
  <si>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</si>
  <si>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</si>
  <si>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</si>
  <si>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</si>
  <si>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</si>
  <si>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</si>
  <si>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</si>
  <si>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</si>
  <si>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</si>
  <si>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</si>
  <si>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</si>
  <si>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</si>
  <si>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</si>
  <si>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</si>
  <si>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</si>
  <si>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</si>
  <si>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</si>
  <si>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</si>
  <si>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</si>
  <si>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</si>
  <si>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</si>
  <si>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</si>
  <si>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</si>
  <si>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</si>
  <si>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</si>
  <si>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</si>
  <si>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</si>
  <si>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</si>
  <si>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____________________________________</t>
  </si>
  <si>
    <t>Elemento Engenharia e Arquitetura
CNPJ: 33.545.436/0001-15</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</si>
  <si>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</si>
  <si>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</si>
  <si>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</si>
  <si>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</si>
  <si>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</si>
  <si>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</si>
  <si>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</si>
  <si>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</si>
  <si>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</si>
  <si>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</si>
  <si>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</si>
  <si>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</si>
  <si>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</si>
  <si>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</si>
  <si>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</si>
  <si>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</si>
  <si>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</si>
  <si>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</si>
  <si>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Código da pesquisa</t>
  </si>
  <si>
    <t>1º Quartil</t>
  </si>
  <si>
    <t>Médio</t>
  </si>
  <si>
    <t>3º Quartil</t>
  </si>
  <si>
    <t>1 Quartil</t>
  </si>
  <si>
    <t>3 Quartil</t>
  </si>
  <si>
    <t>LOCAL</t>
  </si>
  <si>
    <t>CIDADE</t>
  </si>
  <si>
    <t>BDI SERVIÇO:</t>
  </si>
  <si>
    <r>
      <t>LARGURA DO PISO PODOTÁTIL</t>
    </r>
    <r>
      <rPr>
        <b/>
        <sz val="8"/>
        <color rgb="FFFF0000"/>
        <rFont val="Arial"/>
        <family val="2"/>
      </rPr>
      <t xml:space="preserve"> (m)</t>
    </r>
  </si>
  <si>
    <t>Emulsão asfáltica a base d'água para imprimação</t>
  </si>
  <si>
    <r>
      <t>LASTRO DE PEDRA DE MÃO P/ DI-01</t>
    </r>
    <r>
      <rPr>
        <b/>
        <sz val="8"/>
        <color rgb="FFFF0000"/>
        <rFont val="Arial"/>
        <family val="2"/>
      </rPr>
      <t xml:space="preserve"> (m³)</t>
    </r>
  </si>
  <si>
    <r>
      <t xml:space="preserve">CARGA DE LASTRO DE PEDRA DE MÃO P/ DISSIPADOR </t>
    </r>
    <r>
      <rPr>
        <b/>
        <sz val="8"/>
        <color rgb="FFFF0000"/>
        <rFont val="Arial"/>
        <family val="2"/>
      </rPr>
      <t>(m³)</t>
    </r>
  </si>
  <si>
    <r>
      <t xml:space="preserve">TRANSPORTE DE LASTRO DE PEDRA DE MÃO </t>
    </r>
    <r>
      <rPr>
        <b/>
        <sz val="8"/>
        <color rgb="FFFF0000"/>
        <rFont val="Arial"/>
        <family val="2"/>
      </rPr>
      <t>(m³.km)</t>
    </r>
  </si>
  <si>
    <r>
      <t xml:space="preserve">TRANSPORTE CM-IMPRIMA </t>
    </r>
    <r>
      <rPr>
        <b/>
        <sz val="8"/>
        <color rgb="FFFF0000"/>
        <rFont val="Arial"/>
        <family val="2"/>
      </rPr>
      <t>(t.km)</t>
    </r>
  </si>
  <si>
    <r>
      <t xml:space="preserve">EMULSÃO CM-IMPRIMA </t>
    </r>
    <r>
      <rPr>
        <b/>
        <sz val="8"/>
        <color rgb="FFFF0000"/>
        <rFont val="Arial"/>
        <family val="2"/>
      </rPr>
      <t>(t)</t>
    </r>
  </si>
  <si>
    <r>
      <t xml:space="preserve">AQUISIÇÃO </t>
    </r>
    <r>
      <rPr>
        <b/>
        <sz val="8"/>
        <color rgb="FFFF0000"/>
        <rFont val="Arial"/>
        <family val="2"/>
      </rPr>
      <t>(t)</t>
    </r>
  </si>
  <si>
    <r>
      <t xml:space="preserve">APLICAÇÃO </t>
    </r>
    <r>
      <rPr>
        <b/>
        <sz val="8"/>
        <color rgb="FFFF0000"/>
        <rFont val="Arial"/>
        <family val="2"/>
      </rPr>
      <t>(t)</t>
    </r>
  </si>
  <si>
    <r>
      <t xml:space="preserve">TRANSPORTE DE CBUQ </t>
    </r>
    <r>
      <rPr>
        <b/>
        <sz val="8"/>
        <color rgb="FFFF0000"/>
        <rFont val="Arial"/>
        <family val="2"/>
      </rPr>
      <t>(t.km)</t>
    </r>
  </si>
  <si>
    <r>
      <t xml:space="preserve">EMULSÃO </t>
    </r>
    <r>
      <rPr>
        <b/>
        <sz val="8"/>
        <color rgb="FFFF0000"/>
        <rFont val="Arial"/>
        <family val="2"/>
      </rPr>
      <t>(t/m³)</t>
    </r>
  </si>
  <si>
    <t>t</t>
  </si>
  <si>
    <t>1518 - Insumo</t>
  </si>
  <si>
    <t>Aplicação de concreto betuminoso usinado à quente (CBUQ), exclusive transporte e material</t>
  </si>
  <si>
    <r>
      <t>EXTENSÃO POR RAMPA</t>
    </r>
    <r>
      <rPr>
        <b/>
        <sz val="8"/>
        <color rgb="FFFF0000"/>
        <rFont val="Arial"/>
        <family val="2"/>
      </rPr>
      <t xml:space="preserve"> (m)</t>
    </r>
  </si>
  <si>
    <t>GRECA ASFALTOS</t>
  </si>
  <si>
    <t>CM-IMPRIMA</t>
  </si>
  <si>
    <t>Concreto betuminoso usinado a quente (CBUQ) para pavimentação asfáltica, padrão DNIT, faixa "C", com CAP 50/70, aquisição posto usina</t>
  </si>
  <si>
    <r>
      <t>ÁREA DE PISO PODOTÁTIL</t>
    </r>
    <r>
      <rPr>
        <b/>
        <sz val="8"/>
        <color rgb="FFFF0000"/>
        <rFont val="Arial"/>
        <family val="2"/>
      </rPr>
      <t xml:space="preserve"> (m²)</t>
    </r>
  </si>
  <si>
    <t>QUADRO DE DISTÂNCIA MÉDIAS DE TRANSPORTE DE INSUMOS - DMT</t>
  </si>
  <si>
    <t>INSUMO</t>
  </si>
  <si>
    <t>USINA DE CBUQ</t>
  </si>
  <si>
    <t>JAZIDA DE CASCALHO</t>
  </si>
  <si>
    <t>PEDREIRA</t>
  </si>
  <si>
    <t>LAJ LUCAS</t>
  </si>
  <si>
    <t>DEMOLIÇÕES</t>
  </si>
  <si>
    <r>
      <t xml:space="preserve">CONSUMO CM-IMPRIMA </t>
    </r>
    <r>
      <rPr>
        <b/>
        <sz val="8"/>
        <color rgb="FFFF0000"/>
        <rFont val="Arial"/>
        <family val="2"/>
      </rPr>
      <t>(t/m²)</t>
    </r>
  </si>
  <si>
    <t>PAVIMENTO ASFÁLTICO EXISTENTE</t>
  </si>
  <si>
    <t>DEMOLIÇÃO DE PAVIMENTO ASFÁLTICO</t>
  </si>
  <si>
    <t>01</t>
  </si>
  <si>
    <t>02</t>
  </si>
  <si>
    <t>03</t>
  </si>
  <si>
    <t>04</t>
  </si>
  <si>
    <t>05</t>
  </si>
  <si>
    <r>
      <rPr>
        <b/>
        <sz val="8"/>
        <rFont val="Arial"/>
        <family val="2"/>
      </rPr>
      <t xml:space="preserve">EXTENSÃO </t>
    </r>
    <r>
      <rPr>
        <b/>
        <sz val="8"/>
        <color rgb="FFFF0000"/>
        <rFont val="Arial"/>
        <family val="2"/>
      </rPr>
      <t>(m)</t>
    </r>
  </si>
  <si>
    <r>
      <rPr>
        <b/>
        <sz val="8"/>
        <rFont val="Arial"/>
        <family val="2"/>
      </rPr>
      <t xml:space="preserve">LARGURA MÉDIA </t>
    </r>
    <r>
      <rPr>
        <b/>
        <sz val="8"/>
        <color rgb="FFFF0000"/>
        <rFont val="Arial"/>
        <family val="2"/>
      </rPr>
      <t>(m)</t>
    </r>
  </si>
  <si>
    <r>
      <rPr>
        <b/>
        <sz val="8"/>
        <rFont val="Arial"/>
        <family val="2"/>
      </rPr>
      <t xml:space="preserve">ESPESSURA </t>
    </r>
    <r>
      <rPr>
        <b/>
        <sz val="8"/>
        <color rgb="FFFF0000"/>
        <rFont val="Arial"/>
        <family val="2"/>
      </rPr>
      <t>(m)</t>
    </r>
  </si>
  <si>
    <r>
      <t>ÁREA DE DEMOLIÇÃO DE PAVIMENTO</t>
    </r>
    <r>
      <rPr>
        <b/>
        <sz val="8"/>
        <color rgb="FFFF0000"/>
        <rFont val="Arial"/>
        <family val="2"/>
      </rPr>
      <t xml:space="preserve"> (m²)</t>
    </r>
  </si>
  <si>
    <t>DEMOLIÇÃO DE MEIO FIO</t>
  </si>
  <si>
    <t>MEIO FIO EXISTENTE</t>
  </si>
  <si>
    <t>Demolição de pilares e vigas em concreto armado, de forma mecanizada, com martelete, sem reaproveitamento</t>
  </si>
  <si>
    <r>
      <rPr>
        <b/>
        <sz val="8"/>
        <rFont val="Arial"/>
        <family val="2"/>
      </rPr>
      <t xml:space="preserve">SEÇÃO MEIO FIO </t>
    </r>
    <r>
      <rPr>
        <b/>
        <sz val="8"/>
        <color rgb="FFFF0000"/>
        <rFont val="Arial"/>
        <family val="2"/>
      </rPr>
      <t>(m²)</t>
    </r>
  </si>
  <si>
    <r>
      <t>VOLUME DE DEMOLIÇÃO DE MEIO FIO</t>
    </r>
    <r>
      <rPr>
        <b/>
        <sz val="8"/>
        <color rgb="FFFF0000"/>
        <rFont val="Arial"/>
        <family val="2"/>
      </rPr>
      <t xml:space="preserve"> (m³)</t>
    </r>
  </si>
  <si>
    <r>
      <t>TRANSPORTE BOTA FORA</t>
    </r>
    <r>
      <rPr>
        <b/>
        <sz val="8"/>
        <color rgb="FFFF0000"/>
        <rFont val="Arial"/>
        <family val="2"/>
      </rPr>
      <t xml:space="preserve"> (m³.km)</t>
    </r>
  </si>
  <si>
    <t>Assentamento de tubo de concreto para redes coletoras de águas pluviais, diâmetro de 400mm, junta rígida, instalado em local com alto nível de interferência (não inclui fornecimento)</t>
  </si>
  <si>
    <t>Assentamento de tubo de concreto para redes coletoras de águas pluviais, diâmetro de 800mm, junta rígida, instalado em local com alto nível de interferência (não inclui fornecimento)</t>
  </si>
  <si>
    <t>Auxiliar de laboratório com encargos complementares</t>
  </si>
  <si>
    <t>Técnico de laboratório com encargos complementares</t>
  </si>
  <si>
    <t>DMT (km)</t>
  </si>
  <si>
    <t>Fornecimento e instalação de placa de obra com chapa galvanizada e estrutura de madeira</t>
  </si>
  <si>
    <t>06</t>
  </si>
  <si>
    <t>07</t>
  </si>
  <si>
    <t>08</t>
  </si>
  <si>
    <t>Reaterro mecanizado de vala com escavadeira hidráulica, (capacidade da caçamba da retro: 0,80m³ / 111HP), larg. de 1,50m a 2,50m, profundidade de1,50m a 3,00m, com solo de 1ª categoria, com compactador de solos de percussão</t>
  </si>
  <si>
    <r>
      <t>ALTURA</t>
    </r>
    <r>
      <rPr>
        <b/>
        <sz val="8"/>
        <color rgb="FFFF0000"/>
        <rFont val="Arial"/>
        <family val="2"/>
      </rPr>
      <t xml:space="preserve"> (m)</t>
    </r>
  </si>
  <si>
    <t>(3,00m &lt; H ≤ 6,00m) (L &gt; 1,50m)</t>
  </si>
  <si>
    <t>(3,00m &lt; H ≤ 6,00m) (L ≤ 1,50m)</t>
  </si>
  <si>
    <t>MATERIAL (P=PEAD C=CONCRETO MET=METÁLICO)</t>
  </si>
  <si>
    <t>01.01</t>
  </si>
  <si>
    <t>10776 - Insumo</t>
  </si>
  <si>
    <t>01.02</t>
  </si>
  <si>
    <t>Locação de container 2,30m x 6,00m, alt 2,50m, para escritório, sem divisórias internas e sem sanitário (não inclui mobilização / desmobilização)</t>
  </si>
  <si>
    <t>mês</t>
  </si>
  <si>
    <t>01.03</t>
  </si>
  <si>
    <t>Locação de uma unidade de banheiro químico (2,31m x 1,15m x 1,15m com uma higienização por semana, inclusive transporte, carga e descarga</t>
  </si>
  <si>
    <t>01.04</t>
  </si>
  <si>
    <t>Fornecimento e colocação de tela tapume de proteção, altura 1,20m, fabricada com polietileno reforçado, por processo de extrusão, fornecida na cor laranja, no tipo leve, rolo com as seguintes dimensões h = 1,20m e I = 50m</t>
  </si>
  <si>
    <t>01.05</t>
  </si>
  <si>
    <t>01.06</t>
  </si>
  <si>
    <t>PRELIMINARES</t>
  </si>
  <si>
    <t>01.07</t>
  </si>
  <si>
    <r>
      <t>LOCAÇÃO DE CONTAINER</t>
    </r>
    <r>
      <rPr>
        <b/>
        <sz val="8"/>
        <color rgb="FFFF0000"/>
        <rFont val="Arial"/>
        <family val="2"/>
      </rPr>
      <t xml:space="preserve"> (un)</t>
    </r>
  </si>
  <si>
    <r>
      <t>LOCAÇÃO DE BANHEIRO QUÍMICO</t>
    </r>
    <r>
      <rPr>
        <b/>
        <sz val="8"/>
        <color rgb="FFFF0000"/>
        <rFont val="Arial"/>
        <family val="2"/>
      </rPr>
      <t xml:space="preserve"> (un)</t>
    </r>
  </si>
  <si>
    <r>
      <t>ISOLAMENTO DE OBRA</t>
    </r>
    <r>
      <rPr>
        <b/>
        <sz val="8"/>
        <color rgb="FFFF0000"/>
        <rFont val="Arial"/>
        <family val="2"/>
      </rPr>
      <t xml:space="preserve"> (m²)</t>
    </r>
  </si>
  <si>
    <r>
      <t>PLACA DE ADVERTÊNCIA</t>
    </r>
    <r>
      <rPr>
        <b/>
        <sz val="8"/>
        <color rgb="FFFF0000"/>
        <rFont val="Arial"/>
        <family val="2"/>
      </rPr>
      <t xml:space="preserve"> (un)</t>
    </r>
  </si>
  <si>
    <t>02.01</t>
  </si>
  <si>
    <t>03.01</t>
  </si>
  <si>
    <t>03.02</t>
  </si>
  <si>
    <t>(1,50m &lt; H ≤ 3,00m) (L ≤ 1,50m)</t>
  </si>
  <si>
    <t>04.01</t>
  </si>
  <si>
    <t>04.02</t>
  </si>
  <si>
    <t>DISSIPADOR DE ENERGIA</t>
  </si>
  <si>
    <r>
      <t xml:space="preserve">Transporte com caminhão basculante de 10m³, em via urbana pavimentada, DMT até 30km - </t>
    </r>
    <r>
      <rPr>
        <sz val="8"/>
        <color rgb="FFFF0000"/>
        <rFont val="Arial"/>
        <family val="2"/>
      </rPr>
      <t>BRITA PARA DISSIPADOR</t>
    </r>
  </si>
  <si>
    <r>
      <t xml:space="preserve">Transporte com caminhão basculante de 10m³, em via urbana pavimentada, adicional para DMT excedente a 30km - </t>
    </r>
    <r>
      <rPr>
        <sz val="8"/>
        <color rgb="FFFF0000"/>
        <rFont val="Arial"/>
        <family val="2"/>
      </rPr>
      <t>BRITA PARA DISSIPADOR</t>
    </r>
  </si>
  <si>
    <r>
      <t xml:space="preserve">Transporte com caminhão carroceria com guindauto (munck), momento máximo de carga 11,7TM, em via urbana pavimentada, DMT até 30km - </t>
    </r>
    <r>
      <rPr>
        <sz val="8"/>
        <color rgb="FFFF0000"/>
        <rFont val="Arial"/>
        <family val="2"/>
      </rPr>
      <t>TUBOS E ADUELA</t>
    </r>
  </si>
  <si>
    <r>
      <t>PESO UNITÁRIO PS-1 Ø0,40m</t>
    </r>
    <r>
      <rPr>
        <b/>
        <sz val="8"/>
        <color rgb="FFFF0000"/>
        <rFont val="Arial"/>
        <family val="2"/>
      </rPr>
      <t xml:space="preserve"> (t)</t>
    </r>
  </si>
  <si>
    <t>05.01</t>
  </si>
  <si>
    <t>05.02</t>
  </si>
  <si>
    <t>05.03</t>
  </si>
  <si>
    <t>05.04</t>
  </si>
  <si>
    <t>05.05</t>
  </si>
  <si>
    <t>MIUC00703 - AGESUL</t>
  </si>
  <si>
    <r>
      <t xml:space="preserve">Transporte com caminhão tanque de transporte de material asfáltico de 30.000L, em via urbana pavimentada, DMT até 30km - </t>
    </r>
    <r>
      <rPr>
        <sz val="8"/>
        <color rgb="FFFF0000"/>
        <rFont val="Arial"/>
        <family val="2"/>
      </rPr>
      <t>CM-IMPRIMA</t>
    </r>
  </si>
  <si>
    <r>
      <t xml:space="preserve">Transporte com caminhão tanque de transporte de material asfáltico de 30.000L, em via urbana pavimentada, adicional para DMT excedente a 30km - </t>
    </r>
    <r>
      <rPr>
        <sz val="8"/>
        <color rgb="FFFF0000"/>
        <rFont val="Arial"/>
        <family val="2"/>
      </rPr>
      <t>CM-IMPRIMA</t>
    </r>
  </si>
  <si>
    <t>IUP0007 - AGESUL</t>
  </si>
  <si>
    <t>06.01</t>
  </si>
  <si>
    <t>06.02</t>
  </si>
  <si>
    <t>08.01</t>
  </si>
  <si>
    <t>08.02</t>
  </si>
  <si>
    <t>08.03</t>
  </si>
  <si>
    <t>08.04</t>
  </si>
  <si>
    <t>08.05</t>
  </si>
  <si>
    <r>
      <t xml:space="preserve">EXTENSÃO TOTAL </t>
    </r>
    <r>
      <rPr>
        <b/>
        <sz val="8"/>
        <color rgb="FFFF0000"/>
        <rFont val="Arial"/>
        <family val="2"/>
      </rPr>
      <t>(m)</t>
    </r>
  </si>
  <si>
    <r>
      <t>ÁREA UNITÁRIA RAMPA</t>
    </r>
    <r>
      <rPr>
        <b/>
        <sz val="8"/>
        <color rgb="FFFF0000"/>
        <rFont val="Arial"/>
        <family val="2"/>
      </rPr>
      <t xml:space="preserve"> (m²)</t>
    </r>
  </si>
  <si>
    <r>
      <t>QUANT. DE RAMPAS</t>
    </r>
    <r>
      <rPr>
        <b/>
        <sz val="8"/>
        <color rgb="FFFF0000"/>
        <rFont val="Arial"/>
        <family val="2"/>
      </rPr>
      <t xml:space="preserve"> (un)</t>
    </r>
  </si>
  <si>
    <r>
      <t>EXTENSÃO TOTAL</t>
    </r>
    <r>
      <rPr>
        <b/>
        <sz val="8"/>
        <color rgb="FFFF0000"/>
        <rFont val="Arial"/>
        <family val="2"/>
      </rPr>
      <t xml:space="preserve"> (m)</t>
    </r>
  </si>
  <si>
    <t>07.01</t>
  </si>
  <si>
    <t>07.02</t>
  </si>
  <si>
    <t>07.03</t>
  </si>
  <si>
    <t>07.04</t>
  </si>
  <si>
    <t>07.05</t>
  </si>
  <si>
    <r>
      <t>PESO UNITÁRIO PA-1 Ø0,80m</t>
    </r>
    <r>
      <rPr>
        <b/>
        <sz val="8"/>
        <color rgb="FFFF0000"/>
        <rFont val="Arial"/>
        <family val="2"/>
      </rPr>
      <t xml:space="preserve"> (t)</t>
    </r>
  </si>
  <si>
    <t>RUA ANTÔNIO MARIA COELHO, Nº 4.017 - SALA 03 - SANTA FÉ</t>
  </si>
  <si>
    <t>Corte raso e recorte de árvore com diâmetro de tronca maior ou igual a 0,20m e menor que 0,40m.</t>
  </si>
  <si>
    <r>
      <t>REMOÇÃO DE ÁRVORES</t>
    </r>
    <r>
      <rPr>
        <b/>
        <sz val="8"/>
        <color rgb="FFFF0000"/>
        <rFont val="Arial"/>
        <family val="2"/>
      </rPr>
      <t xml:space="preserve"> (un)</t>
    </r>
  </si>
  <si>
    <t>EQUIPE TÉCNICA</t>
  </si>
  <si>
    <t>PREFEITURA MUNICIPAL DE JARDIM / MS</t>
  </si>
  <si>
    <t>RUA CEL. JUVÊNCIO, Nº 547 - CENTRO</t>
  </si>
  <si>
    <t>JARDIM PREVISUL, JARDIM / MS</t>
  </si>
  <si>
    <r>
      <t>QUANTIDADE DE RAIOS DE 4,00m</t>
    </r>
    <r>
      <rPr>
        <b/>
        <sz val="8"/>
        <color rgb="FFFF0000"/>
        <rFont val="Arial"/>
        <family val="2"/>
      </rPr>
      <t xml:space="preserve"> (un)</t>
    </r>
  </si>
  <si>
    <r>
      <t>ÁREA DO RAIO DE 4,00m</t>
    </r>
    <r>
      <rPr>
        <b/>
        <sz val="8"/>
        <color rgb="FFFF0000"/>
        <rFont val="Arial"/>
        <family val="2"/>
      </rPr>
      <t xml:space="preserve"> (m²)</t>
    </r>
  </si>
  <si>
    <t>RUA FERNANDO AUGUSTO DE FREITAS</t>
  </si>
  <si>
    <t>RUA JASMIM</t>
  </si>
  <si>
    <t>RUA MAGNÓLIA</t>
  </si>
  <si>
    <t>RUA DAS ROSAS</t>
  </si>
  <si>
    <t>RUA TEODORINA GONÇALVES</t>
  </si>
  <si>
    <t>RUA PRIMAVERA</t>
  </si>
  <si>
    <t>RUA HERMES DA FONSECA</t>
  </si>
  <si>
    <t>RUA GARDENIA</t>
  </si>
  <si>
    <t xml:space="preserve">RUA BRÁS </t>
  </si>
  <si>
    <t>RUA DOS HERÓIS</t>
  </si>
  <si>
    <t>CALCÁRIO BODOQUENA</t>
  </si>
  <si>
    <t>BELA VISTA/MS</t>
  </si>
  <si>
    <t>ARTEFATOS OTTO FRANTZ</t>
  </si>
  <si>
    <t>JARDIM/MS</t>
  </si>
  <si>
    <t>MEEL ENGENHARIA</t>
  </si>
  <si>
    <t>GUIA LOPES DA LAGUNA/MS</t>
  </si>
  <si>
    <t>02.02</t>
  </si>
  <si>
    <t>02.03</t>
  </si>
  <si>
    <t>02.04</t>
  </si>
  <si>
    <t>02.05</t>
  </si>
  <si>
    <t>02.06</t>
  </si>
  <si>
    <t>02.07</t>
  </si>
  <si>
    <t>02.08</t>
  </si>
  <si>
    <t>06.03</t>
  </si>
  <si>
    <t>06.04</t>
  </si>
  <si>
    <t>MÊS 07</t>
  </si>
  <si>
    <t>MÊS 08</t>
  </si>
  <si>
    <t>MÊS 09</t>
  </si>
  <si>
    <t>COMPOSIÇÃO DE CUSTO UNITÁRIO</t>
  </si>
  <si>
    <t>UNIDADE</t>
  </si>
  <si>
    <t>PRODUÇÃO DE EQUIPE</t>
  </si>
  <si>
    <t>EEA-SP-03</t>
  </si>
  <si>
    <t>un</t>
  </si>
  <si>
    <t>EQUIPAMENTO</t>
  </si>
  <si>
    <t>CUSTO OPERACIONAL</t>
  </si>
  <si>
    <t>UTILIZAÇÃO</t>
  </si>
  <si>
    <t>CUSTO HORÁRIO</t>
  </si>
  <si>
    <t>PROD.</t>
  </si>
  <si>
    <t>IMPROD.</t>
  </si>
  <si>
    <t>CUSTO HORÁRIO DO EQUIPAMENTO</t>
  </si>
  <si>
    <t>MÃO DE OBRA</t>
  </si>
  <si>
    <t>SALÁRIO BASE</t>
  </si>
  <si>
    <t>QUANTIDADES</t>
  </si>
  <si>
    <t>Carpinteiro de formas com encargos complementares</t>
  </si>
  <si>
    <t>Servente com encargos complementares</t>
  </si>
  <si>
    <t>CUSTO HORÁRIO DA MÃO DE OBRA</t>
  </si>
  <si>
    <t>CUSTO UNITÁRIO DO EQUIPAMENTO + MÃO DE OBRA</t>
  </si>
  <si>
    <t>CUSTO UNITÁRIO DA EXECUÇÃO</t>
  </si>
  <si>
    <t>MATERIAIS</t>
  </si>
  <si>
    <t>CUSTO</t>
  </si>
  <si>
    <t>CUSTO UNITÁRIO</t>
  </si>
  <si>
    <t>MIUC00049 - Insumo</t>
  </si>
  <si>
    <t>Gonzo em ferro para portões 1"</t>
  </si>
  <si>
    <t>4433 - Insumo</t>
  </si>
  <si>
    <t>Caibro não aparelhado 6,00cm x 6,00cm, em macaranduba, angelim ou equivalente da região</t>
  </si>
  <si>
    <t>5086 - Insumo</t>
  </si>
  <si>
    <t>Corrente de elo curto comum, soldada, galvanizada, espessura do elo = 1/2" (12,5 mm)</t>
  </si>
  <si>
    <t>4813 - Insumo</t>
  </si>
  <si>
    <t>Placa de obra (para construção civil) em chapa galvanizada nº 22, adesivada, de 2,40m x 1,20m</t>
  </si>
  <si>
    <t>CUSTO UNITÁRIO DE MATERIAIS</t>
  </si>
  <si>
    <t>CUSTO UNITÁRIO DE TRANSPORTE</t>
  </si>
  <si>
    <t>CUSTO DIRETO TOTAL</t>
  </si>
  <si>
    <t>EEA-SP-05</t>
  </si>
  <si>
    <t>MIUC0001 - Insumo</t>
  </si>
  <si>
    <t>Locação de banheiro químico (2,31x1,15x1,15)m com uma higienização por semana, inclusive transporte, carga e descarga</t>
  </si>
  <si>
    <t>un/mês</t>
  </si>
  <si>
    <t>EEA-SP-06</t>
  </si>
  <si>
    <t>2745 - Insumo</t>
  </si>
  <si>
    <t>Pontalete roliço sem tratamento, D = 8 a 11cm, H = 3m, em eucalipto ou equivalente da região, bruta (para escoramento)</t>
  </si>
  <si>
    <t>37524 - Insumo</t>
  </si>
  <si>
    <t>Tela plástica laranja, tipo tapume para sinalização, malha retangular, rolo 1.20x50m ( L x C)</t>
  </si>
  <si>
    <t>5075 - Insumo</t>
  </si>
  <si>
    <t>Prego de aço polido com cabeça 18 x 30 (2 3/4 x 10)</t>
  </si>
  <si>
    <t>PV-1 - Poço de visita em alvenaria, 2,32m x 2,32m, em alvenaria de tijolo comum de 1 vez assentadae revestida internamente com argamassa de cimento e areia 1:3, lastro de brita 12cm, berço 18cm em concreto fck = 15MPa, laje de 12cm em concreto armado fck = 20MPa, incluindo forma, escavação manual e reaterro apiloado, conforme projeto tipo, exclusive pescoço e tampão</t>
  </si>
  <si>
    <t>EEA-DR-05</t>
  </si>
  <si>
    <t>EEA-DR-17</t>
  </si>
  <si>
    <t>Trator de pneus, potência 85CV, tração 4x4, peso com lastro de 4.675kg</t>
  </si>
  <si>
    <t>89035 / 89036</t>
  </si>
  <si>
    <t>Espargidor de asfalto pressurizado, tanque 6m³ com isolação térmica, aquecido com 2 maçaricos, com barra espargidora 3,60m, montado sobre caminhão toco, PBT 14.300kg, potência 185CV</t>
  </si>
  <si>
    <t>83362 / 91486</t>
  </si>
  <si>
    <t>Vassoura mecânica rebocável com escova cilíndrica, largura útil de varrimento de 2,44m</t>
  </si>
  <si>
    <t>Execução de imprimação com emulsão asfáltica a base d'água, exclusive material betuminoso</t>
  </si>
  <si>
    <t>EEA-IM-01</t>
  </si>
  <si>
    <t>Rasteleiro com encargos complementares</t>
  </si>
  <si>
    <t>Rolo compactador de pneus, estático, pressão variável, potência 110HP, peso sem / com lastro 10,80T / 27,00T, largura de rolagem 2,30m</t>
  </si>
  <si>
    <t>96463 / 96464</t>
  </si>
  <si>
    <t>Trator de pneus com potência de 85CV, tração 4x4, com vassoura mecânica acoplada</t>
  </si>
  <si>
    <t>96157 / 96155</t>
  </si>
  <si>
    <t>Rolo compactador vibratório tandem, aço liso, potência 125HP, peso sem / com lastro 10,20T / 11,65T, largura de trabalho 1,73m</t>
  </si>
  <si>
    <t>95631 / 95632</t>
  </si>
  <si>
    <t>Caminhão basculante 10m³, trucado cabine simples, peso bruto total 23.000kg, carga útil máxima 15.935kg, distância entre eixos 4,80m, potência 230CV, inclusive caçamba metálica</t>
  </si>
  <si>
    <t>Vibroacabadora de asfalto sobre esteiras, largura de pavimentação 1,90m a 5,30m, potência 105HP, capacidade 450 T/H</t>
  </si>
  <si>
    <t>5835 / 5837</t>
  </si>
  <si>
    <t>EEA-AP-01</t>
  </si>
  <si>
    <t>EEA-SC-01</t>
  </si>
  <si>
    <t>Tento (acabamento de limpa rodas) em concreto, seção 330cm², moldado no local, inclusive escavação</t>
  </si>
  <si>
    <t>EEA-SC-04</t>
  </si>
  <si>
    <t>Disco de corte diamantado segmentado para concreto, diâmetro de 350mm, furo de 1" (14 x 1")</t>
  </si>
  <si>
    <t>13887 - Insumo</t>
  </si>
  <si>
    <t>Cortadora de piso com motor 4 tempos a gasolina, potência de 13HP, com disco de corte diamantado segmentado para concreto, diâmetro de 350mm, furo de 1" (14 x 1")</t>
  </si>
  <si>
    <t>EEA-AC-01</t>
  </si>
  <si>
    <t>Placa de sinalização em chapa de aço nº 16 com pintura refletiva</t>
  </si>
  <si>
    <t>34723 - Insumo</t>
  </si>
  <si>
    <t>Caibro não aparelhado 7,50cm x 7,50cm (3 x 3"), macaranduba, angelim ou equivalente da região</t>
  </si>
  <si>
    <t>Pedreiro com encargos complementares</t>
  </si>
  <si>
    <t>Caminhão toco, PBT 14.300kg, carga útil max. 9.710kg, dist. entre eixos 3,56m, potência 185CV, inclusive carroceria fixa aberta de madeira para transporte geral de carga seca, dimen. aprox. 2,50m x 6,50m x 0,50m</t>
  </si>
  <si>
    <t>EEA-SV-01</t>
  </si>
  <si>
    <t>Bucha de nylon sem aba S6, com parafuso de 4,20mm x 40mm, em aço zincado com rosca soberba, cabeça chata e fenda Phillips</t>
  </si>
  <si>
    <t>11950 - Insumo</t>
  </si>
  <si>
    <t>Placa de aço esmaltada para identificação de rua, 45cm x 20cm</t>
  </si>
  <si>
    <t>13521 - Insumo</t>
  </si>
  <si>
    <t>EEA-SV-02</t>
  </si>
  <si>
    <t>L</t>
  </si>
  <si>
    <t>Tinta esmalte sintético premium fosco</t>
  </si>
  <si>
    <t>7288 - Insumo</t>
  </si>
  <si>
    <t>Sarrafo de madeira não aparelhada 2,50cm x 10,00cm, macaranduba, angelim ou equivalente da região</t>
  </si>
  <si>
    <t>4460 - Insumo</t>
  </si>
  <si>
    <t>Pintor com encargos complementares</t>
  </si>
  <si>
    <t>Confecção de suporte e travessa para placa</t>
  </si>
  <si>
    <t>EEA-SV-03</t>
  </si>
  <si>
    <t>EEA-PR-01</t>
  </si>
  <si>
    <t>Recorte mecânico de pavimento asfáltico ou piso de concreto, com serra de disco diamantado para piso / asfalto</t>
  </si>
  <si>
    <t>Dissipador em concreto armado - tipo 01 - vazão até 2m³/s</t>
  </si>
  <si>
    <t>Regularização manual e compactação mecânica de terreno</t>
  </si>
  <si>
    <t>EEA-SD-04</t>
  </si>
  <si>
    <t>Concreto fck = 20mpa, traço 1:2,7:3 (em massa seca de cimento/ areia média/ brita 1) - preparo mecânico com betoneira 600 l.</t>
  </si>
  <si>
    <t>Fabricação, montagem e desmontagem de fôrma para viga baldrame, em madeira serrada, e=25 mm, 4 utilizações.</t>
  </si>
  <si>
    <t xml:space="preserve">Lançamento com uso de baldes, adensamento e acabamento de concreto em estruturas. </t>
  </si>
  <si>
    <t>Kg</t>
  </si>
  <si>
    <t>DRENAGEM DE ÁGUAS PLUVIAIS - TERRAPLENAGEM</t>
  </si>
  <si>
    <t>03.03</t>
  </si>
  <si>
    <t>03.04</t>
  </si>
  <si>
    <t>03.05</t>
  </si>
  <si>
    <t>03.06</t>
  </si>
  <si>
    <t>03.07</t>
  </si>
  <si>
    <t>03.08</t>
  </si>
  <si>
    <t>03.09</t>
  </si>
  <si>
    <t>03.10</t>
  </si>
  <si>
    <t>03.11</t>
  </si>
  <si>
    <t>03.12</t>
  </si>
  <si>
    <t>04.03</t>
  </si>
  <si>
    <t>04.04</t>
  </si>
  <si>
    <t>04.05</t>
  </si>
  <si>
    <t>DRENAGEM DE ÁGUAS PLUVIAIS - DISPOSITIVOS ESTRUTURAIS 01</t>
  </si>
  <si>
    <t>DRENAGEM DE ÁGUAS PLUVIAIS - DISPOSITIVOS ESTRUTURAIS 02</t>
  </si>
  <si>
    <t>05.06</t>
  </si>
  <si>
    <t>05.07</t>
  </si>
  <si>
    <t>05.08</t>
  </si>
  <si>
    <t>05.09</t>
  </si>
  <si>
    <t>05.10</t>
  </si>
  <si>
    <t>05.11</t>
  </si>
  <si>
    <t>05.12</t>
  </si>
  <si>
    <t>05.13</t>
  </si>
  <si>
    <t>05.14</t>
  </si>
  <si>
    <t>IMPLANTAÇÃO ASFÁLTICA - TERRAPLENAGEM</t>
  </si>
  <si>
    <t>IMPLANTAÇÃO ASFÁLTICA - ESTRUTURA DO PAVIMENTO</t>
  </si>
  <si>
    <t>07.06</t>
  </si>
  <si>
    <t>07.07</t>
  </si>
  <si>
    <t>07.08</t>
  </si>
  <si>
    <t>07.09</t>
  </si>
  <si>
    <t>09</t>
  </si>
  <si>
    <t>09.01</t>
  </si>
  <si>
    <t>09.02</t>
  </si>
  <si>
    <t>09.03</t>
  </si>
  <si>
    <t>09.04</t>
  </si>
  <si>
    <t>09.05</t>
  </si>
  <si>
    <t>10</t>
  </si>
  <si>
    <t>10.01</t>
  </si>
  <si>
    <t>10.02</t>
  </si>
  <si>
    <t>10.03</t>
  </si>
  <si>
    <t>10.04</t>
  </si>
  <si>
    <t>10.05</t>
  </si>
  <si>
    <t>11</t>
  </si>
  <si>
    <t>11.01</t>
  </si>
  <si>
    <t>11.02</t>
  </si>
  <si>
    <t>11.03</t>
  </si>
  <si>
    <t>11.04</t>
  </si>
  <si>
    <t>11.05</t>
  </si>
  <si>
    <t>CUBAÇÃO - TOPOGRAPH</t>
  </si>
  <si>
    <r>
      <t xml:space="preserve">COMPENSAÇÃO </t>
    </r>
    <r>
      <rPr>
        <b/>
        <sz val="8"/>
        <color rgb="FFFF0000"/>
        <rFont val="Arial"/>
        <family val="2"/>
      </rPr>
      <t>(m³)</t>
    </r>
  </si>
  <si>
    <t>ATERRO</t>
  </si>
  <si>
    <r>
      <t xml:space="preserve">ESCAVAÇÃO </t>
    </r>
    <r>
      <rPr>
        <b/>
        <sz val="8"/>
        <color rgb="FFFF0000"/>
        <rFont val="Arial"/>
        <family val="2"/>
      </rPr>
      <t>(m³)</t>
    </r>
  </si>
  <si>
    <r>
      <t xml:space="preserve">CARGA, MANOBRA E DESCARGA </t>
    </r>
    <r>
      <rPr>
        <b/>
        <sz val="8"/>
        <color rgb="FFFF0000"/>
        <rFont val="Arial"/>
        <family val="2"/>
      </rPr>
      <t>(m³)</t>
    </r>
  </si>
  <si>
    <r>
      <t xml:space="preserve">TRANSPORTE DO BOTA DENTRO </t>
    </r>
    <r>
      <rPr>
        <b/>
        <sz val="8"/>
        <color rgb="FFFF0000"/>
        <rFont val="Arial"/>
        <family val="2"/>
      </rPr>
      <t>(m³.km)</t>
    </r>
  </si>
  <si>
    <t>BOTA DENTRO</t>
  </si>
  <si>
    <r>
      <t xml:space="preserve">ESPALHAMENTO DO BOTA DENTRO </t>
    </r>
    <r>
      <rPr>
        <b/>
        <sz val="8"/>
        <color rgb="FFFF0000"/>
        <rFont val="Arial"/>
        <family val="2"/>
      </rPr>
      <t>(m³)</t>
    </r>
  </si>
  <si>
    <t>LASTRO DE BRITA E PEDRA DE MÃO</t>
  </si>
  <si>
    <t>Preparo de fundo de vala com largura maior ou igual a 1,50m e menor que 2,50m, com camada de brita, lançamento manual</t>
  </si>
  <si>
    <r>
      <t xml:space="preserve">Transporte com caminhão basculante de 10m³, em via urbana pavimentada, DMT até 30km - </t>
    </r>
    <r>
      <rPr>
        <sz val="8"/>
        <color rgb="FFFF0000"/>
        <rFont val="Arial"/>
        <family val="2"/>
      </rPr>
      <t>BRITA PARA LASTRO DE BRITA E PEDRA DE MÃO</t>
    </r>
  </si>
  <si>
    <r>
      <t xml:space="preserve">Transporte com caminhão basculante de 10m³, em via urbana pavimentada, adicional para DMT excedente a 30km - </t>
    </r>
    <r>
      <rPr>
        <sz val="8"/>
        <color rgb="FFFF0000"/>
        <rFont val="Arial"/>
        <family val="2"/>
      </rPr>
      <t>BRITA PARA LASTRO DE BRITA E PEDRA DE MÃO</t>
    </r>
  </si>
  <si>
    <t>Esgotamento de vala com bomba submersível</t>
  </si>
  <si>
    <t>03.13</t>
  </si>
  <si>
    <t>03.14</t>
  </si>
  <si>
    <r>
      <t xml:space="preserve">Transporte com caminhão basculante de 10m³, em via urbana pavimentada, DMT até 30km - </t>
    </r>
    <r>
      <rPr>
        <sz val="8"/>
        <color rgb="FFFF0000"/>
        <rFont val="Arial"/>
        <family val="2"/>
      </rPr>
      <t>BOTA DENTRO</t>
    </r>
  </si>
  <si>
    <t>06.05</t>
  </si>
  <si>
    <t>06.06</t>
  </si>
  <si>
    <t>06.07</t>
  </si>
  <si>
    <t>06.08</t>
  </si>
  <si>
    <t>06.09</t>
  </si>
  <si>
    <t>07.10</t>
  </si>
  <si>
    <t>07.11</t>
  </si>
  <si>
    <t>07.12</t>
  </si>
  <si>
    <t>07.13</t>
  </si>
  <si>
    <t>07.14</t>
  </si>
  <si>
    <t>09.06</t>
  </si>
  <si>
    <t>09.07</t>
  </si>
  <si>
    <t>09.08</t>
  </si>
  <si>
    <t>09.09</t>
  </si>
  <si>
    <t>09.10</t>
  </si>
  <si>
    <t>09.11</t>
  </si>
  <si>
    <t>09.12</t>
  </si>
  <si>
    <t>11.06</t>
  </si>
  <si>
    <t>EEA-LT-02</t>
  </si>
  <si>
    <t>Enrocamento com pedra de mão, inclusive espalhamento, compactação mecânica, fornecimento e assentamento</t>
  </si>
  <si>
    <t>Trator de esteiras, potência 347HP, peso operacional 38,50T, com lâmina 8,70m³</t>
  </si>
  <si>
    <t>4730 - Insumo</t>
  </si>
  <si>
    <t>Pedra de mão ou pedra rachão para arrimo / fundação (posto pedreira / fornecedor, sem frete)</t>
  </si>
  <si>
    <t>EEA-DR-19</t>
  </si>
  <si>
    <t>BLTC - Boca de lobo tripla, em concreto simples fck = 20MPa, incluindo forma, escavação, calçamento ao redor e grelha em FºFº tipo pesada, conforme projeto tipo</t>
  </si>
  <si>
    <t>EEA-DR-18</t>
  </si>
  <si>
    <t>BLDC - Boca de lobo dupla, em concreto simples fck = 20MPa, incluindo forma, escavação, calçamento ao redor e grelha em FºFº tipo pesada, conforme projeto tipo</t>
  </si>
  <si>
    <t>05.15</t>
  </si>
  <si>
    <t>05.16</t>
  </si>
  <si>
    <t>EEA-SD-05</t>
  </si>
  <si>
    <t>Escavação manual em solo prof. até 1,50m</t>
  </si>
  <si>
    <t>EEA-SD-06</t>
  </si>
  <si>
    <t>EEA-SD-07</t>
  </si>
  <si>
    <t>0,285</t>
  </si>
  <si>
    <t>11,4</t>
  </si>
  <si>
    <t>1,74</t>
  </si>
  <si>
    <t>0,64</t>
  </si>
  <si>
    <t>1,023</t>
  </si>
  <si>
    <t>69,48</t>
  </si>
  <si>
    <t>2,72</t>
  </si>
  <si>
    <t>2,38</t>
  </si>
  <si>
    <t>1,15</t>
  </si>
  <si>
    <t xml:space="preserve">Armação de estruturas diversas de concreto armado, exceto vigas, pilares, lajes e fundações, utilizando aço ca-50 de 8,0 mm - montagem. </t>
  </si>
  <si>
    <t xml:space="preserve">Armação de estruturas diversas de concreto armado, exceto vigas, pilares, lajes e fundações, utilizando aço ca-60 de 5,0 mm - montagem. </t>
  </si>
  <si>
    <t>0,92</t>
  </si>
  <si>
    <t>Concreto fck = 20mpa, traço 1:2,7:3 (em massa seca de cimento/ areia média/ brita 1) - preparo mecânico com betoneira 400 l.</t>
  </si>
  <si>
    <t>0,729</t>
  </si>
  <si>
    <t xml:space="preserve">Montagem e desmontagem de fôrma de pilares retangulares e estruturas similares, pé-direito simples, em chapa de madeira compensada plastificada, 10 utilizações. </t>
  </si>
  <si>
    <t>3,62</t>
  </si>
  <si>
    <t xml:space="preserve"> IUD003 - AGESUL</t>
  </si>
  <si>
    <t>EEA-DR-60</t>
  </si>
  <si>
    <t>Concreto fck = 20mpa, traço 1:2,7:3 (em massa seca de cimento/ areia média/ brita 1) - preparo mecânico com betoneira 400 l</t>
  </si>
  <si>
    <t>Escavação manual de vala</t>
  </si>
  <si>
    <t>Fabricação, montagem e desmontagem de fôrma para viga baldrame, em madeira serrada, e=25 mm, 4 utilizações</t>
  </si>
  <si>
    <t>Pintura de meio-fio com tinta branca a base de cal (caiação)</t>
  </si>
  <si>
    <t>0,0615</t>
  </si>
  <si>
    <t>0,0462</t>
  </si>
  <si>
    <t>0,0515</t>
  </si>
  <si>
    <t>0,25</t>
  </si>
  <si>
    <t>Lançamento com uso de baldes, adensamento e acabamento de concreto em estruturas.</t>
  </si>
  <si>
    <t>EEA-AC-08</t>
  </si>
  <si>
    <t>EEA-AC-09</t>
  </si>
  <si>
    <t>DEMILIÇÕES</t>
  </si>
  <si>
    <t>Meio fio com sarjeta, concreto fck = 20MPa, seção 615cm², moldado no local, inclusive escavação e pintura a cal em uma demão</t>
  </si>
  <si>
    <t>Rampa de acessibilidade conforme projeto</t>
  </si>
  <si>
    <t>MÊS 10</t>
  </si>
  <si>
    <t>MÊS 11</t>
  </si>
  <si>
    <t>MÊS 12</t>
  </si>
  <si>
    <t>HORISTA:  115,71%
MENSALISTA:  71,57%</t>
  </si>
  <si>
    <t>COMPOSIÇÃO MS: 01/2026
INSUMO MS: 01/2026
AGESUL MS: 01/2026</t>
  </si>
  <si>
    <t>SICRO MS 10/2025</t>
  </si>
  <si>
    <t>Reaterro manual de valas, com compactador de solos de percussão</t>
  </si>
  <si>
    <t>Grelha em FºFº, articulada, 1,00m x 0,45m, fornecimento</t>
  </si>
  <si>
    <t>7258 - Insumo</t>
  </si>
  <si>
    <t>Placa esmaltada para identificação nº de rua, dimensões 45cm x 20cm</t>
  </si>
  <si>
    <t>1381 - Insumo</t>
  </si>
  <si>
    <t>Concreto magro para lastro, traço 1 : 4,50 : 4,50 (em massa seca de cimento / areia média / brita 1), preparo manual</t>
  </si>
  <si>
    <t>Corte e dobra de aço CA-50, diâmetro de 8,00mm</t>
  </si>
  <si>
    <t>Chapisco aplicado em alvenarias e estruturas de concreto internas, com colher de pedreiro, argamassa traço 1:3 com preparo manual</t>
  </si>
  <si>
    <t>Argamassa traço 1:3 (em volume de cimento e areia grossa úmida) para chapisco convencional, preparo mecânico com betoneira 400L</t>
  </si>
  <si>
    <t>Concreto fck = 15MPa, traço 1 : 3,40 : 3,50 (em massa seca de cimento / areia média / brita 1), preparo mecânico com betoneira 400L</t>
  </si>
  <si>
    <t>Concreto fck = 20MPa, traço 1 : 2,70 : 3 (em massa seca de cimento / areia média / brita 1), preparo mecânico com betoneira 400L</t>
  </si>
  <si>
    <t>IUSP0004 - AGESUL</t>
  </si>
  <si>
    <t>IUI00002 - AGESUL</t>
  </si>
  <si>
    <t>IUI00003 - AGESUL</t>
  </si>
  <si>
    <t>IUD30028 - AGESUL</t>
  </si>
  <si>
    <t>IUD20001 - AGESUL</t>
  </si>
  <si>
    <t>IUD20006 - AGESUL</t>
  </si>
  <si>
    <t>IUD20007 - AGESUL</t>
  </si>
  <si>
    <t>IUD20008 - AGESUL</t>
  </si>
  <si>
    <t>IUD20036 - AGESUL</t>
  </si>
  <si>
    <t>IUP30114 - AGESUL</t>
  </si>
  <si>
    <t>IUP20005 - AGESUL</t>
  </si>
  <si>
    <t>IUP30001 - AGESUL</t>
  </si>
  <si>
    <t>IUP30006 - AGESUL</t>
  </si>
  <si>
    <t>IUD30120 - AGESUL</t>
  </si>
  <si>
    <t>IUC10002 - AGESUL</t>
  </si>
  <si>
    <t>IUP30008 - AGESUL</t>
  </si>
  <si>
    <t>IUS20001 - AGESUL</t>
  </si>
  <si>
    <t>IUS0025 - AGESUL</t>
  </si>
  <si>
    <t>IUS20005 - AGESUL</t>
  </si>
  <si>
    <t>Guindauto hidráulico, capacidade máxima de carga 6.200kg, momento máximo de carga 11,70TM, alcance máximo horizontal 9,70m, inclusive caminhão toco PBT 16.000kg, potência de 189CV</t>
  </si>
  <si>
    <t>Compactador de solos de percussão (soquete) com motor a gasolina 4 tempos, potência 4CV</t>
  </si>
  <si>
    <t>Argamassa colante AC-I para cerâmicas</t>
  </si>
  <si>
    <t>Ladrilho hidraúlico podotátil direcional / alerta cor (amarelo / vermelho) nas dimensões 25cm x 25cm x 2cm</t>
  </si>
  <si>
    <t>EEA-SD-08</t>
  </si>
  <si>
    <t xml:space="preserve"> IUC003 - AGESUL</t>
  </si>
  <si>
    <t>Piso tátil direcional e de alerta com ladrilho hidráulico 20cm x 20cm x 2cm em concreto simples fck = 35MPa (NBR 9050 e Decreto 5296), incluindo fornecimento e assentamento com argamassa e/ou cimento colante sobre coxim preparado no piso rústico</t>
  </si>
  <si>
    <t>Pintura a base de cal e fixador a base de cola, duas demãos</t>
  </si>
  <si>
    <t>11161 - Insumo</t>
  </si>
  <si>
    <t>Cal hidratada para pintura</t>
  </si>
  <si>
    <t>Concreto não estrutural, consumo 210 kg/m³, preparo com betoneira, sem lançamento</t>
  </si>
  <si>
    <t>367 - Insumo</t>
  </si>
  <si>
    <t>1379 - Insumo</t>
  </si>
  <si>
    <t>4718 - Insumo</t>
  </si>
  <si>
    <t>Betoneira capacidade nominal de 400L, capacidade de mistura 280L, motor elétrico trifásico potência de 2CV, sem carregador</t>
  </si>
  <si>
    <t>Areia grossa, posto jazida / fornecedor (retirado na jazida, sem transporte)</t>
  </si>
  <si>
    <t>Cimento Portland Composto CP II-32</t>
  </si>
  <si>
    <t>Pedra britada nº 2 (19mm a 38mm), posto pedreira / fornecedor, sem frete</t>
  </si>
  <si>
    <t>Armação de estruturas diversas de concreto armado, exceto vigas, pilares, lajes e fundações, utilizando aço CA-50 de 6,3mm, montagem</t>
  </si>
  <si>
    <t>Compactação mecânica de solo para execução de radier, piso de concreto ou laje sobre solo, com compactador de solos a percussão</t>
  </si>
  <si>
    <t>Concreto magro para lastro, traço 1 : 4,50 : 4,50 (em massa seca de cimento / areia média / brita 1), preparo mecânico com betoneira 400L</t>
  </si>
  <si>
    <t>Escavação mecanizada de vala com profundidade maior que 1,50m até 3,00m (média montante e jusante / uma composição por trecho), retroescav. (0,26m³), largura menor que 0,80m, em solo de 1ª categoria, locais com baixo nível de interferência</t>
  </si>
  <si>
    <t>Escoramento de fôrmas de laje em madeira não aparelhada, pé direito simples, incluso travamento, 4 utilizações</t>
  </si>
  <si>
    <t>Fabricação, montagem e desmontagem de fôrma para viga baldrame, em madeira serrada, e = 25mm, 2 utilizações</t>
  </si>
  <si>
    <t>Alvenaria em tijolo cerâmico maciço 5cm x 10cm x 20cm, 1 vez (espessura 20cm), assentado com argamassa traço 1:3 (cimento e areia</t>
  </si>
  <si>
    <t>Argamassa traço 1:3 (em volume de cimento e areia média úmida), preparo mecânico com betoneira 400L</t>
  </si>
  <si>
    <t>Tijolo cerâmico maciço comum de 5cm x 10cm x 20cm (L x A x C)</t>
  </si>
  <si>
    <t>Fabricação, montagem e desmontagem de fôrma para viga baldrame, em madeira serrada, e = 25mm, 4 utilizações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</si>
</sst>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0.000"/>
    <numFmt numFmtId="165" formatCode="#,##0.0000"/>
    <numFmt numFmtId="166" formatCode="#,##0.00000"/>
    <numFmt numFmtId="167" formatCode="#,##0.00_ ;\-#,##0.00\ "/>
    <numFmt numFmtId="168" formatCode="0.000%"/>
    <numFmt numFmtId="169" formatCode="0.0%"/>
    <numFmt numFmtId="170" formatCode="#,##0.000000"/>
    <numFmt numFmtId="171" formatCode="#,##0.0000000"/>
    <numFmt numFmtId="172" formatCode="#,##0.00000000"/>
  </numFmts>
  <fonts count="3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0"/>
      <color theme="1"/>
      <name val="Arial"/>
      <family val="2"/>
    </font>
    <font>
      <b/>
      <sz val="9"/>
      <color theme="1"/>
      <name val="Arial"/>
      <family val="2"/>
    </font>
    <font>
      <sz val="8"/>
      <color theme="1"/>
      <name val="Arial"/>
      <family val="2"/>
    </font>
    <font>
      <b/>
      <sz val="8"/>
      <color theme="1"/>
      <name val="Arial"/>
      <family val="2"/>
    </font>
    <font>
      <b/>
      <sz val="8"/>
      <color rgb="FFFF0000"/>
      <name val="Arial"/>
      <family val="2"/>
    </font>
    <font>
      <sz val="8"/>
      <color rgb="FFFF0000"/>
      <name val="Arial"/>
      <family val="2"/>
    </font>
    <font>
      <sz val="10"/>
      <color theme="3" tint="0.39997558519241921"/>
      <name val="Arial"/>
      <family val="2"/>
    </font>
    <font>
      <b/>
      <sz val="9"/>
      <color rgb="FFFF0000"/>
      <name val="Arial"/>
      <family val="2"/>
    </font>
    <font>
      <sz val="9"/>
      <color theme="1"/>
      <name val="Arial"/>
      <family val="2"/>
    </font>
    <font>
      <b/>
      <sz val="9"/>
      <name val="Arial"/>
      <family val="2"/>
    </font>
    <font>
      <sz val="10"/>
      <color rgb="FFFF0000"/>
      <name val="Arial"/>
      <family val="2"/>
    </font>
    <font>
      <sz val="10"/>
      <name val="Arial"/>
      <family val="2"/>
    </font>
    <font>
      <b/>
      <sz val="16"/>
      <name val="Arial"/>
      <family val="2"/>
    </font>
    <font>
      <b/>
      <sz val="12"/>
      <name val="Arial"/>
      <family val="2"/>
    </font>
    <font>
      <b/>
      <sz val="10"/>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1"/>
      <color rgb="FFFF0000"/>
      <name val="Arial"/>
      <family val="2"/>
    </font>
    <font>
      <b/>
      <sz val="12"/>
      <color rgb="FFFF0000"/>
      <name val="Arial"/>
      <family val="2"/>
    </font>
    <font>
      <b/>
      <sz val="10"/>
      <color rgb="FFFF0000"/>
      <name val="Arial"/>
      <family val="2"/>
    </font>
    <font>
      <sz val="11"/>
      <name val="Arial"/>
      <family val="2"/>
    </font>
    <font>
      <sz val="10"/>
      <color rgb="FF000000"/>
      <name val="Arial"/>
      <family val="1"/>
    </font>
    <font>
      <b/>
      <sz val="8"/>
      <name val="Arial"/>
      <family val="2"/>
    </font>
    <font>
      <sz val="8"/>
      <name val="Calibri"/>
      <family val="2"/>
      <scheme val="minor"/>
    </font>
    <font>
      <sz val="10"/>
      <name val="MS Sans Serif"/>
      <family val="2"/>
    </font>
    <font>
      <sz val="8"/>
      <color theme="1"/>
      <name val="Calibri"/>
      <family val="2"/>
      <scheme val="minor"/>
    </font>
  </fonts>
  <fills count="17">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D8ECF6"/>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CCCCCC"/>
      </left>
      <right/>
      <top/>
      <bottom/>
      <diagonal/>
    </border>
  </borders>
  <cellStyleXfs count="7">
    <xf numFmtId="0" fontId="0"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32" fillId="13" borderId="33" applyFill="0" applyBorder="0">
      <alignment horizontal="right" vertical="top" wrapText="1"/>
    </xf>
    <xf numFmtId="43" fontId="17" fillId="0" borderId="0" applyFont="0" applyFill="0" applyBorder="0" applyAlignment="0" applyProtection="0"/>
    <xf numFmtId="0" fontId="35" fillId="0" borderId="0"/>
  </cellStyleXfs>
  <cellXfs count="521">
    <xf numFmtId="0" fontId="0" fillId="0" borderId="0" xfId="0"/>
    <xf numFmtId="0" fontId="5"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horizontal="center" vertical="center"/>
    </xf>
    <xf numFmtId="0" fontId="5" fillId="0" borderId="10" xfId="0" applyFont="1" applyBorder="1"/>
    <xf numFmtId="0" fontId="6" fillId="0" borderId="14" xfId="0" applyFont="1" applyBorder="1" applyAlignment="1">
      <alignment horizontal="left" vertical="center"/>
    </xf>
    <xf numFmtId="0" fontId="5" fillId="0" borderId="14" xfId="0" applyFont="1" applyBorder="1"/>
    <xf numFmtId="0" fontId="8" fillId="0" borderId="0" xfId="0" applyFont="1" applyAlignment="1">
      <alignment horizontal="center" vertical="center"/>
    </xf>
    <xf numFmtId="0" fontId="9"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0" borderId="1" xfId="0" applyFont="1" applyBorder="1" applyAlignment="1">
      <alignment horizontal="center" vertical="center"/>
    </xf>
    <xf numFmtId="3" fontId="9"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4" fontId="9" fillId="0" borderId="1" xfId="0" applyNumberFormat="1" applyFont="1" applyBorder="1" applyAlignment="1">
      <alignment horizontal="center" vertical="center"/>
    </xf>
    <xf numFmtId="4" fontId="9" fillId="6" borderId="9" xfId="0" applyNumberFormat="1" applyFont="1" applyFill="1" applyBorder="1" applyAlignment="1">
      <alignment horizontal="center" vertical="center"/>
    </xf>
    <xf numFmtId="4" fontId="9" fillId="6" borderId="3" xfId="0" applyNumberFormat="1" applyFont="1" applyFill="1" applyBorder="1" applyAlignment="1">
      <alignment horizontal="center" vertical="center"/>
    </xf>
    <xf numFmtId="4" fontId="9" fillId="5" borderId="2" xfId="0" applyNumberFormat="1" applyFont="1" applyFill="1" applyBorder="1" applyAlignment="1">
      <alignment horizontal="center" vertical="center"/>
    </xf>
    <xf numFmtId="4" fontId="9" fillId="5" borderId="9" xfId="0" applyNumberFormat="1" applyFont="1" applyFill="1" applyBorder="1" applyAlignment="1">
      <alignment horizontal="center" vertical="center"/>
    </xf>
    <xf numFmtId="4" fontId="9" fillId="5" borderId="3" xfId="0" applyNumberFormat="1" applyFont="1" applyFill="1" applyBorder="1" applyAlignment="1">
      <alignment horizontal="center" vertical="center"/>
    </xf>
    <xf numFmtId="3" fontId="8" fillId="0" borderId="1" xfId="0" applyNumberFormat="1" applyFont="1" applyBorder="1" applyAlignment="1">
      <alignment horizontal="center" vertical="center"/>
    </xf>
    <xf numFmtId="4" fontId="8" fillId="4" borderId="1" xfId="0" applyNumberFormat="1" applyFont="1" applyFill="1" applyBorder="1" applyAlignment="1">
      <alignment horizontal="center" vertical="center"/>
    </xf>
    <xf numFmtId="4" fontId="8" fillId="0" borderId="1" xfId="0" applyNumberFormat="1" applyFont="1" applyBorder="1" applyAlignment="1">
      <alignment horizontal="center" vertical="center"/>
    </xf>
    <xf numFmtId="4" fontId="8" fillId="6" borderId="1" xfId="0" applyNumberFormat="1" applyFont="1" applyFill="1" applyBorder="1" applyAlignment="1">
      <alignment horizontal="center" vertical="center"/>
    </xf>
    <xf numFmtId="0" fontId="8" fillId="7" borderId="1" xfId="0" applyFont="1" applyFill="1" applyBorder="1" applyAlignment="1">
      <alignment horizontal="center" vertical="center"/>
    </xf>
    <xf numFmtId="3" fontId="8" fillId="7" borderId="1" xfId="0" applyNumberFormat="1" applyFont="1" applyFill="1" applyBorder="1" applyAlignment="1">
      <alignment horizontal="center" vertical="center"/>
    </xf>
    <xf numFmtId="3" fontId="9" fillId="0" borderId="1" xfId="0" applyNumberFormat="1" applyFont="1" applyBorder="1" applyAlignment="1">
      <alignment horizontal="center" vertical="center"/>
    </xf>
    <xf numFmtId="3" fontId="8" fillId="4" borderId="1"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0" fontId="9" fillId="2" borderId="0" xfId="0" applyFont="1" applyFill="1" applyAlignment="1">
      <alignment horizontal="center" vertical="center" wrapText="1"/>
    </xf>
    <xf numFmtId="3" fontId="9" fillId="2" borderId="0" xfId="0" applyNumberFormat="1" applyFont="1" applyFill="1" applyAlignment="1">
      <alignment horizontal="center" vertical="center" wrapText="1"/>
    </xf>
    <xf numFmtId="0" fontId="9" fillId="2" borderId="0" xfId="0" applyFont="1" applyFill="1" applyAlignment="1">
      <alignment horizontal="center" vertical="center"/>
    </xf>
    <xf numFmtId="0" fontId="4" fillId="0" borderId="10" xfId="0" applyFont="1" applyBorder="1" applyAlignment="1">
      <alignment horizontal="left" vertical="center" wrapText="1"/>
    </xf>
    <xf numFmtId="0" fontId="4" fillId="0" borderId="10" xfId="0" applyFont="1" applyBorder="1" applyAlignment="1">
      <alignment horizontal="center" vertical="center"/>
    </xf>
    <xf numFmtId="4" fontId="8" fillId="7" borderId="1" xfId="0" applyNumberFormat="1" applyFont="1" applyFill="1" applyBorder="1" applyAlignment="1">
      <alignment horizontal="center" vertical="center"/>
    </xf>
    <xf numFmtId="4" fontId="9" fillId="5" borderId="1" xfId="0" applyNumberFormat="1"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4" fontId="4" fillId="0" borderId="2" xfId="0" applyNumberFormat="1" applyFont="1" applyBorder="1" applyAlignment="1">
      <alignment horizontal="center" vertical="center"/>
    </xf>
    <xf numFmtId="4" fontId="4" fillId="0" borderId="9" xfId="0" applyNumberFormat="1" applyFont="1" applyBorder="1" applyAlignment="1">
      <alignment horizontal="center" vertical="center"/>
    </xf>
    <xf numFmtId="3" fontId="4" fillId="0" borderId="2" xfId="0" applyNumberFormat="1" applyFont="1" applyBorder="1" applyAlignment="1">
      <alignment horizontal="center" vertical="center"/>
    </xf>
    <xf numFmtId="3" fontId="4" fillId="0" borderId="9" xfId="0" applyNumberFormat="1" applyFont="1" applyBorder="1" applyAlignment="1">
      <alignment horizontal="center" vertical="center"/>
    </xf>
    <xf numFmtId="3" fontId="12" fillId="0" borderId="0" xfId="0" applyNumberFormat="1" applyFont="1" applyAlignment="1">
      <alignment horizontal="center" vertical="center"/>
    </xf>
    <xf numFmtId="0" fontId="4" fillId="0" borderId="12" xfId="0" applyFont="1" applyBorder="1" applyAlignment="1">
      <alignment horizontal="center" vertical="center"/>
    </xf>
    <xf numFmtId="0" fontId="4" fillId="0" borderId="5"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0" borderId="0" xfId="0" applyFont="1" applyAlignment="1">
      <alignment horizontal="center" vertical="center"/>
    </xf>
    <xf numFmtId="0" fontId="8" fillId="0" borderId="6" xfId="0" applyFont="1" applyBorder="1" applyAlignment="1">
      <alignment horizontal="right" vertical="center"/>
    </xf>
    <xf numFmtId="4" fontId="8" fillId="0" borderId="8" xfId="0" applyNumberFormat="1" applyFont="1" applyBorder="1" applyAlignment="1">
      <alignment horizontal="center" vertical="center"/>
    </xf>
    <xf numFmtId="164" fontId="8" fillId="0" borderId="8" xfId="0" applyNumberFormat="1" applyFont="1" applyBorder="1" applyAlignment="1">
      <alignment horizontal="center" vertical="center"/>
    </xf>
    <xf numFmtId="3" fontId="8" fillId="0" borderId="8" xfId="0" applyNumberFormat="1" applyFont="1" applyBorder="1" applyAlignment="1">
      <alignment horizontal="center" vertical="center"/>
    </xf>
    <xf numFmtId="0" fontId="6" fillId="0" borderId="10" xfId="0" applyFont="1" applyBorder="1" applyAlignment="1">
      <alignment horizontal="left" vertical="center"/>
    </xf>
    <xf numFmtId="0" fontId="8" fillId="0" borderId="7" xfId="0" applyFont="1" applyBorder="1" applyAlignment="1">
      <alignment horizontal="right" vertical="center"/>
    </xf>
    <xf numFmtId="3" fontId="9" fillId="2" borderId="1" xfId="0" applyNumberFormat="1" applyFont="1" applyFill="1" applyBorder="1" applyAlignment="1">
      <alignment horizontal="center" vertical="center"/>
    </xf>
    <xf numFmtId="4" fontId="9"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9"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7" fillId="3" borderId="11" xfId="0" applyFont="1" applyFill="1" applyBorder="1" applyAlignment="1">
      <alignment horizontal="center" vertical="center"/>
    </xf>
    <xf numFmtId="0" fontId="7" fillId="3" borderId="10" xfId="0" applyFont="1" applyFill="1" applyBorder="1" applyAlignment="1">
      <alignment horizontal="left" vertical="center"/>
    </xf>
    <xf numFmtId="0" fontId="7" fillId="3" borderId="10" xfId="0" applyFont="1" applyFill="1" applyBorder="1" applyAlignment="1">
      <alignment horizontal="center" vertical="center"/>
    </xf>
    <xf numFmtId="0" fontId="7" fillId="3" borderId="12" xfId="0" applyFont="1" applyFill="1" applyBorder="1" applyAlignment="1">
      <alignment horizontal="center" vertical="center"/>
    </xf>
    <xf numFmtId="0" fontId="14" fillId="0" borderId="0" xfId="0" applyFont="1"/>
    <xf numFmtId="0" fontId="8" fillId="0" borderId="2" xfId="0" applyFont="1" applyBorder="1" applyAlignment="1">
      <alignment horizontal="left" vertical="center"/>
    </xf>
    <xf numFmtId="4" fontId="8" fillId="0" borderId="2" xfId="0" applyNumberFormat="1" applyFont="1" applyBorder="1" applyAlignment="1">
      <alignment horizontal="right" vertical="center"/>
    </xf>
    <xf numFmtId="0" fontId="8" fillId="0" borderId="9" xfId="0" applyFont="1" applyBorder="1" applyAlignment="1">
      <alignment horizontal="center" vertical="center" wrapText="1"/>
    </xf>
    <xf numFmtId="4" fontId="8" fillId="0" borderId="9" xfId="0" applyNumberFormat="1" applyFont="1" applyBorder="1" applyAlignment="1">
      <alignment horizontal="center" vertical="center"/>
    </xf>
    <xf numFmtId="0" fontId="8" fillId="0" borderId="9" xfId="0" applyFont="1" applyBorder="1" applyAlignment="1">
      <alignment horizontal="left" vertical="center" wrapText="1"/>
    </xf>
    <xf numFmtId="0" fontId="8" fillId="0" borderId="9" xfId="0" applyFont="1" applyBorder="1" applyAlignment="1">
      <alignment horizontal="center" vertical="center"/>
    </xf>
    <xf numFmtId="4" fontId="8" fillId="0" borderId="9" xfId="0" applyNumberFormat="1" applyFont="1" applyBorder="1" applyAlignment="1">
      <alignment horizontal="right" vertical="center"/>
    </xf>
    <xf numFmtId="10" fontId="8" fillId="0" borderId="9" xfId="0" applyNumberFormat="1" applyFont="1" applyBorder="1" applyAlignment="1">
      <alignment horizontal="center" vertical="center"/>
    </xf>
    <xf numFmtId="0" fontId="8" fillId="0" borderId="9" xfId="0" quotePrefix="1" applyFont="1" applyBorder="1" applyAlignment="1">
      <alignment horizontal="center" vertical="center"/>
    </xf>
    <xf numFmtId="0" fontId="8" fillId="0" borderId="9" xfId="0" applyFont="1" applyBorder="1" applyAlignment="1">
      <alignment horizontal="left" vertical="center"/>
    </xf>
    <xf numFmtId="4" fontId="8" fillId="0" borderId="3" xfId="0" applyNumberFormat="1" applyFont="1" applyBorder="1" applyAlignment="1">
      <alignment horizontal="center" vertical="center"/>
    </xf>
    <xf numFmtId="0" fontId="8" fillId="0" borderId="3" xfId="0" quotePrefix="1" applyFont="1" applyBorder="1" applyAlignment="1">
      <alignment horizontal="center" vertical="center"/>
    </xf>
    <xf numFmtId="4" fontId="8" fillId="0" borderId="3" xfId="0" applyNumberFormat="1" applyFont="1" applyBorder="1" applyAlignment="1">
      <alignment horizontal="right" vertical="center"/>
    </xf>
    <xf numFmtId="0" fontId="8" fillId="0" borderId="1" xfId="0" applyFont="1" applyBorder="1" applyAlignment="1">
      <alignment horizontal="left" vertical="center"/>
    </xf>
    <xf numFmtId="0" fontId="8" fillId="0" borderId="1" xfId="0" quotePrefix="1" applyFont="1" applyBorder="1" applyAlignment="1">
      <alignment horizontal="center" vertical="center"/>
    </xf>
    <xf numFmtId="10" fontId="8" fillId="0" borderId="1" xfId="0" applyNumberFormat="1" applyFont="1" applyBorder="1" applyAlignment="1">
      <alignment horizontal="center" vertical="center"/>
    </xf>
    <xf numFmtId="0" fontId="7" fillId="0" borderId="10" xfId="0" applyFont="1" applyBorder="1" applyAlignment="1">
      <alignment horizontal="left" vertical="center"/>
    </xf>
    <xf numFmtId="0" fontId="7" fillId="0" borderId="0" xfId="0" applyFont="1" applyAlignment="1">
      <alignment horizontal="left" vertical="center"/>
    </xf>
    <xf numFmtId="0" fontId="5" fillId="0" borderId="4"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left" vertical="center"/>
    </xf>
    <xf numFmtId="0" fontId="7" fillId="0" borderId="7" xfId="0" applyFont="1" applyBorder="1"/>
    <xf numFmtId="4" fontId="7" fillId="0" borderId="1" xfId="0" applyNumberFormat="1" applyFont="1" applyBorder="1" applyAlignment="1">
      <alignment horizontal="right" vertical="center" wrapText="1"/>
    </xf>
    <xf numFmtId="10" fontId="7" fillId="0" borderId="1" xfId="0" applyNumberFormat="1"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left"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0" borderId="2" xfId="0" applyFont="1" applyBorder="1" applyAlignment="1">
      <alignment horizontal="center" vertical="center"/>
    </xf>
    <xf numFmtId="4" fontId="8" fillId="0" borderId="2" xfId="0" applyNumberFormat="1" applyFont="1" applyBorder="1" applyAlignment="1">
      <alignment horizontal="center" vertical="center"/>
    </xf>
    <xf numFmtId="10" fontId="8" fillId="0" borderId="2" xfId="0" applyNumberFormat="1" applyFont="1" applyBorder="1" applyAlignment="1">
      <alignment horizontal="center" vertical="center"/>
    </xf>
    <xf numFmtId="0" fontId="9" fillId="0" borderId="9" xfId="0" applyFont="1" applyBorder="1" applyAlignment="1">
      <alignment horizontal="left" vertical="center"/>
    </xf>
    <xf numFmtId="0" fontId="8" fillId="0" borderId="3" xfId="0" applyFont="1" applyBorder="1" applyAlignment="1">
      <alignment horizontal="center" vertical="center"/>
    </xf>
    <xf numFmtId="0" fontId="8" fillId="0" borderId="3" xfId="0" applyFont="1" applyBorder="1" applyAlignment="1">
      <alignment horizontal="left" vertical="center"/>
    </xf>
    <xf numFmtId="10" fontId="8" fillId="0" borderId="3" xfId="0" applyNumberFormat="1" applyFont="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4" fontId="7" fillId="0" borderId="1" xfId="0" applyNumberFormat="1" applyFont="1" applyBorder="1" applyAlignment="1">
      <alignment horizontal="center" vertical="center"/>
    </xf>
    <xf numFmtId="0" fontId="8" fillId="0" borderId="2" xfId="0" applyFont="1" applyBorder="1" applyAlignment="1">
      <alignment horizontal="left" vertical="center" wrapText="1"/>
    </xf>
    <xf numFmtId="10" fontId="9" fillId="0" borderId="1" xfId="0" applyNumberFormat="1" applyFont="1" applyBorder="1" applyAlignment="1">
      <alignment horizontal="center" vertical="center"/>
    </xf>
    <xf numFmtId="164" fontId="8" fillId="0" borderId="2" xfId="0" applyNumberFormat="1" applyFont="1" applyBorder="1" applyAlignment="1">
      <alignment horizontal="center" vertical="center"/>
    </xf>
    <xf numFmtId="0" fontId="8" fillId="0" borderId="0" xfId="0" applyFont="1"/>
    <xf numFmtId="4" fontId="9" fillId="0" borderId="0" xfId="0" applyNumberFormat="1" applyFont="1" applyAlignment="1">
      <alignment horizontal="right" vertical="center" wrapText="1"/>
    </xf>
    <xf numFmtId="0" fontId="9" fillId="0" borderId="0" xfId="0" applyFont="1" applyAlignment="1">
      <alignment horizontal="left" vertical="center"/>
    </xf>
    <xf numFmtId="4" fontId="9" fillId="0" borderId="0" xfId="0" applyNumberFormat="1" applyFont="1" applyAlignment="1">
      <alignment horizontal="center" vertical="center"/>
    </xf>
    <xf numFmtId="10" fontId="9" fillId="0" borderId="0" xfId="0" applyNumberFormat="1" applyFont="1" applyAlignment="1">
      <alignment horizontal="center" vertical="center" wrapText="1"/>
    </xf>
    <xf numFmtId="0" fontId="0" fillId="0" borderId="0" xfId="0" applyAlignment="1">
      <alignment horizontal="center" vertical="center"/>
    </xf>
    <xf numFmtId="3" fontId="8" fillId="0" borderId="2" xfId="0" applyNumberFormat="1" applyFont="1" applyBorder="1" applyAlignment="1">
      <alignment horizontal="center" vertical="center"/>
    </xf>
    <xf numFmtId="3"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4" fontId="4" fillId="0" borderId="0" xfId="0" applyNumberFormat="1" applyFont="1" applyAlignment="1">
      <alignment horizontal="center" vertical="center"/>
    </xf>
    <xf numFmtId="164" fontId="8" fillId="7" borderId="1" xfId="0" applyNumberFormat="1" applyFont="1" applyFill="1" applyBorder="1" applyAlignment="1">
      <alignment horizontal="center" vertical="center"/>
    </xf>
    <xf numFmtId="165" fontId="8" fillId="7" borderId="1" xfId="0" applyNumberFormat="1" applyFont="1" applyFill="1" applyBorder="1" applyAlignment="1">
      <alignment horizontal="center" vertical="center"/>
    </xf>
    <xf numFmtId="164" fontId="8" fillId="3" borderId="2" xfId="0" applyNumberFormat="1" applyFont="1" applyFill="1" applyBorder="1" applyAlignment="1">
      <alignment horizontal="center" vertical="center"/>
    </xf>
    <xf numFmtId="164" fontId="8" fillId="3" borderId="9" xfId="0" applyNumberFormat="1" applyFont="1" applyFill="1" applyBorder="1" applyAlignment="1">
      <alignment horizontal="center" vertical="center"/>
    </xf>
    <xf numFmtId="4" fontId="8" fillId="4" borderId="9" xfId="0" applyNumberFormat="1" applyFont="1" applyFill="1" applyBorder="1" applyAlignment="1">
      <alignment horizontal="center" vertical="center"/>
    </xf>
    <xf numFmtId="0" fontId="2" fillId="0" borderId="0" xfId="0" applyFont="1" applyAlignment="1">
      <alignment horizontal="center" vertical="center"/>
    </xf>
    <xf numFmtId="10" fontId="9" fillId="0" borderId="0" xfId="0" applyNumberFormat="1" applyFont="1" applyAlignment="1">
      <alignment horizontal="center" vertical="center"/>
    </xf>
    <xf numFmtId="4" fontId="5" fillId="0" borderId="0" xfId="0" applyNumberFormat="1" applyFont="1"/>
    <xf numFmtId="0" fontId="17" fillId="0" borderId="0" xfId="1"/>
    <xf numFmtId="0" fontId="17" fillId="0" borderId="18" xfId="1" applyBorder="1"/>
    <xf numFmtId="0" fontId="17" fillId="0" borderId="20" xfId="1" applyBorder="1"/>
    <xf numFmtId="0" fontId="17" fillId="0" borderId="21" xfId="1" applyBorder="1"/>
    <xf numFmtId="0" fontId="19" fillId="0" borderId="0" xfId="1" applyFont="1" applyAlignment="1">
      <alignment horizontal="center" vertical="center"/>
    </xf>
    <xf numFmtId="0" fontId="17" fillId="0" borderId="22" xfId="1" applyBorder="1"/>
    <xf numFmtId="0" fontId="17" fillId="0" borderId="23" xfId="1" applyBorder="1"/>
    <xf numFmtId="0" fontId="19" fillId="0" borderId="24" xfId="1" applyFont="1" applyBorder="1" applyAlignment="1">
      <alignment horizontal="center" vertical="center"/>
    </xf>
    <xf numFmtId="0" fontId="17" fillId="0" borderId="25" xfId="1" applyBorder="1"/>
    <xf numFmtId="0" fontId="20" fillId="0" borderId="0" xfId="1" applyFont="1" applyAlignment="1">
      <alignment vertical="center"/>
    </xf>
    <xf numFmtId="0" fontId="15" fillId="0" borderId="0" xfId="1" applyFont="1" applyAlignment="1">
      <alignment vertical="center"/>
    </xf>
    <xf numFmtId="0" fontId="20" fillId="10" borderId="1" xfId="1" applyFont="1" applyFill="1" applyBorder="1" applyAlignment="1" applyProtection="1">
      <alignment horizontal="center"/>
      <protection locked="0"/>
    </xf>
    <xf numFmtId="0" fontId="22" fillId="0" borderId="0" xfId="1" applyFont="1"/>
    <xf numFmtId="0" fontId="23" fillId="0" borderId="0" xfId="1" applyFont="1" applyAlignment="1">
      <alignment vertical="center"/>
    </xf>
    <xf numFmtId="0" fontId="17" fillId="0" borderId="0" xfId="1" applyAlignment="1">
      <alignment vertical="center"/>
    </xf>
    <xf numFmtId="0" fontId="17" fillId="0" borderId="0" xfId="1" applyAlignment="1">
      <alignment horizontal="center" vertical="center"/>
    </xf>
    <xf numFmtId="0" fontId="20" fillId="0" borderId="0" xfId="1" applyFont="1" applyAlignment="1">
      <alignment horizontal="center" vertical="center"/>
    </xf>
    <xf numFmtId="10" fontId="20" fillId="0" borderId="0" xfId="1" applyNumberFormat="1" applyFont="1" applyAlignment="1">
      <alignment horizontal="center" vertical="center"/>
    </xf>
    <xf numFmtId="10" fontId="21" fillId="10" borderId="1" xfId="3" applyNumberFormat="1" applyFont="1" applyFill="1" applyBorder="1" applyAlignment="1" applyProtection="1">
      <alignment horizontal="center" vertical="center" wrapText="1"/>
      <protection locked="0"/>
    </xf>
    <xf numFmtId="0" fontId="20" fillId="0" borderId="0" xfId="1" quotePrefix="1" applyFont="1" applyAlignment="1">
      <alignment vertical="center"/>
    </xf>
    <xf numFmtId="10" fontId="21" fillId="0" borderId="0" xfId="3" applyNumberFormat="1" applyFont="1" applyFill="1" applyBorder="1" applyAlignment="1" applyProtection="1">
      <alignment vertical="center" wrapText="1"/>
    </xf>
    <xf numFmtId="10" fontId="20" fillId="0" borderId="0" xfId="3" applyNumberFormat="1" applyFont="1" applyFill="1" applyBorder="1" applyAlignment="1" applyProtection="1">
      <alignment vertical="center" wrapText="1"/>
    </xf>
    <xf numFmtId="168" fontId="24" fillId="0" borderId="0" xfId="1" applyNumberFormat="1" applyFont="1"/>
    <xf numFmtId="0" fontId="17" fillId="0" borderId="29" xfId="1" applyBorder="1"/>
    <xf numFmtId="0" fontId="17" fillId="0" borderId="30" xfId="1" applyBorder="1"/>
    <xf numFmtId="0" fontId="17" fillId="0" borderId="24" xfId="1" applyBorder="1"/>
    <xf numFmtId="0" fontId="25" fillId="0" borderId="0" xfId="1" applyFont="1" applyAlignment="1">
      <alignment horizontal="center" vertical="center" wrapText="1"/>
    </xf>
    <xf numFmtId="0" fontId="20" fillId="0" borderId="0" xfId="1" applyFont="1" applyAlignment="1">
      <alignment horizontal="center" vertical="center" wrapText="1"/>
    </xf>
    <xf numFmtId="0" fontId="17" fillId="0" borderId="0" xfId="1" applyAlignment="1">
      <alignment horizontal="center"/>
    </xf>
    <xf numFmtId="0" fontId="26" fillId="0" borderId="0" xfId="1" applyFont="1" applyAlignment="1">
      <alignment horizontal="left" vertical="center" wrapText="1"/>
    </xf>
    <xf numFmtId="10" fontId="26" fillId="0" borderId="0" xfId="3" applyNumberFormat="1" applyFont="1" applyBorder="1" applyAlignment="1" applyProtection="1">
      <alignment horizontal="center" vertical="center" wrapText="1"/>
    </xf>
    <xf numFmtId="10" fontId="22" fillId="10" borderId="0" xfId="3" applyNumberFormat="1" applyFont="1" applyFill="1" applyBorder="1" applyAlignment="1" applyProtection="1">
      <alignment horizontal="center" vertical="center" wrapText="1"/>
      <protection locked="0"/>
    </xf>
    <xf numFmtId="10" fontId="17" fillId="0" borderId="22" xfId="1" applyNumberFormat="1" applyBorder="1"/>
    <xf numFmtId="10" fontId="17" fillId="0" borderId="0" xfId="1" applyNumberFormat="1"/>
    <xf numFmtId="0" fontId="25" fillId="0" borderId="0" xfId="1" applyFont="1" applyAlignment="1">
      <alignment horizontal="left" vertical="center" wrapText="1"/>
    </xf>
    <xf numFmtId="168" fontId="20" fillId="0" borderId="0" xfId="3" applyNumberFormat="1" applyFont="1" applyFill="1" applyBorder="1" applyAlignment="1" applyProtection="1">
      <alignment horizontal="center" vertical="center" wrapText="1"/>
    </xf>
    <xf numFmtId="168" fontId="17" fillId="0" borderId="0" xfId="1" applyNumberFormat="1"/>
    <xf numFmtId="0" fontId="27" fillId="0" borderId="0" xfId="1" applyFont="1"/>
    <xf numFmtId="10" fontId="24" fillId="0" borderId="0" xfId="3" applyNumberFormat="1" applyFont="1" applyBorder="1" applyAlignment="1" applyProtection="1">
      <alignment horizontal="center"/>
    </xf>
    <xf numFmtId="0" fontId="30" fillId="0" borderId="0" xfId="1" applyFont="1" applyAlignment="1">
      <alignment horizontal="left" vertical="center" wrapText="1"/>
    </xf>
    <xf numFmtId="10" fontId="16" fillId="0" borderId="0" xfId="3" applyNumberFormat="1" applyFont="1" applyBorder="1" applyAlignment="1" applyProtection="1">
      <alignment horizontal="center" vertical="center" wrapText="1"/>
    </xf>
    <xf numFmtId="0" fontId="16" fillId="0" borderId="0" xfId="1" applyFont="1"/>
    <xf numFmtId="0" fontId="30" fillId="0" borderId="0" xfId="1" applyFont="1"/>
    <xf numFmtId="10" fontId="30" fillId="0" borderId="0" xfId="1" applyNumberFormat="1" applyFont="1" applyAlignment="1">
      <alignment horizontal="center" vertical="center"/>
    </xf>
    <xf numFmtId="168" fontId="29" fillId="0" borderId="0" xfId="1" applyNumberFormat="1" applyFont="1"/>
    <xf numFmtId="10" fontId="0" fillId="0" borderId="0" xfId="3" applyNumberFormat="1" applyFont="1" applyAlignment="1" applyProtection="1">
      <alignment horizontal="center"/>
    </xf>
    <xf numFmtId="169" fontId="17" fillId="0" borderId="0" xfId="1" applyNumberFormat="1" applyAlignment="1">
      <alignment horizontal="center"/>
    </xf>
    <xf numFmtId="0" fontId="20" fillId="0" borderId="0" xfId="1" applyFont="1" applyAlignment="1">
      <alignment horizontal="center"/>
    </xf>
    <xf numFmtId="10" fontId="0" fillId="0" borderId="0" xfId="3" applyNumberFormat="1" applyFont="1" applyProtection="1"/>
    <xf numFmtId="9" fontId="0" fillId="0" borderId="0" xfId="3" applyFont="1" applyProtection="1"/>
    <xf numFmtId="0" fontId="20" fillId="0" borderId="21" xfId="1" applyFont="1" applyBorder="1" applyAlignment="1">
      <alignment vertical="center"/>
    </xf>
    <xf numFmtId="0" fontId="17" fillId="0" borderId="0" xfId="1" applyAlignment="1">
      <alignment vertical="center" wrapText="1"/>
    </xf>
    <xf numFmtId="0" fontId="31" fillId="0" borderId="0" xfId="1" applyFont="1" applyAlignment="1">
      <alignment vertical="center" wrapText="1"/>
    </xf>
    <xf numFmtId="0" fontId="17" fillId="0" borderId="21" xfId="1" applyBorder="1" applyAlignment="1">
      <alignment vertical="center"/>
    </xf>
    <xf numFmtId="9" fontId="17" fillId="0" borderId="0" xfId="1" applyNumberFormat="1"/>
    <xf numFmtId="0" fontId="20" fillId="0" borderId="21" xfId="1" applyFont="1" applyBorder="1"/>
    <xf numFmtId="0" fontId="20" fillId="0" borderId="0" xfId="1" applyFont="1"/>
    <xf numFmtId="0" fontId="31" fillId="0" borderId="31" xfId="1" applyFont="1" applyBorder="1" applyAlignment="1">
      <alignment vertical="top" wrapText="1"/>
    </xf>
    <xf numFmtId="10" fontId="31" fillId="0" borderId="30" xfId="1" applyNumberFormat="1" applyFont="1" applyBorder="1" applyAlignment="1">
      <alignment horizontal="center" vertical="top" wrapText="1"/>
    </xf>
    <xf numFmtId="0" fontId="17" fillId="0" borderId="16" xfId="1" applyBorder="1"/>
    <xf numFmtId="0" fontId="31" fillId="0" borderId="17" xfId="1" applyFont="1" applyBorder="1" applyAlignment="1">
      <alignment vertical="top" wrapText="1"/>
    </xf>
    <xf numFmtId="10" fontId="31" fillId="0" borderId="32" xfId="1" applyNumberFormat="1" applyFont="1" applyBorder="1" applyAlignment="1">
      <alignment horizontal="center" vertical="top" wrapText="1"/>
    </xf>
    <xf numFmtId="0" fontId="17" fillId="0" borderId="21" xfId="1" applyBorder="1" applyAlignment="1">
      <alignment wrapText="1"/>
    </xf>
    <xf numFmtId="0" fontId="17" fillId="12" borderId="0" xfId="1" applyFill="1" applyAlignment="1">
      <alignment wrapText="1"/>
    </xf>
    <xf numFmtId="0" fontId="17" fillId="0" borderId="0" xfId="1" applyAlignment="1">
      <alignment wrapText="1"/>
    </xf>
    <xf numFmtId="0" fontId="17" fillId="0" borderId="22" xfId="1" applyBorder="1" applyAlignment="1">
      <alignment wrapText="1"/>
    </xf>
    <xf numFmtId="0" fontId="17" fillId="0" borderId="1" xfId="1" applyBorder="1"/>
    <xf numFmtId="0" fontId="17" fillId="0" borderId="1" xfId="1" applyBorder="1" applyAlignment="1">
      <alignment horizontal="center"/>
    </xf>
    <xf numFmtId="10" fontId="31" fillId="0" borderId="1" xfId="1" applyNumberFormat="1" applyFont="1" applyBorder="1" applyAlignment="1">
      <alignment horizontal="center" vertical="top" wrapText="1"/>
    </xf>
    <xf numFmtId="0" fontId="31" fillId="0" borderId="1" xfId="1" applyFont="1" applyBorder="1" applyAlignment="1">
      <alignment vertical="top" wrapText="1"/>
    </xf>
    <xf numFmtId="0" fontId="31" fillId="0" borderId="17" xfId="1" applyFont="1" applyBorder="1" applyAlignment="1">
      <alignment horizontal="center" vertical="top" wrapText="1"/>
    </xf>
    <xf numFmtId="0" fontId="31" fillId="0" borderId="32" xfId="1" applyFont="1" applyBorder="1" applyAlignment="1">
      <alignment horizontal="center" vertical="top" wrapText="1"/>
    </xf>
    <xf numFmtId="0" fontId="5" fillId="0" borderId="0" xfId="0" applyFont="1" applyAlignment="1">
      <alignment horizontal="center" vertical="center"/>
    </xf>
    <xf numFmtId="0" fontId="10" fillId="0" borderId="0" xfId="0" applyFont="1" applyAlignment="1">
      <alignment horizontal="center" vertical="center"/>
    </xf>
    <xf numFmtId="0" fontId="9" fillId="0" borderId="1" xfId="0" applyFont="1" applyBorder="1" applyAlignment="1">
      <alignment horizontal="center" vertical="center" wrapText="1"/>
    </xf>
    <xf numFmtId="164" fontId="8" fillId="4" borderId="1" xfId="0" applyNumberFormat="1" applyFont="1" applyFill="1" applyBorder="1" applyAlignment="1">
      <alignment horizontal="center" vertical="center"/>
    </xf>
    <xf numFmtId="165" fontId="8" fillId="4" borderId="1" xfId="0" applyNumberFormat="1" applyFont="1" applyFill="1" applyBorder="1" applyAlignment="1">
      <alignment horizontal="center" vertical="center"/>
    </xf>
    <xf numFmtId="3" fontId="8" fillId="8" borderId="1" xfId="0" applyNumberFormat="1" applyFont="1" applyFill="1" applyBorder="1" applyAlignment="1">
      <alignment horizontal="center" vertical="center"/>
    </xf>
    <xf numFmtId="4" fontId="8" fillId="14" borderId="9" xfId="0" applyNumberFormat="1" applyFont="1" applyFill="1" applyBorder="1" applyAlignment="1">
      <alignment horizontal="right" vertical="center"/>
    </xf>
    <xf numFmtId="4" fontId="8" fillId="14" borderId="3" xfId="0" applyNumberFormat="1" applyFont="1" applyFill="1" applyBorder="1" applyAlignment="1">
      <alignment horizontal="right" vertical="center"/>
    </xf>
    <xf numFmtId="0" fontId="4" fillId="0" borderId="7" xfId="0" applyFont="1" applyBorder="1" applyAlignment="1">
      <alignment horizontal="center" vertical="center"/>
    </xf>
    <xf numFmtId="0" fontId="7" fillId="0" borderId="6" xfId="0" applyFont="1" applyBorder="1" applyAlignment="1">
      <alignment vertical="center"/>
    </xf>
    <xf numFmtId="4" fontId="7" fillId="0" borderId="8" xfId="0" applyNumberFormat="1" applyFont="1" applyBorder="1" applyAlignment="1">
      <alignment horizontal="right" vertical="center" wrapText="1"/>
    </xf>
    <xf numFmtId="0" fontId="9" fillId="2" borderId="8" xfId="0" applyFont="1" applyFill="1" applyBorder="1" applyAlignment="1">
      <alignment horizontal="center" vertical="center" wrapText="1"/>
    </xf>
    <xf numFmtId="0" fontId="4" fillId="0" borderId="6" xfId="0" applyFont="1" applyBorder="1" applyAlignment="1">
      <alignment horizontal="center" vertical="center"/>
    </xf>
    <xf numFmtId="4" fontId="5" fillId="0" borderId="0" xfId="0" applyNumberFormat="1" applyFont="1" applyAlignment="1">
      <alignment horizontal="center" vertical="center"/>
    </xf>
    <xf numFmtId="0" fontId="1" fillId="0" borderId="0" xfId="0" applyFont="1"/>
    <xf numFmtId="0" fontId="9" fillId="6" borderId="8" xfId="0"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4" fontId="8" fillId="0" borderId="1" xfId="0" applyNumberFormat="1" applyFont="1" applyBorder="1" applyAlignment="1">
      <alignment horizontal="center" vertical="center"/>
    </xf>
    <xf numFmtId="4" fontId="8" fillId="4" borderId="1" xfId="0" applyNumberFormat="1" applyFont="1" applyFill="1" applyBorder="1" applyAlignment="1">
      <alignment horizontal="center" vertical="center"/>
    </xf>
    <xf numFmtId="4" fontId="9" fillId="0" borderId="1" xfId="0" applyNumberFormat="1" applyFont="1" applyBorder="1" applyAlignment="1">
      <alignment horizontal="center" vertical="center"/>
    </xf>
    <xf numFmtId="0" fontId="8" fillId="0" borderId="2" xfId="0" applyFont="1" applyBorder="1" applyAlignment="1">
      <alignment horizontal="center" vertical="center"/>
    </xf>
    <xf numFmtId="3" fontId="8" fillId="0" borderId="1" xfId="0" applyNumberFormat="1" applyFont="1" applyBorder="1" applyAlignment="1">
      <alignment horizontal="center" vertical="center"/>
    </xf>
    <xf numFmtId="0" fontId="9" fillId="2" borderId="0" xfId="0" applyFont="1" applyFill="1" applyAlignment="1">
      <alignment horizontal="center" vertical="center" wrapText="1"/>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9" xfId="0" applyNumberFormat="1" applyFont="1" applyBorder="1" applyAlignment="1">
      <alignment horizontal="center" vertical="center"/>
    </xf>
    <xf numFmtId="4" fontId="8" fillId="0" borderId="1" xfId="0" applyNumberFormat="1" applyFont="1" applyBorder="1" applyAlignment="1">
      <alignment horizontal="center" vertical="center"/>
    </xf>
    <xf numFmtId="4" fontId="8" fillId="0" borderId="9" xfId="0" quotePrefix="1" applyNumberFormat="1" applyFont="1" applyBorder="1" applyAlignment="1">
      <alignment horizontal="center" vertical="center"/>
    </xf>
    <xf numFmtId="3" fontId="7" fillId="3" borderId="10" xfId="0" quotePrefix="1" applyNumberFormat="1" applyFont="1" applyFill="1" applyBorder="1" applyAlignment="1">
      <alignment horizontal="center" vertical="center"/>
    </xf>
    <xf numFmtId="4" fontId="7" fillId="3" borderId="10" xfId="0" quotePrefix="1" applyNumberFormat="1" applyFont="1" applyFill="1" applyBorder="1" applyAlignment="1">
      <alignment horizontal="center" vertical="center"/>
    </xf>
    <xf numFmtId="4" fontId="8" fillId="0" borderId="9" xfId="0" applyNumberFormat="1" applyFont="1" applyFill="1" applyBorder="1" applyAlignment="1">
      <alignment horizontal="right" vertical="center"/>
    </xf>
    <xf numFmtId="4" fontId="7" fillId="3" borderId="7" xfId="0" quotePrefix="1" applyNumberFormat="1" applyFont="1" applyFill="1" applyBorder="1" applyAlignment="1">
      <alignment horizontal="center" vertical="center"/>
    </xf>
    <xf numFmtId="4" fontId="8" fillId="0" borderId="1" xfId="0" applyNumberFormat="1" applyFont="1" applyBorder="1" applyAlignment="1">
      <alignment horizontal="center" vertical="center"/>
    </xf>
    <xf numFmtId="0" fontId="9" fillId="0" borderId="1" xfId="0" applyFont="1" applyBorder="1" applyAlignment="1">
      <alignment horizontal="center" vertical="center"/>
    </xf>
    <xf numFmtId="4" fontId="8" fillId="0" borderId="1" xfId="0" applyNumberFormat="1" applyFont="1" applyBorder="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4" fontId="9" fillId="0" borderId="1" xfId="0" applyNumberFormat="1" applyFont="1" applyBorder="1" applyAlignment="1">
      <alignment horizontal="center" vertical="center"/>
    </xf>
    <xf numFmtId="0" fontId="7" fillId="0" borderId="6" xfId="0" applyFont="1" applyBorder="1"/>
    <xf numFmtId="4" fontId="8" fillId="0" borderId="1" xfId="0" applyNumberFormat="1" applyFont="1" applyBorder="1" applyAlignment="1">
      <alignment horizontal="center" vertical="center"/>
    </xf>
    <xf numFmtId="0" fontId="8" fillId="0" borderId="2" xfId="0" applyFont="1" applyBorder="1" applyAlignment="1">
      <alignment horizontal="center" vertical="center"/>
    </xf>
    <xf numFmtId="0" fontId="7" fillId="0" borderId="13" xfId="0" applyFont="1" applyBorder="1"/>
    <xf numFmtId="0" fontId="7" fillId="0" borderId="14" xfId="0" applyFont="1" applyBorder="1"/>
    <xf numFmtId="0" fontId="7" fillId="0" borderId="13" xfId="0" applyFont="1" applyBorder="1" applyAlignment="1">
      <alignment vertical="center"/>
    </xf>
    <xf numFmtId="4" fontId="7" fillId="0" borderId="15" xfId="0" applyNumberFormat="1" applyFont="1" applyBorder="1" applyAlignment="1">
      <alignment horizontal="right" vertical="center" wrapText="1"/>
    </xf>
    <xf numFmtId="10" fontId="7" fillId="0" borderId="3" xfId="0" applyNumberFormat="1" applyFont="1" applyBorder="1" applyAlignment="1">
      <alignment horizontal="center" vertical="center"/>
    </xf>
    <xf numFmtId="0" fontId="9" fillId="0" borderId="1" xfId="0" applyFont="1" applyBorder="1" applyAlignment="1">
      <alignment horizontal="center" vertical="center"/>
    </xf>
    <xf numFmtId="3"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4" fontId="9"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 fillId="0" borderId="0" xfId="0" applyFont="1" applyAlignment="1">
      <alignment horizontal="center" vertical="center"/>
    </xf>
    <xf numFmtId="0" fontId="8" fillId="0" borderId="2" xfId="0" applyFont="1" applyBorder="1" applyAlignment="1">
      <alignment horizontal="center" vertical="center"/>
    </xf>
    <xf numFmtId="0" fontId="7" fillId="0" borderId="0" xfId="0" applyFont="1" applyBorder="1" applyAlignment="1">
      <alignment horizontal="left" vertical="center"/>
    </xf>
    <xf numFmtId="0" fontId="4" fillId="0" borderId="0" xfId="0" applyFont="1" applyBorder="1" applyAlignment="1">
      <alignment horizontal="center" vertical="center"/>
    </xf>
    <xf numFmtId="4" fontId="8" fillId="0" borderId="1" xfId="0" applyNumberFormat="1" applyFont="1" applyFill="1" applyBorder="1" applyAlignment="1">
      <alignment horizontal="center" vertical="center"/>
    </xf>
    <xf numFmtId="3" fontId="8" fillId="0" borderId="1" xfId="0" applyNumberFormat="1" applyFont="1" applyFill="1" applyBorder="1" applyAlignment="1">
      <alignment horizontal="center" vertical="center"/>
    </xf>
    <xf numFmtId="165" fontId="8" fillId="0" borderId="1" xfId="0" applyNumberFormat="1" applyFont="1" applyFill="1" applyBorder="1" applyAlignment="1">
      <alignment horizontal="center" vertical="center"/>
    </xf>
    <xf numFmtId="9" fontId="8" fillId="0" borderId="1" xfId="0" applyNumberFormat="1" applyFont="1" applyFill="1" applyBorder="1" applyAlignment="1">
      <alignment horizontal="center" vertical="center"/>
    </xf>
    <xf numFmtId="0" fontId="4" fillId="0" borderId="0" xfId="0" applyFont="1" applyFill="1" applyAlignment="1">
      <alignment horizontal="center" vertical="center"/>
    </xf>
    <xf numFmtId="3" fontId="9" fillId="2" borderId="1" xfId="0" quotePrefix="1" applyNumberFormat="1" applyFont="1" applyFill="1" applyBorder="1" applyAlignment="1">
      <alignment horizontal="center" vertical="center" wrapText="1"/>
    </xf>
    <xf numFmtId="0" fontId="4" fillId="0" borderId="7" xfId="0" applyFont="1" applyFill="1" applyBorder="1" applyAlignment="1">
      <alignment horizontal="center" vertical="center"/>
    </xf>
    <xf numFmtId="0" fontId="8" fillId="0" borderId="1" xfId="0" applyFont="1" applyFill="1" applyBorder="1" applyAlignment="1">
      <alignment horizontal="center" vertical="center"/>
    </xf>
    <xf numFmtId="10" fontId="14" fillId="0" borderId="0" xfId="0" applyNumberFormat="1" applyFont="1"/>
    <xf numFmtId="0" fontId="13" fillId="0" borderId="14" xfId="0" applyFont="1" applyBorder="1" applyAlignment="1">
      <alignment vertical="center"/>
    </xf>
    <xf numFmtId="0" fontId="1" fillId="0" borderId="10" xfId="0" applyFont="1" applyBorder="1"/>
    <xf numFmtId="0" fontId="1" fillId="0" borderId="14" xfId="0" applyFont="1" applyBorder="1"/>
    <xf numFmtId="0" fontId="8" fillId="5" borderId="1" xfId="0" applyFont="1" applyFill="1" applyBorder="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4" fontId="8" fillId="0" borderId="2" xfId="0" applyNumberFormat="1" applyFont="1" applyBorder="1" applyAlignment="1">
      <alignment horizontal="center" vertical="center"/>
    </xf>
    <xf numFmtId="4" fontId="8" fillId="0" borderId="9" xfId="0" applyNumberFormat="1" applyFont="1" applyBorder="1" applyAlignment="1">
      <alignment horizontal="center" vertical="center"/>
    </xf>
    <xf numFmtId="4" fontId="8" fillId="0" borderId="3" xfId="0" applyNumberFormat="1" applyFont="1" applyBorder="1" applyAlignment="1">
      <alignment horizontal="center" vertical="center"/>
    </xf>
    <xf numFmtId="0" fontId="36" fillId="0" borderId="0" xfId="0" applyFont="1"/>
    <xf numFmtId="0" fontId="8" fillId="5" borderId="9" xfId="0" applyFont="1" applyFill="1" applyBorder="1" applyAlignment="1">
      <alignment horizontal="center" vertical="center" wrapText="1"/>
    </xf>
    <xf numFmtId="0" fontId="16" fillId="0" borderId="0" xfId="0" applyFont="1" applyAlignment="1">
      <alignment horizontal="center" vertical="center"/>
    </xf>
    <xf numFmtId="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1" fillId="0" borderId="2" xfId="0" applyFont="1" applyBorder="1" applyAlignment="1">
      <alignment horizontal="center" vertical="center" wrapText="1"/>
    </xf>
    <xf numFmtId="165" fontId="8" fillId="0" borderId="9" xfId="0" applyNumberFormat="1" applyFont="1" applyBorder="1" applyAlignment="1">
      <alignment horizontal="center" vertical="center"/>
    </xf>
    <xf numFmtId="165" fontId="8" fillId="0" borderId="2" xfId="0" applyNumberFormat="1" applyFont="1" applyBorder="1" applyAlignment="1">
      <alignment horizontal="center" vertical="center"/>
    </xf>
    <xf numFmtId="4" fontId="8" fillId="14" borderId="3" xfId="0" applyNumberFormat="1" applyFont="1" applyFill="1" applyBorder="1" applyAlignment="1">
      <alignment horizontal="center" vertical="center"/>
    </xf>
    <xf numFmtId="170" fontId="8" fillId="0" borderId="9" xfId="0" applyNumberFormat="1" applyFont="1" applyBorder="1" applyAlignment="1">
      <alignment horizontal="center" vertical="center"/>
    </xf>
    <xf numFmtId="4" fontId="8" fillId="14" borderId="9" xfId="0" applyNumberFormat="1" applyFont="1" applyFill="1" applyBorder="1" applyAlignment="1">
      <alignment horizontal="center" vertical="center"/>
    </xf>
    <xf numFmtId="170" fontId="8" fillId="0" borderId="2" xfId="0" applyNumberFormat="1" applyFont="1" applyBorder="1" applyAlignment="1">
      <alignment horizontal="center" vertical="center"/>
    </xf>
    <xf numFmtId="4" fontId="8" fillId="14" borderId="2" xfId="0" applyNumberFormat="1" applyFont="1" applyFill="1" applyBorder="1" applyAlignment="1">
      <alignment horizontal="center" vertical="center"/>
    </xf>
    <xf numFmtId="0" fontId="8" fillId="0" borderId="2" xfId="0" quotePrefix="1" applyFont="1" applyBorder="1" applyAlignment="1">
      <alignment horizontal="center" vertical="center"/>
    </xf>
    <xf numFmtId="166" fontId="8" fillId="0" borderId="2" xfId="0" applyNumberFormat="1" applyFont="1" applyBorder="1" applyAlignment="1">
      <alignment horizontal="center" vertical="center"/>
    </xf>
    <xf numFmtId="0" fontId="8" fillId="5" borderId="9" xfId="0" applyFont="1" applyFill="1" applyBorder="1" applyAlignment="1">
      <alignment horizontal="center" vertical="center"/>
    </xf>
    <xf numFmtId="0" fontId="8" fillId="0" borderId="2"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9" xfId="0" applyFont="1" applyFill="1" applyBorder="1" applyAlignment="1">
      <alignment horizontal="left" vertical="center" wrapText="1"/>
    </xf>
    <xf numFmtId="4" fontId="8" fillId="0" borderId="9" xfId="0" applyNumberFormat="1" applyFont="1" applyFill="1" applyBorder="1" applyAlignment="1">
      <alignment horizontal="center" vertical="center"/>
    </xf>
    <xf numFmtId="0" fontId="8" fillId="0" borderId="9" xfId="0" applyFont="1" applyFill="1" applyBorder="1" applyAlignment="1">
      <alignment horizontal="center" vertical="center"/>
    </xf>
    <xf numFmtId="10" fontId="8" fillId="0" borderId="9" xfId="0" applyNumberFormat="1" applyFont="1" applyFill="1" applyBorder="1" applyAlignment="1">
      <alignment horizontal="center" vertical="center"/>
    </xf>
    <xf numFmtId="3" fontId="8" fillId="0" borderId="1" xfId="0" applyNumberFormat="1" applyFont="1" applyBorder="1" applyAlignment="1">
      <alignment horizontal="center" vertical="center"/>
    </xf>
    <xf numFmtId="3" fontId="9" fillId="2" borderId="1" xfId="0"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4" fontId="9"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4" fontId="8" fillId="0" borderId="1" xfId="0" applyNumberFormat="1" applyFont="1" applyFill="1" applyBorder="1" applyAlignment="1">
      <alignment horizontal="center" vertical="center"/>
    </xf>
    <xf numFmtId="0" fontId="9" fillId="2" borderId="8" xfId="0" applyFont="1" applyFill="1" applyBorder="1" applyAlignment="1">
      <alignment horizontal="center" vertical="center" wrapText="1"/>
    </xf>
    <xf numFmtId="0" fontId="8" fillId="0" borderId="1" xfId="0" applyFont="1" applyBorder="1" applyAlignment="1">
      <alignment horizontal="center" vertical="center"/>
    </xf>
    <xf numFmtId="3" fontId="8" fillId="0" borderId="1" xfId="0" applyNumberFormat="1" applyFont="1" applyBorder="1" applyAlignment="1">
      <alignment horizontal="center" vertical="center"/>
    </xf>
    <xf numFmtId="4" fontId="8" fillId="0" borderId="9" xfId="0" applyNumberFormat="1" applyFont="1" applyBorder="1" applyAlignment="1">
      <alignment horizontal="center" vertical="center"/>
    </xf>
    <xf numFmtId="4" fontId="8" fillId="0" borderId="1" xfId="0" applyNumberFormat="1" applyFont="1" applyBorder="1" applyAlignment="1">
      <alignment horizontal="center" vertical="center"/>
    </xf>
    <xf numFmtId="4" fontId="8" fillId="0" borderId="2" xfId="0" applyNumberFormat="1" applyFont="1" applyBorder="1" applyAlignment="1">
      <alignment horizontal="center" vertical="center"/>
    </xf>
    <xf numFmtId="4" fontId="8" fillId="0" borderId="9" xfId="0" applyNumberFormat="1" applyFont="1" applyBorder="1" applyAlignment="1">
      <alignment horizontal="center" vertical="center"/>
    </xf>
    <xf numFmtId="4" fontId="8" fillId="0" borderId="2" xfId="0" applyNumberFormat="1" applyFont="1" applyFill="1" applyBorder="1" applyAlignment="1">
      <alignment horizontal="center" vertical="center"/>
    </xf>
    <xf numFmtId="0" fontId="8" fillId="4" borderId="1" xfId="0" applyFont="1" applyFill="1" applyBorder="1" applyAlignment="1">
      <alignment horizontal="center" vertical="center"/>
    </xf>
    <xf numFmtId="4" fontId="8" fillId="0" borderId="0" xfId="0" applyNumberFormat="1" applyFont="1" applyAlignment="1">
      <alignment horizontal="center" vertical="center"/>
    </xf>
    <xf numFmtId="4" fontId="8" fillId="0" borderId="1" xfId="0" applyNumberFormat="1" applyFont="1" applyFill="1" applyBorder="1" applyAlignment="1">
      <alignment horizontal="center" vertical="center"/>
    </xf>
    <xf numFmtId="4" fontId="8" fillId="16" borderId="9" xfId="0" applyNumberFormat="1" applyFont="1" applyFill="1" applyBorder="1" applyAlignment="1">
      <alignment horizontal="center" vertical="center"/>
    </xf>
    <xf numFmtId="164" fontId="8" fillId="0" borderId="9" xfId="0" applyNumberFormat="1" applyFont="1" applyFill="1" applyBorder="1" applyAlignment="1">
      <alignment horizontal="center" vertical="center"/>
    </xf>
    <xf numFmtId="0" fontId="9" fillId="2" borderId="1" xfId="0" applyFont="1" applyFill="1" applyBorder="1" applyAlignment="1">
      <alignment horizontal="center" vertical="center"/>
    </xf>
    <xf numFmtId="4" fontId="9"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4" fontId="8" fillId="0" borderId="3" xfId="0" applyNumberFormat="1" applyFont="1" applyBorder="1" applyAlignment="1">
      <alignment horizontal="center" vertical="center"/>
    </xf>
    <xf numFmtId="4" fontId="8" fillId="0" borderId="2" xfId="0" applyNumberFormat="1" applyFont="1" applyBorder="1" applyAlignment="1">
      <alignment horizontal="center" vertical="center"/>
    </xf>
    <xf numFmtId="4"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164" fontId="8" fillId="0" borderId="2" xfId="0" applyNumberFormat="1" applyFont="1" applyBorder="1" applyAlignment="1">
      <alignment horizontal="center" vertical="center"/>
    </xf>
    <xf numFmtId="170" fontId="8" fillId="0" borderId="2" xfId="0" applyNumberFormat="1" applyFont="1" applyBorder="1" applyAlignment="1">
      <alignment horizontal="center" vertical="center"/>
    </xf>
    <xf numFmtId="0" fontId="9" fillId="2" borderId="1" xfId="0" applyFont="1" applyFill="1" applyBorder="1" applyAlignment="1">
      <alignment horizontal="center" vertical="center"/>
    </xf>
    <xf numFmtId="4" fontId="9" fillId="0" borderId="1" xfId="0" applyNumberFormat="1" applyFont="1" applyBorder="1" applyAlignment="1">
      <alignment horizontal="center" vertical="center"/>
    </xf>
    <xf numFmtId="4" fontId="8" fillId="0" borderId="1" xfId="0" applyNumberFormat="1" applyFont="1" applyFill="1" applyBorder="1" applyAlignment="1">
      <alignment horizontal="center" vertical="center"/>
    </xf>
    <xf numFmtId="0" fontId="8" fillId="0" borderId="2" xfId="0" applyFont="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9"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164" fontId="8" fillId="0" borderId="2" xfId="0" applyNumberFormat="1" applyFont="1" applyBorder="1" applyAlignment="1">
      <alignment horizontal="center" vertical="center"/>
    </xf>
    <xf numFmtId="3" fontId="8" fillId="0" borderId="3" xfId="0" applyNumberFormat="1" applyFont="1" applyBorder="1" applyAlignment="1">
      <alignment horizontal="center" vertical="center"/>
    </xf>
    <xf numFmtId="164" fontId="8" fillId="0" borderId="3" xfId="0" applyNumberFormat="1" applyFont="1" applyBorder="1" applyAlignment="1">
      <alignment horizontal="center" vertical="center"/>
    </xf>
    <xf numFmtId="164" fontId="8" fillId="3" borderId="3" xfId="0" applyNumberFormat="1" applyFont="1" applyFill="1" applyBorder="1" applyAlignment="1">
      <alignment horizontal="center" vertical="center"/>
    </xf>
    <xf numFmtId="4" fontId="8" fillId="0" borderId="3" xfId="0" applyNumberFormat="1" applyFont="1" applyFill="1" applyBorder="1" applyAlignment="1">
      <alignment horizontal="center" vertical="center"/>
    </xf>
    <xf numFmtId="171" fontId="8" fillId="0" borderId="2" xfId="0" applyNumberFormat="1" applyFont="1" applyBorder="1" applyAlignment="1">
      <alignment horizontal="center" vertical="center"/>
    </xf>
    <xf numFmtId="171" fontId="8" fillId="0" borderId="9" xfId="0" applyNumberFormat="1" applyFont="1" applyBorder="1" applyAlignment="1">
      <alignment horizontal="center" vertical="center"/>
    </xf>
    <xf numFmtId="0" fontId="8" fillId="0" borderId="2" xfId="0" applyFont="1" applyBorder="1" applyAlignment="1">
      <alignment horizontal="center" vertical="center"/>
    </xf>
    <xf numFmtId="0" fontId="0" fillId="0" borderId="0" xfId="0" applyAlignment="1">
      <alignment wrapText="1"/>
    </xf>
    <xf numFmtId="0" fontId="8" fillId="0" borderId="0" xfId="0" quotePrefix="1" applyFont="1" applyBorder="1" applyAlignment="1">
      <alignment horizontal="center" vertical="center"/>
    </xf>
    <xf numFmtId="4" fontId="8" fillId="0" borderId="0" xfId="0" applyNumberFormat="1" applyFont="1" applyBorder="1" applyAlignment="1">
      <alignment horizontal="center" vertical="center"/>
    </xf>
    <xf numFmtId="0" fontId="1" fillId="0" borderId="0" xfId="0"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3" fontId="9" fillId="2" borderId="1" xfId="0" applyNumberFormat="1" applyFont="1" applyFill="1" applyBorder="1" applyAlignment="1">
      <alignment horizontal="center" vertical="center" wrapText="1"/>
    </xf>
    <xf numFmtId="4" fontId="9" fillId="0" borderId="1" xfId="0" applyNumberFormat="1" applyFont="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4" fontId="8" fillId="0" borderId="9" xfId="0" applyNumberFormat="1" applyFont="1" applyBorder="1" applyAlignment="1">
      <alignment horizontal="center" vertical="center"/>
    </xf>
    <xf numFmtId="0" fontId="6" fillId="0" borderId="0" xfId="0" applyFont="1" applyBorder="1" applyAlignment="1">
      <alignment horizontal="left" vertical="center"/>
    </xf>
    <xf numFmtId="0" fontId="5" fillId="0" borderId="0" xfId="0" applyFont="1" applyBorder="1"/>
    <xf numFmtId="10" fontId="13" fillId="0" borderId="15" xfId="0" applyNumberFormat="1" applyFont="1" applyBorder="1" applyAlignment="1">
      <alignment horizontal="center" vertical="center"/>
    </xf>
    <xf numFmtId="0" fontId="9" fillId="0" borderId="1" xfId="0" applyFont="1" applyBorder="1" applyAlignment="1">
      <alignment horizontal="center" vertical="center"/>
    </xf>
    <xf numFmtId="0" fontId="9" fillId="2" borderId="1" xfId="0" applyFont="1" applyFill="1" applyBorder="1" applyAlignment="1">
      <alignment horizontal="center" vertical="center"/>
    </xf>
    <xf numFmtId="4" fontId="9" fillId="0" borderId="1" xfId="0" applyNumberFormat="1" applyFont="1" applyBorder="1" applyAlignment="1">
      <alignment horizontal="center" vertical="center"/>
    </xf>
    <xf numFmtId="0" fontId="8" fillId="0" borderId="2" xfId="0" applyFont="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164" fontId="8" fillId="0" borderId="2" xfId="0" applyNumberFormat="1" applyFont="1" applyBorder="1" applyAlignment="1">
      <alignment horizontal="center" vertical="center"/>
    </xf>
    <xf numFmtId="4" fontId="9" fillId="0" borderId="3" xfId="0" applyNumberFormat="1" applyFont="1" applyBorder="1" applyAlignment="1">
      <alignment horizontal="center" vertical="center"/>
    </xf>
    <xf numFmtId="0" fontId="8" fillId="0" borderId="9" xfId="0" applyFont="1" applyFill="1" applyBorder="1" applyAlignment="1">
      <alignment horizontal="center" vertical="center" wrapText="1"/>
    </xf>
    <xf numFmtId="0" fontId="8" fillId="5" borderId="2" xfId="0" applyFont="1" applyFill="1" applyBorder="1" applyAlignment="1">
      <alignment horizontal="center" vertical="center"/>
    </xf>
    <xf numFmtId="4" fontId="1" fillId="0" borderId="0" xfId="0" applyNumberFormat="1" applyFont="1" applyAlignment="1">
      <alignment horizontal="center" vertical="center"/>
    </xf>
    <xf numFmtId="4" fontId="9" fillId="0" borderId="1" xfId="0" applyNumberFormat="1" applyFont="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164" fontId="8" fillId="0" borderId="2" xfId="0" applyNumberFormat="1" applyFont="1" applyBorder="1" applyAlignment="1">
      <alignment horizontal="center" vertical="center"/>
    </xf>
    <xf numFmtId="0" fontId="9" fillId="0" borderId="1" xfId="0" applyFont="1" applyBorder="1" applyAlignment="1">
      <alignment horizontal="center" vertical="center"/>
    </xf>
    <xf numFmtId="0" fontId="9" fillId="9" borderId="6" xfId="0" applyFont="1" applyFill="1" applyBorder="1" applyAlignment="1">
      <alignment horizontal="center" vertical="center"/>
    </xf>
    <xf numFmtId="0" fontId="9" fillId="9" borderId="7"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0" xfId="0" applyFont="1" applyAlignment="1">
      <alignment horizontal="center" vertical="center"/>
    </xf>
    <xf numFmtId="3" fontId="9" fillId="2" borderId="1" xfId="0" applyNumberFormat="1" applyFont="1" applyFill="1" applyBorder="1" applyAlignment="1">
      <alignment horizontal="center" vertical="center" wrapText="1"/>
    </xf>
    <xf numFmtId="0" fontId="7" fillId="0" borderId="7" xfId="0" applyFont="1" applyBorder="1" applyAlignment="1">
      <alignment horizontal="center" vertical="center"/>
    </xf>
    <xf numFmtId="0" fontId="7" fillId="0" borderId="7" xfId="0" applyFont="1" applyBorder="1" applyAlignment="1">
      <alignment horizontal="righ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right" vertical="center"/>
    </xf>
    <xf numFmtId="0" fontId="7" fillId="0" borderId="14" xfId="0" applyFont="1" applyBorder="1" applyAlignment="1">
      <alignment horizontal="center" vertical="center"/>
    </xf>
    <xf numFmtId="0" fontId="6" fillId="0" borderId="0" xfId="0" applyFont="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10" xfId="0" applyFont="1" applyBorder="1" applyAlignment="1">
      <alignment horizontal="center"/>
    </xf>
    <xf numFmtId="0" fontId="7" fillId="0" borderId="12" xfId="0" applyFont="1" applyBorder="1" applyAlignment="1">
      <alignment horizontal="center"/>
    </xf>
    <xf numFmtId="0" fontId="7" fillId="0" borderId="10"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20" fillId="0" borderId="0" xfId="1" applyFont="1" applyAlignment="1">
      <alignment horizontal="left" vertical="center" wrapText="1"/>
    </xf>
    <xf numFmtId="0" fontId="17" fillId="0" borderId="0" xfId="1" applyAlignment="1">
      <alignment horizontal="center" vertical="center"/>
    </xf>
    <xf numFmtId="0" fontId="20" fillId="0" borderId="16" xfId="1" applyFont="1" applyBorder="1" applyAlignment="1">
      <alignment horizontal="center" vertical="center"/>
    </xf>
    <xf numFmtId="0" fontId="18" fillId="0" borderId="19" xfId="1" applyFont="1" applyBorder="1" applyAlignment="1">
      <alignment horizontal="center" vertical="center"/>
    </xf>
    <xf numFmtId="0" fontId="20" fillId="0" borderId="0" xfId="1" applyFont="1" applyAlignment="1">
      <alignment horizontal="center" vertical="center"/>
    </xf>
    <xf numFmtId="167" fontId="21" fillId="10" borderId="6" xfId="2" applyNumberFormat="1" applyFont="1" applyFill="1" applyBorder="1" applyAlignment="1" applyProtection="1">
      <alignment horizontal="left" vertical="center" wrapText="1"/>
      <protection locked="0"/>
    </xf>
    <xf numFmtId="167" fontId="21" fillId="10" borderId="7" xfId="2" applyNumberFormat="1" applyFont="1" applyFill="1" applyBorder="1" applyAlignment="1" applyProtection="1">
      <alignment horizontal="left" vertical="center" wrapText="1"/>
      <protection locked="0"/>
    </xf>
    <xf numFmtId="167" fontId="21" fillId="10" borderId="8" xfId="2" applyNumberFormat="1" applyFont="1" applyFill="1" applyBorder="1" applyAlignment="1" applyProtection="1">
      <alignment horizontal="left" vertical="center" wrapText="1"/>
      <protection locked="0"/>
    </xf>
    <xf numFmtId="0" fontId="17" fillId="11" borderId="26" xfId="1" applyFill="1" applyBorder="1" applyAlignment="1">
      <alignment horizontal="left" vertical="top" wrapText="1"/>
    </xf>
    <xf numFmtId="0" fontId="17" fillId="11" borderId="27" xfId="1" applyFill="1" applyBorder="1" applyAlignment="1">
      <alignment horizontal="left" vertical="top" wrapText="1"/>
    </xf>
    <xf numFmtId="0" fontId="17" fillId="11" borderId="28" xfId="1" applyFill="1" applyBorder="1" applyAlignment="1">
      <alignment horizontal="left" vertical="top" wrapText="1"/>
    </xf>
    <xf numFmtId="0" fontId="20" fillId="10" borderId="1" xfId="1" applyFont="1" applyFill="1" applyBorder="1" applyAlignment="1" applyProtection="1">
      <alignment horizontal="center" vertical="center"/>
      <protection locked="0"/>
    </xf>
    <xf numFmtId="0" fontId="20" fillId="0" borderId="0" xfId="1" applyFont="1" applyAlignment="1">
      <alignment horizontal="center" vertical="center" wrapText="1"/>
    </xf>
    <xf numFmtId="10" fontId="21" fillId="10" borderId="1" xfId="3" applyNumberFormat="1" applyFont="1" applyFill="1" applyBorder="1" applyAlignment="1" applyProtection="1">
      <alignment horizontal="center" vertical="center" wrapText="1"/>
      <protection locked="0"/>
    </xf>
    <xf numFmtId="0" fontId="20" fillId="0" borderId="0" xfId="1" applyFont="1" applyAlignment="1">
      <alignment horizontal="center"/>
    </xf>
    <xf numFmtId="0" fontId="17" fillId="0" borderId="0" xfId="1" applyAlignment="1">
      <alignment horizontal="left" vertical="center" wrapText="1"/>
    </xf>
    <xf numFmtId="0" fontId="17" fillId="0" borderId="16" xfId="1" applyBorder="1" applyAlignment="1">
      <alignment horizontal="center"/>
    </xf>
    <xf numFmtId="10" fontId="24" fillId="0" borderId="0" xfId="3" applyNumberFormat="1" applyFont="1" applyBorder="1" applyAlignment="1" applyProtection="1">
      <alignment horizontal="center"/>
    </xf>
    <xf numFmtId="0" fontId="22" fillId="0" borderId="0" xfId="1" applyFont="1" applyAlignment="1">
      <alignment horizontal="center"/>
    </xf>
    <xf numFmtId="0" fontId="28" fillId="0" borderId="0" xfId="1" applyFont="1" applyAlignment="1">
      <alignment vertical="center" wrapText="1"/>
    </xf>
    <xf numFmtId="10" fontId="29" fillId="0" borderId="0" xfId="3" applyNumberFormat="1" applyFont="1" applyBorder="1" applyAlignment="1" applyProtection="1">
      <alignment horizontal="center" vertical="center"/>
    </xf>
    <xf numFmtId="0" fontId="30" fillId="0" borderId="0" xfId="1" applyFont="1" applyAlignment="1">
      <alignment horizontal="center"/>
    </xf>
    <xf numFmtId="0" fontId="17" fillId="0" borderId="21" xfId="1" applyBorder="1" applyAlignment="1">
      <alignment horizontal="center"/>
    </xf>
    <xf numFmtId="0" fontId="17" fillId="0" borderId="0" xfId="1" applyAlignment="1">
      <alignment horizontal="center"/>
    </xf>
    <xf numFmtId="0" fontId="17" fillId="0" borderId="22" xfId="1" applyBorder="1" applyAlignment="1">
      <alignment horizontal="center"/>
    </xf>
    <xf numFmtId="0" fontId="17" fillId="0" borderId="21" xfId="1" applyBorder="1" applyAlignment="1">
      <alignment horizontal="center" wrapText="1"/>
    </xf>
    <xf numFmtId="0" fontId="17" fillId="0" borderId="29" xfId="1" applyBorder="1" applyAlignment="1">
      <alignment horizontal="center"/>
    </xf>
    <xf numFmtId="0" fontId="17" fillId="0" borderId="30" xfId="1" applyBorder="1" applyAlignment="1">
      <alignment horizontal="center"/>
    </xf>
    <xf numFmtId="0" fontId="20" fillId="0" borderId="23" xfId="1" applyFont="1" applyBorder="1" applyAlignment="1">
      <alignment horizontal="center"/>
    </xf>
    <xf numFmtId="0" fontId="20" fillId="0" borderId="24" xfId="1" applyFont="1" applyBorder="1" applyAlignment="1">
      <alignment horizontal="center"/>
    </xf>
    <xf numFmtId="0" fontId="20" fillId="0" borderId="25" xfId="1" applyFont="1" applyBorder="1" applyAlignment="1">
      <alignment horizontal="center"/>
    </xf>
    <xf numFmtId="0" fontId="17" fillId="0" borderId="21" xfId="1" applyBorder="1" applyAlignment="1">
      <alignment horizontal="left" wrapText="1"/>
    </xf>
    <xf numFmtId="0" fontId="17" fillId="0" borderId="0" xfId="1" applyAlignment="1">
      <alignment horizontal="left" wrapText="1"/>
    </xf>
    <xf numFmtId="0" fontId="17" fillId="0" borderId="22" xfId="1" applyBorder="1" applyAlignment="1">
      <alignment horizontal="left" wrapText="1"/>
    </xf>
    <xf numFmtId="0" fontId="9" fillId="15" borderId="1" xfId="0" applyFont="1" applyFill="1" applyBorder="1" applyAlignment="1">
      <alignment horizontal="center" vertical="center" textRotation="90" wrapText="1"/>
    </xf>
    <xf numFmtId="0" fontId="7" fillId="0" borderId="1" xfId="0" applyFont="1" applyBorder="1" applyAlignment="1">
      <alignment horizontal="center" vertical="center"/>
    </xf>
    <xf numFmtId="0" fontId="9" fillId="2" borderId="1" xfId="0" applyFont="1" applyFill="1" applyBorder="1" applyAlignment="1">
      <alignment horizontal="center" vertical="center"/>
    </xf>
    <xf numFmtId="0" fontId="33" fillId="15" borderId="2" xfId="0" applyFont="1" applyFill="1" applyBorder="1" applyAlignment="1">
      <alignment horizontal="center" vertical="center" textRotation="90" wrapText="1"/>
    </xf>
    <xf numFmtId="0" fontId="33" fillId="15" borderId="9" xfId="0" applyFont="1" applyFill="1" applyBorder="1" applyAlignment="1">
      <alignment horizontal="center" vertical="center" textRotation="90"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3" fillId="15" borderId="3" xfId="0" applyFont="1" applyFill="1" applyBorder="1" applyAlignment="1">
      <alignment horizontal="center" vertical="center" textRotation="90" wrapText="1"/>
    </xf>
    <xf numFmtId="4" fontId="8" fillId="0" borderId="1" xfId="0" applyNumberFormat="1" applyFont="1" applyFill="1" applyBorder="1" applyAlignment="1">
      <alignment horizontal="center" vertical="center"/>
    </xf>
    <xf numFmtId="4" fontId="8"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0" fontId="10" fillId="2" borderId="1"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8" xfId="0" applyFont="1" applyFill="1" applyBorder="1" applyAlignment="1">
      <alignment horizontal="center" vertical="center" wrapText="1"/>
    </xf>
    <xf numFmtId="0" fontId="11" fillId="0" borderId="1" xfId="0" applyFont="1" applyBorder="1" applyAlignment="1">
      <alignment horizontal="center" vertical="center"/>
    </xf>
    <xf numFmtId="0" fontId="10" fillId="8" borderId="1" xfId="0" applyFont="1" applyFill="1" applyBorder="1" applyAlignment="1">
      <alignment horizontal="center" vertical="center" wrapText="1"/>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6" fillId="0" borderId="5" xfId="0" applyFont="1" applyBorder="1" applyAlignment="1">
      <alignment horizontal="center" vertical="center"/>
    </xf>
    <xf numFmtId="0" fontId="9" fillId="6" borderId="1" xfId="0" applyFont="1" applyFill="1" applyBorder="1" applyAlignment="1">
      <alignment horizontal="center" vertical="center" wrapText="1"/>
    </xf>
    <xf numFmtId="0" fontId="9" fillId="15" borderId="2" xfId="0" applyFont="1" applyFill="1" applyBorder="1" applyAlignment="1">
      <alignment horizontal="center" vertical="center" textRotation="90" wrapText="1"/>
    </xf>
    <xf numFmtId="0" fontId="9" fillId="15" borderId="9" xfId="0" applyFont="1" applyFill="1" applyBorder="1" applyAlignment="1">
      <alignment horizontal="center" vertical="center" textRotation="90" wrapText="1"/>
    </xf>
    <xf numFmtId="0" fontId="9" fillId="15" borderId="3" xfId="0" applyFont="1" applyFill="1" applyBorder="1" applyAlignment="1">
      <alignment horizontal="center" vertical="center" textRotation="90"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9" fillId="0" borderId="6" xfId="0" applyFont="1" applyBorder="1" applyAlignment="1">
      <alignment horizontal="right" vertical="center"/>
    </xf>
    <xf numFmtId="0" fontId="9" fillId="0" borderId="7" xfId="0" applyFont="1" applyBorder="1" applyAlignment="1">
      <alignment horizontal="right" vertical="center"/>
    </xf>
    <xf numFmtId="0" fontId="9" fillId="0" borderId="8" xfId="0" applyFont="1" applyBorder="1" applyAlignment="1">
      <alignment horizontal="right" vertical="center"/>
    </xf>
    <xf numFmtId="0" fontId="9" fillId="2" borderId="11"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5" xfId="0" applyFont="1" applyFill="1" applyBorder="1" applyAlignment="1">
      <alignment horizontal="center" vertical="center"/>
    </xf>
    <xf numFmtId="4" fontId="8" fillId="0" borderId="2"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4" fontId="8" fillId="0" borderId="4" xfId="0" applyNumberFormat="1" applyFont="1" applyBorder="1" applyAlignment="1">
      <alignment horizontal="center" vertical="center"/>
    </xf>
    <xf numFmtId="4" fontId="8" fillId="0" borderId="5" xfId="0" applyNumberFormat="1" applyFont="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171" fontId="8" fillId="0" borderId="2" xfId="0" applyNumberFormat="1" applyFont="1" applyBorder="1" applyAlignment="1">
      <alignment horizontal="center" vertical="center"/>
    </xf>
    <xf numFmtId="0" fontId="9" fillId="2" borderId="9"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5" xfId="0" applyFont="1" applyBorder="1" applyAlignment="1">
      <alignment horizontal="right" vertical="center"/>
    </xf>
    <xf numFmtId="165" fontId="8" fillId="0" borderId="2" xfId="0" applyNumberFormat="1" applyFont="1" applyBorder="1" applyAlignment="1">
      <alignment horizontal="center" vertical="center"/>
    </xf>
    <xf numFmtId="4" fontId="8" fillId="14" borderId="9" xfId="0" applyNumberFormat="1" applyFont="1" applyFill="1" applyBorder="1" applyAlignment="1">
      <alignment horizontal="center" vertical="center"/>
    </xf>
    <xf numFmtId="172" fontId="8" fillId="0" borderId="4" xfId="0" applyNumberFormat="1" applyFont="1" applyBorder="1" applyAlignment="1">
      <alignment horizontal="center" vertical="center"/>
    </xf>
    <xf numFmtId="172" fontId="8" fillId="0" borderId="5" xfId="0" applyNumberFormat="1" applyFont="1" applyBorder="1" applyAlignment="1">
      <alignment horizontal="center" vertical="center"/>
    </xf>
    <xf numFmtId="164" fontId="8" fillId="0" borderId="4" xfId="0" applyNumberFormat="1" applyFont="1" applyBorder="1" applyAlignment="1">
      <alignment horizontal="center" vertical="center"/>
    </xf>
    <xf numFmtId="164" fontId="8" fillId="0" borderId="5" xfId="0" applyNumberFormat="1" applyFont="1" applyBorder="1" applyAlignment="1">
      <alignment horizontal="center" vertical="center"/>
    </xf>
    <xf numFmtId="4" fontId="11" fillId="0" borderId="2" xfId="0" applyNumberFormat="1" applyFont="1" applyBorder="1" applyAlignment="1">
      <alignment horizontal="center" vertical="center"/>
    </xf>
    <xf numFmtId="164" fontId="8" fillId="0" borderId="2" xfId="0" applyNumberFormat="1" applyFont="1" applyBorder="1" applyAlignment="1">
      <alignment horizontal="center" vertical="center"/>
    </xf>
    <xf numFmtId="170" fontId="8" fillId="0" borderId="2" xfId="0" applyNumberFormat="1" applyFont="1" applyBorder="1" applyAlignment="1">
      <alignment horizontal="center" vertical="center"/>
    </xf>
    <xf numFmtId="4" fontId="8" fillId="14" borderId="2" xfId="0" applyNumberFormat="1" applyFont="1" applyFill="1" applyBorder="1" applyAlignment="1">
      <alignment horizontal="center" vertical="center"/>
    </xf>
    <xf numFmtId="4" fontId="8" fillId="0" borderId="13" xfId="0" applyNumberFormat="1" applyFont="1" applyBorder="1" applyAlignment="1">
      <alignment horizontal="center" vertical="center"/>
    </xf>
    <xf numFmtId="4" fontId="8" fillId="0" borderId="15" xfId="0" applyNumberFormat="1" applyFont="1" applyBorder="1" applyAlignment="1">
      <alignment horizontal="center" vertical="center"/>
    </xf>
    <xf numFmtId="164" fontId="8" fillId="0" borderId="3" xfId="0" applyNumberFormat="1" applyFont="1" applyBorder="1" applyAlignment="1">
      <alignment horizontal="center" vertical="center"/>
    </xf>
  </cellXfs>
  <cellStyles count="7">
    <cellStyle name="Estilo 1" xfId="4"/>
    <cellStyle name="Normal" xfId="0" builtinId="0"/>
    <cellStyle name="Normal 2" xfId="1"/>
    <cellStyle name="Normal 3 57" xfId="6"/>
    <cellStyle name="Porcentagem 2" xfId="3"/>
    <cellStyle name="Vírgula 2" xfId="2"/>
    <cellStyle name="Vírgula 2 2" xfId="5"/>
  </cellStyles>
  <dxfs count="2">
    <dxf>
      <font>
        <b/>
        <i val="0"/>
        <condense val="0"/>
        <extend val="0"/>
        <color indexed="57"/>
      </font>
      <fill>
        <patternFill patternType="solid">
          <bgColor indexed="26"/>
        </patternFill>
      </fill>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15714" name="Object 2" hidden="1">
              <a:extLst>
                <a:ext uri="{63B3BB69-23CF-44E3-9099-C40C66FF867C}">
                  <a14:compatExt spid="_x0000_s115714"/>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15715" name="CommandButton1" hidden="1">
              <a:extLst>
                <a:ext uri="{63B3BB69-23CF-44E3-9099-C40C66FF867C}">
                  <a14:compatExt spid="_x0000_s115715"/>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vmlDrawing" Target="../drawings/vmlDrawing32.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3.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34.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3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vmlDrawing" Target="../drawings/vmlDrawing36.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vmlDrawing" Target="../drawings/vmlDrawing37.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3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vmlDrawing" Target="../drawings/vmlDrawing39.vml"/><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5"/>
  <sheetViews>
    <sheetView showGridLines="0" view="pageBreakPreview" zoomScaleNormal="100" zoomScaleSheetLayoutView="100" workbookViewId="0">
      <selection activeCell="E15" sqref="E15"/>
    </sheetView>
  </sheetViews>
  <sheetFormatPr defaultRowHeight="15" x14ac:dyDescent="0.25"/>
  <cols>
    <col min="1" max="1" width="1.7109375" customWidth="1"/>
    <col min="2" max="2" width="30.7109375" customWidth="1"/>
    <col min="3" max="3" width="55.7109375" customWidth="1"/>
    <col min="6" max="6" width="15.7109375" customWidth="1"/>
  </cols>
  <sheetData>
    <row r="1" spans="2:3" ht="5.0999999999999996" customHeight="1" x14ac:dyDescent="0.25"/>
    <row r="2" spans="2:3" ht="15" customHeight="1" x14ac:dyDescent="0.25">
      <c r="B2" s="383" t="s">
        <v>328</v>
      </c>
      <c r="C2" s="384"/>
    </row>
    <row r="3" spans="2:3" ht="14.1" customHeight="1" x14ac:dyDescent="0.25">
      <c r="B3" s="58" t="s">
        <v>329</v>
      </c>
      <c r="C3" s="242" t="s">
        <v>570</v>
      </c>
    </row>
    <row r="4" spans="2:3" ht="14.1" customHeight="1" x14ac:dyDescent="0.25">
      <c r="B4" s="58" t="s">
        <v>330</v>
      </c>
      <c r="C4" s="242" t="s">
        <v>571</v>
      </c>
    </row>
    <row r="5" spans="2:3" ht="5.0999999999999996" customHeight="1" x14ac:dyDescent="0.25">
      <c r="C5" s="111"/>
    </row>
    <row r="6" spans="2:3" ht="14.1" customHeight="1" x14ac:dyDescent="0.25">
      <c r="B6" s="383" t="s">
        <v>331</v>
      </c>
      <c r="C6" s="384"/>
    </row>
    <row r="7" spans="2:3" ht="14.1" customHeight="1" x14ac:dyDescent="0.25">
      <c r="B7" s="58" t="s">
        <v>332</v>
      </c>
      <c r="C7" s="242" t="s">
        <v>334</v>
      </c>
    </row>
    <row r="8" spans="2:3" ht="14.1" customHeight="1" x14ac:dyDescent="0.25">
      <c r="B8" s="58" t="s">
        <v>333</v>
      </c>
      <c r="C8" s="242" t="s">
        <v>572</v>
      </c>
    </row>
    <row r="9" spans="2:3" ht="14.1" customHeight="1" x14ac:dyDescent="0.25">
      <c r="B9" s="382" t="s">
        <v>339</v>
      </c>
      <c r="C9" s="58" t="s">
        <v>10</v>
      </c>
    </row>
    <row r="10" spans="2:3" ht="14.1" customHeight="1" x14ac:dyDescent="0.25">
      <c r="B10" s="382"/>
      <c r="C10" s="385" t="s">
        <v>837</v>
      </c>
    </row>
    <row r="11" spans="2:3" ht="14.1" customHeight="1" x14ac:dyDescent="0.25">
      <c r="B11" s="382"/>
      <c r="C11" s="388"/>
    </row>
    <row r="12" spans="2:3" ht="14.1" customHeight="1" x14ac:dyDescent="0.25">
      <c r="B12" s="382"/>
      <c r="C12" s="385" t="s">
        <v>838</v>
      </c>
    </row>
    <row r="13" spans="2:3" ht="14.1" customHeight="1" x14ac:dyDescent="0.25">
      <c r="B13" s="382"/>
      <c r="C13" s="386"/>
    </row>
    <row r="14" spans="2:3" ht="14.1" customHeight="1" x14ac:dyDescent="0.25">
      <c r="B14" s="382"/>
      <c r="C14" s="387"/>
    </row>
    <row r="15" spans="2:3" ht="14.1" customHeight="1" x14ac:dyDescent="0.25">
      <c r="B15" s="382"/>
      <c r="C15" s="363" t="s">
        <v>839</v>
      </c>
    </row>
    <row r="16" spans="2:3" ht="14.1" customHeight="1" x14ac:dyDescent="0.25">
      <c r="B16" s="58" t="s">
        <v>453</v>
      </c>
      <c r="C16" s="104">
        <f>'BDI SERVIÇO'!$F$50</f>
        <v>0.24030000000000001</v>
      </c>
    </row>
    <row r="17" spans="2:3" ht="5.0999999999999996" customHeight="1" x14ac:dyDescent="0.25"/>
    <row r="18" spans="2:3" ht="14.1" customHeight="1" x14ac:dyDescent="0.25">
      <c r="B18" s="383" t="s">
        <v>337</v>
      </c>
      <c r="C18" s="384"/>
    </row>
    <row r="19" spans="2:3" ht="14.1" customHeight="1" x14ac:dyDescent="0.25">
      <c r="B19" s="58" t="s">
        <v>329</v>
      </c>
      <c r="C19" s="58" t="s">
        <v>387</v>
      </c>
    </row>
    <row r="20" spans="2:3" ht="14.1" customHeight="1" x14ac:dyDescent="0.25">
      <c r="B20" s="58" t="s">
        <v>330</v>
      </c>
      <c r="C20" s="229" t="s">
        <v>566</v>
      </c>
    </row>
    <row r="21" spans="2:3" ht="14.1" customHeight="1" x14ac:dyDescent="0.25">
      <c r="B21" s="382" t="s">
        <v>336</v>
      </c>
      <c r="C21" s="58" t="s">
        <v>383</v>
      </c>
    </row>
    <row r="22" spans="2:3" ht="14.1" customHeight="1" x14ac:dyDescent="0.25">
      <c r="B22" s="382"/>
      <c r="C22" s="58" t="s">
        <v>386</v>
      </c>
    </row>
    <row r="23" spans="2:3" ht="14.1" customHeight="1" x14ac:dyDescent="0.25">
      <c r="B23" s="382"/>
      <c r="C23" s="58" t="s">
        <v>384</v>
      </c>
    </row>
    <row r="24" spans="2:3" ht="14.1" customHeight="1" x14ac:dyDescent="0.25"/>
    <row r="25" spans="2:3" ht="14.1" customHeight="1" x14ac:dyDescent="0.25"/>
  </sheetData>
  <mergeCells count="7">
    <mergeCell ref="B21:B23"/>
    <mergeCell ref="B9:B15"/>
    <mergeCell ref="B2:C2"/>
    <mergeCell ref="B6:C6"/>
    <mergeCell ref="B18:C18"/>
    <mergeCell ref="C12:C14"/>
    <mergeCell ref="C10:C1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20"/>
  <sheetViews>
    <sheetView showGridLines="0" view="pageBreakPreview" zoomScaleNormal="100" zoomScaleSheetLayoutView="100" workbookViewId="0">
      <pane ySplit="11" topLeftCell="A12" activePane="bottomLeft" state="frozen"/>
      <selection activeCell="E15" sqref="E15"/>
      <selection pane="bottomLeft" activeCell="E15" sqref="E15"/>
    </sheetView>
  </sheetViews>
  <sheetFormatPr defaultRowHeight="15" x14ac:dyDescent="0.25"/>
  <cols>
    <col min="1" max="1" width="1.7109375" customWidth="1"/>
    <col min="2" max="2" width="18.7109375" customWidth="1"/>
    <col min="3" max="4" width="28.7109375" customWidth="1"/>
    <col min="5" max="5" width="15.7109375" customWidth="1"/>
  </cols>
  <sheetData>
    <row r="1" spans="2:5" ht="5.0999999999999996" customHeight="1" x14ac:dyDescent="0.25"/>
    <row r="2" spans="2:5" ht="14.1" customHeight="1" x14ac:dyDescent="0.25">
      <c r="B2" s="100" t="str">
        <f>DADOS!$B$3</f>
        <v>CLIENTE:</v>
      </c>
      <c r="C2" s="81" t="str">
        <f>DADOS!$C$3</f>
        <v>PREFEITURA MUNICIPAL DE JARDIM / MS</v>
      </c>
      <c r="D2" s="34"/>
      <c r="E2" s="44"/>
    </row>
    <row r="3" spans="2:5" ht="14.1" customHeight="1" x14ac:dyDescent="0.25">
      <c r="B3" s="101" t="str">
        <f>DADOS!$B$4</f>
        <v>ENDEREÇO:</v>
      </c>
      <c r="C3" s="82" t="str">
        <f>DADOS!$C$4</f>
        <v>RUA CEL. JUVÊNCIO, Nº 547 - CENTRO</v>
      </c>
      <c r="D3" s="4"/>
      <c r="E3" s="45"/>
    </row>
    <row r="4" spans="2:5" ht="14.1" customHeight="1" x14ac:dyDescent="0.25">
      <c r="B4" s="83"/>
      <c r="C4" s="82"/>
      <c r="D4" s="4"/>
      <c r="E4" s="45"/>
    </row>
    <row r="5" spans="2:5" ht="14.1" customHeight="1" x14ac:dyDescent="0.25">
      <c r="B5" s="101" t="str">
        <f>DADOS!$B$7</f>
        <v>OBRA:</v>
      </c>
      <c r="C5" s="82" t="str">
        <f>DADOS!$C$7</f>
        <v>PAVIMENTAÇÃO ASFÁLTICA E DRENAGEM DE ÁGUAS PLUVIAIS</v>
      </c>
      <c r="D5" s="4"/>
      <c r="E5" s="45"/>
    </row>
    <row r="6" spans="2:5" ht="14.1" customHeight="1" x14ac:dyDescent="0.25">
      <c r="B6" s="84" t="str">
        <f>DADOS!$B$8</f>
        <v>LOCAL:</v>
      </c>
      <c r="C6" s="85" t="str">
        <f>DADOS!$C$8</f>
        <v>JARDIM PREVISUL, JARDIM / MS</v>
      </c>
      <c r="D6" s="46"/>
      <c r="E6" s="47"/>
    </row>
    <row r="7" spans="2:5" ht="5.0999999999999996" customHeight="1" x14ac:dyDescent="0.25"/>
    <row r="8" spans="2:5" s="4" customFormat="1" ht="15" customHeight="1" x14ac:dyDescent="0.25">
      <c r="B8" s="389" t="s">
        <v>473</v>
      </c>
      <c r="C8" s="389"/>
      <c r="D8" s="389"/>
      <c r="E8" s="389"/>
    </row>
    <row r="9" spans="2:5" ht="5.0999999999999996" customHeight="1" x14ac:dyDescent="0.25"/>
    <row r="10" spans="2:5" ht="20.100000000000001" customHeight="1" x14ac:dyDescent="0.25">
      <c r="B10" s="390" t="s">
        <v>474</v>
      </c>
      <c r="C10" s="390" t="s">
        <v>451</v>
      </c>
      <c r="D10" s="390" t="s">
        <v>452</v>
      </c>
      <c r="E10" s="390" t="s">
        <v>502</v>
      </c>
    </row>
    <row r="11" spans="2:5" ht="20.100000000000001" customHeight="1" x14ac:dyDescent="0.25">
      <c r="B11" s="390"/>
      <c r="C11" s="390"/>
      <c r="D11" s="390"/>
      <c r="E11" s="390"/>
    </row>
    <row r="12" spans="2:5" ht="5.0999999999999996" customHeight="1" x14ac:dyDescent="0.25">
      <c r="B12" s="197"/>
      <c r="C12" s="197"/>
      <c r="D12" s="197"/>
    </row>
    <row r="13" spans="2:5" ht="14.1" customHeight="1" x14ac:dyDescent="0.25">
      <c r="B13" s="198" t="s">
        <v>216</v>
      </c>
      <c r="C13" s="248" t="s">
        <v>451</v>
      </c>
      <c r="D13" s="248" t="s">
        <v>588</v>
      </c>
      <c r="E13" s="23">
        <v>4.3</v>
      </c>
    </row>
    <row r="14" spans="2:5" ht="14.1" customHeight="1" x14ac:dyDescent="0.25">
      <c r="B14" s="198" t="s">
        <v>759</v>
      </c>
      <c r="C14" s="304" t="s">
        <v>451</v>
      </c>
      <c r="D14" s="304" t="s">
        <v>588</v>
      </c>
      <c r="E14" s="301">
        <v>1</v>
      </c>
    </row>
    <row r="15" spans="2:5" ht="14.1" customHeight="1" x14ac:dyDescent="0.25">
      <c r="B15" s="198" t="s">
        <v>477</v>
      </c>
      <c r="C15" s="248" t="s">
        <v>585</v>
      </c>
      <c r="D15" s="248" t="s">
        <v>586</v>
      </c>
      <c r="E15" s="23">
        <v>55</v>
      </c>
    </row>
    <row r="16" spans="2:5" ht="14.1" customHeight="1" x14ac:dyDescent="0.25">
      <c r="B16" s="198" t="s">
        <v>217</v>
      </c>
      <c r="C16" s="248" t="s">
        <v>587</v>
      </c>
      <c r="D16" s="248" t="s">
        <v>588</v>
      </c>
      <c r="E16" s="23">
        <v>5</v>
      </c>
    </row>
    <row r="17" spans="2:5" ht="14.1" customHeight="1" x14ac:dyDescent="0.25">
      <c r="B17" s="198" t="s">
        <v>476</v>
      </c>
      <c r="C17" s="248" t="s">
        <v>585</v>
      </c>
      <c r="D17" s="248" t="s">
        <v>586</v>
      </c>
      <c r="E17" s="23">
        <v>55</v>
      </c>
    </row>
    <row r="18" spans="2:5" ht="14.1" customHeight="1" x14ac:dyDescent="0.25">
      <c r="B18" s="198" t="s">
        <v>470</v>
      </c>
      <c r="C18" s="248" t="s">
        <v>469</v>
      </c>
      <c r="D18" s="248" t="s">
        <v>385</v>
      </c>
      <c r="E18" s="23">
        <v>240</v>
      </c>
    </row>
    <row r="19" spans="2:5" ht="14.1" customHeight="1" x14ac:dyDescent="0.25">
      <c r="B19" s="198" t="s">
        <v>475</v>
      </c>
      <c r="C19" s="248" t="s">
        <v>589</v>
      </c>
      <c r="D19" s="248" t="s">
        <v>590</v>
      </c>
      <c r="E19" s="23">
        <v>5.9</v>
      </c>
    </row>
    <row r="20" spans="2:5" ht="14.1" customHeight="1" x14ac:dyDescent="0.25">
      <c r="B20" s="198" t="s">
        <v>46</v>
      </c>
      <c r="C20" s="248" t="s">
        <v>478</v>
      </c>
      <c r="D20" s="248" t="s">
        <v>385</v>
      </c>
      <c r="E20" s="23">
        <v>259</v>
      </c>
    </row>
  </sheetData>
  <mergeCells count="5">
    <mergeCell ref="B8:E8"/>
    <mergeCell ref="B10:B11"/>
    <mergeCell ref="C10:C11"/>
    <mergeCell ref="D10:D11"/>
    <mergeCell ref="E10:E11"/>
  </mergeCells>
  <printOptions horizontalCentered="1"/>
  <pageMargins left="0.39370078740157483" right="0.39370078740157483" top="0.39370078740157483" bottom="0.39370078740157483" header="0.31496062992125984" footer="0.31496062992125984"/>
  <pageSetup paperSize="9" fitToHeight="1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239"/>
  <sheetViews>
    <sheetView showGridLines="0" tabSelected="1" view="pageBreakPreview" zoomScaleSheetLayoutView="100" workbookViewId="0">
      <pane ySplit="11" topLeftCell="A12" activePane="bottomLeft" state="frozen"/>
      <selection activeCell="B37" sqref="B37"/>
      <selection pane="bottomLeft" activeCell="B2" sqref="B2"/>
    </sheetView>
  </sheetViews>
  <sheetFormatPr defaultRowHeight="12.75" x14ac:dyDescent="0.2"/>
  <cols>
    <col min="1" max="1" width="1.7109375" style="1" customWidth="1"/>
    <col min="2" max="2" width="10.7109375" style="1" customWidth="1"/>
    <col min="3" max="3" width="8.7109375" style="1" customWidth="1"/>
    <col min="4" max="4" width="60.7109375" style="1" customWidth="1"/>
    <col min="5" max="6" width="6.7109375" style="1" customWidth="1"/>
    <col min="7" max="7" width="9.7109375" style="1" customWidth="1"/>
    <col min="8" max="8" width="10.7109375" style="1" customWidth="1"/>
    <col min="9" max="9" width="8.7109375" style="1" customWidth="1"/>
    <col min="10" max="10" width="10.7109375" style="1" customWidth="1"/>
    <col min="11" max="11" width="13.7109375" style="1" customWidth="1"/>
    <col min="12" max="12" width="8.7109375" style="1" customWidth="1"/>
    <col min="13" max="13" width="9.140625" style="1"/>
    <col min="14" max="14" width="10.7109375" style="1" customWidth="1"/>
    <col min="15" max="16384" width="9.140625" style="1"/>
  </cols>
  <sheetData>
    <row r="1" spans="2:12" ht="5.0999999999999996" customHeight="1" x14ac:dyDescent="0.2"/>
    <row r="2" spans="2:12" ht="14.1" customHeight="1" x14ac:dyDescent="0.2">
      <c r="B2" s="351" t="str">
        <f>DADOS!$B$3</f>
        <v>CLIENTE:</v>
      </c>
      <c r="C2" s="81" t="str">
        <f>DADOS!$C$3</f>
        <v>PREFEITURA MUNICIPAL DE JARDIM / MS</v>
      </c>
      <c r="D2" s="5"/>
      <c r="E2" s="5"/>
      <c r="F2" s="5"/>
      <c r="G2" s="5"/>
      <c r="H2" s="402" t="s">
        <v>382</v>
      </c>
      <c r="I2" s="402"/>
      <c r="J2" s="402"/>
      <c r="K2" s="400" t="s">
        <v>381</v>
      </c>
      <c r="L2" s="401"/>
    </row>
    <row r="3" spans="2:12" ht="14.1" customHeight="1" x14ac:dyDescent="0.2">
      <c r="B3" s="101" t="str">
        <f>DADOS!$B$4</f>
        <v>ENDEREÇO:</v>
      </c>
      <c r="C3" s="252" t="str">
        <f>DADOS!$C$4</f>
        <v>RUA CEL. JUVÊNCIO, Nº 547 - CENTRO</v>
      </c>
      <c r="D3" s="360"/>
      <c r="E3" s="361"/>
      <c r="F3" s="361"/>
      <c r="G3" s="361"/>
      <c r="H3" s="403" t="str">
        <f>DADOS!$C$9</f>
        <v>SEM DESONERAÇÃO</v>
      </c>
      <c r="I3" s="403"/>
      <c r="J3" s="403"/>
      <c r="K3" s="404" t="str">
        <f>DADOS!$C$12</f>
        <v>COMPOSIÇÃO MS: 01/2026
INSUMO MS: 01/2026
AGESUL MS: 01/2026</v>
      </c>
      <c r="L3" s="405"/>
    </row>
    <row r="4" spans="2:12" ht="14.1" customHeight="1" x14ac:dyDescent="0.2">
      <c r="B4" s="83"/>
      <c r="C4" s="252"/>
      <c r="D4" s="360"/>
      <c r="E4" s="361"/>
      <c r="F4" s="361"/>
      <c r="G4" s="361"/>
      <c r="H4" s="403" t="str">
        <f>DADOS!$C$10</f>
        <v>HORISTA:  115,71%
MENSALISTA:  71,57%</v>
      </c>
      <c r="I4" s="403"/>
      <c r="J4" s="403"/>
      <c r="K4" s="404"/>
      <c r="L4" s="405"/>
    </row>
    <row r="5" spans="2:12" ht="14.1" customHeight="1" x14ac:dyDescent="0.2">
      <c r="B5" s="101" t="str">
        <f>DADOS!$B$7</f>
        <v>OBRA:</v>
      </c>
      <c r="C5" s="252" t="str">
        <f>DADOS!$C$7</f>
        <v>PAVIMENTAÇÃO ASFÁLTICA E DRENAGEM DE ÁGUAS PLUVIAIS</v>
      </c>
      <c r="D5" s="360"/>
      <c r="E5" s="361"/>
      <c r="F5" s="361"/>
      <c r="G5" s="361"/>
      <c r="H5" s="403"/>
      <c r="I5" s="403"/>
      <c r="J5" s="403"/>
      <c r="K5" s="404"/>
      <c r="L5" s="405"/>
    </row>
    <row r="6" spans="2:12" ht="14.1" customHeight="1" x14ac:dyDescent="0.2">
      <c r="B6" s="352" t="str">
        <f>DADOS!$B$8</f>
        <v>LOCAL:</v>
      </c>
      <c r="C6" s="85" t="str">
        <f>DADOS!$C$8</f>
        <v>JARDIM PREVISUL, JARDIM / MS</v>
      </c>
      <c r="D6" s="6"/>
      <c r="E6" s="7"/>
      <c r="F6" s="7"/>
      <c r="G6" s="7"/>
      <c r="H6" s="7"/>
      <c r="I6" s="263"/>
      <c r="J6" s="7"/>
      <c r="K6" s="263" t="str">
        <f>DADOS!B16</f>
        <v>BDI SERVIÇO:</v>
      </c>
      <c r="L6" s="362">
        <f>DADOS!$C$16</f>
        <v>0.24030000000000001</v>
      </c>
    </row>
    <row r="7" spans="2:12" ht="5.0999999999999996" customHeight="1" x14ac:dyDescent="0.2"/>
    <row r="8" spans="2:12" s="2" customFormat="1" ht="15" customHeight="1" x14ac:dyDescent="0.2">
      <c r="B8" s="397" t="s">
        <v>9</v>
      </c>
      <c r="C8" s="397"/>
      <c r="D8" s="397"/>
      <c r="E8" s="397"/>
      <c r="F8" s="397"/>
      <c r="G8" s="397"/>
      <c r="H8" s="397"/>
      <c r="I8" s="397"/>
      <c r="J8" s="397"/>
      <c r="K8" s="397"/>
      <c r="L8" s="397"/>
    </row>
    <row r="9" spans="2:12" ht="5.0999999999999996" customHeight="1" x14ac:dyDescent="0.2"/>
    <row r="10" spans="2:12" ht="14.1" customHeight="1" x14ac:dyDescent="0.2">
      <c r="B10" s="399" t="s">
        <v>8</v>
      </c>
      <c r="C10" s="398" t="s">
        <v>0</v>
      </c>
      <c r="D10" s="398" t="s">
        <v>1</v>
      </c>
      <c r="E10" s="398" t="s">
        <v>2</v>
      </c>
      <c r="F10" s="398" t="s">
        <v>3</v>
      </c>
      <c r="G10" s="398" t="s">
        <v>4</v>
      </c>
      <c r="H10" s="398" t="s">
        <v>6</v>
      </c>
      <c r="I10" s="398"/>
      <c r="J10" s="398"/>
      <c r="K10" s="398"/>
      <c r="L10" s="398" t="s">
        <v>7</v>
      </c>
    </row>
    <row r="11" spans="2:12" ht="27.95" customHeight="1" x14ac:dyDescent="0.2">
      <c r="B11" s="399"/>
      <c r="C11" s="398"/>
      <c r="D11" s="398"/>
      <c r="E11" s="398"/>
      <c r="F11" s="398"/>
      <c r="G11" s="398"/>
      <c r="H11" s="59" t="s">
        <v>311</v>
      </c>
      <c r="I11" s="59" t="s">
        <v>309</v>
      </c>
      <c r="J11" s="59" t="s">
        <v>310</v>
      </c>
      <c r="K11" s="57" t="s">
        <v>5</v>
      </c>
      <c r="L11" s="398"/>
    </row>
    <row r="12" spans="2:12" ht="5.0999999999999996" customHeight="1" x14ac:dyDescent="0.2"/>
    <row r="13" spans="2:12" s="64" customFormat="1" ht="15" customHeight="1" x14ac:dyDescent="0.2">
      <c r="B13" s="60"/>
      <c r="C13" s="224" t="s">
        <v>483</v>
      </c>
      <c r="D13" s="61" t="s">
        <v>11</v>
      </c>
      <c r="E13" s="62"/>
      <c r="F13" s="62"/>
      <c r="G13" s="62"/>
      <c r="H13" s="62"/>
      <c r="I13" s="62"/>
      <c r="J13" s="62"/>
      <c r="K13" s="62"/>
      <c r="L13" s="63"/>
    </row>
    <row r="14" spans="2:12" ht="12.95" customHeight="1" x14ac:dyDescent="0.2">
      <c r="B14" s="216"/>
      <c r="C14" s="219"/>
      <c r="D14" s="65"/>
      <c r="E14" s="219"/>
      <c r="F14" s="216"/>
      <c r="G14" s="66"/>
      <c r="H14" s="66"/>
      <c r="I14" s="66"/>
      <c r="J14" s="66"/>
      <c r="K14" s="66"/>
      <c r="L14" s="95"/>
    </row>
    <row r="15" spans="2:12" ht="12.95" customHeight="1" x14ac:dyDescent="0.2">
      <c r="B15" s="70"/>
      <c r="C15" s="221"/>
      <c r="D15" s="96" t="s">
        <v>523</v>
      </c>
      <c r="E15" s="221"/>
      <c r="F15" s="70"/>
      <c r="G15" s="71"/>
      <c r="H15" s="71"/>
      <c r="I15" s="71"/>
      <c r="J15" s="71"/>
      <c r="K15" s="71"/>
      <c r="L15" s="72"/>
    </row>
    <row r="16" spans="2:12" ht="26.1" customHeight="1" x14ac:dyDescent="0.2">
      <c r="B16" s="67">
        <v>103689</v>
      </c>
      <c r="C16" s="223" t="s">
        <v>512</v>
      </c>
      <c r="D16" s="69" t="s">
        <v>503</v>
      </c>
      <c r="E16" s="221"/>
      <c r="F16" s="70" t="s">
        <v>13</v>
      </c>
      <c r="G16" s="71">
        <f>'Serv. Preliminares'!J11</f>
        <v>8</v>
      </c>
      <c r="H16" s="226">
        <v>458.76</v>
      </c>
      <c r="I16" s="71">
        <f t="shared" ref="I16:I22" si="0">TRUNC((H16*$L$6),2)</f>
        <v>110.24</v>
      </c>
      <c r="J16" s="71">
        <f>H16+I16</f>
        <v>569</v>
      </c>
      <c r="K16" s="71">
        <f t="shared" ref="K16:K20" si="1">TRUNC((G16*J16),2)</f>
        <v>4552</v>
      </c>
      <c r="L16" s="72">
        <f t="shared" ref="L16:L22" ca="1" si="2">K16/$K$222</f>
        <v>1.0221945404315625E-3</v>
      </c>
    </row>
    <row r="17" spans="2:15" ht="26.1" customHeight="1" x14ac:dyDescent="0.2">
      <c r="B17" s="67" t="s">
        <v>513</v>
      </c>
      <c r="C17" s="223" t="s">
        <v>514</v>
      </c>
      <c r="D17" s="69" t="s">
        <v>515</v>
      </c>
      <c r="E17" s="221"/>
      <c r="F17" s="70" t="s">
        <v>516</v>
      </c>
      <c r="G17" s="71">
        <f>'Serv. Preliminares'!J14</f>
        <v>12</v>
      </c>
      <c r="H17" s="226">
        <v>725.58</v>
      </c>
      <c r="I17" s="71">
        <f t="shared" si="0"/>
        <v>174.35</v>
      </c>
      <c r="J17" s="71">
        <f t="shared" ref="J17:J22" si="3">H17+I17</f>
        <v>899.93000000000006</v>
      </c>
      <c r="K17" s="71">
        <f t="shared" si="1"/>
        <v>10799.16</v>
      </c>
      <c r="L17" s="72">
        <f t="shared" ca="1" si="2"/>
        <v>2.4250532498345592E-3</v>
      </c>
    </row>
    <row r="18" spans="2:15" ht="26.1" customHeight="1" x14ac:dyDescent="0.2">
      <c r="B18" s="289" t="str">
        <f>'EEA-SP-05 - Comp. Banheiro Quim'!$B$11</f>
        <v>EEA-SP-05</v>
      </c>
      <c r="C18" s="223" t="s">
        <v>517</v>
      </c>
      <c r="D18" s="69" t="str">
        <f>'EEA-SP-05 - Comp. Banheiro Quim'!$C$11</f>
        <v>Locação de uma unidade de banheiro químico (2,31m x 1,15m x 1,15m com uma higienização por semana, inclusive transporte, carga e descarga</v>
      </c>
      <c r="E18" s="221"/>
      <c r="F18" s="70" t="str">
        <f>'EEA-SP-05 - Comp. Banheiro Quim'!$G$11</f>
        <v>mês</v>
      </c>
      <c r="G18" s="71">
        <f>'Serv. Preliminares'!J15</f>
        <v>12</v>
      </c>
      <c r="H18" s="226">
        <f>'EEA-SP-05 - Comp. Banheiro Quim'!$I$41</f>
        <v>2160</v>
      </c>
      <c r="I18" s="71">
        <f t="shared" si="0"/>
        <v>519.04</v>
      </c>
      <c r="J18" s="71">
        <f>H18+I18</f>
        <v>2679.04</v>
      </c>
      <c r="K18" s="71">
        <f t="shared" si="1"/>
        <v>32148.48</v>
      </c>
      <c r="L18" s="72">
        <f t="shared" ca="1" si="2"/>
        <v>7.2192444506092449E-3</v>
      </c>
      <c r="N18" s="349" t="s">
        <v>851</v>
      </c>
      <c r="O18" s="312">
        <v>2160</v>
      </c>
    </row>
    <row r="19" spans="2:15" ht="39" customHeight="1" x14ac:dyDescent="0.2">
      <c r="B19" s="289" t="str">
        <f>'EEA-SP-06 - Comp. Tapume'!$B$11</f>
        <v>EEA-SP-06</v>
      </c>
      <c r="C19" s="223" t="s">
        <v>519</v>
      </c>
      <c r="D19" s="69" t="str">
        <f>'EEA-SP-06 - Comp. Tapume'!$C$11</f>
        <v>Fornecimento e colocação de tela tapume de proteção, altura 1,20m, fabricada com polietileno reforçado, por processo de extrusão, fornecida na cor laranja, no tipo leve, rolo com as seguintes dimensões h = 1,20m e I = 50m</v>
      </c>
      <c r="E19" s="221"/>
      <c r="F19" s="70" t="str">
        <f>'EEA-SP-06 - Comp. Tapume'!$G$11</f>
        <v>m²</v>
      </c>
      <c r="G19" s="71">
        <f>'Serv. Preliminares'!J16</f>
        <v>4687.1099999999997</v>
      </c>
      <c r="H19" s="226">
        <f>'EEA-SP-06 - Comp. Tapume'!$I$43</f>
        <v>7.7</v>
      </c>
      <c r="I19" s="71">
        <f t="shared" si="0"/>
        <v>1.85</v>
      </c>
      <c r="J19" s="71">
        <f>H19+I19</f>
        <v>9.5500000000000007</v>
      </c>
      <c r="K19" s="71">
        <f t="shared" si="1"/>
        <v>44761.9</v>
      </c>
      <c r="L19" s="72">
        <f t="shared" ca="1" si="2"/>
        <v>1.0051706897922575E-2</v>
      </c>
      <c r="N19" s="349" t="s">
        <v>852</v>
      </c>
      <c r="O19" s="312">
        <v>7.7</v>
      </c>
    </row>
    <row r="20" spans="2:15" ht="26.1" customHeight="1" x14ac:dyDescent="0.2">
      <c r="B20" s="289" t="str">
        <f>'EEA-SP-03 - Comp. Sin. F Laranj'!$B$11</f>
        <v>EEA-SP-03</v>
      </c>
      <c r="C20" s="223" t="s">
        <v>521</v>
      </c>
      <c r="D20" s="69" t="str">
        <f>'EEA-SP-03 - Comp. Sin. F Laranj'!$C$11</f>
        <v>Segurança de trânsito de advertência de obra com placa (fundo laranja) sobre cavalete, conforme ABNT NBR 7678</v>
      </c>
      <c r="E20" s="221"/>
      <c r="F20" s="73" t="str">
        <f>'EEA-SP-03 - Comp. Sin. F Laranj'!$G$11</f>
        <v>un</v>
      </c>
      <c r="G20" s="71">
        <f>'Serv. Preliminares'!J17</f>
        <v>7</v>
      </c>
      <c r="H20" s="226">
        <f>'EEA-SP-03 - Comp. Sin. F Laranj'!$I$45</f>
        <v>1283.71</v>
      </c>
      <c r="I20" s="71">
        <f t="shared" si="0"/>
        <v>308.47000000000003</v>
      </c>
      <c r="J20" s="71">
        <f>H20+I20</f>
        <v>1592.18</v>
      </c>
      <c r="K20" s="71">
        <f t="shared" si="1"/>
        <v>11145.26</v>
      </c>
      <c r="L20" s="72">
        <f t="shared" ca="1" si="2"/>
        <v>2.5027732697034881E-3</v>
      </c>
      <c r="N20" s="349" t="s">
        <v>853</v>
      </c>
      <c r="O20" s="312">
        <v>1283.71</v>
      </c>
    </row>
    <row r="21" spans="2:15" ht="26.1" customHeight="1" x14ac:dyDescent="0.2">
      <c r="B21" s="67" t="s">
        <v>335</v>
      </c>
      <c r="C21" s="223" t="s">
        <v>522</v>
      </c>
      <c r="D21" s="69" t="s">
        <v>39</v>
      </c>
      <c r="E21" s="221"/>
      <c r="F21" s="73" t="s">
        <v>15</v>
      </c>
      <c r="G21" s="71">
        <f>'Serv. Preliminares'!J18</f>
        <v>51</v>
      </c>
      <c r="H21" s="226">
        <v>43.12</v>
      </c>
      <c r="I21" s="71">
        <f t="shared" si="0"/>
        <v>10.36</v>
      </c>
      <c r="J21" s="71">
        <f t="shared" si="3"/>
        <v>53.48</v>
      </c>
      <c r="K21" s="71">
        <f t="shared" ref="K21:K22" si="4">TRUNC((G21*J21),2)</f>
        <v>2727.48</v>
      </c>
      <c r="L21" s="72">
        <f t="shared" ca="1" si="2"/>
        <v>6.1248136316702077E-4</v>
      </c>
    </row>
    <row r="22" spans="2:15" ht="26.1" customHeight="1" x14ac:dyDescent="0.2">
      <c r="B22" s="67">
        <v>98529</v>
      </c>
      <c r="C22" s="223" t="s">
        <v>524</v>
      </c>
      <c r="D22" s="69" t="s">
        <v>567</v>
      </c>
      <c r="E22" s="221"/>
      <c r="F22" s="73" t="s">
        <v>15</v>
      </c>
      <c r="G22" s="71">
        <f>'Serv. Preliminares'!J19</f>
        <v>13</v>
      </c>
      <c r="H22" s="226">
        <v>80.72</v>
      </c>
      <c r="I22" s="71">
        <f t="shared" si="0"/>
        <v>19.39</v>
      </c>
      <c r="J22" s="71">
        <f t="shared" si="3"/>
        <v>100.11</v>
      </c>
      <c r="K22" s="71">
        <f t="shared" si="4"/>
        <v>1301.43</v>
      </c>
      <c r="L22" s="72">
        <f t="shared" ca="1" si="2"/>
        <v>2.9224838329390345E-4</v>
      </c>
    </row>
    <row r="23" spans="2:15" ht="12.95" customHeight="1" x14ac:dyDescent="0.2">
      <c r="B23" s="97"/>
      <c r="C23" s="220"/>
      <c r="D23" s="98"/>
      <c r="E23" s="220"/>
      <c r="F23" s="97"/>
      <c r="G23" s="77"/>
      <c r="H23" s="77"/>
      <c r="I23" s="77"/>
      <c r="J23" s="77"/>
      <c r="K23" s="77"/>
      <c r="L23" s="99"/>
    </row>
    <row r="24" spans="2:15" s="64" customFormat="1" ht="15" customHeight="1" x14ac:dyDescent="0.2">
      <c r="B24" s="234"/>
      <c r="C24" s="86"/>
      <c r="D24" s="86"/>
      <c r="E24" s="392" t="str">
        <f>CONCATENATE("SUBTOTAL ",C13)</f>
        <v>SUBTOTAL 01</v>
      </c>
      <c r="F24" s="392"/>
      <c r="G24" s="392"/>
      <c r="H24" s="205"/>
      <c r="I24" s="391"/>
      <c r="J24" s="391"/>
      <c r="K24" s="206">
        <f>SUM(K13:K23)</f>
        <v>107435.70999999999</v>
      </c>
      <c r="L24" s="88">
        <f ca="1">SUM(L13:L23)</f>
        <v>2.4125702154962354E-2</v>
      </c>
    </row>
    <row r="25" spans="2:15" ht="5.0999999999999996" customHeight="1" x14ac:dyDescent="0.2"/>
    <row r="26" spans="2:15" s="64" customFormat="1" ht="15" customHeight="1" x14ac:dyDescent="0.2">
      <c r="B26" s="60"/>
      <c r="C26" s="225" t="s">
        <v>484</v>
      </c>
      <c r="D26" s="61" t="s">
        <v>479</v>
      </c>
      <c r="E26" s="62"/>
      <c r="F26" s="62"/>
      <c r="G26" s="62"/>
      <c r="H26" s="62"/>
      <c r="I26" s="62"/>
      <c r="J26" s="62"/>
      <c r="K26" s="62"/>
      <c r="L26" s="63"/>
    </row>
    <row r="27" spans="2:15" ht="12.95" customHeight="1" x14ac:dyDescent="0.2">
      <c r="B27" s="93"/>
      <c r="C27" s="94"/>
      <c r="D27" s="65"/>
      <c r="E27" s="94"/>
      <c r="F27" s="93"/>
      <c r="G27" s="66"/>
      <c r="H27" s="66"/>
      <c r="I27" s="66"/>
      <c r="J27" s="66"/>
      <c r="K27" s="66"/>
      <c r="L27" s="95"/>
    </row>
    <row r="28" spans="2:15" ht="12.95" customHeight="1" x14ac:dyDescent="0.2">
      <c r="B28" s="70"/>
      <c r="C28" s="68"/>
      <c r="D28" s="96" t="s">
        <v>481</v>
      </c>
      <c r="E28" s="68"/>
      <c r="F28" s="70"/>
      <c r="G28" s="71"/>
      <c r="H28" s="71"/>
      <c r="I28" s="71"/>
      <c r="J28" s="71"/>
      <c r="K28" s="71"/>
      <c r="L28" s="72"/>
    </row>
    <row r="29" spans="2:15" ht="12.95" customHeight="1" x14ac:dyDescent="0.2">
      <c r="B29" s="67">
        <v>97636</v>
      </c>
      <c r="C29" s="223" t="s">
        <v>529</v>
      </c>
      <c r="D29" s="69" t="s">
        <v>308</v>
      </c>
      <c r="E29" s="68"/>
      <c r="F29" s="70" t="s">
        <v>13</v>
      </c>
      <c r="G29" s="71">
        <f>Demolições!I12</f>
        <v>7.55</v>
      </c>
      <c r="H29" s="226">
        <v>22.54</v>
      </c>
      <c r="I29" s="71">
        <f>TRUNC((H29*$L$6),2)</f>
        <v>5.41</v>
      </c>
      <c r="J29" s="71">
        <f t="shared" ref="J29" si="5">H29+I29</f>
        <v>27.95</v>
      </c>
      <c r="K29" s="71">
        <f t="shared" ref="K29" si="6">TRUNC((G29*J29),2)</f>
        <v>211.02</v>
      </c>
      <c r="L29" s="72">
        <f ca="1">K29/$K$222</f>
        <v>4.7386531617282148E-5</v>
      </c>
    </row>
    <row r="30" spans="2:15" ht="26.1" customHeight="1" x14ac:dyDescent="0.2">
      <c r="B30" s="67">
        <v>100978</v>
      </c>
      <c r="C30" s="223" t="s">
        <v>591</v>
      </c>
      <c r="D30" s="69" t="s">
        <v>318</v>
      </c>
      <c r="E30" s="68"/>
      <c r="F30" s="70" t="s">
        <v>16</v>
      </c>
      <c r="G30" s="71">
        <f>Demolições!I14</f>
        <v>0.28999999999999998</v>
      </c>
      <c r="H30" s="226">
        <v>7.03</v>
      </c>
      <c r="I30" s="71">
        <f>TRUNC((H30*$L$6),2)</f>
        <v>1.68</v>
      </c>
      <c r="J30" s="71">
        <f t="shared" ref="J30:J32" si="7">H30+I30</f>
        <v>8.7100000000000009</v>
      </c>
      <c r="K30" s="71">
        <f t="shared" ref="K30:K32" si="8">TRUNC((G30*J30),2)</f>
        <v>2.52</v>
      </c>
      <c r="L30" s="72">
        <f ca="1">K30/$K$222</f>
        <v>5.6588977194365941E-7</v>
      </c>
    </row>
    <row r="31" spans="2:15" ht="26.1" customHeight="1" x14ac:dyDescent="0.2">
      <c r="B31" s="67">
        <v>95875</v>
      </c>
      <c r="C31" s="223" t="s">
        <v>592</v>
      </c>
      <c r="D31" s="69" t="s">
        <v>348</v>
      </c>
      <c r="E31" s="68">
        <f>Demolições!$E$15</f>
        <v>4.3</v>
      </c>
      <c r="F31" s="70" t="s">
        <v>17</v>
      </c>
      <c r="G31" s="71">
        <f>Demolições!I15</f>
        <v>1.24</v>
      </c>
      <c r="H31" s="226">
        <v>2.5</v>
      </c>
      <c r="I31" s="71">
        <f>TRUNC((H31*$L$6),2)</f>
        <v>0.6</v>
      </c>
      <c r="J31" s="71">
        <f t="shared" si="7"/>
        <v>3.1</v>
      </c>
      <c r="K31" s="71">
        <f t="shared" si="8"/>
        <v>3.84</v>
      </c>
      <c r="L31" s="72">
        <f ca="1">K31/$K$222</f>
        <v>8.6230822391414767E-7</v>
      </c>
    </row>
    <row r="32" spans="2:15" ht="12.95" customHeight="1" x14ac:dyDescent="0.2">
      <c r="B32" s="67">
        <v>100574</v>
      </c>
      <c r="C32" s="223" t="s">
        <v>593</v>
      </c>
      <c r="D32" s="69" t="s">
        <v>306</v>
      </c>
      <c r="E32" s="68"/>
      <c r="F32" s="70" t="s">
        <v>16</v>
      </c>
      <c r="G32" s="71">
        <f>Demolições!I16</f>
        <v>0.28999999999999998</v>
      </c>
      <c r="H32" s="226">
        <v>1.42</v>
      </c>
      <c r="I32" s="71">
        <f>TRUNC((H32*$L$6),2)</f>
        <v>0.34</v>
      </c>
      <c r="J32" s="71">
        <f t="shared" si="7"/>
        <v>1.76</v>
      </c>
      <c r="K32" s="71">
        <f t="shared" si="8"/>
        <v>0.51</v>
      </c>
      <c r="L32" s="72">
        <f ca="1">K32/$K$222</f>
        <v>1.1452531098859775E-7</v>
      </c>
    </row>
    <row r="33" spans="2:12" ht="12.95" customHeight="1" x14ac:dyDescent="0.2">
      <c r="B33" s="67"/>
      <c r="C33" s="68"/>
      <c r="D33" s="69"/>
      <c r="E33" s="68"/>
      <c r="F33" s="70"/>
      <c r="G33" s="71"/>
      <c r="H33" s="202"/>
      <c r="I33" s="71"/>
      <c r="J33" s="71"/>
      <c r="K33" s="71"/>
      <c r="L33" s="72"/>
    </row>
    <row r="34" spans="2:12" ht="12.95" customHeight="1" x14ac:dyDescent="0.2">
      <c r="B34" s="70"/>
      <c r="C34" s="68"/>
      <c r="D34" s="96" t="s">
        <v>493</v>
      </c>
      <c r="E34" s="68"/>
      <c r="F34" s="70"/>
      <c r="G34" s="71"/>
      <c r="H34" s="71"/>
      <c r="I34" s="71"/>
      <c r="J34" s="71"/>
      <c r="K34" s="71"/>
      <c r="L34" s="72"/>
    </row>
    <row r="35" spans="2:12" ht="26.1" customHeight="1" x14ac:dyDescent="0.2">
      <c r="B35" s="67">
        <v>97627</v>
      </c>
      <c r="C35" s="223" t="s">
        <v>594</v>
      </c>
      <c r="D35" s="69" t="s">
        <v>494</v>
      </c>
      <c r="E35" s="68"/>
      <c r="F35" s="70" t="s">
        <v>16</v>
      </c>
      <c r="G35" s="71">
        <f>Demolições!I20</f>
        <v>1.37</v>
      </c>
      <c r="H35" s="226">
        <v>204.25</v>
      </c>
      <c r="I35" s="71">
        <f>TRUNC((H35*$L$6),2)</f>
        <v>49.08</v>
      </c>
      <c r="J35" s="71">
        <f t="shared" ref="J35:J38" si="9">H35+I35</f>
        <v>253.32999999999998</v>
      </c>
      <c r="K35" s="71">
        <f t="shared" ref="K35:K38" si="10">TRUNC((G35*J35),2)</f>
        <v>347.06</v>
      </c>
      <c r="L35" s="72">
        <f ca="1">K35/$K$222</f>
        <v>7.7935596924907322E-5</v>
      </c>
    </row>
    <row r="36" spans="2:12" ht="26.1" customHeight="1" x14ac:dyDescent="0.2">
      <c r="B36" s="67">
        <v>100978</v>
      </c>
      <c r="C36" s="223" t="s">
        <v>595</v>
      </c>
      <c r="D36" s="69" t="s">
        <v>318</v>
      </c>
      <c r="E36" s="68"/>
      <c r="F36" s="70" t="s">
        <v>16</v>
      </c>
      <c r="G36" s="71">
        <f>Demolições!I21</f>
        <v>1.78</v>
      </c>
      <c r="H36" s="226">
        <v>7.03</v>
      </c>
      <c r="I36" s="71">
        <f>TRUNC((H36*$L$6),2)</f>
        <v>1.68</v>
      </c>
      <c r="J36" s="71">
        <f t="shared" si="9"/>
        <v>8.7100000000000009</v>
      </c>
      <c r="K36" s="71">
        <f t="shared" si="10"/>
        <v>15.5</v>
      </c>
      <c r="L36" s="72">
        <f ca="1">K36/$K$222</f>
        <v>3.4806712163201274E-6</v>
      </c>
    </row>
    <row r="37" spans="2:12" ht="26.1" customHeight="1" x14ac:dyDescent="0.2">
      <c r="B37" s="67">
        <v>95875</v>
      </c>
      <c r="C37" s="223" t="s">
        <v>596</v>
      </c>
      <c r="D37" s="69" t="s">
        <v>348</v>
      </c>
      <c r="E37" s="68">
        <f>Demolições!$E$22</f>
        <v>4.3</v>
      </c>
      <c r="F37" s="70" t="s">
        <v>17</v>
      </c>
      <c r="G37" s="71">
        <f>Demolições!I22</f>
        <v>7.65</v>
      </c>
      <c r="H37" s="226">
        <v>2.5</v>
      </c>
      <c r="I37" s="71">
        <f>TRUNC((H37*$L$6),2)</f>
        <v>0.6</v>
      </c>
      <c r="J37" s="71">
        <f t="shared" si="9"/>
        <v>3.1</v>
      </c>
      <c r="K37" s="71">
        <f t="shared" si="10"/>
        <v>23.71</v>
      </c>
      <c r="L37" s="72">
        <f ca="1">K37/$K$222</f>
        <v>5.3243041638032405E-6</v>
      </c>
    </row>
    <row r="38" spans="2:12" ht="12.95" customHeight="1" x14ac:dyDescent="0.2">
      <c r="B38" s="67">
        <v>100574</v>
      </c>
      <c r="C38" s="223" t="s">
        <v>597</v>
      </c>
      <c r="D38" s="69" t="s">
        <v>306</v>
      </c>
      <c r="E38" s="68"/>
      <c r="F38" s="70" t="s">
        <v>16</v>
      </c>
      <c r="G38" s="71">
        <f>Demolições!I23</f>
        <v>1.78</v>
      </c>
      <c r="H38" s="226">
        <v>1.42</v>
      </c>
      <c r="I38" s="71">
        <f>TRUNC((H38*$L$6),2)</f>
        <v>0.34</v>
      </c>
      <c r="J38" s="71">
        <f t="shared" si="9"/>
        <v>1.76</v>
      </c>
      <c r="K38" s="71">
        <f t="shared" si="10"/>
        <v>3.13</v>
      </c>
      <c r="L38" s="72">
        <f ca="1">K38/$K$222</f>
        <v>7.0287102626335473E-7</v>
      </c>
    </row>
    <row r="39" spans="2:12" ht="12.95" customHeight="1" x14ac:dyDescent="0.2">
      <c r="B39" s="67"/>
      <c r="C39" s="68"/>
      <c r="D39" s="69"/>
      <c r="E39" s="68"/>
      <c r="F39" s="70"/>
      <c r="G39" s="71"/>
      <c r="H39" s="202"/>
      <c r="I39" s="71"/>
      <c r="J39" s="71"/>
      <c r="K39" s="71"/>
      <c r="L39" s="72"/>
    </row>
    <row r="40" spans="2:12" s="64" customFormat="1" ht="15" customHeight="1" x14ac:dyDescent="0.2">
      <c r="B40" s="234"/>
      <c r="C40" s="86"/>
      <c r="D40" s="86"/>
      <c r="E40" s="392" t="str">
        <f>CONCATENATE("SUBTOTAL ",C26)</f>
        <v>SUBTOTAL 02</v>
      </c>
      <c r="F40" s="392"/>
      <c r="G40" s="392"/>
      <c r="H40" s="205"/>
      <c r="I40" s="391"/>
      <c r="J40" s="391"/>
      <c r="K40" s="206">
        <f>SUM(K26:K39)</f>
        <v>607.29000000000008</v>
      </c>
      <c r="L40" s="88">
        <f ca="1">SUM(L26:L39)</f>
        <v>1.3637269825542256E-4</v>
      </c>
    </row>
    <row r="41" spans="2:12" ht="5.0999999999999996" customHeight="1" x14ac:dyDescent="0.2"/>
    <row r="42" spans="2:12" s="64" customFormat="1" ht="15" customHeight="1" x14ac:dyDescent="0.2">
      <c r="B42" s="60"/>
      <c r="C42" s="225" t="s">
        <v>485</v>
      </c>
      <c r="D42" s="61" t="s">
        <v>704</v>
      </c>
      <c r="E42" s="62"/>
      <c r="F42" s="62"/>
      <c r="G42" s="62"/>
      <c r="H42" s="62"/>
      <c r="I42" s="62"/>
      <c r="J42" s="62"/>
      <c r="K42" s="62"/>
      <c r="L42" s="63"/>
    </row>
    <row r="43" spans="2:12" ht="12.95" customHeight="1" x14ac:dyDescent="0.2">
      <c r="B43" s="93"/>
      <c r="C43" s="94"/>
      <c r="D43" s="65"/>
      <c r="E43" s="94"/>
      <c r="F43" s="93"/>
      <c r="G43" s="66"/>
      <c r="H43" s="66"/>
      <c r="I43" s="66"/>
      <c r="J43" s="66"/>
      <c r="K43" s="66"/>
      <c r="L43" s="95"/>
    </row>
    <row r="44" spans="2:12" ht="12.95" customHeight="1" x14ac:dyDescent="0.2">
      <c r="B44" s="70"/>
      <c r="C44" s="68"/>
      <c r="D44" s="96" t="s">
        <v>20</v>
      </c>
      <c r="E44" s="68"/>
      <c r="F44" s="70"/>
      <c r="G44" s="71"/>
      <c r="H44" s="71"/>
      <c r="I44" s="71"/>
      <c r="J44" s="71"/>
      <c r="K44" s="71"/>
      <c r="L44" s="72"/>
    </row>
    <row r="45" spans="2:12" ht="51.95" customHeight="1" x14ac:dyDescent="0.2">
      <c r="B45" s="70">
        <v>102278</v>
      </c>
      <c r="C45" s="223" t="s">
        <v>530</v>
      </c>
      <c r="D45" s="69" t="s">
        <v>373</v>
      </c>
      <c r="E45" s="68"/>
      <c r="F45" s="70" t="s">
        <v>16</v>
      </c>
      <c r="G45" s="71">
        <f ca="1">'Dre-Terraplenagem'!V45</f>
        <v>4469.18</v>
      </c>
      <c r="H45" s="226">
        <v>8.94</v>
      </c>
      <c r="I45" s="71">
        <f>TRUNC((H45*$L$6),2)</f>
        <v>2.14</v>
      </c>
      <c r="J45" s="71">
        <f t="shared" ref="J45" si="11">H45+I45</f>
        <v>11.08</v>
      </c>
      <c r="K45" s="71">
        <f ca="1">TRUNC((G45*J45),2)</f>
        <v>49518.51</v>
      </c>
      <c r="L45" s="72">
        <f ca="1">K45/$K$222</f>
        <v>1.1119848544003897E-2</v>
      </c>
    </row>
    <row r="46" spans="2:12" ht="15" customHeight="1" x14ac:dyDescent="0.2">
      <c r="B46" s="70">
        <v>93358</v>
      </c>
      <c r="C46" s="223" t="s">
        <v>531</v>
      </c>
      <c r="D46" s="74" t="s">
        <v>40</v>
      </c>
      <c r="E46" s="68"/>
      <c r="F46" s="70" t="s">
        <v>16</v>
      </c>
      <c r="G46" s="71">
        <f ca="1">'Dre-Terraplenagem'!V50</f>
        <v>235.17000000000004</v>
      </c>
      <c r="H46" s="226">
        <v>90.03</v>
      </c>
      <c r="I46" s="71">
        <f>TRUNC((H46*$L$6),2)</f>
        <v>21.63</v>
      </c>
      <c r="J46" s="71">
        <f t="shared" ref="J46" si="12">H46+I46</f>
        <v>111.66</v>
      </c>
      <c r="K46" s="71">
        <f ca="1">TRUNC((G46*J46),2)</f>
        <v>26259.08</v>
      </c>
      <c r="L46" s="72">
        <f ca="1">K46/$K$222</f>
        <v>5.8967241240675834E-3</v>
      </c>
    </row>
    <row r="47" spans="2:12" s="210" customFormat="1" ht="12.95" customHeight="1" x14ac:dyDescent="0.2">
      <c r="B47" s="70"/>
      <c r="C47" s="306"/>
      <c r="D47" s="74"/>
      <c r="E47" s="306"/>
      <c r="F47" s="73"/>
      <c r="G47" s="71"/>
      <c r="H47" s="202"/>
      <c r="I47" s="71"/>
      <c r="J47" s="71"/>
      <c r="K47" s="71"/>
      <c r="L47" s="72"/>
    </row>
    <row r="48" spans="2:12" s="210" customFormat="1" ht="12.95" customHeight="1" x14ac:dyDescent="0.2">
      <c r="B48" s="70"/>
      <c r="C48" s="306"/>
      <c r="D48" s="96" t="s">
        <v>761</v>
      </c>
      <c r="E48" s="306"/>
      <c r="F48" s="70"/>
      <c r="G48" s="71"/>
      <c r="H48" s="202"/>
      <c r="I48" s="71"/>
      <c r="J48" s="71"/>
      <c r="K48" s="71"/>
      <c r="L48" s="72"/>
    </row>
    <row r="49" spans="2:15" s="210" customFormat="1" ht="26.1" customHeight="1" x14ac:dyDescent="0.2">
      <c r="B49" s="70">
        <v>101621</v>
      </c>
      <c r="C49" s="223" t="s">
        <v>705</v>
      </c>
      <c r="D49" s="69" t="s">
        <v>762</v>
      </c>
      <c r="E49" s="306"/>
      <c r="F49" s="70" t="s">
        <v>16</v>
      </c>
      <c r="G49" s="71">
        <f ca="1">'Dre-Terraplenagem'!V53</f>
        <v>5.72</v>
      </c>
      <c r="H49" s="226">
        <v>241.86</v>
      </c>
      <c r="I49" s="71">
        <f t="shared" ref="I49:I53" si="13">TRUNC((H49*$L$6),2)</f>
        <v>58.11</v>
      </c>
      <c r="J49" s="71">
        <f t="shared" ref="J49:J53" si="14">H49+I49</f>
        <v>299.97000000000003</v>
      </c>
      <c r="K49" s="71">
        <f t="shared" ref="K49:K53" ca="1" si="15">TRUNC((G49*J49),2)</f>
        <v>1715.82</v>
      </c>
      <c r="L49" s="72">
        <f ca="1">K49/$K$222</f>
        <v>3.8530356686363875E-4</v>
      </c>
    </row>
    <row r="50" spans="2:15" s="210" customFormat="1" ht="26.1" customHeight="1" x14ac:dyDescent="0.2">
      <c r="B50" s="289" t="str">
        <f>'EEA-LT-02 - Comp. Pedra de Mão'!B11</f>
        <v>EEA-LT-02</v>
      </c>
      <c r="C50" s="223" t="s">
        <v>706</v>
      </c>
      <c r="D50" s="69" t="str">
        <f>'EEA-LT-02 - Comp. Pedra de Mão'!C11</f>
        <v>Enrocamento com pedra de mão, inclusive espalhamento, compactação mecânica, fornecimento e assentamento</v>
      </c>
      <c r="E50" s="306"/>
      <c r="F50" s="70" t="str">
        <f>'EEA-LT-02 - Comp. Pedra de Mão'!G11</f>
        <v>m³</v>
      </c>
      <c r="G50" s="71">
        <f ca="1">'Dre-Terraplenagem'!V55</f>
        <v>28.66</v>
      </c>
      <c r="H50" s="226">
        <f>'EEA-LT-02 - Comp. Pedra de Mão'!I42</f>
        <v>115.46000000000001</v>
      </c>
      <c r="I50" s="71">
        <f t="shared" si="13"/>
        <v>27.74</v>
      </c>
      <c r="J50" s="71">
        <f t="shared" si="14"/>
        <v>143.20000000000002</v>
      </c>
      <c r="K50" s="71">
        <f t="shared" ca="1" si="15"/>
        <v>4104.1099999999997</v>
      </c>
      <c r="L50" s="72">
        <f ca="1">K50/$K$222</f>
        <v>9.2161661584590953E-4</v>
      </c>
      <c r="N50" s="349" t="s">
        <v>854</v>
      </c>
      <c r="O50" s="312">
        <v>115.46</v>
      </c>
    </row>
    <row r="51" spans="2:15" s="210" customFormat="1" ht="26.1" customHeight="1" x14ac:dyDescent="0.2">
      <c r="B51" s="70">
        <v>95875</v>
      </c>
      <c r="C51" s="223" t="s">
        <v>707</v>
      </c>
      <c r="D51" s="69" t="s">
        <v>763</v>
      </c>
      <c r="E51" s="306">
        <f>'Dre-Terraplenagem'!$E$56</f>
        <v>30</v>
      </c>
      <c r="F51" s="70" t="s">
        <v>17</v>
      </c>
      <c r="G51" s="71">
        <f ca="1">'Dre-Terraplenagem'!V56</f>
        <v>1031.4000000000001</v>
      </c>
      <c r="H51" s="226">
        <v>2.5</v>
      </c>
      <c r="I51" s="71">
        <f t="shared" si="13"/>
        <v>0.6</v>
      </c>
      <c r="J51" s="71">
        <f t="shared" si="14"/>
        <v>3.1</v>
      </c>
      <c r="K51" s="71">
        <f t="shared" ca="1" si="15"/>
        <v>3197.34</v>
      </c>
      <c r="L51" s="72">
        <f ca="1">K51/$K$222</f>
        <v>7.1799285850251591E-4</v>
      </c>
    </row>
    <row r="52" spans="2:15" s="210" customFormat="1" ht="26.1" customHeight="1" x14ac:dyDescent="0.2">
      <c r="B52" s="70">
        <v>93590</v>
      </c>
      <c r="C52" s="223" t="s">
        <v>708</v>
      </c>
      <c r="D52" s="69" t="s">
        <v>764</v>
      </c>
      <c r="E52" s="306">
        <f>'Dre-Terraplenagem'!$E$57</f>
        <v>25</v>
      </c>
      <c r="F52" s="70" t="s">
        <v>17</v>
      </c>
      <c r="G52" s="71">
        <f ca="1">'Dre-Terraplenagem'!V57</f>
        <v>859.5</v>
      </c>
      <c r="H52" s="226">
        <v>0.99</v>
      </c>
      <c r="I52" s="71">
        <f t="shared" si="13"/>
        <v>0.23</v>
      </c>
      <c r="J52" s="71">
        <f t="shared" si="14"/>
        <v>1.22</v>
      </c>
      <c r="K52" s="71">
        <f t="shared" ca="1" si="15"/>
        <v>1048.5899999999999</v>
      </c>
      <c r="L52" s="72">
        <f ca="1">K52/$K$222</f>
        <v>2.3547077617555628E-4</v>
      </c>
    </row>
    <row r="53" spans="2:15" s="210" customFormat="1" ht="12.95" customHeight="1" x14ac:dyDescent="0.2">
      <c r="B53" s="70">
        <v>104482</v>
      </c>
      <c r="C53" s="223" t="s">
        <v>709</v>
      </c>
      <c r="D53" s="74" t="s">
        <v>765</v>
      </c>
      <c r="E53" s="306"/>
      <c r="F53" s="70" t="s">
        <v>16</v>
      </c>
      <c r="G53" s="71">
        <f ca="1">'Dre-Terraplenagem'!V58</f>
        <v>6.7</v>
      </c>
      <c r="H53" s="226">
        <v>32.54</v>
      </c>
      <c r="I53" s="71">
        <f t="shared" si="13"/>
        <v>7.81</v>
      </c>
      <c r="J53" s="71">
        <f t="shared" si="14"/>
        <v>40.35</v>
      </c>
      <c r="K53" s="71">
        <f t="shared" ca="1" si="15"/>
        <v>270.33999999999997</v>
      </c>
      <c r="L53" s="72">
        <f ca="1">K53/$K$222</f>
        <v>6.0707397201289234E-5</v>
      </c>
    </row>
    <row r="54" spans="2:15" ht="12.95" customHeight="1" x14ac:dyDescent="0.2">
      <c r="B54" s="70"/>
      <c r="C54" s="223"/>
      <c r="D54" s="74"/>
      <c r="E54" s="306"/>
      <c r="F54" s="73"/>
      <c r="G54" s="71"/>
      <c r="H54" s="202"/>
      <c r="I54" s="71"/>
      <c r="J54" s="71"/>
      <c r="K54" s="71"/>
      <c r="L54" s="72"/>
    </row>
    <row r="55" spans="2:15" ht="12.95" customHeight="1" x14ac:dyDescent="0.2">
      <c r="B55" s="70"/>
      <c r="C55" s="68"/>
      <c r="D55" s="96" t="s">
        <v>21</v>
      </c>
      <c r="E55" s="68"/>
      <c r="F55" s="70"/>
      <c r="G55" s="71"/>
      <c r="H55" s="202"/>
      <c r="I55" s="71"/>
      <c r="J55" s="71"/>
      <c r="K55" s="71"/>
      <c r="L55" s="72"/>
    </row>
    <row r="56" spans="2:15" ht="12.95" customHeight="1" x14ac:dyDescent="0.2">
      <c r="B56" s="70">
        <v>101616</v>
      </c>
      <c r="C56" s="223" t="s">
        <v>710</v>
      </c>
      <c r="D56" s="69" t="s">
        <v>316</v>
      </c>
      <c r="E56" s="68"/>
      <c r="F56" s="70" t="s">
        <v>13</v>
      </c>
      <c r="G56" s="71">
        <f ca="1">'Dre-Terraplenagem'!V60</f>
        <v>435.2</v>
      </c>
      <c r="H56" s="226">
        <v>7.78</v>
      </c>
      <c r="I56" s="71">
        <f>TRUNC((H56*$L$6),2)</f>
        <v>1.86</v>
      </c>
      <c r="J56" s="71">
        <f t="shared" ref="J56:J57" si="16">H56+I56</f>
        <v>9.64</v>
      </c>
      <c r="K56" s="71">
        <f t="shared" ref="K56:K58" ca="1" si="17">TRUNC((G56*J56),2)</f>
        <v>4195.32</v>
      </c>
      <c r="L56" s="72">
        <f ca="1">K56/$K$222</f>
        <v>9.4209868175820365E-4</v>
      </c>
    </row>
    <row r="57" spans="2:15" ht="26.1" customHeight="1" x14ac:dyDescent="0.2">
      <c r="B57" s="70">
        <v>101617</v>
      </c>
      <c r="C57" s="223" t="s">
        <v>711</v>
      </c>
      <c r="D57" s="69" t="s">
        <v>317</v>
      </c>
      <c r="E57" s="68"/>
      <c r="F57" s="70" t="s">
        <v>13</v>
      </c>
      <c r="G57" s="71">
        <f ca="1">'Dre-Terraplenagem'!V61</f>
        <v>1293.5999999999999</v>
      </c>
      <c r="H57" s="71">
        <v>3.53</v>
      </c>
      <c r="I57" s="71">
        <f>TRUNC((H57*$L$6),2)</f>
        <v>0.84</v>
      </c>
      <c r="J57" s="71">
        <f t="shared" si="16"/>
        <v>4.37</v>
      </c>
      <c r="K57" s="71">
        <f t="shared" ca="1" si="17"/>
        <v>5653.03</v>
      </c>
      <c r="L57" s="72">
        <f ca="1">K57/$K$222</f>
        <v>1.2694412132899463E-3</v>
      </c>
    </row>
    <row r="58" spans="2:15" ht="26.1" customHeight="1" x14ac:dyDescent="0.2">
      <c r="B58" s="70">
        <v>101573</v>
      </c>
      <c r="C58" s="223" t="s">
        <v>712</v>
      </c>
      <c r="D58" s="69" t="s">
        <v>344</v>
      </c>
      <c r="E58" s="68"/>
      <c r="F58" s="70" t="s">
        <v>13</v>
      </c>
      <c r="G58" s="71">
        <f ca="1">'Dre-Terraplenagem'!V64</f>
        <v>3189.75</v>
      </c>
      <c r="H58" s="71">
        <v>27.19</v>
      </c>
      <c r="I58" s="71">
        <f>TRUNC((H58*$L$6),2)</f>
        <v>6.53</v>
      </c>
      <c r="J58" s="71">
        <f t="shared" ref="J58" si="18">H58+I58</f>
        <v>33.72</v>
      </c>
      <c r="K58" s="71">
        <f t="shared" ca="1" si="17"/>
        <v>107558.37</v>
      </c>
      <c r="L58" s="72">
        <f ca="1">K58/$K$222</f>
        <v>2.4153246615052276E-2</v>
      </c>
    </row>
    <row r="59" spans="2:15" ht="12.95" customHeight="1" x14ac:dyDescent="0.2">
      <c r="B59" s="70"/>
      <c r="C59" s="223"/>
      <c r="D59" s="74"/>
      <c r="E59" s="68"/>
      <c r="F59" s="73"/>
      <c r="G59" s="71"/>
      <c r="H59" s="202"/>
      <c r="I59" s="71"/>
      <c r="J59" s="71"/>
      <c r="K59" s="71"/>
      <c r="L59" s="72"/>
    </row>
    <row r="60" spans="2:15" ht="12.95" customHeight="1" x14ac:dyDescent="0.2">
      <c r="B60" s="70"/>
      <c r="C60" s="68"/>
      <c r="D60" s="96" t="s">
        <v>22</v>
      </c>
      <c r="E60" s="68"/>
      <c r="F60" s="70"/>
      <c r="G60" s="71"/>
      <c r="H60" s="202"/>
      <c r="I60" s="71"/>
      <c r="J60" s="71"/>
      <c r="K60" s="71"/>
      <c r="L60" s="72"/>
    </row>
    <row r="61" spans="2:15" ht="39" customHeight="1" x14ac:dyDescent="0.2">
      <c r="B61" s="70">
        <v>93369</v>
      </c>
      <c r="C61" s="223" t="s">
        <v>713</v>
      </c>
      <c r="D61" s="69" t="s">
        <v>507</v>
      </c>
      <c r="E61" s="68"/>
      <c r="F61" s="70" t="s">
        <v>16</v>
      </c>
      <c r="G61" s="71">
        <f ca="1">'Dre-Terraplenagem'!V73</f>
        <v>3966.43</v>
      </c>
      <c r="H61" s="226">
        <v>17.02</v>
      </c>
      <c r="I61" s="71">
        <f>TRUNC((H61*$L$6),2)</f>
        <v>4.08</v>
      </c>
      <c r="J61" s="71">
        <f t="shared" ref="J61" si="19">H61+I61</f>
        <v>21.1</v>
      </c>
      <c r="K61" s="71">
        <f t="shared" ref="K61" ca="1" si="20">TRUNC((G61*J61),2)</f>
        <v>83691.67</v>
      </c>
      <c r="L61" s="72">
        <f ca="1">K61/$K$222</f>
        <v>1.8793753988049208E-2</v>
      </c>
    </row>
    <row r="62" spans="2:15" ht="12.95" customHeight="1" x14ac:dyDescent="0.2">
      <c r="B62" s="67"/>
      <c r="C62" s="223"/>
      <c r="D62" s="74"/>
      <c r="E62" s="68"/>
      <c r="F62" s="73"/>
      <c r="G62" s="71"/>
      <c r="H62" s="202"/>
      <c r="I62" s="71"/>
      <c r="J62" s="71"/>
      <c r="K62" s="71"/>
      <c r="L62" s="72"/>
    </row>
    <row r="63" spans="2:15" ht="12.95" customHeight="1" x14ac:dyDescent="0.2">
      <c r="B63" s="67"/>
      <c r="C63" s="68"/>
      <c r="D63" s="96" t="s">
        <v>23</v>
      </c>
      <c r="E63" s="68"/>
      <c r="F63" s="70"/>
      <c r="G63" s="71"/>
      <c r="H63" s="202"/>
      <c r="I63" s="71"/>
      <c r="J63" s="71"/>
      <c r="K63" s="71"/>
      <c r="L63" s="72"/>
    </row>
    <row r="64" spans="2:15" ht="26.1" customHeight="1" x14ac:dyDescent="0.2">
      <c r="B64" s="67">
        <v>100978</v>
      </c>
      <c r="C64" s="223" t="s">
        <v>714</v>
      </c>
      <c r="D64" s="69" t="s">
        <v>318</v>
      </c>
      <c r="E64" s="68"/>
      <c r="F64" s="70" t="s">
        <v>16</v>
      </c>
      <c r="G64" s="71">
        <f ca="1">'Dre-Terraplenagem'!V77</f>
        <v>959.19999999999993</v>
      </c>
      <c r="H64" s="226">
        <v>7.03</v>
      </c>
      <c r="I64" s="71">
        <f>TRUNC((H64*$L$6),2)</f>
        <v>1.68</v>
      </c>
      <c r="J64" s="71">
        <f t="shared" ref="J64:J66" si="21">H64+I64</f>
        <v>8.7100000000000009</v>
      </c>
      <c r="K64" s="71">
        <f t="shared" ref="K64:K66" ca="1" si="22">TRUNC((G64*J64),2)</f>
        <v>8354.6299999999992</v>
      </c>
      <c r="L64" s="72">
        <f ca="1">K64/$K$222</f>
        <v>1.8761109783228789E-3</v>
      </c>
    </row>
    <row r="65" spans="2:12" ht="26.1" customHeight="1" x14ac:dyDescent="0.2">
      <c r="B65" s="70">
        <v>95875</v>
      </c>
      <c r="C65" s="223" t="s">
        <v>766</v>
      </c>
      <c r="D65" s="69" t="s">
        <v>348</v>
      </c>
      <c r="E65" s="68">
        <f>'Dre-Terraplenagem'!$E$78</f>
        <v>4.3</v>
      </c>
      <c r="F65" s="70" t="s">
        <v>17</v>
      </c>
      <c r="G65" s="71">
        <f ca="1">'Dre-Terraplenagem'!V78</f>
        <v>4124.4900000000007</v>
      </c>
      <c r="H65" s="226">
        <v>2.5</v>
      </c>
      <c r="I65" s="71">
        <f>TRUNC((H65*$L$6),2)</f>
        <v>0.6</v>
      </c>
      <c r="J65" s="71">
        <f t="shared" si="21"/>
        <v>3.1</v>
      </c>
      <c r="K65" s="71">
        <f t="shared" ca="1" si="22"/>
        <v>12785.91</v>
      </c>
      <c r="L65" s="72">
        <f ca="1">K65/$K$222</f>
        <v>2.8711967039651409E-3</v>
      </c>
    </row>
    <row r="66" spans="2:12" ht="12.95" customHeight="1" x14ac:dyDescent="0.2">
      <c r="B66" s="67">
        <v>100574</v>
      </c>
      <c r="C66" s="223" t="s">
        <v>767</v>
      </c>
      <c r="D66" s="69" t="s">
        <v>306</v>
      </c>
      <c r="E66" s="221"/>
      <c r="F66" s="70" t="s">
        <v>16</v>
      </c>
      <c r="G66" s="71">
        <f ca="1">'Dre-Terraplenagem'!V79</f>
        <v>959.19999999999993</v>
      </c>
      <c r="H66" s="226">
        <v>1.42</v>
      </c>
      <c r="I66" s="71">
        <f>TRUNC((H66*$L$6),2)</f>
        <v>0.34</v>
      </c>
      <c r="J66" s="71">
        <f t="shared" si="21"/>
        <v>1.76</v>
      </c>
      <c r="K66" s="71">
        <f t="shared" ca="1" si="22"/>
        <v>1688.19</v>
      </c>
      <c r="L66" s="72">
        <f ca="1">K66/$K$222</f>
        <v>3.7909898972125652E-4</v>
      </c>
    </row>
    <row r="67" spans="2:12" ht="12.95" customHeight="1" x14ac:dyDescent="0.2">
      <c r="B67" s="67"/>
      <c r="C67" s="271"/>
      <c r="D67" s="69"/>
      <c r="E67" s="271"/>
      <c r="F67" s="70"/>
      <c r="G67" s="71"/>
      <c r="H67" s="202"/>
      <c r="I67" s="71"/>
      <c r="J67" s="71"/>
      <c r="K67" s="71"/>
      <c r="L67" s="72"/>
    </row>
    <row r="68" spans="2:12" s="64" customFormat="1" ht="15" customHeight="1" x14ac:dyDescent="0.2">
      <c r="B68" s="234"/>
      <c r="C68" s="86"/>
      <c r="D68" s="86"/>
      <c r="E68" s="392" t="str">
        <f>CONCATENATE("SUBTOTAL ",C42)</f>
        <v>SUBTOTAL 03</v>
      </c>
      <c r="F68" s="392"/>
      <c r="G68" s="392"/>
      <c r="H68" s="205"/>
      <c r="I68" s="391"/>
      <c r="J68" s="391"/>
      <c r="K68" s="206">
        <f ca="1">SUM(K42:K67)</f>
        <v>310040.90999999997</v>
      </c>
      <c r="L68" s="88">
        <f ca="1">SUM(L42:L67)</f>
        <v>6.9622611052819305E-2</v>
      </c>
    </row>
    <row r="69" spans="2:12" ht="5.0999999999999996" customHeight="1" x14ac:dyDescent="0.2"/>
    <row r="70" spans="2:12" s="64" customFormat="1" ht="15" customHeight="1" x14ac:dyDescent="0.2">
      <c r="B70" s="60"/>
      <c r="C70" s="225" t="s">
        <v>486</v>
      </c>
      <c r="D70" s="61" t="s">
        <v>718</v>
      </c>
      <c r="E70" s="62"/>
      <c r="F70" s="62"/>
      <c r="G70" s="62"/>
      <c r="H70" s="62"/>
      <c r="I70" s="62"/>
      <c r="J70" s="62"/>
      <c r="K70" s="62"/>
      <c r="L70" s="63"/>
    </row>
    <row r="71" spans="2:12" ht="12.95" customHeight="1" x14ac:dyDescent="0.2">
      <c r="B71" s="251"/>
      <c r="C71" s="270"/>
      <c r="D71" s="65"/>
      <c r="E71" s="270"/>
      <c r="F71" s="251"/>
      <c r="G71" s="66"/>
      <c r="H71" s="66"/>
      <c r="I71" s="66"/>
      <c r="J71" s="66"/>
      <c r="K71" s="66"/>
      <c r="L71" s="95"/>
    </row>
    <row r="72" spans="2:12" ht="12.95" customHeight="1" x14ac:dyDescent="0.2">
      <c r="B72" s="70"/>
      <c r="C72" s="221"/>
      <c r="D72" s="96" t="s">
        <v>24</v>
      </c>
      <c r="E72" s="221"/>
      <c r="F72" s="70"/>
      <c r="G72" s="71"/>
      <c r="H72" s="71"/>
      <c r="I72" s="71"/>
      <c r="J72" s="71"/>
      <c r="K72" s="71"/>
      <c r="L72" s="72"/>
    </row>
    <row r="73" spans="2:12" ht="26.1" customHeight="1" x14ac:dyDescent="0.2">
      <c r="B73" s="67" t="s">
        <v>25</v>
      </c>
      <c r="C73" s="223" t="s">
        <v>533</v>
      </c>
      <c r="D73" s="69" t="s">
        <v>319</v>
      </c>
      <c r="E73" s="221"/>
      <c r="F73" s="70" t="s">
        <v>14</v>
      </c>
      <c r="G73" s="71">
        <f>'Dre-Disp. Estruturais'!X23</f>
        <v>544</v>
      </c>
      <c r="H73" s="71">
        <v>86.67</v>
      </c>
      <c r="I73" s="71">
        <f>TRUNC((H73*$L$6),2)</f>
        <v>20.82</v>
      </c>
      <c r="J73" s="71">
        <f t="shared" ref="J73" si="23">H73+I73</f>
        <v>107.49000000000001</v>
      </c>
      <c r="K73" s="71">
        <f t="shared" ref="K73:K74" si="24">TRUNC((G73*J73),2)</f>
        <v>58474.559999999998</v>
      </c>
      <c r="L73" s="72">
        <f ca="1">K73/$K$222</f>
        <v>1.3131014056708662E-2</v>
      </c>
    </row>
    <row r="74" spans="2:12" ht="26.1" customHeight="1" x14ac:dyDescent="0.2">
      <c r="B74" s="67" t="s">
        <v>26</v>
      </c>
      <c r="C74" s="223" t="s">
        <v>534</v>
      </c>
      <c r="D74" s="69" t="s">
        <v>320</v>
      </c>
      <c r="E74" s="221"/>
      <c r="F74" s="70" t="s">
        <v>14</v>
      </c>
      <c r="G74" s="71">
        <f>'Dre-Disp. Estruturais'!X25</f>
        <v>841.1</v>
      </c>
      <c r="H74" s="71">
        <v>414.3</v>
      </c>
      <c r="I74" s="71">
        <f>TRUNC((H74*$L$6),2)</f>
        <v>99.55</v>
      </c>
      <c r="J74" s="71">
        <f t="shared" ref="J74" si="25">H74+I74</f>
        <v>513.85</v>
      </c>
      <c r="K74" s="71">
        <f t="shared" si="24"/>
        <v>432199.23</v>
      </c>
      <c r="L74" s="72">
        <f ca="1">K74/$K$222</f>
        <v>9.7054414166240152E-2</v>
      </c>
    </row>
    <row r="75" spans="2:12" ht="12.95" customHeight="1" x14ac:dyDescent="0.2">
      <c r="B75" s="70"/>
      <c r="C75" s="223"/>
      <c r="D75" s="74"/>
      <c r="E75" s="68"/>
      <c r="F75" s="73"/>
      <c r="G75" s="71"/>
      <c r="H75" s="202"/>
      <c r="I75" s="71"/>
      <c r="J75" s="71"/>
      <c r="K75" s="71"/>
      <c r="L75" s="72"/>
    </row>
    <row r="76" spans="2:12" ht="12.95" customHeight="1" x14ac:dyDescent="0.2">
      <c r="B76" s="70"/>
      <c r="C76" s="68"/>
      <c r="D76" s="96" t="s">
        <v>27</v>
      </c>
      <c r="E76" s="68"/>
      <c r="F76" s="70"/>
      <c r="G76" s="71"/>
      <c r="H76" s="202"/>
      <c r="I76" s="71"/>
      <c r="J76" s="71"/>
      <c r="K76" s="71"/>
      <c r="L76" s="72"/>
    </row>
    <row r="77" spans="2:12" ht="39" customHeight="1" x14ac:dyDescent="0.2">
      <c r="B77" s="67">
        <v>92821</v>
      </c>
      <c r="C77" s="223" t="s">
        <v>715</v>
      </c>
      <c r="D77" s="69" t="s">
        <v>498</v>
      </c>
      <c r="E77" s="68"/>
      <c r="F77" s="70" t="s">
        <v>14</v>
      </c>
      <c r="G77" s="71">
        <f>'Dre-Disp. Estruturais'!X27</f>
        <v>544</v>
      </c>
      <c r="H77" s="71">
        <v>37.29</v>
      </c>
      <c r="I77" s="71">
        <f>TRUNC((H77*$L$6),2)</f>
        <v>8.9600000000000009</v>
      </c>
      <c r="J77" s="71">
        <f t="shared" ref="J77:J78" si="26">H77+I77</f>
        <v>46.25</v>
      </c>
      <c r="K77" s="71">
        <f t="shared" ref="K77:K78" si="27">TRUNC((G77*J77),2)</f>
        <v>25160</v>
      </c>
      <c r="L77" s="72">
        <f ca="1">K77/$K$222</f>
        <v>5.649915342104155E-3</v>
      </c>
    </row>
    <row r="78" spans="2:12" ht="39" customHeight="1" x14ac:dyDescent="0.2">
      <c r="B78" s="67">
        <v>92826</v>
      </c>
      <c r="C78" s="223" t="s">
        <v>716</v>
      </c>
      <c r="D78" s="69" t="s">
        <v>499</v>
      </c>
      <c r="E78" s="68"/>
      <c r="F78" s="70" t="s">
        <v>14</v>
      </c>
      <c r="G78" s="71">
        <f>'Dre-Disp. Estruturais'!X28</f>
        <v>841.1</v>
      </c>
      <c r="H78" s="71">
        <v>82.33</v>
      </c>
      <c r="I78" s="71">
        <f>TRUNC((H78*$L$6),2)</f>
        <v>19.78</v>
      </c>
      <c r="J78" s="71">
        <f t="shared" si="26"/>
        <v>102.11</v>
      </c>
      <c r="K78" s="71">
        <f t="shared" si="27"/>
        <v>85884.72</v>
      </c>
      <c r="L78" s="72">
        <f ca="1">K78/$K$222</f>
        <v>1.9286224053271843E-2</v>
      </c>
    </row>
    <row r="79" spans="2:12" ht="12.95" customHeight="1" x14ac:dyDescent="0.2">
      <c r="B79" s="70"/>
      <c r="C79" s="223"/>
      <c r="D79" s="74"/>
      <c r="E79" s="68"/>
      <c r="F79" s="73"/>
      <c r="G79" s="71"/>
      <c r="H79" s="202"/>
      <c r="I79" s="71"/>
      <c r="J79" s="71"/>
      <c r="K79" s="71"/>
      <c r="L79" s="72"/>
    </row>
    <row r="80" spans="2:12" ht="12.95" customHeight="1" x14ac:dyDescent="0.2">
      <c r="B80" s="70"/>
      <c r="C80" s="68"/>
      <c r="D80" s="96" t="s">
        <v>321</v>
      </c>
      <c r="E80" s="68"/>
      <c r="F80" s="70"/>
      <c r="G80" s="71"/>
      <c r="H80" s="202"/>
      <c r="I80" s="71"/>
      <c r="J80" s="71"/>
      <c r="K80" s="71"/>
      <c r="L80" s="72"/>
    </row>
    <row r="81" spans="2:15" ht="26.1" customHeight="1" x14ac:dyDescent="0.2">
      <c r="B81" s="70">
        <v>100952</v>
      </c>
      <c r="C81" s="223" t="s">
        <v>717</v>
      </c>
      <c r="D81" s="69" t="s">
        <v>538</v>
      </c>
      <c r="E81" s="68">
        <f>'Dre-Disp. Estruturais'!$E$33</f>
        <v>5</v>
      </c>
      <c r="F81" s="70" t="s">
        <v>28</v>
      </c>
      <c r="G81" s="71">
        <f>'Dre-Disp. Estruturais'!X33</f>
        <v>2732.0999999999995</v>
      </c>
      <c r="H81" s="71">
        <v>2.85</v>
      </c>
      <c r="I81" s="71">
        <f>TRUNC((H81*$L$6),2)</f>
        <v>0.68</v>
      </c>
      <c r="J81" s="71">
        <f t="shared" ref="J81" si="28">H81+I81</f>
        <v>3.5300000000000002</v>
      </c>
      <c r="K81" s="71">
        <f t="shared" ref="K81" si="29">TRUNC((G81*J81),2)</f>
        <v>9644.31</v>
      </c>
      <c r="L81" s="72">
        <f ca="1">K81/$K$222</f>
        <v>2.1657207882753785E-3</v>
      </c>
    </row>
    <row r="82" spans="2:15" ht="12.95" customHeight="1" x14ac:dyDescent="0.2">
      <c r="B82" s="67"/>
      <c r="C82" s="271"/>
      <c r="D82" s="69"/>
      <c r="E82" s="271"/>
      <c r="F82" s="70"/>
      <c r="G82" s="71"/>
      <c r="H82" s="202"/>
      <c r="I82" s="71"/>
      <c r="J82" s="71"/>
      <c r="K82" s="71"/>
      <c r="L82" s="72"/>
    </row>
    <row r="83" spans="2:15" s="64" customFormat="1" ht="15" customHeight="1" x14ac:dyDescent="0.2">
      <c r="B83" s="234"/>
      <c r="C83" s="86"/>
      <c r="D83" s="86"/>
      <c r="E83" s="392" t="str">
        <f>CONCATENATE("SUBTOTAL ",C70)</f>
        <v>SUBTOTAL 04</v>
      </c>
      <c r="F83" s="392"/>
      <c r="G83" s="392"/>
      <c r="H83" s="205"/>
      <c r="I83" s="391"/>
      <c r="J83" s="391"/>
      <c r="K83" s="206">
        <f>SUM(K70:K82)</f>
        <v>611362.82000000007</v>
      </c>
      <c r="L83" s="88">
        <f ca="1">SUM(L70:L82)</f>
        <v>0.13728728840660018</v>
      </c>
    </row>
    <row r="84" spans="2:15" ht="5.0999999999999996" customHeight="1" x14ac:dyDescent="0.2"/>
    <row r="85" spans="2:15" s="64" customFormat="1" ht="15" customHeight="1" x14ac:dyDescent="0.2">
      <c r="B85" s="60"/>
      <c r="C85" s="225" t="s">
        <v>487</v>
      </c>
      <c r="D85" s="61" t="s">
        <v>719</v>
      </c>
      <c r="E85" s="62"/>
      <c r="F85" s="62"/>
      <c r="G85" s="62"/>
      <c r="H85" s="62"/>
      <c r="I85" s="62"/>
      <c r="J85" s="62"/>
      <c r="K85" s="62"/>
      <c r="L85" s="63"/>
    </row>
    <row r="86" spans="2:15" ht="12.95" customHeight="1" x14ac:dyDescent="0.2">
      <c r="B86" s="251"/>
      <c r="C86" s="270"/>
      <c r="D86" s="65"/>
      <c r="E86" s="270"/>
      <c r="F86" s="251"/>
      <c r="G86" s="66"/>
      <c r="H86" s="66"/>
      <c r="I86" s="66"/>
      <c r="J86" s="66"/>
      <c r="K86" s="66"/>
      <c r="L86" s="95"/>
    </row>
    <row r="87" spans="2:15" ht="12.95" customHeight="1" x14ac:dyDescent="0.2">
      <c r="B87" s="70"/>
      <c r="C87" s="68"/>
      <c r="D87" s="96" t="s">
        <v>29</v>
      </c>
      <c r="E87" s="68"/>
      <c r="F87" s="70"/>
      <c r="G87" s="71"/>
      <c r="H87" s="202"/>
      <c r="I87" s="71"/>
      <c r="J87" s="71"/>
      <c r="K87" s="71"/>
      <c r="L87" s="72"/>
    </row>
    <row r="88" spans="2:15" ht="65.099999999999994" customHeight="1" x14ac:dyDescent="0.2">
      <c r="B88" s="289" t="str">
        <f>'EEA-DR-05 - Comp. PV-1'!$B$11</f>
        <v>EEA-DR-05</v>
      </c>
      <c r="C88" s="223" t="s">
        <v>540</v>
      </c>
      <c r="D88" s="69" t="str">
        <f>'EEA-DR-05 - Comp. PV-1'!$C$11</f>
        <v>PV-1 - Poço de visita em alvenaria, 2,32m x 2,32m, em alvenaria de tijolo comum de 1 vez assentadae revestida internamente com argamassa de cimento e areia 1:3, lastro de brita 12cm, berço 18cm em concreto fck = 15MPa, laje de 12cm em concreto armado fck = 20MPa, incluindo forma, escavação manual e reaterro apiloado, conforme projeto tipo, exclusive pescoço e tampão</v>
      </c>
      <c r="E88" s="68"/>
      <c r="F88" s="70" t="str">
        <f>'EEA-DR-05 - Comp. PV-1'!$G$11</f>
        <v>un.</v>
      </c>
      <c r="G88" s="71">
        <f>'Dre-Disp. Estruturais'!X40</f>
        <v>12</v>
      </c>
      <c r="H88" s="226">
        <f>'EEA-DR-05 - Comp. PV-1'!$I$52</f>
        <v>6071.16</v>
      </c>
      <c r="I88" s="71">
        <f>TRUNC((H88*$L$6),2)</f>
        <v>1458.89</v>
      </c>
      <c r="J88" s="71">
        <f t="shared" ref="J88" si="30">H88+I88</f>
        <v>7530.05</v>
      </c>
      <c r="K88" s="71">
        <f t="shared" ref="K88:K91" si="31">TRUNC((G88*J88),2)</f>
        <v>90360.6</v>
      </c>
      <c r="L88" s="72">
        <f ca="1">K88/$K$222</f>
        <v>2.0291325129639777E-2</v>
      </c>
      <c r="M88" s="196"/>
      <c r="N88" s="349" t="s">
        <v>855</v>
      </c>
      <c r="O88" s="312">
        <v>6071.16</v>
      </c>
    </row>
    <row r="89" spans="2:15" ht="26.1" customHeight="1" x14ac:dyDescent="0.2">
      <c r="B89" s="67">
        <v>100978</v>
      </c>
      <c r="C89" s="223" t="s">
        <v>541</v>
      </c>
      <c r="D89" s="69" t="s">
        <v>318</v>
      </c>
      <c r="E89" s="68"/>
      <c r="F89" s="70" t="s">
        <v>16</v>
      </c>
      <c r="G89" s="71">
        <f>'Dre-Disp. Estruturais'!X44</f>
        <v>30</v>
      </c>
      <c r="H89" s="226">
        <v>7.03</v>
      </c>
      <c r="I89" s="71">
        <f>TRUNC((H89*$L$6),2)</f>
        <v>1.68</v>
      </c>
      <c r="J89" s="71">
        <f t="shared" ref="J89:J91" si="32">H89+I89</f>
        <v>8.7100000000000009</v>
      </c>
      <c r="K89" s="71">
        <f t="shared" si="31"/>
        <v>261.3</v>
      </c>
      <c r="L89" s="72">
        <f ca="1">K89/$K$222</f>
        <v>5.8677379924158025E-5</v>
      </c>
    </row>
    <row r="90" spans="2:15" ht="26.1" customHeight="1" x14ac:dyDescent="0.2">
      <c r="B90" s="70">
        <v>95875</v>
      </c>
      <c r="C90" s="223" t="s">
        <v>542</v>
      </c>
      <c r="D90" s="69" t="s">
        <v>349</v>
      </c>
      <c r="E90" s="68">
        <f>'Dre-Disp. Estruturais'!$E$45</f>
        <v>30</v>
      </c>
      <c r="F90" s="70" t="s">
        <v>17</v>
      </c>
      <c r="G90" s="71">
        <f>'Dre-Disp. Estruturais'!X45</f>
        <v>900</v>
      </c>
      <c r="H90" s="226">
        <v>2.5</v>
      </c>
      <c r="I90" s="71">
        <f>TRUNC((H90*$L$6),2)</f>
        <v>0.6</v>
      </c>
      <c r="J90" s="71">
        <f t="shared" si="32"/>
        <v>3.1</v>
      </c>
      <c r="K90" s="71">
        <f t="shared" si="31"/>
        <v>2790</v>
      </c>
      <c r="L90" s="72">
        <f ca="1">K90/$K$222</f>
        <v>6.26520818937623E-4</v>
      </c>
    </row>
    <row r="91" spans="2:15" ht="26.1" customHeight="1" x14ac:dyDescent="0.2">
      <c r="B91" s="70">
        <v>93590</v>
      </c>
      <c r="C91" s="223" t="s">
        <v>543</v>
      </c>
      <c r="D91" s="69" t="s">
        <v>350</v>
      </c>
      <c r="E91" s="68">
        <f>'Dre-Disp. Estruturais'!$E$46</f>
        <v>25</v>
      </c>
      <c r="F91" s="70" t="s">
        <v>17</v>
      </c>
      <c r="G91" s="71">
        <f>'Dre-Disp. Estruturais'!X46</f>
        <v>750</v>
      </c>
      <c r="H91" s="226">
        <v>0.99</v>
      </c>
      <c r="I91" s="71">
        <f>TRUNC((H91*$L$6),2)</f>
        <v>0.23</v>
      </c>
      <c r="J91" s="71">
        <f t="shared" si="32"/>
        <v>1.22</v>
      </c>
      <c r="K91" s="71">
        <f t="shared" si="31"/>
        <v>915</v>
      </c>
      <c r="L91" s="72">
        <f ca="1">K91/$K$222</f>
        <v>2.0547188147954302E-4</v>
      </c>
    </row>
    <row r="92" spans="2:15" ht="12.95" customHeight="1" x14ac:dyDescent="0.2">
      <c r="B92" s="70"/>
      <c r="C92" s="223"/>
      <c r="D92" s="74"/>
      <c r="E92" s="68"/>
      <c r="F92" s="73"/>
      <c r="G92" s="71"/>
      <c r="H92" s="226"/>
      <c r="I92" s="71"/>
      <c r="J92" s="71"/>
      <c r="K92" s="71"/>
      <c r="L92" s="72"/>
    </row>
    <row r="93" spans="2:15" ht="12.95" customHeight="1" x14ac:dyDescent="0.2">
      <c r="B93" s="70"/>
      <c r="C93" s="68"/>
      <c r="D93" s="96" t="s">
        <v>30</v>
      </c>
      <c r="E93" s="68"/>
      <c r="F93" s="70"/>
      <c r="G93" s="71"/>
      <c r="H93" s="226"/>
      <c r="I93" s="71"/>
      <c r="J93" s="71"/>
      <c r="K93" s="71"/>
      <c r="L93" s="72"/>
    </row>
    <row r="94" spans="2:15" ht="26.1" customHeight="1" x14ac:dyDescent="0.2">
      <c r="B94" s="70">
        <v>98051</v>
      </c>
      <c r="C94" s="223" t="s">
        <v>544</v>
      </c>
      <c r="D94" s="69" t="s">
        <v>41</v>
      </c>
      <c r="E94" s="68"/>
      <c r="F94" s="70" t="s">
        <v>14</v>
      </c>
      <c r="G94" s="71">
        <f>'Dre-Disp. Estruturais'!X47</f>
        <v>12</v>
      </c>
      <c r="H94" s="226">
        <v>980.04</v>
      </c>
      <c r="I94" s="71">
        <f>TRUNC((H94*$L$6),2)</f>
        <v>235.5</v>
      </c>
      <c r="J94" s="71">
        <f t="shared" ref="J94:J95" si="33">H94+I94</f>
        <v>1215.54</v>
      </c>
      <c r="K94" s="71">
        <f t="shared" ref="K94:K95" si="34">TRUNC((G94*J94),2)</f>
        <v>14586.48</v>
      </c>
      <c r="L94" s="72">
        <f ca="1">K94/$K$222</f>
        <v>3.2755316828018844E-3</v>
      </c>
    </row>
    <row r="95" spans="2:15" ht="12.95" customHeight="1" x14ac:dyDescent="0.2">
      <c r="B95" s="70">
        <v>98114</v>
      </c>
      <c r="C95" s="223" t="s">
        <v>720</v>
      </c>
      <c r="D95" s="69" t="s">
        <v>346</v>
      </c>
      <c r="E95" s="68"/>
      <c r="F95" s="73" t="s">
        <v>15</v>
      </c>
      <c r="G95" s="71">
        <f>'Dre-Disp. Estruturais'!X48</f>
        <v>12</v>
      </c>
      <c r="H95" s="226">
        <v>592.80999999999995</v>
      </c>
      <c r="I95" s="71">
        <f>TRUNC((H95*$L$6),2)</f>
        <v>142.44999999999999</v>
      </c>
      <c r="J95" s="71">
        <f t="shared" si="33"/>
        <v>735.26</v>
      </c>
      <c r="K95" s="71">
        <f t="shared" si="34"/>
        <v>8823.1200000000008</v>
      </c>
      <c r="L95" s="72">
        <f ca="1">K95/$K$222</f>
        <v>1.9813148272347383E-3</v>
      </c>
    </row>
    <row r="96" spans="2:15" ht="12.95" customHeight="1" x14ac:dyDescent="0.2">
      <c r="B96" s="70"/>
      <c r="C96" s="223"/>
      <c r="D96" s="74"/>
      <c r="E96" s="68"/>
      <c r="F96" s="73"/>
      <c r="G96" s="71"/>
      <c r="H96" s="226"/>
      <c r="I96" s="71"/>
      <c r="J96" s="71"/>
      <c r="K96" s="71"/>
      <c r="L96" s="72"/>
    </row>
    <row r="97" spans="2:17" ht="12.95" customHeight="1" x14ac:dyDescent="0.2">
      <c r="B97" s="70"/>
      <c r="C97" s="68"/>
      <c r="D97" s="96" t="s">
        <v>31</v>
      </c>
      <c r="E97" s="68"/>
      <c r="F97" s="70"/>
      <c r="G97" s="71"/>
      <c r="H97" s="226"/>
      <c r="I97" s="71"/>
      <c r="J97" s="71"/>
      <c r="K97" s="71"/>
      <c r="L97" s="72"/>
    </row>
    <row r="98" spans="2:17" ht="26.1" customHeight="1" x14ac:dyDescent="0.2">
      <c r="B98" s="289" t="str">
        <f>'EEA-DR-17 - Comp. BLSC'!$B$11</f>
        <v>EEA-DR-17</v>
      </c>
      <c r="C98" s="223" t="s">
        <v>721</v>
      </c>
      <c r="D98" s="69" t="str">
        <f>'EEA-DR-17 - Comp. BLSC'!$C$11</f>
        <v>BLSC - Boca de lobo simples, em concreto simples fck = 20MPa, incluindo forma, escavação, calçamento ao redor e grelha em FºFº tipo pesada, conforme projeto tipo</v>
      </c>
      <c r="E98" s="68"/>
      <c r="F98" s="70" t="str">
        <f>'EEA-DR-17 - Comp. BLSC'!$G$11</f>
        <v>un.</v>
      </c>
      <c r="G98" s="71">
        <f>'Dre-Disp. Estruturais'!X51</f>
        <v>28</v>
      </c>
      <c r="H98" s="226">
        <f>'EEA-DR-17 - Comp. BLSC'!$I$49</f>
        <v>1657.88</v>
      </c>
      <c r="I98" s="71">
        <f>TRUNC((H98*$L$6),2)</f>
        <v>398.38</v>
      </c>
      <c r="J98" s="71">
        <f t="shared" ref="J98" si="35">H98+I98</f>
        <v>2056.2600000000002</v>
      </c>
      <c r="K98" s="71">
        <f t="shared" ref="K98:K103" si="36">TRUNC((G98*J98),2)</f>
        <v>57575.28</v>
      </c>
      <c r="L98" s="72">
        <f ca="1">K98/$K$222</f>
        <v>1.2929072249520768E-2</v>
      </c>
      <c r="N98" s="349" t="s">
        <v>856</v>
      </c>
      <c r="O98" s="312">
        <v>1657.88</v>
      </c>
      <c r="Q98" s="123"/>
    </row>
    <row r="99" spans="2:17" ht="26.1" customHeight="1" x14ac:dyDescent="0.2">
      <c r="B99" s="289" t="str">
        <f>'EEA-DR-18 - Comp. BLDC'!B11</f>
        <v>EEA-DR-18</v>
      </c>
      <c r="C99" s="223" t="s">
        <v>722</v>
      </c>
      <c r="D99" s="69" t="str">
        <f>'EEA-DR-18 - Comp. BLDC'!C11</f>
        <v>BLDC - Boca de lobo dupla, em concreto simples fck = 20MPa, incluindo forma, escavação, calçamento ao redor e grelha em FºFº tipo pesada, conforme projeto tipo</v>
      </c>
      <c r="E99" s="334"/>
      <c r="F99" s="70" t="str">
        <f>'EEA-DR-18 - Comp. BLDC'!G11</f>
        <v>un.</v>
      </c>
      <c r="G99" s="71">
        <f>'Dre-Disp. Estruturais'!X53</f>
        <v>14</v>
      </c>
      <c r="H99" s="226">
        <f>'EEA-DR-18 - Comp. BLDC'!I49</f>
        <v>3067.7599999999998</v>
      </c>
      <c r="I99" s="71">
        <f t="shared" ref="I99:I100" si="37">TRUNC((H99*$L$6),2)</f>
        <v>737.18</v>
      </c>
      <c r="J99" s="71">
        <f t="shared" ref="J99:J100" si="38">H99+I99</f>
        <v>3804.9399999999996</v>
      </c>
      <c r="K99" s="71">
        <f t="shared" ref="K99:K100" si="39">TRUNC((G99*J99),2)</f>
        <v>53269.16</v>
      </c>
      <c r="L99" s="72">
        <f t="shared" ref="L99:L100" ca="1" si="40">K99/$K$222</f>
        <v>1.196209238255171E-2</v>
      </c>
      <c r="N99" s="349" t="s">
        <v>857</v>
      </c>
      <c r="O99" s="312">
        <v>3067.76</v>
      </c>
    </row>
    <row r="100" spans="2:17" ht="26.1" customHeight="1" x14ac:dyDescent="0.2">
      <c r="B100" s="289" t="str">
        <f>'EEA-DR-19 - Comp. BLTC'!B11</f>
        <v>EEA-DR-19</v>
      </c>
      <c r="C100" s="223" t="s">
        <v>723</v>
      </c>
      <c r="D100" s="69" t="str">
        <f>'EEA-DR-19 - Comp. BLTC'!C11</f>
        <v>BLTC - Boca de lobo tripla, em concreto simples fck = 20MPa, incluindo forma, escavação, calçamento ao redor e grelha em FºFº tipo pesada, conforme projeto tipo</v>
      </c>
      <c r="E100" s="334"/>
      <c r="F100" s="70" t="str">
        <f>'EEA-DR-19 - Comp. BLTC'!G11</f>
        <v>un.</v>
      </c>
      <c r="G100" s="71">
        <f>'Dre-Disp. Estruturais'!X55</f>
        <v>4</v>
      </c>
      <c r="H100" s="226">
        <f>'EEA-DR-19 - Comp. BLTC'!I49</f>
        <v>4481.8999999999996</v>
      </c>
      <c r="I100" s="71">
        <f t="shared" si="37"/>
        <v>1077</v>
      </c>
      <c r="J100" s="71">
        <f t="shared" si="38"/>
        <v>5558.9</v>
      </c>
      <c r="K100" s="71">
        <f t="shared" si="39"/>
        <v>22235.599999999999</v>
      </c>
      <c r="L100" s="72">
        <f t="shared" ca="1" si="40"/>
        <v>4.9932137353295367E-3</v>
      </c>
      <c r="N100" s="349" t="s">
        <v>858</v>
      </c>
      <c r="O100" s="312">
        <v>4481.8999999999996</v>
      </c>
    </row>
    <row r="101" spans="2:17" ht="26.1" customHeight="1" x14ac:dyDescent="0.2">
      <c r="B101" s="67">
        <v>100978</v>
      </c>
      <c r="C101" s="223" t="s">
        <v>724</v>
      </c>
      <c r="D101" s="69" t="s">
        <v>318</v>
      </c>
      <c r="E101" s="68"/>
      <c r="F101" s="70" t="s">
        <v>16</v>
      </c>
      <c r="G101" s="71">
        <f>'Dre-Disp. Estruturais'!X57</f>
        <v>26.619999999999997</v>
      </c>
      <c r="H101" s="226">
        <v>7.03</v>
      </c>
      <c r="I101" s="71">
        <f>TRUNC((H101*$L$6),2)</f>
        <v>1.68</v>
      </c>
      <c r="J101" s="71">
        <f t="shared" ref="J101:J103" si="41">H101+I101</f>
        <v>8.7100000000000009</v>
      </c>
      <c r="K101" s="71">
        <f t="shared" si="36"/>
        <v>231.86</v>
      </c>
      <c r="L101" s="72">
        <f ca="1">K101/$K$222</f>
        <v>5.2066350207482892E-5</v>
      </c>
    </row>
    <row r="102" spans="2:17" ht="26.1" customHeight="1" x14ac:dyDescent="0.2">
      <c r="B102" s="70">
        <v>95875</v>
      </c>
      <c r="C102" s="223" t="s">
        <v>725</v>
      </c>
      <c r="D102" s="69" t="s">
        <v>351</v>
      </c>
      <c r="E102" s="68">
        <f>'Dre-Disp. Estruturais'!$E$58</f>
        <v>30</v>
      </c>
      <c r="F102" s="70" t="s">
        <v>17</v>
      </c>
      <c r="G102" s="71">
        <f>'Dre-Disp. Estruturais'!X58</f>
        <v>798.60000000000014</v>
      </c>
      <c r="H102" s="226">
        <v>2.5</v>
      </c>
      <c r="I102" s="71">
        <f>TRUNC((H102*$L$6),2)</f>
        <v>0.6</v>
      </c>
      <c r="J102" s="71">
        <f t="shared" si="41"/>
        <v>3.1</v>
      </c>
      <c r="K102" s="71">
        <f t="shared" si="36"/>
        <v>2475.66</v>
      </c>
      <c r="L102" s="72">
        <f ca="1">K102/$K$222</f>
        <v>5.5593280667065072E-4</v>
      </c>
    </row>
    <row r="103" spans="2:17" ht="26.1" customHeight="1" x14ac:dyDescent="0.2">
      <c r="B103" s="70">
        <v>93590</v>
      </c>
      <c r="C103" s="223" t="s">
        <v>726</v>
      </c>
      <c r="D103" s="69" t="s">
        <v>352</v>
      </c>
      <c r="E103" s="68">
        <f>'Dre-Disp. Estruturais'!$E$59</f>
        <v>25</v>
      </c>
      <c r="F103" s="70" t="s">
        <v>17</v>
      </c>
      <c r="G103" s="71">
        <f>'Dre-Disp. Estruturais'!X59</f>
        <v>665.5</v>
      </c>
      <c r="H103" s="226">
        <v>0.99</v>
      </c>
      <c r="I103" s="71">
        <f>TRUNC((H103*$L$6),2)</f>
        <v>0.23</v>
      </c>
      <c r="J103" s="71">
        <f t="shared" si="41"/>
        <v>1.22</v>
      </c>
      <c r="K103" s="71">
        <f t="shared" si="36"/>
        <v>811.91</v>
      </c>
      <c r="L103" s="72">
        <f ca="1">K103/$K$222</f>
        <v>1.8232204949951449E-4</v>
      </c>
    </row>
    <row r="104" spans="2:17" ht="15" customHeight="1" x14ac:dyDescent="0.2">
      <c r="B104" s="70"/>
      <c r="C104" s="223"/>
      <c r="D104" s="74"/>
      <c r="E104" s="68"/>
      <c r="F104" s="73"/>
      <c r="G104" s="71"/>
      <c r="H104" s="202"/>
      <c r="I104" s="71"/>
      <c r="J104" s="71"/>
      <c r="K104" s="71"/>
      <c r="L104" s="72"/>
    </row>
    <row r="105" spans="2:17" ht="15" customHeight="1" x14ac:dyDescent="0.2">
      <c r="B105" s="70"/>
      <c r="C105" s="221"/>
      <c r="D105" s="96" t="s">
        <v>535</v>
      </c>
      <c r="E105" s="221"/>
      <c r="F105" s="70"/>
      <c r="G105" s="71"/>
      <c r="H105" s="202"/>
      <c r="I105" s="71"/>
      <c r="J105" s="71"/>
      <c r="K105" s="71"/>
      <c r="L105" s="72"/>
    </row>
    <row r="106" spans="2:17" ht="12.95" customHeight="1" x14ac:dyDescent="0.2">
      <c r="B106" s="289" t="str">
        <f>'EEA-DR-60 - DIS. TIPO 01'!$B$11</f>
        <v>EEA-DR-60</v>
      </c>
      <c r="C106" s="223" t="s">
        <v>727</v>
      </c>
      <c r="D106" s="292" t="str">
        <f>'EEA-DR-60 - DIS. TIPO 01'!$C$11</f>
        <v>Dissipador em concreto armado - tipo 01 - vazão até 2m³/s</v>
      </c>
      <c r="E106" s="293"/>
      <c r="F106" s="294" t="str">
        <f>'EEA-DR-60 - DIS. TIPO 01'!$G$11</f>
        <v>un.</v>
      </c>
      <c r="G106" s="226">
        <f>'Dre-Disp. Estruturais'!X61</f>
        <v>2</v>
      </c>
      <c r="H106" s="226">
        <f>'EEA-DR-60 - DIS. TIPO 01'!$I$50</f>
        <v>11144.44</v>
      </c>
      <c r="I106" s="226">
        <f>TRUNC((H106*$L$6),2)</f>
        <v>2678</v>
      </c>
      <c r="J106" s="226">
        <f t="shared" ref="J106:J109" si="42">H106+I106</f>
        <v>13822.44</v>
      </c>
      <c r="K106" s="226">
        <f t="shared" ref="K106:K109" si="43">TRUNC((G106*J106),2)</f>
        <v>27644.880000000001</v>
      </c>
      <c r="L106" s="295">
        <f ca="1">K106/$K$222</f>
        <v>6.2079185867499331E-3</v>
      </c>
      <c r="N106" s="349" t="s">
        <v>859</v>
      </c>
      <c r="O106" s="312">
        <v>11144.44</v>
      </c>
    </row>
    <row r="107" spans="2:17" ht="26.1" customHeight="1" x14ac:dyDescent="0.2">
      <c r="B107" s="67">
        <v>100978</v>
      </c>
      <c r="C107" s="223" t="s">
        <v>728</v>
      </c>
      <c r="D107" s="69" t="s">
        <v>318</v>
      </c>
      <c r="E107" s="221"/>
      <c r="F107" s="70" t="s">
        <v>16</v>
      </c>
      <c r="G107" s="71">
        <f>'Dre-Disp. Estruturais'!X64</f>
        <v>17.52</v>
      </c>
      <c r="H107" s="226">
        <v>7.03</v>
      </c>
      <c r="I107" s="71">
        <f>TRUNC((H107*$L$6),2)</f>
        <v>1.68</v>
      </c>
      <c r="J107" s="71">
        <f t="shared" si="42"/>
        <v>8.7100000000000009</v>
      </c>
      <c r="K107" s="71">
        <f t="shared" si="43"/>
        <v>152.59</v>
      </c>
      <c r="L107" s="72">
        <f ca="1">K107/$K$222</f>
        <v>3.4265523928921825E-5</v>
      </c>
    </row>
    <row r="108" spans="2:17" ht="26.1" customHeight="1" x14ac:dyDescent="0.2">
      <c r="B108" s="70">
        <v>95875</v>
      </c>
      <c r="C108" s="223" t="s">
        <v>796</v>
      </c>
      <c r="D108" s="69" t="s">
        <v>536</v>
      </c>
      <c r="E108" s="221">
        <f>'Dre-Disp. Estruturais'!$E$65</f>
        <v>30</v>
      </c>
      <c r="F108" s="70" t="s">
        <v>17</v>
      </c>
      <c r="G108" s="71">
        <f>'Dre-Disp. Estruturais'!X65</f>
        <v>525.6</v>
      </c>
      <c r="H108" s="226">
        <v>2.5</v>
      </c>
      <c r="I108" s="71">
        <f>TRUNC((H108*$L$6),2)</f>
        <v>0.6</v>
      </c>
      <c r="J108" s="71">
        <f t="shared" si="42"/>
        <v>3.1</v>
      </c>
      <c r="K108" s="71">
        <f t="shared" si="43"/>
        <v>1629.36</v>
      </c>
      <c r="L108" s="72">
        <f ca="1">K108/$K$222</f>
        <v>3.6588815825957177E-4</v>
      </c>
    </row>
    <row r="109" spans="2:17" ht="26.1" customHeight="1" x14ac:dyDescent="0.2">
      <c r="B109" s="70">
        <v>93590</v>
      </c>
      <c r="C109" s="223" t="s">
        <v>797</v>
      </c>
      <c r="D109" s="69" t="s">
        <v>537</v>
      </c>
      <c r="E109" s="221">
        <f>'Dre-Disp. Estruturais'!$E$66</f>
        <v>25</v>
      </c>
      <c r="F109" s="70" t="s">
        <v>17</v>
      </c>
      <c r="G109" s="71">
        <f>'Dre-Disp. Estruturais'!X66</f>
        <v>438</v>
      </c>
      <c r="H109" s="226">
        <v>0.99</v>
      </c>
      <c r="I109" s="71">
        <f>TRUNC((H109*$L$6),2)</f>
        <v>0.23</v>
      </c>
      <c r="J109" s="71">
        <f t="shared" si="42"/>
        <v>1.22</v>
      </c>
      <c r="K109" s="71">
        <f t="shared" si="43"/>
        <v>534.36</v>
      </c>
      <c r="L109" s="72">
        <f ca="1">K109/$K$222</f>
        <v>1.1999557878405312E-4</v>
      </c>
    </row>
    <row r="110" spans="2:17" ht="12.95" customHeight="1" x14ac:dyDescent="0.2">
      <c r="B110" s="97"/>
      <c r="C110" s="75"/>
      <c r="D110" s="98"/>
      <c r="E110" s="75"/>
      <c r="F110" s="76"/>
      <c r="G110" s="77"/>
      <c r="H110" s="77"/>
      <c r="I110" s="77"/>
      <c r="J110" s="77"/>
      <c r="K110" s="77"/>
      <c r="L110" s="99"/>
    </row>
    <row r="111" spans="2:17" s="64" customFormat="1" ht="15" customHeight="1" x14ac:dyDescent="0.2">
      <c r="B111" s="234"/>
      <c r="C111" s="86"/>
      <c r="D111" s="86"/>
      <c r="E111" s="392" t="str">
        <f>CONCATENATE("SUBTOTAL ",C85)</f>
        <v>SUBTOTAL 05</v>
      </c>
      <c r="F111" s="392"/>
      <c r="G111" s="392"/>
      <c r="H111" s="205"/>
      <c r="I111" s="391"/>
      <c r="J111" s="391"/>
      <c r="K111" s="206">
        <f>SUM(K85:K110)</f>
        <v>284297.15999999997</v>
      </c>
      <c r="L111" s="88">
        <f ca="1">SUM(L85:L110)</f>
        <v>6.3841609141519859E-2</v>
      </c>
    </row>
    <row r="112" spans="2:17" ht="5.0999999999999996" customHeight="1" x14ac:dyDescent="0.2"/>
    <row r="113" spans="2:12" s="64" customFormat="1" ht="15" customHeight="1" x14ac:dyDescent="0.2">
      <c r="B113" s="89"/>
      <c r="C113" s="227" t="s">
        <v>504</v>
      </c>
      <c r="D113" s="90" t="s">
        <v>729</v>
      </c>
      <c r="E113" s="91"/>
      <c r="F113" s="91"/>
      <c r="G113" s="91"/>
      <c r="H113" s="91"/>
      <c r="I113" s="91"/>
      <c r="J113" s="91"/>
      <c r="K113" s="91"/>
      <c r="L113" s="92"/>
    </row>
    <row r="114" spans="2:12" ht="12.95" customHeight="1" x14ac:dyDescent="0.2">
      <c r="B114" s="70"/>
      <c r="C114" s="221"/>
      <c r="D114" s="74"/>
      <c r="E114" s="221"/>
      <c r="F114" s="70"/>
      <c r="G114" s="71"/>
      <c r="H114" s="71"/>
      <c r="I114" s="71"/>
      <c r="J114" s="71"/>
      <c r="K114" s="71"/>
      <c r="L114" s="72"/>
    </row>
    <row r="115" spans="2:12" ht="12.95" customHeight="1" x14ac:dyDescent="0.2">
      <c r="B115" s="70"/>
      <c r="C115" s="68"/>
      <c r="D115" s="96" t="s">
        <v>35</v>
      </c>
      <c r="E115" s="68"/>
      <c r="F115" s="70"/>
      <c r="G115" s="71"/>
      <c r="H115" s="71"/>
      <c r="I115" s="71"/>
      <c r="J115" s="71"/>
      <c r="K115" s="71"/>
      <c r="L115" s="72"/>
    </row>
    <row r="116" spans="2:12" ht="26.1" customHeight="1" x14ac:dyDescent="0.2">
      <c r="B116" s="70">
        <v>101115</v>
      </c>
      <c r="C116" s="223" t="s">
        <v>549</v>
      </c>
      <c r="D116" s="69" t="s">
        <v>324</v>
      </c>
      <c r="E116" s="68"/>
      <c r="F116" s="70" t="s">
        <v>16</v>
      </c>
      <c r="G116" s="71">
        <f>'Pav-Terrapl'!R24</f>
        <v>3259.17</v>
      </c>
      <c r="H116" s="226">
        <v>3.82</v>
      </c>
      <c r="I116" s="71">
        <f>TRUNC((H116*$L$6),2)</f>
        <v>0.91</v>
      </c>
      <c r="J116" s="71">
        <f t="shared" ref="J116:J119" si="44">H116+I116</f>
        <v>4.7299999999999995</v>
      </c>
      <c r="K116" s="71">
        <f t="shared" ref="K116:K119" si="45">TRUNC((G116*J116),2)</f>
        <v>15415.87</v>
      </c>
      <c r="L116" s="72">
        <f ca="1">K116/$K$222</f>
        <v>3.4617790311956753E-3</v>
      </c>
    </row>
    <row r="117" spans="2:12" ht="26.1" customHeight="1" x14ac:dyDescent="0.2">
      <c r="B117" s="67">
        <v>100978</v>
      </c>
      <c r="C117" s="223" t="s">
        <v>550</v>
      </c>
      <c r="D117" s="69" t="s">
        <v>318</v>
      </c>
      <c r="E117" s="68"/>
      <c r="F117" s="70" t="s">
        <v>16</v>
      </c>
      <c r="G117" s="71">
        <f>'Pav-Terrapl'!R25</f>
        <v>4236.9000000000005</v>
      </c>
      <c r="H117" s="226">
        <v>7.03</v>
      </c>
      <c r="I117" s="71">
        <f>TRUNC((H117*$L$6),2)</f>
        <v>1.68</v>
      </c>
      <c r="J117" s="71">
        <f t="shared" si="44"/>
        <v>8.7100000000000009</v>
      </c>
      <c r="K117" s="71">
        <f t="shared" si="45"/>
        <v>36903.39</v>
      </c>
      <c r="L117" s="72">
        <f ca="1">K117/$K$222</f>
        <v>8.2870043456539366E-3</v>
      </c>
    </row>
    <row r="118" spans="2:12" ht="26.1" customHeight="1" x14ac:dyDescent="0.2">
      <c r="B118" s="70">
        <v>95875</v>
      </c>
      <c r="C118" s="223" t="s">
        <v>598</v>
      </c>
      <c r="D118" s="69" t="s">
        <v>348</v>
      </c>
      <c r="E118" s="68">
        <f>'Pav-Terrapl'!$E$26</f>
        <v>4.3</v>
      </c>
      <c r="F118" s="70" t="s">
        <v>17</v>
      </c>
      <c r="G118" s="71">
        <f>'Pav-Terrapl'!R26</f>
        <v>18218.629999999997</v>
      </c>
      <c r="H118" s="226">
        <v>2.5</v>
      </c>
      <c r="I118" s="71">
        <f>TRUNC((H118*$L$6),2)</f>
        <v>0.6</v>
      </c>
      <c r="J118" s="71">
        <f t="shared" si="44"/>
        <v>3.1</v>
      </c>
      <c r="K118" s="71">
        <f t="shared" si="45"/>
        <v>56477.75</v>
      </c>
      <c r="L118" s="72">
        <f ca="1">K118/$K$222</f>
        <v>1.2682611534678973E-2</v>
      </c>
    </row>
    <row r="119" spans="2:12" ht="12.95" customHeight="1" x14ac:dyDescent="0.2">
      <c r="B119" s="70">
        <v>100574</v>
      </c>
      <c r="C119" s="223" t="s">
        <v>599</v>
      </c>
      <c r="D119" s="69" t="s">
        <v>306</v>
      </c>
      <c r="E119" s="68"/>
      <c r="F119" s="70" t="s">
        <v>16</v>
      </c>
      <c r="G119" s="71">
        <f>'Pav-Terrapl'!R27</f>
        <v>4236.9000000000005</v>
      </c>
      <c r="H119" s="226">
        <v>1.42</v>
      </c>
      <c r="I119" s="71">
        <f>TRUNC((H119*$L$6),2)</f>
        <v>0.34</v>
      </c>
      <c r="J119" s="71">
        <f t="shared" si="44"/>
        <v>1.76</v>
      </c>
      <c r="K119" s="71">
        <f t="shared" si="45"/>
        <v>7456.94</v>
      </c>
      <c r="L119" s="72">
        <f ca="1">K119/$K$222</f>
        <v>1.674526220633949E-3</v>
      </c>
    </row>
    <row r="120" spans="2:12" ht="12.95" customHeight="1" x14ac:dyDescent="0.2">
      <c r="B120" s="70"/>
      <c r="C120" s="223"/>
      <c r="D120" s="69"/>
      <c r="E120" s="306"/>
      <c r="F120" s="70"/>
      <c r="G120" s="71"/>
      <c r="H120" s="71"/>
      <c r="I120" s="71"/>
      <c r="J120" s="71"/>
      <c r="K120" s="71"/>
      <c r="L120" s="72"/>
    </row>
    <row r="121" spans="2:12" ht="12.95" customHeight="1" x14ac:dyDescent="0.2">
      <c r="B121" s="70"/>
      <c r="C121" s="306"/>
      <c r="D121" s="96" t="s">
        <v>755</v>
      </c>
      <c r="E121" s="306"/>
      <c r="F121" s="70"/>
      <c r="G121" s="71"/>
      <c r="H121" s="71"/>
      <c r="I121" s="71"/>
      <c r="J121" s="71"/>
      <c r="K121" s="71"/>
      <c r="L121" s="72"/>
    </row>
    <row r="122" spans="2:12" s="210" customFormat="1" ht="26.1" customHeight="1" x14ac:dyDescent="0.2">
      <c r="B122" s="70">
        <v>101114</v>
      </c>
      <c r="C122" s="223" t="s">
        <v>769</v>
      </c>
      <c r="D122" s="69" t="s">
        <v>323</v>
      </c>
      <c r="E122" s="306"/>
      <c r="F122" s="70" t="s">
        <v>16</v>
      </c>
      <c r="G122" s="71">
        <f>'Pav-Terrapl'!R29</f>
        <v>1568.65</v>
      </c>
      <c r="H122" s="226">
        <v>4.55</v>
      </c>
      <c r="I122" s="71">
        <f>TRUNC((H122*$L$6),2)</f>
        <v>1.0900000000000001</v>
      </c>
      <c r="J122" s="71">
        <f t="shared" ref="J122:J125" si="46">H122+I122</f>
        <v>5.64</v>
      </c>
      <c r="K122" s="71">
        <f t="shared" ref="K122:K125" si="47">TRUNC((G122*J122),2)</f>
        <v>8847.18</v>
      </c>
      <c r="L122" s="72">
        <f ca="1">K122/$K$222</f>
        <v>1.9867177272002005E-3</v>
      </c>
    </row>
    <row r="123" spans="2:12" ht="26.1" customHeight="1" x14ac:dyDescent="0.2">
      <c r="B123" s="67">
        <v>100978</v>
      </c>
      <c r="C123" s="223" t="s">
        <v>770</v>
      </c>
      <c r="D123" s="69" t="s">
        <v>318</v>
      </c>
      <c r="E123" s="306"/>
      <c r="F123" s="70" t="s">
        <v>16</v>
      </c>
      <c r="G123" s="71">
        <f>'Pav-Terrapl'!R30</f>
        <v>1568.65</v>
      </c>
      <c r="H123" s="71">
        <v>7.03</v>
      </c>
      <c r="I123" s="71">
        <f>TRUNC((H123*$L$6),2)</f>
        <v>1.68</v>
      </c>
      <c r="J123" s="71">
        <f t="shared" si="46"/>
        <v>8.7100000000000009</v>
      </c>
      <c r="K123" s="71">
        <f t="shared" si="47"/>
        <v>13662.94</v>
      </c>
      <c r="L123" s="72">
        <f ca="1">K123/$K$222</f>
        <v>3.0681420637618663E-3</v>
      </c>
    </row>
    <row r="124" spans="2:12" ht="26.1" customHeight="1" x14ac:dyDescent="0.2">
      <c r="B124" s="70">
        <v>95875</v>
      </c>
      <c r="C124" s="223" t="s">
        <v>771</v>
      </c>
      <c r="D124" s="69" t="s">
        <v>768</v>
      </c>
      <c r="E124" s="306">
        <f>'Pav-Terrapl'!$E$31</f>
        <v>1</v>
      </c>
      <c r="F124" s="70" t="s">
        <v>17</v>
      </c>
      <c r="G124" s="71">
        <f>'Pav-Terrapl'!R31</f>
        <v>1568.65</v>
      </c>
      <c r="H124" s="71">
        <v>2.5</v>
      </c>
      <c r="I124" s="71">
        <f>TRUNC((H124*$L$6),2)</f>
        <v>0.6</v>
      </c>
      <c r="J124" s="71">
        <f t="shared" si="46"/>
        <v>3.1</v>
      </c>
      <c r="K124" s="71">
        <f t="shared" si="47"/>
        <v>4862.8100000000004</v>
      </c>
      <c r="L124" s="72">
        <f ca="1">K124/$K$222</f>
        <v>1.0919898578989472E-3</v>
      </c>
    </row>
    <row r="125" spans="2:12" ht="12.95" customHeight="1" x14ac:dyDescent="0.2">
      <c r="B125" s="70">
        <v>100574</v>
      </c>
      <c r="C125" s="223" t="s">
        <v>772</v>
      </c>
      <c r="D125" s="69" t="s">
        <v>306</v>
      </c>
      <c r="E125" s="306"/>
      <c r="F125" s="70" t="s">
        <v>16</v>
      </c>
      <c r="G125" s="71">
        <f>'Pav-Terrapl'!R32</f>
        <v>1568.65</v>
      </c>
      <c r="H125" s="71">
        <v>1.42</v>
      </c>
      <c r="I125" s="71">
        <f>TRUNC((H125*$L$6),2)</f>
        <v>0.34</v>
      </c>
      <c r="J125" s="71">
        <f t="shared" si="46"/>
        <v>1.76</v>
      </c>
      <c r="K125" s="71">
        <f t="shared" si="47"/>
        <v>2760.82</v>
      </c>
      <c r="L125" s="72">
        <f ca="1">K125/$K$222</f>
        <v>6.1996817467360873E-4</v>
      </c>
    </row>
    <row r="126" spans="2:12" ht="26.1" customHeight="1" x14ac:dyDescent="0.2">
      <c r="B126" s="70">
        <v>96385</v>
      </c>
      <c r="C126" s="223" t="s">
        <v>773</v>
      </c>
      <c r="D126" s="69" t="s">
        <v>42</v>
      </c>
      <c r="E126" s="68"/>
      <c r="F126" s="70" t="s">
        <v>16</v>
      </c>
      <c r="G126" s="71">
        <f>'Pav-Terrapl'!R33</f>
        <v>1206.68</v>
      </c>
      <c r="H126" s="71">
        <v>12.71</v>
      </c>
      <c r="I126" s="71">
        <f>TRUNC((H126*$L$6),2)</f>
        <v>3.05</v>
      </c>
      <c r="J126" s="71">
        <f t="shared" ref="J126" si="48">H126+I126</f>
        <v>15.760000000000002</v>
      </c>
      <c r="K126" s="71">
        <f t="shared" ref="K126" si="49">TRUNC((G126*J126),2)</f>
        <v>19017.27</v>
      </c>
      <c r="L126" s="72">
        <f ca="1">K126/$K$222</f>
        <v>4.2705073743218242E-3</v>
      </c>
    </row>
    <row r="127" spans="2:12" ht="12.95" customHeight="1" x14ac:dyDescent="0.2">
      <c r="B127" s="97"/>
      <c r="C127" s="272"/>
      <c r="D127" s="98"/>
      <c r="E127" s="272"/>
      <c r="F127" s="76"/>
      <c r="G127" s="77"/>
      <c r="H127" s="77"/>
      <c r="I127" s="77"/>
      <c r="J127" s="77"/>
      <c r="K127" s="77"/>
      <c r="L127" s="99"/>
    </row>
    <row r="128" spans="2:12" s="64" customFormat="1" ht="15" customHeight="1" x14ac:dyDescent="0.2">
      <c r="B128" s="234"/>
      <c r="C128" s="86"/>
      <c r="D128" s="86"/>
      <c r="E128" s="392" t="str">
        <f>CONCATENATE("SUBTOTAL ",C113)</f>
        <v>SUBTOTAL 06</v>
      </c>
      <c r="F128" s="392"/>
      <c r="G128" s="392"/>
      <c r="H128" s="205"/>
      <c r="I128" s="391"/>
      <c r="J128" s="391"/>
      <c r="K128" s="206">
        <f>SUM(K113:K127)</f>
        <v>165404.97</v>
      </c>
      <c r="L128" s="88">
        <f ca="1">SUM(L113:L127)</f>
        <v>3.7143246330018975E-2</v>
      </c>
    </row>
    <row r="129" spans="2:12" ht="5.0999999999999996" customHeight="1" x14ac:dyDescent="0.2"/>
    <row r="130" spans="2:12" s="64" customFormat="1" ht="15" customHeight="1" x14ac:dyDescent="0.2">
      <c r="B130" s="89"/>
      <c r="C130" s="227" t="s">
        <v>505</v>
      </c>
      <c r="D130" s="90" t="s">
        <v>730</v>
      </c>
      <c r="E130" s="91"/>
      <c r="F130" s="91"/>
      <c r="G130" s="91"/>
      <c r="H130" s="91"/>
      <c r="I130" s="91"/>
      <c r="J130" s="91"/>
      <c r="K130" s="91"/>
      <c r="L130" s="92"/>
    </row>
    <row r="131" spans="2:12" ht="12.95" customHeight="1" x14ac:dyDescent="0.2">
      <c r="B131" s="70"/>
      <c r="C131" s="271"/>
      <c r="D131" s="74"/>
      <c r="E131" s="271"/>
      <c r="F131" s="70"/>
      <c r="G131" s="71"/>
      <c r="H131" s="71"/>
      <c r="I131" s="71"/>
      <c r="J131" s="71"/>
      <c r="K131" s="71"/>
      <c r="L131" s="72"/>
    </row>
    <row r="132" spans="2:12" ht="12.95" customHeight="1" x14ac:dyDescent="0.2">
      <c r="B132" s="70"/>
      <c r="C132" s="68"/>
      <c r="D132" s="96" t="s">
        <v>32</v>
      </c>
      <c r="E132" s="68"/>
      <c r="F132" s="70"/>
      <c r="G132" s="71"/>
      <c r="H132" s="71"/>
      <c r="I132" s="71"/>
      <c r="J132" s="71"/>
      <c r="K132" s="71"/>
      <c r="L132" s="72"/>
    </row>
    <row r="133" spans="2:12" ht="12.95" customHeight="1" x14ac:dyDescent="0.2">
      <c r="B133" s="70">
        <v>100576</v>
      </c>
      <c r="C133" s="223" t="s">
        <v>560</v>
      </c>
      <c r="D133" s="69" t="s">
        <v>353</v>
      </c>
      <c r="E133" s="68"/>
      <c r="F133" s="70" t="s">
        <v>13</v>
      </c>
      <c r="G133" s="71">
        <f>'Pav-Pavimento'!S21</f>
        <v>19470.63</v>
      </c>
      <c r="H133" s="71">
        <v>2.92</v>
      </c>
      <c r="I133" s="71">
        <f>TRUNC((H133*$L$6),2)</f>
        <v>0.7</v>
      </c>
      <c r="J133" s="71">
        <f t="shared" ref="J133" si="50">H133+I133</f>
        <v>3.62</v>
      </c>
      <c r="K133" s="71">
        <f t="shared" ref="K133" si="51">TRUNC((G133*J133),2)</f>
        <v>70483.679999999993</v>
      </c>
      <c r="L133" s="72">
        <f ca="1">K133/$K$222</f>
        <v>1.5827775238472168E-2</v>
      </c>
    </row>
    <row r="134" spans="2:12" ht="12.95" customHeight="1" x14ac:dyDescent="0.2">
      <c r="B134" s="70"/>
      <c r="C134" s="68"/>
      <c r="D134" s="74"/>
      <c r="E134" s="68"/>
      <c r="F134" s="73"/>
      <c r="G134" s="71"/>
      <c r="H134" s="202"/>
      <c r="I134" s="71"/>
      <c r="J134" s="71"/>
      <c r="K134" s="71"/>
      <c r="L134" s="72"/>
    </row>
    <row r="135" spans="2:12" ht="12.95" customHeight="1" x14ac:dyDescent="0.2">
      <c r="B135" s="70"/>
      <c r="C135" s="68"/>
      <c r="D135" s="96" t="s">
        <v>33</v>
      </c>
      <c r="E135" s="68"/>
      <c r="F135" s="70"/>
      <c r="G135" s="71"/>
      <c r="H135" s="202"/>
      <c r="I135" s="71"/>
      <c r="J135" s="71"/>
      <c r="K135" s="71"/>
      <c r="L135" s="72"/>
    </row>
    <row r="136" spans="2:12" ht="39" customHeight="1" x14ac:dyDescent="0.2">
      <c r="B136" s="70">
        <v>96388</v>
      </c>
      <c r="C136" s="223" t="s">
        <v>561</v>
      </c>
      <c r="D136" s="69" t="s">
        <v>343</v>
      </c>
      <c r="E136" s="68"/>
      <c r="F136" s="70" t="s">
        <v>16</v>
      </c>
      <c r="G136" s="71">
        <f>'Pav-Pavimento'!S26</f>
        <v>2882.7400000000002</v>
      </c>
      <c r="H136" s="71">
        <v>9.24</v>
      </c>
      <c r="I136" s="71">
        <f>TRUNC((H136*$L$6),2)</f>
        <v>2.2200000000000002</v>
      </c>
      <c r="J136" s="71">
        <f t="shared" ref="J136" si="52">H136+I136</f>
        <v>11.46</v>
      </c>
      <c r="K136" s="71">
        <f t="shared" ref="K136" si="53">TRUNC((G136*J136),2)</f>
        <v>33036.199999999997</v>
      </c>
      <c r="L136" s="72">
        <f ca="1">K136/$K$222</f>
        <v>7.4185903507480635E-3</v>
      </c>
    </row>
    <row r="137" spans="2:12" ht="12.95" customHeight="1" x14ac:dyDescent="0.2">
      <c r="B137" s="70"/>
      <c r="C137" s="68"/>
      <c r="D137" s="74"/>
      <c r="E137" s="68"/>
      <c r="F137" s="73"/>
      <c r="G137" s="71"/>
      <c r="H137" s="202"/>
      <c r="I137" s="71"/>
      <c r="J137" s="71"/>
      <c r="K137" s="71"/>
      <c r="L137" s="72"/>
    </row>
    <row r="138" spans="2:12" ht="12.95" customHeight="1" x14ac:dyDescent="0.2">
      <c r="B138" s="70"/>
      <c r="C138" s="68"/>
      <c r="D138" s="96" t="s">
        <v>180</v>
      </c>
      <c r="E138" s="68"/>
      <c r="F138" s="70"/>
      <c r="G138" s="71"/>
      <c r="H138" s="202"/>
      <c r="I138" s="71"/>
      <c r="J138" s="71"/>
      <c r="K138" s="71"/>
      <c r="L138" s="72"/>
    </row>
    <row r="139" spans="2:12" ht="26.1" customHeight="1" x14ac:dyDescent="0.2">
      <c r="B139" s="70">
        <v>101114</v>
      </c>
      <c r="C139" s="223" t="s">
        <v>562</v>
      </c>
      <c r="D139" s="69" t="s">
        <v>323</v>
      </c>
      <c r="E139" s="68"/>
      <c r="F139" s="70" t="s">
        <v>16</v>
      </c>
      <c r="G139" s="71">
        <f>'Pav-Pavimento'!S27</f>
        <v>3747.51</v>
      </c>
      <c r="H139" s="71">
        <v>4.55</v>
      </c>
      <c r="I139" s="71">
        <f>TRUNC((H139*$L$6),2)</f>
        <v>1.0900000000000001</v>
      </c>
      <c r="J139" s="71">
        <f t="shared" ref="J139" si="54">H139+I139</f>
        <v>5.64</v>
      </c>
      <c r="K139" s="71">
        <f t="shared" ref="K139" si="55">TRUNC((G139*J139),2)</f>
        <v>21135.95</v>
      </c>
      <c r="L139" s="72">
        <f ca="1">K139/$K$222</f>
        <v>4.7462769544891229E-3</v>
      </c>
    </row>
    <row r="140" spans="2:12" ht="12.95" customHeight="1" x14ac:dyDescent="0.2">
      <c r="B140" s="70"/>
      <c r="C140" s="68"/>
      <c r="D140" s="74"/>
      <c r="E140" s="68"/>
      <c r="F140" s="73"/>
      <c r="G140" s="71"/>
      <c r="H140" s="202"/>
      <c r="I140" s="71"/>
      <c r="J140" s="71"/>
      <c r="K140" s="71"/>
      <c r="L140" s="72"/>
    </row>
    <row r="141" spans="2:12" ht="12.95" customHeight="1" x14ac:dyDescent="0.2">
      <c r="B141" s="70"/>
      <c r="C141" s="68"/>
      <c r="D141" s="96" t="s">
        <v>179</v>
      </c>
      <c r="E141" s="68"/>
      <c r="F141" s="70"/>
      <c r="G141" s="71"/>
      <c r="H141" s="202"/>
      <c r="I141" s="71"/>
      <c r="J141" s="71"/>
      <c r="K141" s="71"/>
      <c r="L141" s="72"/>
    </row>
    <row r="142" spans="2:12" ht="26.1" customHeight="1" x14ac:dyDescent="0.2">
      <c r="B142" s="67" t="s">
        <v>545</v>
      </c>
      <c r="C142" s="223" t="s">
        <v>563</v>
      </c>
      <c r="D142" s="69" t="s">
        <v>215</v>
      </c>
      <c r="E142" s="68"/>
      <c r="F142" s="70" t="s">
        <v>16</v>
      </c>
      <c r="G142" s="71">
        <f>'Pav-Pavimento'!S28</f>
        <v>3747.51</v>
      </c>
      <c r="H142" s="71">
        <v>70</v>
      </c>
      <c r="I142" s="71">
        <f>TRUNC((H142*$L$6),2)</f>
        <v>16.82</v>
      </c>
      <c r="J142" s="71">
        <f t="shared" ref="J142" si="56">H142+I142</f>
        <v>86.82</v>
      </c>
      <c r="K142" s="71">
        <f t="shared" ref="K142" si="57">TRUNC((G142*J142),2)</f>
        <v>325358.81</v>
      </c>
      <c r="L142" s="72">
        <f ca="1">K142/$K$222</f>
        <v>7.3062389996333493E-2</v>
      </c>
    </row>
    <row r="143" spans="2:12" ht="12.95" customHeight="1" x14ac:dyDescent="0.2">
      <c r="B143" s="70"/>
      <c r="C143" s="68"/>
      <c r="D143" s="74"/>
      <c r="E143" s="68"/>
      <c r="F143" s="73"/>
      <c r="G143" s="71"/>
      <c r="H143" s="202"/>
      <c r="I143" s="71"/>
      <c r="J143" s="71"/>
      <c r="K143" s="71"/>
      <c r="L143" s="72"/>
    </row>
    <row r="144" spans="2:12" ht="12.95" customHeight="1" x14ac:dyDescent="0.2">
      <c r="B144" s="70"/>
      <c r="C144" s="68"/>
      <c r="D144" s="96" t="s">
        <v>181</v>
      </c>
      <c r="E144" s="68"/>
      <c r="F144" s="70"/>
      <c r="G144" s="71"/>
      <c r="H144" s="202"/>
      <c r="I144" s="71"/>
      <c r="J144" s="71"/>
      <c r="K144" s="71"/>
      <c r="L144" s="72"/>
    </row>
    <row r="145" spans="2:15" ht="26.1" customHeight="1" x14ac:dyDescent="0.2">
      <c r="B145" s="70">
        <v>95875</v>
      </c>
      <c r="C145" s="223" t="s">
        <v>564</v>
      </c>
      <c r="D145" s="69" t="s">
        <v>355</v>
      </c>
      <c r="E145" s="68">
        <f>'Pav-Pavimento'!$F$29</f>
        <v>30</v>
      </c>
      <c r="F145" s="70" t="s">
        <v>17</v>
      </c>
      <c r="G145" s="71">
        <f>'Pav-Pavimento'!S29</f>
        <v>112425.3</v>
      </c>
      <c r="H145" s="71">
        <v>2.5</v>
      </c>
      <c r="I145" s="71">
        <f>TRUNC((H145*$L$6),2)</f>
        <v>0.6</v>
      </c>
      <c r="J145" s="71">
        <f t="shared" ref="J145:J146" si="58">H145+I145</f>
        <v>3.1</v>
      </c>
      <c r="K145" s="71">
        <f t="shared" ref="K145:K146" si="59">TRUNC((G145*J145),2)</f>
        <v>348518.43</v>
      </c>
      <c r="L145" s="72">
        <f ca="1">K145/$K$222</f>
        <v>7.8263101139231045E-2</v>
      </c>
    </row>
    <row r="146" spans="2:15" ht="26.1" customHeight="1" x14ac:dyDescent="0.2">
      <c r="B146" s="70">
        <v>93590</v>
      </c>
      <c r="C146" s="223" t="s">
        <v>731</v>
      </c>
      <c r="D146" s="69" t="s">
        <v>356</v>
      </c>
      <c r="E146" s="68">
        <f>'Pav-Pavimento'!$F$30</f>
        <v>25</v>
      </c>
      <c r="F146" s="70" t="s">
        <v>17</v>
      </c>
      <c r="G146" s="71">
        <f>'Pav-Pavimento'!S30</f>
        <v>93687.75</v>
      </c>
      <c r="H146" s="71">
        <v>0.99</v>
      </c>
      <c r="I146" s="71">
        <f>TRUNC((H146*$L$6),2)</f>
        <v>0.23</v>
      </c>
      <c r="J146" s="71">
        <f t="shared" si="58"/>
        <v>1.22</v>
      </c>
      <c r="K146" s="71">
        <f t="shared" si="59"/>
        <v>114299.05</v>
      </c>
      <c r="L146" s="72">
        <f ca="1">K146/$K$222</f>
        <v>2.5666929895982907E-2</v>
      </c>
    </row>
    <row r="147" spans="2:15" ht="12.95" customHeight="1" x14ac:dyDescent="0.2">
      <c r="B147" s="70"/>
      <c r="C147" s="223"/>
      <c r="D147" s="74"/>
      <c r="E147" s="68"/>
      <c r="F147" s="73"/>
      <c r="G147" s="71"/>
      <c r="H147" s="202"/>
      <c r="I147" s="71"/>
      <c r="J147" s="71"/>
      <c r="K147" s="71"/>
      <c r="L147" s="72"/>
    </row>
    <row r="148" spans="2:15" ht="12.95" customHeight="1" x14ac:dyDescent="0.2">
      <c r="B148" s="70"/>
      <c r="C148" s="68"/>
      <c r="D148" s="96" t="s">
        <v>57</v>
      </c>
      <c r="E148" s="68"/>
      <c r="F148" s="70"/>
      <c r="G148" s="71"/>
      <c r="H148" s="202"/>
      <c r="I148" s="71"/>
      <c r="J148" s="71"/>
      <c r="K148" s="71"/>
      <c r="L148" s="72"/>
    </row>
    <row r="149" spans="2:15" ht="26.1" customHeight="1" x14ac:dyDescent="0.2">
      <c r="B149" s="289" t="str">
        <f>'EEA-IM-01 - Comp. Imprimação'!$B$11</f>
        <v>EEA-IM-01</v>
      </c>
      <c r="C149" s="223" t="s">
        <v>732</v>
      </c>
      <c r="D149" s="69" t="str">
        <f>'EEA-IM-01 - Comp. Imprimação'!$C$11</f>
        <v>Execução de imprimação com emulsão asfáltica a base d'água, exclusive material betuminoso</v>
      </c>
      <c r="E149" s="221"/>
      <c r="F149" s="70" t="str">
        <f>'EEA-IM-01 - Comp. Imprimação'!$G$11</f>
        <v>m²</v>
      </c>
      <c r="G149" s="71">
        <f>'Pav-Pavimento'!S32</f>
        <v>16848.990000000002</v>
      </c>
      <c r="H149" s="71">
        <f>'EEA-IM-01 - Comp. Imprimação'!$I$43</f>
        <v>0.64</v>
      </c>
      <c r="I149" s="71">
        <f>TRUNC((H149*$L$6),2)</f>
        <v>0.15</v>
      </c>
      <c r="J149" s="71">
        <f t="shared" ref="J149:J152" si="60">H149+I149</f>
        <v>0.79</v>
      </c>
      <c r="K149" s="71">
        <f t="shared" ref="K149:K152" si="61">TRUNC((G149*J149),2)</f>
        <v>13310.7</v>
      </c>
      <c r="L149" s="72">
        <f ca="1">K149/$K$222</f>
        <v>2.989043248972408E-3</v>
      </c>
      <c r="N149" s="349" t="s">
        <v>860</v>
      </c>
      <c r="O149" s="312">
        <v>0.64</v>
      </c>
    </row>
    <row r="150" spans="2:15" ht="26.1" customHeight="1" x14ac:dyDescent="0.25">
      <c r="B150" s="67" t="s">
        <v>548</v>
      </c>
      <c r="C150" s="223" t="s">
        <v>733</v>
      </c>
      <c r="D150" s="69" t="s">
        <v>455</v>
      </c>
      <c r="E150" s="221"/>
      <c r="F150" s="70" t="s">
        <v>465</v>
      </c>
      <c r="G150" s="71">
        <f>'Pav-Pavimento'!S34</f>
        <v>20.170000000000002</v>
      </c>
      <c r="H150" s="71">
        <v>3790</v>
      </c>
      <c r="I150" s="71">
        <f>TRUNC((H150*$L$6),2)</f>
        <v>910.73</v>
      </c>
      <c r="J150" s="71">
        <f t="shared" si="60"/>
        <v>4700.7299999999996</v>
      </c>
      <c r="K150" s="71">
        <f t="shared" si="61"/>
        <v>94813.72</v>
      </c>
      <c r="L150" s="72">
        <f ca="1">K150/$K$222</f>
        <v>2.1291315233305547E-2</v>
      </c>
      <c r="N150"/>
    </row>
    <row r="151" spans="2:15" ht="26.1" customHeight="1" x14ac:dyDescent="0.25">
      <c r="B151" s="70">
        <v>102330</v>
      </c>
      <c r="C151" s="223" t="s">
        <v>734</v>
      </c>
      <c r="D151" s="69" t="s">
        <v>546</v>
      </c>
      <c r="E151" s="68">
        <f>'Pav-Pavimento'!$F$35</f>
        <v>30</v>
      </c>
      <c r="F151" s="70" t="s">
        <v>28</v>
      </c>
      <c r="G151" s="71">
        <f>'Pav-Pavimento'!S35</f>
        <v>605.09999999999991</v>
      </c>
      <c r="H151" s="71">
        <v>1.41</v>
      </c>
      <c r="I151" s="71">
        <f>TRUNC((H151*$L$6),2)</f>
        <v>0.33</v>
      </c>
      <c r="J151" s="71">
        <f t="shared" si="60"/>
        <v>1.74</v>
      </c>
      <c r="K151" s="71">
        <f t="shared" si="61"/>
        <v>1052.8699999999999</v>
      </c>
      <c r="L151" s="72">
        <f ca="1">K151/$K$222</f>
        <v>2.3643189055012724E-4</v>
      </c>
      <c r="N151"/>
    </row>
    <row r="152" spans="2:15" ht="26.1" customHeight="1" x14ac:dyDescent="0.25">
      <c r="B152" s="70">
        <v>102331</v>
      </c>
      <c r="C152" s="223" t="s">
        <v>774</v>
      </c>
      <c r="D152" s="69" t="s">
        <v>547</v>
      </c>
      <c r="E152" s="68">
        <f>'Pav-Pavimento'!$F$36</f>
        <v>210</v>
      </c>
      <c r="F152" s="70" t="s">
        <v>28</v>
      </c>
      <c r="G152" s="71">
        <f>'Pav-Pavimento'!S36</f>
        <v>4235.7000000000007</v>
      </c>
      <c r="H152" s="71">
        <v>0.55000000000000004</v>
      </c>
      <c r="I152" s="71">
        <f>TRUNC((H152*$L$6),2)</f>
        <v>0.13</v>
      </c>
      <c r="J152" s="71">
        <f t="shared" si="60"/>
        <v>0.68</v>
      </c>
      <c r="K152" s="71">
        <f t="shared" si="61"/>
        <v>2880.27</v>
      </c>
      <c r="L152" s="72">
        <f ca="1">K152/$K$222</f>
        <v>6.4679179898260476E-4</v>
      </c>
      <c r="N152"/>
    </row>
    <row r="153" spans="2:15" ht="12.95" customHeight="1" x14ac:dyDescent="0.25">
      <c r="B153" s="70"/>
      <c r="C153" s="223"/>
      <c r="D153" s="74"/>
      <c r="E153" s="68"/>
      <c r="F153" s="73"/>
      <c r="G153" s="71"/>
      <c r="H153" s="202"/>
      <c r="I153" s="71"/>
      <c r="J153" s="71"/>
      <c r="K153" s="71"/>
      <c r="L153" s="72"/>
      <c r="N153"/>
    </row>
    <row r="154" spans="2:15" ht="12.95" customHeight="1" x14ac:dyDescent="0.2">
      <c r="B154" s="70"/>
      <c r="C154" s="68"/>
      <c r="D154" s="96" t="s">
        <v>58</v>
      </c>
      <c r="E154" s="68"/>
      <c r="F154" s="70"/>
      <c r="G154" s="71"/>
      <c r="H154" s="202"/>
      <c r="I154" s="71"/>
      <c r="J154" s="71"/>
      <c r="K154" s="71"/>
      <c r="L154" s="72"/>
    </row>
    <row r="155" spans="2:15" ht="26.1" customHeight="1" x14ac:dyDescent="0.2">
      <c r="B155" s="67" t="s">
        <v>466</v>
      </c>
      <c r="C155" s="223" t="s">
        <v>775</v>
      </c>
      <c r="D155" s="69" t="s">
        <v>471</v>
      </c>
      <c r="E155" s="68"/>
      <c r="F155" s="70" t="s">
        <v>465</v>
      </c>
      <c r="G155" s="71">
        <f>'Pav-Pavimento'!S40</f>
        <v>1291.33</v>
      </c>
      <c r="H155" s="71">
        <v>643.5</v>
      </c>
      <c r="I155" s="71">
        <f>TRUNC((H155*$L$6),2)</f>
        <v>154.63</v>
      </c>
      <c r="J155" s="71">
        <f t="shared" ref="J155:J156" si="62">H155+I155</f>
        <v>798.13</v>
      </c>
      <c r="K155" s="71">
        <f t="shared" ref="K155:K158" si="63">TRUNC((G155*J155),2)</f>
        <v>1030649.21</v>
      </c>
      <c r="L155" s="72">
        <f ca="1">K155/$K$222</f>
        <v>0.23144200254000505</v>
      </c>
    </row>
    <row r="156" spans="2:15" ht="26.1" customHeight="1" x14ac:dyDescent="0.2">
      <c r="B156" s="289" t="str">
        <f>'EEA-AP-01 - Comp. Aplic. CBUQ'!$B$11</f>
        <v>EEA-AP-01</v>
      </c>
      <c r="C156" s="223" t="s">
        <v>776</v>
      </c>
      <c r="D156" s="69" t="str">
        <f>'EEA-AP-01 - Comp. Aplic. CBUQ'!$C$11</f>
        <v>Aplicação de concreto betuminoso usinado à quente (CBUQ), exclusive transporte e material</v>
      </c>
      <c r="E156" s="68"/>
      <c r="F156" s="70" t="str">
        <f>'EEA-AP-01 - Comp. Aplic. CBUQ'!$G$11</f>
        <v>t</v>
      </c>
      <c r="G156" s="71">
        <f>'Pav-Pavimento'!S41</f>
        <v>1291.33</v>
      </c>
      <c r="H156" s="71">
        <f>'EEA-AP-01 - Comp. Aplic. CBUQ'!$I$45</f>
        <v>48.95</v>
      </c>
      <c r="I156" s="71">
        <f>TRUNC((H156*$L$6),2)</f>
        <v>11.76</v>
      </c>
      <c r="J156" s="71">
        <f t="shared" si="62"/>
        <v>60.71</v>
      </c>
      <c r="K156" s="71">
        <f t="shared" si="63"/>
        <v>78396.639999999999</v>
      </c>
      <c r="L156" s="72">
        <f ca="1">K156/$K$222</f>
        <v>1.7604705051884592E-2</v>
      </c>
      <c r="N156" s="349" t="s">
        <v>861</v>
      </c>
      <c r="O156" s="312">
        <v>48.95</v>
      </c>
    </row>
    <row r="157" spans="2:15" ht="26.1" customHeight="1" x14ac:dyDescent="0.2">
      <c r="B157" s="70">
        <v>95878</v>
      </c>
      <c r="C157" s="223" t="s">
        <v>777</v>
      </c>
      <c r="D157" s="69" t="s">
        <v>342</v>
      </c>
      <c r="E157" s="68">
        <f>'Pav-Pavimento'!$F$42</f>
        <v>5.9</v>
      </c>
      <c r="F157" s="70" t="s">
        <v>28</v>
      </c>
      <c r="G157" s="71">
        <f>'Pav-Pavimento'!S42</f>
        <v>7618.79</v>
      </c>
      <c r="H157" s="71">
        <v>1.68</v>
      </c>
      <c r="I157" s="71">
        <f>TRUNC((H157*$L$6),2)</f>
        <v>0.4</v>
      </c>
      <c r="J157" s="71">
        <f>H157+I157</f>
        <v>2.08</v>
      </c>
      <c r="K157" s="71">
        <f t="shared" si="63"/>
        <v>15847.08</v>
      </c>
      <c r="L157" s="72">
        <f ca="1">K157/$K$222</f>
        <v>3.5586113044337011E-3</v>
      </c>
    </row>
    <row r="158" spans="2:15" ht="26.1" customHeight="1" x14ac:dyDescent="0.2">
      <c r="B158" s="70">
        <v>93596</v>
      </c>
      <c r="C158" s="223" t="s">
        <v>778</v>
      </c>
      <c r="D158" s="69" t="s">
        <v>354</v>
      </c>
      <c r="E158" s="68">
        <f>'Pav-Pavimento'!$F$43</f>
        <v>0</v>
      </c>
      <c r="F158" s="70" t="s">
        <v>28</v>
      </c>
      <c r="G158" s="71">
        <f>'Pav-Pavimento'!S43</f>
        <v>0</v>
      </c>
      <c r="H158" s="71">
        <v>0.66</v>
      </c>
      <c r="I158" s="71">
        <f>TRUNC((H158*$L$6),2)</f>
        <v>0.15</v>
      </c>
      <c r="J158" s="71">
        <f>H158+I158</f>
        <v>0.81</v>
      </c>
      <c r="K158" s="71">
        <f t="shared" si="63"/>
        <v>0</v>
      </c>
      <c r="L158" s="72">
        <f ca="1">K158/$K$222</f>
        <v>0</v>
      </c>
    </row>
    <row r="159" spans="2:15" ht="12.95" customHeight="1" x14ac:dyDescent="0.2">
      <c r="B159" s="97"/>
      <c r="C159" s="75"/>
      <c r="D159" s="98"/>
      <c r="E159" s="75"/>
      <c r="F159" s="76"/>
      <c r="G159" s="77"/>
      <c r="H159" s="203"/>
      <c r="I159" s="77"/>
      <c r="J159" s="77"/>
      <c r="K159" s="77"/>
      <c r="L159" s="99"/>
    </row>
    <row r="160" spans="2:15" s="64" customFormat="1" ht="15" customHeight="1" x14ac:dyDescent="0.2">
      <c r="B160" s="234"/>
      <c r="C160" s="86"/>
      <c r="D160" s="86"/>
      <c r="E160" s="392" t="str">
        <f>CONCATENATE("SUBTOTAL ",C130)</f>
        <v>SUBTOTAL 07</v>
      </c>
      <c r="F160" s="392"/>
      <c r="G160" s="392"/>
      <c r="H160" s="205"/>
      <c r="I160" s="391"/>
      <c r="J160" s="391"/>
      <c r="K160" s="206">
        <f>SUM(K130:K159)</f>
        <v>2149782.6100000003</v>
      </c>
      <c r="L160" s="88">
        <f ca="1">SUM(L130:L159)</f>
        <v>0.48275396464339082</v>
      </c>
    </row>
    <row r="161" spans="2:15" ht="5.0999999999999996" customHeight="1" x14ac:dyDescent="0.2"/>
    <row r="162" spans="2:15" s="64" customFormat="1" ht="15" customHeight="1" x14ac:dyDescent="0.2">
      <c r="B162" s="89"/>
      <c r="C162" s="227" t="s">
        <v>506</v>
      </c>
      <c r="D162" s="90" t="s">
        <v>36</v>
      </c>
      <c r="E162" s="91"/>
      <c r="F162" s="91"/>
      <c r="G162" s="91"/>
      <c r="H162" s="91"/>
      <c r="I162" s="91"/>
      <c r="J162" s="91"/>
      <c r="K162" s="91"/>
      <c r="L162" s="92"/>
    </row>
    <row r="163" spans="2:15" ht="12.95" customHeight="1" x14ac:dyDescent="0.2">
      <c r="B163" s="93"/>
      <c r="C163" s="94"/>
      <c r="D163" s="65"/>
      <c r="E163" s="94"/>
      <c r="F163" s="93"/>
      <c r="G163" s="66"/>
      <c r="H163" s="66"/>
      <c r="I163" s="66"/>
      <c r="J163" s="66"/>
      <c r="K163" s="66"/>
      <c r="L163" s="95"/>
    </row>
    <row r="164" spans="2:15" ht="12.95" customHeight="1" x14ac:dyDescent="0.2">
      <c r="B164" s="70"/>
      <c r="C164" s="68"/>
      <c r="D164" s="96" t="s">
        <v>43</v>
      </c>
      <c r="E164" s="68"/>
      <c r="F164" s="70"/>
      <c r="G164" s="71"/>
      <c r="H164" s="71"/>
      <c r="I164" s="71"/>
      <c r="J164" s="71"/>
      <c r="K164" s="71"/>
      <c r="L164" s="72"/>
    </row>
    <row r="165" spans="2:15" ht="26.1" customHeight="1" x14ac:dyDescent="0.2">
      <c r="B165" s="289" t="str">
        <f>'EEA-SC-01 - Comp. MF com Sarj'!$B$11</f>
        <v>EEA-SC-01</v>
      </c>
      <c r="C165" s="223" t="s">
        <v>551</v>
      </c>
      <c r="D165" s="69" t="str">
        <f>'EEA-SC-01 - Comp. MF com Sarj'!$C$11</f>
        <v>Meio fio com sarjeta, concreto fck = 20MPa, seção 615cm², moldado no local, inclusive escavação e pintura a cal em uma demão</v>
      </c>
      <c r="E165" s="68"/>
      <c r="F165" s="73" t="str">
        <f>'EEA-SC-01 - Comp. MF com Sarj'!$G$11</f>
        <v>m</v>
      </c>
      <c r="G165" s="71">
        <f>'Serv. Complementares'!R10</f>
        <v>4892.21</v>
      </c>
      <c r="H165" s="71">
        <f>'EEA-SC-01 - Comp. MF com Sarj'!$I$46</f>
        <v>60.25</v>
      </c>
      <c r="I165" s="71">
        <f>TRUNC((H165*$L$6),2)</f>
        <v>14.47</v>
      </c>
      <c r="J165" s="71">
        <f t="shared" ref="J165" si="64">H165+I165</f>
        <v>74.72</v>
      </c>
      <c r="K165" s="71">
        <f t="shared" ref="K165:K169" si="65">TRUNC((G165*J165),2)</f>
        <v>365545.93</v>
      </c>
      <c r="L165" s="72">
        <f ca="1">K165/$K$222</f>
        <v>8.2086786889933691E-2</v>
      </c>
      <c r="N165" s="349" t="s">
        <v>862</v>
      </c>
      <c r="O165" s="312">
        <v>60.25</v>
      </c>
    </row>
    <row r="166" spans="2:15" ht="26.1" customHeight="1" x14ac:dyDescent="0.2">
      <c r="B166" s="289" t="str">
        <f>'EEA-SC-04 - Comp. Tento'!$B$11</f>
        <v>EEA-SC-04</v>
      </c>
      <c r="C166" s="223" t="s">
        <v>552</v>
      </c>
      <c r="D166" s="69" t="str">
        <f>'EEA-SC-04 - Comp. Tento'!$C$11</f>
        <v>Tento (acabamento de limpa rodas) em concreto, seção 330cm², moldado no local, inclusive escavação</v>
      </c>
      <c r="E166" s="68"/>
      <c r="F166" s="73" t="str">
        <f>'EEA-SC-04 - Comp. Tento'!$G$11</f>
        <v>m</v>
      </c>
      <c r="G166" s="71">
        <f>'Serv. Complementares'!R14</f>
        <v>40.599999999999994</v>
      </c>
      <c r="H166" s="71">
        <f>'EEA-SC-04 - Comp. Tento'!$I$43</f>
        <v>35.059999999999995</v>
      </c>
      <c r="I166" s="71">
        <f>TRUNC((H166*$L$6),2)</f>
        <v>8.42</v>
      </c>
      <c r="J166" s="71">
        <f t="shared" ref="J166:J169" si="66">H166+I166</f>
        <v>43.48</v>
      </c>
      <c r="K166" s="71">
        <f t="shared" si="65"/>
        <v>1765.28</v>
      </c>
      <c r="L166" s="72">
        <f ca="1">K166/$K$222</f>
        <v>3.9641027643519964E-4</v>
      </c>
      <c r="N166" s="349" t="s">
        <v>863</v>
      </c>
      <c r="O166" s="312">
        <v>35.06</v>
      </c>
    </row>
    <row r="167" spans="2:15" ht="26.1" customHeight="1" x14ac:dyDescent="0.2">
      <c r="B167" s="67">
        <v>100978</v>
      </c>
      <c r="C167" s="223" t="s">
        <v>553</v>
      </c>
      <c r="D167" s="69" t="s">
        <v>318</v>
      </c>
      <c r="E167" s="68"/>
      <c r="F167" s="70" t="s">
        <v>16</v>
      </c>
      <c r="G167" s="71">
        <f>'Serv. Complementares'!R17</f>
        <v>177.4</v>
      </c>
      <c r="H167" s="71">
        <v>7.03</v>
      </c>
      <c r="I167" s="71">
        <f>TRUNC((H167*$L$6),2)</f>
        <v>1.68</v>
      </c>
      <c r="J167" s="71">
        <f t="shared" si="66"/>
        <v>8.7100000000000009</v>
      </c>
      <c r="K167" s="71">
        <f t="shared" si="65"/>
        <v>1545.15</v>
      </c>
      <c r="L167" s="72">
        <f ca="1">K167/$K$222</f>
        <v>3.4697800838045454E-4</v>
      </c>
    </row>
    <row r="168" spans="2:15" ht="26.1" customHeight="1" x14ac:dyDescent="0.2">
      <c r="B168" s="70">
        <v>95875</v>
      </c>
      <c r="C168" s="223" t="s">
        <v>554</v>
      </c>
      <c r="D168" s="69" t="s">
        <v>357</v>
      </c>
      <c r="E168" s="68">
        <f>'Serv. Complementares'!$E$18</f>
        <v>30</v>
      </c>
      <c r="F168" s="70" t="s">
        <v>17</v>
      </c>
      <c r="G168" s="71">
        <f>'Serv. Complementares'!R18</f>
        <v>5322</v>
      </c>
      <c r="H168" s="71">
        <v>2.5</v>
      </c>
      <c r="I168" s="71">
        <f>TRUNC((H168*$L$6),2)</f>
        <v>0.6</v>
      </c>
      <c r="J168" s="71">
        <f t="shared" si="66"/>
        <v>3.1</v>
      </c>
      <c r="K168" s="71">
        <f t="shared" si="65"/>
        <v>16498.2</v>
      </c>
      <c r="L168" s="72">
        <f ca="1">K168/$K$222</f>
        <v>3.7048264426511436E-3</v>
      </c>
    </row>
    <row r="169" spans="2:15" ht="26.1" customHeight="1" x14ac:dyDescent="0.2">
      <c r="B169" s="70">
        <v>93590</v>
      </c>
      <c r="C169" s="223" t="s">
        <v>555</v>
      </c>
      <c r="D169" s="69" t="s">
        <v>358</v>
      </c>
      <c r="E169" s="68">
        <f>'Serv. Complementares'!$E$19</f>
        <v>25</v>
      </c>
      <c r="F169" s="70" t="s">
        <v>17</v>
      </c>
      <c r="G169" s="71">
        <f>'Serv. Complementares'!R19</f>
        <v>4435</v>
      </c>
      <c r="H169" s="71">
        <v>0.99</v>
      </c>
      <c r="I169" s="71">
        <f>TRUNC((H169*$L$6),2)</f>
        <v>0.23</v>
      </c>
      <c r="J169" s="71">
        <f t="shared" si="66"/>
        <v>1.22</v>
      </c>
      <c r="K169" s="71">
        <f t="shared" si="65"/>
        <v>5410.7</v>
      </c>
      <c r="L169" s="72">
        <f ca="1">K169/$K$222</f>
        <v>1.2150237258156977E-3</v>
      </c>
    </row>
    <row r="170" spans="2:15" ht="12.95" customHeight="1" x14ac:dyDescent="0.2">
      <c r="B170" s="97"/>
      <c r="C170" s="75"/>
      <c r="D170" s="98"/>
      <c r="E170" s="75"/>
      <c r="F170" s="76"/>
      <c r="G170" s="77"/>
      <c r="H170" s="77"/>
      <c r="I170" s="77"/>
      <c r="J170" s="77"/>
      <c r="K170" s="77"/>
      <c r="L170" s="99"/>
    </row>
    <row r="171" spans="2:15" s="64" customFormat="1" ht="15" customHeight="1" x14ac:dyDescent="0.2">
      <c r="B171" s="234"/>
      <c r="C171" s="86"/>
      <c r="D171" s="86"/>
      <c r="E171" s="392" t="str">
        <f>CONCATENATE("SUBTOTAL ",C162)</f>
        <v>SUBTOTAL 08</v>
      </c>
      <c r="F171" s="392"/>
      <c r="G171" s="392"/>
      <c r="H171" s="205"/>
      <c r="I171" s="391"/>
      <c r="J171" s="391"/>
      <c r="K171" s="206">
        <f>SUM(K162:K170)</f>
        <v>390765.26000000007</v>
      </c>
      <c r="L171" s="88">
        <f ca="1">SUM(L162:L170)</f>
        <v>8.7750025343216187E-2</v>
      </c>
    </row>
    <row r="172" spans="2:15" ht="5.0999999999999996" customHeight="1" x14ac:dyDescent="0.2"/>
    <row r="173" spans="2:15" s="64" customFormat="1" ht="15" customHeight="1" x14ac:dyDescent="0.2">
      <c r="B173" s="89"/>
      <c r="C173" s="227" t="s">
        <v>735</v>
      </c>
      <c r="D173" s="90" t="s">
        <v>37</v>
      </c>
      <c r="E173" s="91"/>
      <c r="F173" s="91"/>
      <c r="G173" s="91"/>
      <c r="H173" s="91"/>
      <c r="I173" s="91"/>
      <c r="J173" s="91"/>
      <c r="K173" s="91"/>
      <c r="L173" s="92"/>
    </row>
    <row r="174" spans="2:15" ht="12.95" customHeight="1" x14ac:dyDescent="0.2">
      <c r="B174" s="93"/>
      <c r="C174" s="94"/>
      <c r="D174" s="65"/>
      <c r="E174" s="94"/>
      <c r="F174" s="93"/>
      <c r="G174" s="66"/>
      <c r="H174" s="66"/>
      <c r="I174" s="66"/>
      <c r="J174" s="66"/>
      <c r="K174" s="66"/>
      <c r="L174" s="95"/>
    </row>
    <row r="175" spans="2:15" ht="12.95" customHeight="1" x14ac:dyDescent="0.2">
      <c r="B175" s="70"/>
      <c r="C175" s="68"/>
      <c r="D175" s="96" t="s">
        <v>32</v>
      </c>
      <c r="E175" s="68"/>
      <c r="F175" s="70"/>
      <c r="G175" s="71"/>
      <c r="H175" s="71"/>
      <c r="I175" s="71"/>
      <c r="J175" s="71"/>
      <c r="K175" s="71"/>
      <c r="L175" s="72"/>
    </row>
    <row r="176" spans="2:15" ht="12.95" customHeight="1" x14ac:dyDescent="0.2">
      <c r="B176" s="289" t="str">
        <f>'EEA-AC-01 - Comp. Prep. Manual'!$B$11</f>
        <v>EEA-AC-01</v>
      </c>
      <c r="C176" s="223" t="s">
        <v>736</v>
      </c>
      <c r="D176" s="74" t="str">
        <f>'EEA-AC-01 - Comp. Prep. Manual'!$C$11</f>
        <v>Preparo manual de terreno sem raspagem superficial</v>
      </c>
      <c r="E176" s="68"/>
      <c r="F176" s="70" t="str">
        <f>'EEA-AC-01 - Comp. Prep. Manual'!$G$11</f>
        <v>m²</v>
      </c>
      <c r="G176" s="71">
        <f>'Passeio com Acessibilidade'!R10</f>
        <v>1009.8900000000001</v>
      </c>
      <c r="H176" s="71">
        <f>'EEA-AC-01 - Comp. Prep. Manual'!$I$41</f>
        <v>9.1</v>
      </c>
      <c r="I176" s="71">
        <f>TRUNC((H176*$L$6),2)</f>
        <v>2.1800000000000002</v>
      </c>
      <c r="J176" s="71">
        <f t="shared" ref="J176" si="67">H176+I176</f>
        <v>11.28</v>
      </c>
      <c r="K176" s="71">
        <f t="shared" ref="K176" si="68">TRUNC((G176*J176),2)</f>
        <v>11391.55</v>
      </c>
      <c r="L176" s="72">
        <f ca="1">K176/$K$222</f>
        <v>2.5580800125336481E-3</v>
      </c>
      <c r="N176" s="349" t="s">
        <v>864</v>
      </c>
      <c r="O176" s="312">
        <v>9.1</v>
      </c>
    </row>
    <row r="177" spans="2:18" ht="12.95" customHeight="1" x14ac:dyDescent="0.2">
      <c r="B177" s="70"/>
      <c r="C177" s="68"/>
      <c r="D177" s="74"/>
      <c r="E177" s="68"/>
      <c r="F177" s="73"/>
      <c r="G177" s="71"/>
      <c r="H177" s="202"/>
      <c r="I177" s="71"/>
      <c r="J177" s="71"/>
      <c r="K177" s="71"/>
      <c r="L177" s="72"/>
    </row>
    <row r="178" spans="2:18" ht="12.95" customHeight="1" x14ac:dyDescent="0.2">
      <c r="B178" s="70"/>
      <c r="C178" s="68"/>
      <c r="D178" s="96" t="s">
        <v>44</v>
      </c>
      <c r="E178" s="68"/>
      <c r="F178" s="70"/>
      <c r="G178" s="71"/>
      <c r="H178" s="202"/>
      <c r="I178" s="71"/>
      <c r="J178" s="71"/>
      <c r="K178" s="71"/>
      <c r="L178" s="72"/>
    </row>
    <row r="179" spans="2:18" ht="26.1" customHeight="1" x14ac:dyDescent="0.2">
      <c r="B179" s="70">
        <v>94990</v>
      </c>
      <c r="C179" s="223" t="s">
        <v>737</v>
      </c>
      <c r="D179" s="69" t="s">
        <v>304</v>
      </c>
      <c r="E179" s="68"/>
      <c r="F179" s="70" t="s">
        <v>16</v>
      </c>
      <c r="G179" s="71">
        <f>'Passeio com Acessibilidade'!R16</f>
        <v>29.58</v>
      </c>
      <c r="H179" s="226">
        <v>783.14</v>
      </c>
      <c r="I179" s="71">
        <f>TRUNC((H179*$L$6),2)</f>
        <v>188.18</v>
      </c>
      <c r="J179" s="71">
        <f t="shared" ref="J179" si="69">H179+I179</f>
        <v>971.31999999999994</v>
      </c>
      <c r="K179" s="71">
        <f t="shared" ref="K179:K182" si="70">TRUNC((G179*J179),2)</f>
        <v>28731.64</v>
      </c>
      <c r="L179" s="72">
        <f ca="1">K179/$K$222</f>
        <v>6.4519607964949694E-3</v>
      </c>
    </row>
    <row r="180" spans="2:18" ht="26.1" customHeight="1" x14ac:dyDescent="0.2">
      <c r="B180" s="67">
        <v>100978</v>
      </c>
      <c r="C180" s="223" t="s">
        <v>738</v>
      </c>
      <c r="D180" s="69" t="s">
        <v>318</v>
      </c>
      <c r="E180" s="68"/>
      <c r="F180" s="70" t="s">
        <v>16</v>
      </c>
      <c r="G180" s="71">
        <f>'Passeio com Acessibilidade'!R19</f>
        <v>20.78</v>
      </c>
      <c r="H180" s="226">
        <v>7.03</v>
      </c>
      <c r="I180" s="71">
        <f>TRUNC((H180*$L$6),2)</f>
        <v>1.68</v>
      </c>
      <c r="J180" s="71">
        <f>H180+I180</f>
        <v>8.7100000000000009</v>
      </c>
      <c r="K180" s="71">
        <f t="shared" si="70"/>
        <v>180.99</v>
      </c>
      <c r="L180" s="72">
        <f ca="1">K180/$K$222</f>
        <v>4.064301183495354E-5</v>
      </c>
    </row>
    <row r="181" spans="2:18" ht="26.1" customHeight="1" x14ac:dyDescent="0.2">
      <c r="B181" s="70">
        <v>95875</v>
      </c>
      <c r="C181" s="223" t="s">
        <v>739</v>
      </c>
      <c r="D181" s="69" t="s">
        <v>359</v>
      </c>
      <c r="E181" s="68">
        <f>'Passeio com Acessibilidade'!$E$20</f>
        <v>30</v>
      </c>
      <c r="F181" s="70" t="s">
        <v>17</v>
      </c>
      <c r="G181" s="71">
        <f>'Passeio com Acessibilidade'!R20</f>
        <v>623.40000000000009</v>
      </c>
      <c r="H181" s="226">
        <v>2.5</v>
      </c>
      <c r="I181" s="71">
        <f>TRUNC((H181*$L$6),2)</f>
        <v>0.6</v>
      </c>
      <c r="J181" s="71">
        <f t="shared" ref="J181:J182" si="71">H181+I181</f>
        <v>3.1</v>
      </c>
      <c r="K181" s="71">
        <f t="shared" si="70"/>
        <v>1932.54</v>
      </c>
      <c r="L181" s="72">
        <f ca="1">K181/$K$222</f>
        <v>4.339700872507935E-4</v>
      </c>
    </row>
    <row r="182" spans="2:18" ht="26.1" customHeight="1" x14ac:dyDescent="0.2">
      <c r="B182" s="70">
        <v>93590</v>
      </c>
      <c r="C182" s="223" t="s">
        <v>740</v>
      </c>
      <c r="D182" s="69" t="s">
        <v>360</v>
      </c>
      <c r="E182" s="68">
        <f>'Passeio com Acessibilidade'!$E$21</f>
        <v>25</v>
      </c>
      <c r="F182" s="70" t="s">
        <v>17</v>
      </c>
      <c r="G182" s="71">
        <f>'Passeio com Acessibilidade'!R21</f>
        <v>519.5</v>
      </c>
      <c r="H182" s="226">
        <v>0.99</v>
      </c>
      <c r="I182" s="71">
        <f>TRUNC((H182*$L$6),2)</f>
        <v>0.23</v>
      </c>
      <c r="J182" s="71">
        <f t="shared" si="71"/>
        <v>1.22</v>
      </c>
      <c r="K182" s="71">
        <f t="shared" si="70"/>
        <v>633.79</v>
      </c>
      <c r="L182" s="72">
        <f ca="1">K182/$K$222</f>
        <v>1.4232352323816346E-4</v>
      </c>
    </row>
    <row r="183" spans="2:18" ht="12.95" customHeight="1" x14ac:dyDescent="0.2">
      <c r="B183" s="70"/>
      <c r="C183" s="223"/>
      <c r="D183" s="74"/>
      <c r="E183" s="68"/>
      <c r="F183" s="73"/>
      <c r="G183" s="71"/>
      <c r="H183" s="202"/>
      <c r="I183" s="71"/>
      <c r="J183" s="71"/>
      <c r="K183" s="71"/>
      <c r="L183" s="72"/>
    </row>
    <row r="184" spans="2:18" ht="12.95" customHeight="1" x14ac:dyDescent="0.2">
      <c r="B184" s="70"/>
      <c r="C184" s="68"/>
      <c r="D184" s="96" t="s">
        <v>45</v>
      </c>
      <c r="E184" s="68"/>
      <c r="F184" s="70"/>
      <c r="G184" s="71"/>
      <c r="H184" s="202"/>
      <c r="I184" s="71"/>
      <c r="J184" s="71"/>
      <c r="K184" s="71"/>
      <c r="L184" s="72"/>
    </row>
    <row r="185" spans="2:18" ht="12.95" customHeight="1" x14ac:dyDescent="0.2">
      <c r="B185" s="274" t="str">
        <f>'EEA-AC-08 - Rampa Projeto'!$B$11</f>
        <v>EEA-AC-08</v>
      </c>
      <c r="C185" s="223" t="s">
        <v>779</v>
      </c>
      <c r="D185" s="69" t="str">
        <f>'EEA-AC-08 - Rampa Projeto'!$C$11</f>
        <v>Rampa de acessibilidade conforme projeto</v>
      </c>
      <c r="E185" s="68"/>
      <c r="F185" s="73" t="str">
        <f>'EEA-AC-08 - Rampa Projeto'!$G$11</f>
        <v>un</v>
      </c>
      <c r="G185" s="71">
        <f>'Passeio com Acessibilidade'!R23</f>
        <v>94</v>
      </c>
      <c r="H185" s="71">
        <f>'EEA-AC-08 - Rampa Projeto'!$I$43</f>
        <v>654.52</v>
      </c>
      <c r="I185" s="71">
        <f>TRUNC((H185*$L$6),2)</f>
        <v>157.28</v>
      </c>
      <c r="J185" s="71">
        <f t="shared" ref="J185" si="72">H185+I185</f>
        <v>811.8</v>
      </c>
      <c r="K185" s="71">
        <f t="shared" ref="K185:K188" si="73">TRUNC((G185*J185),2)</f>
        <v>76309.2</v>
      </c>
      <c r="L185" s="72">
        <f ca="1">K185/$K$222</f>
        <v>1.7135950708413925E-2</v>
      </c>
      <c r="N185" s="349" t="s">
        <v>865</v>
      </c>
      <c r="O185" s="312">
        <v>654.52</v>
      </c>
      <c r="P185" s="121"/>
      <c r="Q185" s="196"/>
      <c r="R185" s="196"/>
    </row>
    <row r="186" spans="2:18" ht="26.1" customHeight="1" x14ac:dyDescent="0.2">
      <c r="B186" s="67">
        <v>100978</v>
      </c>
      <c r="C186" s="223" t="s">
        <v>780</v>
      </c>
      <c r="D186" s="69" t="s">
        <v>318</v>
      </c>
      <c r="E186" s="68"/>
      <c r="F186" s="70" t="s">
        <v>16</v>
      </c>
      <c r="G186" s="71">
        <f>'Passeio com Acessibilidade'!R29</f>
        <v>28.8</v>
      </c>
      <c r="H186" s="226">
        <v>7.03</v>
      </c>
      <c r="I186" s="71">
        <f>TRUNC((H186*$L$6),2)</f>
        <v>1.68</v>
      </c>
      <c r="J186" s="71">
        <f t="shared" ref="J186:J188" si="74">H186+I186</f>
        <v>8.7100000000000009</v>
      </c>
      <c r="K186" s="71">
        <f t="shared" si="73"/>
        <v>250.84</v>
      </c>
      <c r="L186" s="72">
        <f ca="1">K186/$K$222</f>
        <v>5.632848825172521E-5</v>
      </c>
      <c r="O186" s="196"/>
      <c r="P186" s="196"/>
      <c r="Q186" s="196"/>
      <c r="R186" s="196"/>
    </row>
    <row r="187" spans="2:18" ht="26.1" customHeight="1" x14ac:dyDescent="0.2">
      <c r="B187" s="70">
        <v>95875</v>
      </c>
      <c r="C187" s="223" t="s">
        <v>781</v>
      </c>
      <c r="D187" s="69" t="s">
        <v>361</v>
      </c>
      <c r="E187" s="68">
        <f>'Passeio com Acessibilidade'!$E$30</f>
        <v>30</v>
      </c>
      <c r="F187" s="70" t="s">
        <v>17</v>
      </c>
      <c r="G187" s="71">
        <f>'Passeio com Acessibilidade'!R30</f>
        <v>864</v>
      </c>
      <c r="H187" s="226">
        <v>2.5</v>
      </c>
      <c r="I187" s="71">
        <f>TRUNC((H187*$L$6),2)</f>
        <v>0.6</v>
      </c>
      <c r="J187" s="71">
        <f t="shared" si="74"/>
        <v>3.1</v>
      </c>
      <c r="K187" s="71">
        <f t="shared" si="73"/>
        <v>2678.4</v>
      </c>
      <c r="L187" s="72">
        <f ca="1">K187/$K$222</f>
        <v>6.0145998618011808E-4</v>
      </c>
      <c r="O187" s="196"/>
      <c r="P187" s="196"/>
      <c r="Q187" s="196"/>
      <c r="R187" s="196"/>
    </row>
    <row r="188" spans="2:18" ht="26.1" customHeight="1" x14ac:dyDescent="0.2">
      <c r="B188" s="70">
        <v>93590</v>
      </c>
      <c r="C188" s="223" t="s">
        <v>782</v>
      </c>
      <c r="D188" s="69" t="s">
        <v>362</v>
      </c>
      <c r="E188" s="68">
        <f>'Passeio com Acessibilidade'!$E$31</f>
        <v>25</v>
      </c>
      <c r="F188" s="70" t="s">
        <v>17</v>
      </c>
      <c r="G188" s="71">
        <f>'Passeio com Acessibilidade'!R31</f>
        <v>720</v>
      </c>
      <c r="H188" s="226">
        <v>0.99</v>
      </c>
      <c r="I188" s="71">
        <f>TRUNC((H188*$L$6),2)</f>
        <v>0.23</v>
      </c>
      <c r="J188" s="71">
        <f t="shared" si="74"/>
        <v>1.22</v>
      </c>
      <c r="K188" s="71">
        <f t="shared" si="73"/>
        <v>878.4</v>
      </c>
      <c r="L188" s="72">
        <f ca="1">K188/$K$222</f>
        <v>1.9725300622036129E-4</v>
      </c>
      <c r="O188" s="196"/>
      <c r="P188" s="196"/>
      <c r="Q188" s="196"/>
      <c r="R188" s="196"/>
    </row>
    <row r="189" spans="2:18" ht="12.95" customHeight="1" x14ac:dyDescent="0.2">
      <c r="B189" s="70"/>
      <c r="C189" s="223"/>
      <c r="D189" s="74"/>
      <c r="E189" s="68"/>
      <c r="F189" s="73"/>
      <c r="G189" s="71"/>
      <c r="H189" s="71"/>
      <c r="I189" s="71"/>
      <c r="J189" s="71"/>
      <c r="K189" s="71"/>
      <c r="L189" s="72"/>
      <c r="O189" s="196"/>
      <c r="P189" s="196"/>
      <c r="Q189" s="196"/>
      <c r="R189" s="196"/>
    </row>
    <row r="190" spans="2:18" ht="12.95" customHeight="1" x14ac:dyDescent="0.2">
      <c r="B190" s="70"/>
      <c r="C190" s="68"/>
      <c r="D190" s="96" t="s">
        <v>46</v>
      </c>
      <c r="E190" s="68"/>
      <c r="F190" s="70"/>
      <c r="G190" s="71"/>
      <c r="H190" s="202"/>
      <c r="I190" s="71"/>
      <c r="J190" s="71"/>
      <c r="K190" s="71"/>
      <c r="L190" s="72"/>
      <c r="O190" s="196"/>
      <c r="P190" s="196"/>
      <c r="Q190" s="196"/>
      <c r="R190" s="196"/>
    </row>
    <row r="191" spans="2:18" ht="51.95" customHeight="1" x14ac:dyDescent="0.2">
      <c r="B191" s="274" t="str">
        <f>'EEA-AC-09 - Piso tátil'!$B$11</f>
        <v>EEA-AC-09</v>
      </c>
      <c r="C191" s="223" t="s">
        <v>783</v>
      </c>
      <c r="D191" s="69" t="str">
        <f>'EEA-AC-09 - Piso tátil'!$C$11</f>
        <v>Piso tátil direcional e de alerta com ladrilho hidráulico 20cm x 20cm x 2cm em concreto simples fck = 35MPa (NBR 9050 e Decreto 5296), incluindo fornecimento e assentamento com argamassa e/ou cimento colante sobre coxim preparado no piso rústico</v>
      </c>
      <c r="E191" s="68"/>
      <c r="F191" s="73" t="str">
        <f>'EEA-AC-09 - Piso tátil'!$G$11</f>
        <v>m</v>
      </c>
      <c r="G191" s="71">
        <f>'Passeio com Acessibilidade'!R35</f>
        <v>338.4</v>
      </c>
      <c r="H191" s="71">
        <f>'EEA-AC-09 - Piso tátil'!$I$43</f>
        <v>47.9</v>
      </c>
      <c r="I191" s="71">
        <f>TRUNC((H191*$L$6),2)</f>
        <v>11.51</v>
      </c>
      <c r="J191" s="71">
        <f t="shared" ref="J191" si="75">H191+I191</f>
        <v>59.41</v>
      </c>
      <c r="K191" s="71">
        <f t="shared" ref="K191:K193" si="76">TRUNC((G191*J191),2)</f>
        <v>20104.34</v>
      </c>
      <c r="L191" s="72">
        <f ca="1">K191/$K$222</f>
        <v>4.5146191974911867E-3</v>
      </c>
      <c r="N191" s="349" t="s">
        <v>866</v>
      </c>
      <c r="O191" s="312">
        <v>47.9</v>
      </c>
      <c r="P191" s="196"/>
      <c r="Q191" s="196"/>
      <c r="R191" s="196"/>
    </row>
    <row r="192" spans="2:18" ht="26.1" customHeight="1" x14ac:dyDescent="0.2">
      <c r="B192" s="70">
        <v>100947</v>
      </c>
      <c r="C192" s="223" t="s">
        <v>784</v>
      </c>
      <c r="D192" s="69" t="s">
        <v>340</v>
      </c>
      <c r="E192" s="68">
        <f>'Passeio com Acessibilidade'!$E$38</f>
        <v>30</v>
      </c>
      <c r="F192" s="70" t="s">
        <v>28</v>
      </c>
      <c r="G192" s="71">
        <f>'Passeio com Acessibilidade'!R38</f>
        <v>74.7</v>
      </c>
      <c r="H192" s="226">
        <v>2.2599999999999998</v>
      </c>
      <c r="I192" s="71">
        <f>TRUNC((H192*$L$6),2)</f>
        <v>0.54</v>
      </c>
      <c r="J192" s="71">
        <f t="shared" ref="J192" si="77">H192+I192</f>
        <v>2.8</v>
      </c>
      <c r="K192" s="71">
        <f t="shared" si="76"/>
        <v>209.16</v>
      </c>
      <c r="L192" s="72">
        <f ca="1">K192/$K$222</f>
        <v>4.6968851071323735E-5</v>
      </c>
      <c r="O192" s="196"/>
      <c r="P192" s="196"/>
      <c r="Q192" s="196"/>
      <c r="R192" s="196"/>
    </row>
    <row r="193" spans="2:15" ht="26.1" customHeight="1" x14ac:dyDescent="0.2">
      <c r="B193" s="70">
        <v>100948</v>
      </c>
      <c r="C193" s="223" t="s">
        <v>785</v>
      </c>
      <c r="D193" s="69" t="s">
        <v>341</v>
      </c>
      <c r="E193" s="68">
        <f>'Passeio com Acessibilidade'!$E$39</f>
        <v>229</v>
      </c>
      <c r="F193" s="70" t="s">
        <v>28</v>
      </c>
      <c r="G193" s="71">
        <f>'Passeio com Acessibilidade'!R39</f>
        <v>570.21</v>
      </c>
      <c r="H193" s="226">
        <v>0.89</v>
      </c>
      <c r="I193" s="71">
        <f>TRUNC((H193*$L$6),2)</f>
        <v>0.21</v>
      </c>
      <c r="J193" s="71">
        <f t="shared" ref="J193" si="78">H193+I193</f>
        <v>1.1000000000000001</v>
      </c>
      <c r="K193" s="71">
        <f t="shared" si="76"/>
        <v>627.23</v>
      </c>
      <c r="L193" s="72">
        <f ca="1">K193/$K$222</f>
        <v>1.4085041335564345E-4</v>
      </c>
    </row>
    <row r="194" spans="2:15" ht="12.95" customHeight="1" x14ac:dyDescent="0.2">
      <c r="B194" s="97"/>
      <c r="C194" s="75"/>
      <c r="D194" s="98"/>
      <c r="E194" s="75"/>
      <c r="F194" s="76"/>
      <c r="G194" s="77"/>
      <c r="H194" s="77"/>
      <c r="I194" s="77"/>
      <c r="J194" s="77"/>
      <c r="K194" s="77"/>
      <c r="L194" s="99"/>
    </row>
    <row r="195" spans="2:15" s="64" customFormat="1" ht="15" customHeight="1" x14ac:dyDescent="0.2">
      <c r="B195" s="234"/>
      <c r="C195" s="86"/>
      <c r="D195" s="86"/>
      <c r="E195" s="392" t="str">
        <f>CONCATENATE("SUBTOTAL ",C173)</f>
        <v>SUBTOTAL 09</v>
      </c>
      <c r="F195" s="392"/>
      <c r="G195" s="392"/>
      <c r="H195" s="205"/>
      <c r="I195" s="391"/>
      <c r="J195" s="391"/>
      <c r="K195" s="206">
        <f>SUM(K173:K194)</f>
        <v>143928.07999999999</v>
      </c>
      <c r="L195" s="88">
        <f ca="1">SUM(L173:L194)</f>
        <v>3.232040808233682E-2</v>
      </c>
    </row>
    <row r="196" spans="2:15" ht="5.0999999999999996" customHeight="1" x14ac:dyDescent="0.2"/>
    <row r="197" spans="2:15" s="64" customFormat="1" ht="15" customHeight="1" x14ac:dyDescent="0.2">
      <c r="B197" s="89"/>
      <c r="C197" s="227" t="s">
        <v>741</v>
      </c>
      <c r="D197" s="90" t="s">
        <v>38</v>
      </c>
      <c r="E197" s="91"/>
      <c r="F197" s="91"/>
      <c r="G197" s="91"/>
      <c r="H197" s="91"/>
      <c r="I197" s="91"/>
      <c r="J197" s="91"/>
      <c r="K197" s="91"/>
      <c r="L197" s="92"/>
    </row>
    <row r="198" spans="2:15" ht="12.95" customHeight="1" x14ac:dyDescent="0.2">
      <c r="B198" s="93"/>
      <c r="C198" s="94"/>
      <c r="D198" s="65"/>
      <c r="E198" s="94"/>
      <c r="F198" s="93"/>
      <c r="G198" s="66"/>
      <c r="H198" s="66"/>
      <c r="I198" s="66"/>
      <c r="J198" s="66"/>
      <c r="K198" s="66"/>
      <c r="L198" s="95"/>
    </row>
    <row r="199" spans="2:15" ht="12.95" customHeight="1" x14ac:dyDescent="0.2">
      <c r="B199" s="70"/>
      <c r="C199" s="68"/>
      <c r="D199" s="96" t="s">
        <v>48</v>
      </c>
      <c r="E199" s="68"/>
      <c r="F199" s="70"/>
      <c r="G199" s="71"/>
      <c r="H199" s="71"/>
      <c r="I199" s="71"/>
      <c r="J199" s="71"/>
      <c r="K199" s="71"/>
      <c r="L199" s="72"/>
    </row>
    <row r="200" spans="2:15" ht="26.1" customHeight="1" x14ac:dyDescent="0.2">
      <c r="B200" s="67">
        <v>102512</v>
      </c>
      <c r="C200" s="223" t="s">
        <v>742</v>
      </c>
      <c r="D200" s="69" t="s">
        <v>388</v>
      </c>
      <c r="E200" s="68"/>
      <c r="F200" s="70" t="s">
        <v>14</v>
      </c>
      <c r="G200" s="71">
        <f>Sinalização!S10+Sinalização!S13</f>
        <v>1656.56</v>
      </c>
      <c r="H200" s="226">
        <v>6.41</v>
      </c>
      <c r="I200" s="71">
        <f>TRUNC((H200*$L$6),2)</f>
        <v>1.54</v>
      </c>
      <c r="J200" s="71">
        <f t="shared" ref="J200" si="79">H200+I200</f>
        <v>7.95</v>
      </c>
      <c r="K200" s="71">
        <f t="shared" ref="K200:K201" si="80">TRUNC((G200*J200),2)</f>
        <v>13169.65</v>
      </c>
      <c r="L200" s="72">
        <f ca="1">K200/$K$222</f>
        <v>2.9573691409038945E-3</v>
      </c>
      <c r="N200" s="123"/>
    </row>
    <row r="201" spans="2:15" ht="26.1" customHeight="1" x14ac:dyDescent="0.2">
      <c r="B201" s="67">
        <v>102513</v>
      </c>
      <c r="C201" s="223" t="s">
        <v>743</v>
      </c>
      <c r="D201" s="69" t="s">
        <v>389</v>
      </c>
      <c r="E201" s="68"/>
      <c r="F201" s="70" t="s">
        <v>13</v>
      </c>
      <c r="G201" s="71">
        <f>Sinalização!S17+Sinalização!S20+Sinalização!S23</f>
        <v>148.47</v>
      </c>
      <c r="H201" s="226">
        <v>51.28</v>
      </c>
      <c r="I201" s="71">
        <f>TRUNC((H201*$L$6),2)</f>
        <v>12.32</v>
      </c>
      <c r="J201" s="71">
        <f t="shared" ref="J201" si="81">H201+I201</f>
        <v>63.6</v>
      </c>
      <c r="K201" s="71">
        <f t="shared" si="80"/>
        <v>9442.69</v>
      </c>
      <c r="L201" s="72">
        <f ca="1">K201/$K$222</f>
        <v>2.1204451153312197E-3</v>
      </c>
    </row>
    <row r="202" spans="2:15" ht="12.95" customHeight="1" x14ac:dyDescent="0.2">
      <c r="B202" s="70"/>
      <c r="C202" s="223"/>
      <c r="D202" s="74"/>
      <c r="E202" s="68"/>
      <c r="F202" s="73"/>
      <c r="G202" s="71"/>
      <c r="H202" s="202"/>
      <c r="I202" s="71"/>
      <c r="J202" s="71"/>
      <c r="K202" s="71"/>
      <c r="L202" s="72"/>
    </row>
    <row r="203" spans="2:15" ht="12.95" customHeight="1" x14ac:dyDescent="0.2">
      <c r="B203" s="70"/>
      <c r="C203" s="68"/>
      <c r="D203" s="96" t="s">
        <v>49</v>
      </c>
      <c r="E203" s="68"/>
      <c r="F203" s="70"/>
      <c r="G203" s="71"/>
      <c r="H203" s="202"/>
      <c r="I203" s="71"/>
      <c r="J203" s="71"/>
      <c r="K203" s="71"/>
      <c r="L203" s="72"/>
    </row>
    <row r="204" spans="2:15" ht="26.1" customHeight="1" x14ac:dyDescent="0.2">
      <c r="B204" s="274" t="str">
        <f>'EEA-SV-01 - Comp. Placa 0,36m²'!$B$11</f>
        <v>EEA-SV-01</v>
      </c>
      <c r="C204" s="223" t="s">
        <v>744</v>
      </c>
      <c r="D204" s="69" t="str">
        <f>'EEA-SV-01 - Comp. Placa 0,36m²'!$C$11</f>
        <v>Fornecimento e instalação de placa de sinalização viária (placa até 0,36m²), incluindo suporte de madeira pintado a cal e fixado em base de concreto não estrutural</v>
      </c>
      <c r="E204" s="68"/>
      <c r="F204" s="73" t="str">
        <f>'EEA-SV-01 - Comp. Placa 0,36m²'!$G$11</f>
        <v>un.</v>
      </c>
      <c r="G204" s="202">
        <f>Sinalização!S25+Sinalização!S27</f>
        <v>65</v>
      </c>
      <c r="H204" s="71">
        <f>'EEA-SV-01 - Comp. Placa 0,36m²'!$I$47</f>
        <v>487.17</v>
      </c>
      <c r="I204" s="71">
        <f>TRUNC((H204*$L$6),2)</f>
        <v>117.06</v>
      </c>
      <c r="J204" s="71">
        <f t="shared" ref="J204" si="82">H204+I204</f>
        <v>604.23</v>
      </c>
      <c r="K204" s="71">
        <f t="shared" ref="K204:K206" si="83">TRUNC((G204*J204),2)</f>
        <v>39274.949999999997</v>
      </c>
      <c r="L204" s="72">
        <f ca="1">K204/$K$222</f>
        <v>8.8195605153169147E-3</v>
      </c>
      <c r="N204" s="349" t="s">
        <v>867</v>
      </c>
      <c r="O204" s="312">
        <v>487.17</v>
      </c>
    </row>
    <row r="205" spans="2:15" ht="12.95" customHeight="1" x14ac:dyDescent="0.2">
      <c r="B205" s="274" t="str">
        <f>'EEA-SV-02 - Comp. Pl. Lograd'!$B$11</f>
        <v>EEA-SV-02</v>
      </c>
      <c r="C205" s="223" t="s">
        <v>745</v>
      </c>
      <c r="D205" s="69" t="str">
        <f>'EEA-SV-02 - Comp. Pl. Lograd'!$C$11</f>
        <v>Placa esmaltada para identificação nº de rua, dimensões 45cm x 20cm</v>
      </c>
      <c r="E205" s="68"/>
      <c r="F205" s="73" t="str">
        <f>'EEA-SV-02 - Comp. Pl. Lograd'!$G$11</f>
        <v>un.</v>
      </c>
      <c r="G205" s="202">
        <f>Sinalização!S29</f>
        <v>42</v>
      </c>
      <c r="H205" s="71">
        <f>'EEA-SV-02 - Comp. Pl. Lograd'!$I$42</f>
        <v>141.66</v>
      </c>
      <c r="I205" s="71">
        <f>TRUNC((H205*$L$6),2)</f>
        <v>34.04</v>
      </c>
      <c r="J205" s="71">
        <f t="shared" ref="J205" si="84">H205+I205</f>
        <v>175.7</v>
      </c>
      <c r="K205" s="71">
        <f t="shared" si="83"/>
        <v>7379.4</v>
      </c>
      <c r="L205" s="72">
        <f ca="1">K205/$K$222</f>
        <v>1.657113882175016E-3</v>
      </c>
      <c r="N205" s="349" t="s">
        <v>868</v>
      </c>
      <c r="O205" s="312">
        <v>141.66</v>
      </c>
    </row>
    <row r="206" spans="2:15" ht="12.95" customHeight="1" x14ac:dyDescent="0.2">
      <c r="B206" s="274" t="str">
        <f>'EEA-SV-03 - Comp. Suporte'!$B$11</f>
        <v>EEA-SV-03</v>
      </c>
      <c r="C206" s="223" t="s">
        <v>746</v>
      </c>
      <c r="D206" s="69" t="str">
        <f>'EEA-SV-03 - Comp. Suporte'!$C$11</f>
        <v>Confecção de suporte e travessa para placa</v>
      </c>
      <c r="E206" s="68"/>
      <c r="F206" s="73" t="str">
        <f>'EEA-SV-03 - Comp. Suporte'!$G$11</f>
        <v>un.</v>
      </c>
      <c r="G206" s="202">
        <f>Sinalização!S31</f>
        <v>21</v>
      </c>
      <c r="H206" s="71">
        <f>'EEA-SV-03 - Comp. Suporte'!$I$45</f>
        <v>138.72</v>
      </c>
      <c r="I206" s="71">
        <f>TRUNC((H206*$L$6),2)</f>
        <v>33.33</v>
      </c>
      <c r="J206" s="71">
        <f t="shared" ref="J206" si="85">H206+I206</f>
        <v>172.05</v>
      </c>
      <c r="K206" s="71">
        <f t="shared" si="83"/>
        <v>3613.05</v>
      </c>
      <c r="L206" s="72">
        <f ca="1">K206/$K$222</f>
        <v>8.1134446052422171E-4</v>
      </c>
      <c r="N206" s="349" t="s">
        <v>869</v>
      </c>
      <c r="O206" s="312">
        <v>138.72</v>
      </c>
    </row>
    <row r="207" spans="2:15" ht="12.95" customHeight="1" x14ac:dyDescent="0.2">
      <c r="B207" s="97"/>
      <c r="C207" s="75"/>
      <c r="D207" s="98"/>
      <c r="E207" s="75"/>
      <c r="F207" s="76"/>
      <c r="G207" s="77"/>
      <c r="H207" s="77"/>
      <c r="I207" s="77"/>
      <c r="J207" s="77"/>
      <c r="K207" s="77"/>
      <c r="L207" s="99"/>
    </row>
    <row r="208" spans="2:15" s="64" customFormat="1" ht="15" customHeight="1" x14ac:dyDescent="0.2">
      <c r="B208" s="234"/>
      <c r="C208" s="86"/>
      <c r="D208" s="86"/>
      <c r="E208" s="392" t="str">
        <f>CONCATENATE("SUBTOTAL ",C197)</f>
        <v>SUBTOTAL 10</v>
      </c>
      <c r="F208" s="392"/>
      <c r="G208" s="392"/>
      <c r="H208" s="205"/>
      <c r="I208" s="391"/>
      <c r="J208" s="391"/>
      <c r="K208" s="206">
        <f>SUM(K197:K207)</f>
        <v>72879.739999999991</v>
      </c>
      <c r="L208" s="88">
        <f ca="1">SUM(L197:L207)</f>
        <v>1.6365833114251268E-2</v>
      </c>
    </row>
    <row r="209" spans="1:16" ht="5.0999999999999996" customHeight="1" x14ac:dyDescent="0.2"/>
    <row r="210" spans="1:16" s="64" customFormat="1" ht="15" customHeight="1" x14ac:dyDescent="0.2">
      <c r="B210" s="60"/>
      <c r="C210" s="225" t="s">
        <v>747</v>
      </c>
      <c r="D210" s="61" t="s">
        <v>19</v>
      </c>
      <c r="E210" s="62"/>
      <c r="F210" s="62"/>
      <c r="G210" s="62"/>
      <c r="H210" s="62"/>
      <c r="I210" s="62"/>
      <c r="J210" s="62"/>
      <c r="K210" s="62"/>
      <c r="L210" s="63"/>
    </row>
    <row r="211" spans="1:16" ht="12.95" customHeight="1" x14ac:dyDescent="0.2">
      <c r="B211" s="236"/>
      <c r="C211" s="219"/>
      <c r="D211" s="65"/>
      <c r="E211" s="219"/>
      <c r="F211" s="236"/>
      <c r="G211" s="66"/>
      <c r="H211" s="66"/>
      <c r="I211" s="66"/>
      <c r="J211" s="66"/>
      <c r="K211" s="66"/>
      <c r="L211" s="95"/>
    </row>
    <row r="212" spans="1:16" ht="12.95" customHeight="1" x14ac:dyDescent="0.2">
      <c r="B212" s="70"/>
      <c r="C212" s="221"/>
      <c r="D212" s="96" t="s">
        <v>569</v>
      </c>
      <c r="E212" s="221"/>
      <c r="F212" s="70"/>
      <c r="G212" s="71"/>
      <c r="H212" s="71"/>
      <c r="I212" s="71"/>
      <c r="J212" s="71"/>
      <c r="K212" s="71"/>
      <c r="L212" s="72"/>
      <c r="N212" s="12" t="s">
        <v>300</v>
      </c>
      <c r="O212" s="12" t="s">
        <v>299</v>
      </c>
      <c r="P212" s="12" t="s">
        <v>298</v>
      </c>
    </row>
    <row r="213" spans="1:16" ht="12.95" customHeight="1" x14ac:dyDescent="0.2">
      <c r="B213" s="67">
        <v>90777</v>
      </c>
      <c r="C213" s="223" t="s">
        <v>748</v>
      </c>
      <c r="D213" s="74" t="s">
        <v>347</v>
      </c>
      <c r="E213" s="221"/>
      <c r="F213" s="70" t="s">
        <v>51</v>
      </c>
      <c r="G213" s="71">
        <f t="shared" ref="G213:G216" si="86">ROUND((N213*O213*P213),2)</f>
        <v>132</v>
      </c>
      <c r="H213" s="226">
        <v>141.5</v>
      </c>
      <c r="I213" s="71">
        <f t="shared" ref="I213:I218" si="87">TRUNC((H213*$L$6),2)</f>
        <v>34</v>
      </c>
      <c r="J213" s="71">
        <f>H213+I213</f>
        <v>175.5</v>
      </c>
      <c r="K213" s="71">
        <f>TRUNC((G213*J213),2)</f>
        <v>23166</v>
      </c>
      <c r="L213" s="72">
        <f t="shared" ref="L213:L218" ca="1" si="88">K213/$K$222</f>
        <v>5.2021438320820693E-3</v>
      </c>
      <c r="N213" s="12">
        <v>0.5</v>
      </c>
      <c r="O213" s="12">
        <v>22</v>
      </c>
      <c r="P213" s="12">
        <v>12</v>
      </c>
    </row>
    <row r="214" spans="1:16" ht="12.95" customHeight="1" x14ac:dyDescent="0.2">
      <c r="B214" s="67">
        <v>90776</v>
      </c>
      <c r="C214" s="223" t="s">
        <v>749</v>
      </c>
      <c r="D214" s="69" t="s">
        <v>345</v>
      </c>
      <c r="E214" s="221"/>
      <c r="F214" s="70" t="s">
        <v>51</v>
      </c>
      <c r="G214" s="71">
        <f t="shared" si="86"/>
        <v>2112</v>
      </c>
      <c r="H214" s="226">
        <v>35.47</v>
      </c>
      <c r="I214" s="71">
        <f t="shared" si="87"/>
        <v>8.52</v>
      </c>
      <c r="J214" s="71">
        <f t="shared" ref="J214:J215" si="89">H214+I214</f>
        <v>43.989999999999995</v>
      </c>
      <c r="K214" s="71">
        <f>TRUNC((G214*J214),2)</f>
        <v>92906.880000000005</v>
      </c>
      <c r="L214" s="72">
        <f t="shared" ca="1" si="88"/>
        <v>2.0863116323490846E-2</v>
      </c>
      <c r="N214" s="12">
        <v>8</v>
      </c>
      <c r="O214" s="12">
        <v>22</v>
      </c>
      <c r="P214" s="12">
        <f>P213</f>
        <v>12</v>
      </c>
    </row>
    <row r="215" spans="1:16" ht="12.95" customHeight="1" x14ac:dyDescent="0.2">
      <c r="B215" s="67">
        <v>90781</v>
      </c>
      <c r="C215" s="223" t="s">
        <v>750</v>
      </c>
      <c r="D215" s="69" t="s">
        <v>301</v>
      </c>
      <c r="E215" s="221"/>
      <c r="F215" s="70" t="s">
        <v>51</v>
      </c>
      <c r="G215" s="71">
        <f t="shared" si="86"/>
        <v>1056</v>
      </c>
      <c r="H215" s="226">
        <v>37.4</v>
      </c>
      <c r="I215" s="71">
        <f t="shared" si="87"/>
        <v>8.98</v>
      </c>
      <c r="J215" s="71">
        <f t="shared" si="89"/>
        <v>46.379999999999995</v>
      </c>
      <c r="K215" s="71">
        <f t="shared" ref="K215" si="90">TRUNC((G215*J215),2)</f>
        <v>48977.279999999999</v>
      </c>
      <c r="L215" s="72">
        <f t="shared" ca="1" si="88"/>
        <v>1.0998310241912997E-2</v>
      </c>
      <c r="N215" s="12">
        <v>4</v>
      </c>
      <c r="O215" s="12">
        <v>22</v>
      </c>
      <c r="P215" s="12">
        <f>P213</f>
        <v>12</v>
      </c>
    </row>
    <row r="216" spans="1:16" ht="12.95" customHeight="1" x14ac:dyDescent="0.2">
      <c r="B216" s="67">
        <v>88253</v>
      </c>
      <c r="C216" s="223" t="s">
        <v>751</v>
      </c>
      <c r="D216" s="69" t="s">
        <v>302</v>
      </c>
      <c r="E216" s="221"/>
      <c r="F216" s="70" t="s">
        <v>51</v>
      </c>
      <c r="G216" s="71">
        <f t="shared" si="86"/>
        <v>1056</v>
      </c>
      <c r="H216" s="226">
        <v>19.760000000000002</v>
      </c>
      <c r="I216" s="71">
        <f t="shared" si="87"/>
        <v>4.74</v>
      </c>
      <c r="J216" s="71">
        <f t="shared" ref="J216" si="91">H216+I216</f>
        <v>24.5</v>
      </c>
      <c r="K216" s="71">
        <f>TRUNC((G216*J216),2)</f>
        <v>25872</v>
      </c>
      <c r="L216" s="72">
        <f t="shared" ca="1" si="88"/>
        <v>5.8098016586215703E-3</v>
      </c>
      <c r="N216" s="12">
        <v>4</v>
      </c>
      <c r="O216" s="12">
        <v>22</v>
      </c>
      <c r="P216" s="12">
        <f>P213</f>
        <v>12</v>
      </c>
    </row>
    <row r="217" spans="1:16" ht="12.95" customHeight="1" x14ac:dyDescent="0.2">
      <c r="B217" s="67">
        <v>88321</v>
      </c>
      <c r="C217" s="223" t="s">
        <v>752</v>
      </c>
      <c r="D217" s="69" t="s">
        <v>501</v>
      </c>
      <c r="E217" s="221"/>
      <c r="F217" s="70" t="s">
        <v>51</v>
      </c>
      <c r="G217" s="71">
        <f t="shared" ref="G217:G218" si="92">ROUND((N217*O217*P217),2)</f>
        <v>264</v>
      </c>
      <c r="H217" s="226">
        <v>42.47</v>
      </c>
      <c r="I217" s="71">
        <f t="shared" si="87"/>
        <v>10.199999999999999</v>
      </c>
      <c r="J217" s="71">
        <f t="shared" ref="J217:J218" si="93">H217+I217</f>
        <v>52.67</v>
      </c>
      <c r="K217" s="71">
        <f>TRUNC((G217*J217),2)</f>
        <v>13904.88</v>
      </c>
      <c r="L217" s="72">
        <f t="shared" ca="1" si="88"/>
        <v>3.1224719730571231E-3</v>
      </c>
      <c r="N217" s="12">
        <v>1</v>
      </c>
      <c r="O217" s="12">
        <v>22</v>
      </c>
      <c r="P217" s="12">
        <f>P213</f>
        <v>12</v>
      </c>
    </row>
    <row r="218" spans="1:16" ht="12.95" customHeight="1" x14ac:dyDescent="0.2">
      <c r="B218" s="67">
        <v>88249</v>
      </c>
      <c r="C218" s="223" t="s">
        <v>786</v>
      </c>
      <c r="D218" s="69" t="s">
        <v>500</v>
      </c>
      <c r="E218" s="221"/>
      <c r="F218" s="70" t="s">
        <v>51</v>
      </c>
      <c r="G218" s="71">
        <f t="shared" si="92"/>
        <v>264</v>
      </c>
      <c r="H218" s="226">
        <v>36.14</v>
      </c>
      <c r="I218" s="71">
        <f t="shared" si="87"/>
        <v>8.68</v>
      </c>
      <c r="J218" s="71">
        <f t="shared" si="93"/>
        <v>44.82</v>
      </c>
      <c r="K218" s="71">
        <f>TRUNC((G218*J218),2)</f>
        <v>11832.48</v>
      </c>
      <c r="L218" s="72">
        <f t="shared" ca="1" si="88"/>
        <v>2.6570950034634569E-3</v>
      </c>
      <c r="N218" s="12">
        <v>1</v>
      </c>
      <c r="O218" s="12">
        <v>22</v>
      </c>
      <c r="P218" s="12">
        <f>P213</f>
        <v>12</v>
      </c>
    </row>
    <row r="219" spans="1:16" ht="12.95" customHeight="1" x14ac:dyDescent="0.2">
      <c r="B219" s="97"/>
      <c r="C219" s="220"/>
      <c r="D219" s="98"/>
      <c r="E219" s="220"/>
      <c r="F219" s="76"/>
      <c r="G219" s="77"/>
      <c r="H219" s="77"/>
      <c r="I219" s="77"/>
      <c r="J219" s="77"/>
      <c r="K219" s="77"/>
      <c r="L219" s="99"/>
    </row>
    <row r="220" spans="1:16" s="64" customFormat="1" ht="15" customHeight="1" x14ac:dyDescent="0.2">
      <c r="B220" s="237"/>
      <c r="C220" s="238"/>
      <c r="D220" s="238"/>
      <c r="E220" s="395" t="str">
        <f>CONCATENATE("SUBTOTAL ",C210)</f>
        <v>SUBTOTAL 11</v>
      </c>
      <c r="F220" s="395"/>
      <c r="G220" s="395"/>
      <c r="H220" s="239"/>
      <c r="I220" s="396"/>
      <c r="J220" s="396"/>
      <c r="K220" s="240">
        <f>SUM(K210:K219)</f>
        <v>216659.52000000002</v>
      </c>
      <c r="L220" s="241">
        <f ca="1">SUM(L210:L219)</f>
        <v>4.8652939032628059E-2</v>
      </c>
    </row>
    <row r="221" spans="1:16" ht="5.0999999999999996" customHeight="1" x14ac:dyDescent="0.2"/>
    <row r="222" spans="1:16" s="64" customFormat="1" ht="20.100000000000001" customHeight="1" x14ac:dyDescent="0.2">
      <c r="B222" s="393" t="s">
        <v>12</v>
      </c>
      <c r="C222" s="391"/>
      <c r="D222" s="391"/>
      <c r="E222" s="391"/>
      <c r="F222" s="391"/>
      <c r="G222" s="391"/>
      <c r="H222" s="391"/>
      <c r="I222" s="391"/>
      <c r="J222" s="394"/>
      <c r="K222" s="87">
        <f ca="1">SUM(K12:K221)/2</f>
        <v>4453164.0700000031</v>
      </c>
      <c r="L222" s="88">
        <f ca="1">SUM(L12:L221)/2</f>
        <v>0.99999999999999922</v>
      </c>
      <c r="N222" s="262">
        <f ca="1">L220+L17</f>
        <v>5.1077992282462618E-2</v>
      </c>
    </row>
    <row r="223" spans="1:16" x14ac:dyDescent="0.2">
      <c r="A223" s="106"/>
      <c r="B223" s="106"/>
      <c r="C223" s="106"/>
      <c r="D223" s="106"/>
      <c r="E223" s="106"/>
      <c r="F223" s="106"/>
      <c r="G223" s="106"/>
      <c r="H223" s="106"/>
      <c r="I223" s="106"/>
      <c r="J223" s="106"/>
      <c r="K223" s="106"/>
      <c r="L223" s="106"/>
    </row>
    <row r="224" spans="1:16" ht="14.1" customHeight="1" x14ac:dyDescent="0.2">
      <c r="A224" s="106"/>
      <c r="B224" s="106"/>
      <c r="C224" s="106"/>
      <c r="D224" s="108" t="s">
        <v>18</v>
      </c>
      <c r="E224" s="106"/>
      <c r="F224" s="106"/>
      <c r="G224" s="106"/>
      <c r="H224" s="106"/>
      <c r="I224" s="106"/>
      <c r="J224" s="106"/>
      <c r="K224" s="106"/>
      <c r="L224" s="106"/>
    </row>
    <row r="225" spans="1:12" ht="5.0999999999999996" customHeight="1" x14ac:dyDescent="0.2">
      <c r="A225" s="106"/>
      <c r="B225" s="106"/>
      <c r="C225" s="106"/>
      <c r="D225" s="106"/>
      <c r="E225" s="106"/>
      <c r="F225" s="106"/>
      <c r="G225" s="106"/>
      <c r="H225" s="106"/>
      <c r="I225" s="106"/>
      <c r="J225" s="106"/>
      <c r="K225" s="106"/>
      <c r="L225" s="106"/>
    </row>
    <row r="226" spans="1:12" ht="14.1" customHeight="1" x14ac:dyDescent="0.2">
      <c r="A226" s="106"/>
      <c r="B226" s="106"/>
      <c r="C226" s="109" t="str">
        <f>C13</f>
        <v>01</v>
      </c>
      <c r="D226" s="108" t="str">
        <f>D13</f>
        <v>SERVIÇOS PRELIMINARES</v>
      </c>
      <c r="E226" s="106"/>
      <c r="F226" s="106"/>
      <c r="G226" s="106"/>
      <c r="H226" s="106"/>
      <c r="I226" s="106"/>
      <c r="J226" s="106"/>
      <c r="K226" s="107">
        <f>K24</f>
        <v>107435.70999999999</v>
      </c>
      <c r="L226" s="110">
        <f ca="1">L24</f>
        <v>2.4125702154962354E-2</v>
      </c>
    </row>
    <row r="227" spans="1:12" ht="14.1" customHeight="1" x14ac:dyDescent="0.2">
      <c r="A227" s="106"/>
      <c r="B227" s="106"/>
      <c r="C227" s="109" t="str">
        <f>C26</f>
        <v>02</v>
      </c>
      <c r="D227" s="108" t="str">
        <f>D26</f>
        <v>DEMOLIÇÕES</v>
      </c>
      <c r="E227" s="106"/>
      <c r="F227" s="106"/>
      <c r="G227" s="106"/>
      <c r="H227" s="106"/>
      <c r="I227" s="106"/>
      <c r="J227" s="106"/>
      <c r="K227" s="107">
        <f>K40</f>
        <v>607.29000000000008</v>
      </c>
      <c r="L227" s="110">
        <f ca="1">L40</f>
        <v>1.3637269825542256E-4</v>
      </c>
    </row>
    <row r="228" spans="1:12" ht="14.1" customHeight="1" x14ac:dyDescent="0.2">
      <c r="A228" s="106"/>
      <c r="B228" s="106"/>
      <c r="C228" s="109" t="str">
        <f>C42</f>
        <v>03</v>
      </c>
      <c r="D228" s="108" t="str">
        <f>D42</f>
        <v>DRENAGEM DE ÁGUAS PLUVIAIS - TERRAPLENAGEM</v>
      </c>
      <c r="E228" s="106"/>
      <c r="F228" s="106"/>
      <c r="G228" s="106"/>
      <c r="H228" s="106"/>
      <c r="I228" s="106"/>
      <c r="J228" s="106"/>
      <c r="K228" s="107">
        <f ca="1">K68</f>
        <v>310040.90999999997</v>
      </c>
      <c r="L228" s="110">
        <f ca="1">L68</f>
        <v>6.9622611052819305E-2</v>
      </c>
    </row>
    <row r="229" spans="1:12" ht="14.1" customHeight="1" x14ac:dyDescent="0.2">
      <c r="A229" s="106"/>
      <c r="B229" s="106"/>
      <c r="C229" s="109" t="str">
        <f>C70</f>
        <v>04</v>
      </c>
      <c r="D229" s="108" t="str">
        <f>D70</f>
        <v>DRENAGEM DE ÁGUAS PLUVIAIS - DISPOSITIVOS ESTRUTURAIS 01</v>
      </c>
      <c r="E229" s="106"/>
      <c r="F229" s="106"/>
      <c r="G229" s="106"/>
      <c r="H229" s="106"/>
      <c r="I229" s="106"/>
      <c r="J229" s="106"/>
      <c r="K229" s="107">
        <f>K83</f>
        <v>611362.82000000007</v>
      </c>
      <c r="L229" s="110">
        <f ca="1">L83</f>
        <v>0.13728728840660018</v>
      </c>
    </row>
    <row r="230" spans="1:12" ht="14.1" customHeight="1" x14ac:dyDescent="0.2">
      <c r="A230" s="106"/>
      <c r="B230" s="106"/>
      <c r="C230" s="109" t="str">
        <f>C85</f>
        <v>05</v>
      </c>
      <c r="D230" s="108" t="str">
        <f>D85</f>
        <v>DRENAGEM DE ÁGUAS PLUVIAIS - DISPOSITIVOS ESTRUTURAIS 02</v>
      </c>
      <c r="E230" s="106"/>
      <c r="F230" s="106"/>
      <c r="G230" s="106"/>
      <c r="H230" s="106"/>
      <c r="I230" s="106"/>
      <c r="J230" s="106"/>
      <c r="K230" s="107">
        <f>K111</f>
        <v>284297.15999999997</v>
      </c>
      <c r="L230" s="110">
        <f ca="1">L111</f>
        <v>6.3841609141519859E-2</v>
      </c>
    </row>
    <row r="231" spans="1:12" ht="14.1" customHeight="1" x14ac:dyDescent="0.2">
      <c r="A231" s="106"/>
      <c r="B231" s="106"/>
      <c r="C231" s="109" t="str">
        <f>C113</f>
        <v>06</v>
      </c>
      <c r="D231" s="108" t="str">
        <f>D113</f>
        <v>IMPLANTAÇÃO ASFÁLTICA - TERRAPLENAGEM</v>
      </c>
      <c r="E231" s="106"/>
      <c r="F231" s="106"/>
      <c r="G231" s="106"/>
      <c r="H231" s="106"/>
      <c r="I231" s="106"/>
      <c r="J231" s="106"/>
      <c r="K231" s="107">
        <f>K128</f>
        <v>165404.97</v>
      </c>
      <c r="L231" s="110">
        <f ca="1">L128</f>
        <v>3.7143246330018975E-2</v>
      </c>
    </row>
    <row r="232" spans="1:12" ht="14.1" customHeight="1" x14ac:dyDescent="0.2">
      <c r="A232" s="106"/>
      <c r="B232" s="106"/>
      <c r="C232" s="109" t="str">
        <f>C130</f>
        <v>07</v>
      </c>
      <c r="D232" s="108" t="str">
        <f>D130</f>
        <v>IMPLANTAÇÃO ASFÁLTICA - ESTRUTURA DO PAVIMENTO</v>
      </c>
      <c r="E232" s="106"/>
      <c r="F232" s="106"/>
      <c r="G232" s="106"/>
      <c r="H232" s="106"/>
      <c r="I232" s="106"/>
      <c r="J232" s="106"/>
      <c r="K232" s="107">
        <f>K160</f>
        <v>2149782.6100000003</v>
      </c>
      <c r="L232" s="110">
        <f ca="1">L160</f>
        <v>0.48275396464339082</v>
      </c>
    </row>
    <row r="233" spans="1:12" ht="14.1" customHeight="1" x14ac:dyDescent="0.2">
      <c r="A233" s="106"/>
      <c r="B233" s="106"/>
      <c r="C233" s="109" t="str">
        <f>C162</f>
        <v>08</v>
      </c>
      <c r="D233" s="108" t="str">
        <f>D162</f>
        <v>SERVIÇOS COMPLEMENTARES</v>
      </c>
      <c r="E233" s="106"/>
      <c r="F233" s="106"/>
      <c r="G233" s="106"/>
      <c r="H233" s="106"/>
      <c r="I233" s="106"/>
      <c r="J233" s="106"/>
      <c r="K233" s="107">
        <f>K171</f>
        <v>390765.26000000007</v>
      </c>
      <c r="L233" s="110">
        <f ca="1">L171</f>
        <v>8.7750025343216187E-2</v>
      </c>
    </row>
    <row r="234" spans="1:12" ht="14.1" customHeight="1" x14ac:dyDescent="0.2">
      <c r="A234" s="106"/>
      <c r="B234" s="106"/>
      <c r="C234" s="109" t="str">
        <f>C173</f>
        <v>09</v>
      </c>
      <c r="D234" s="108" t="str">
        <f>D173</f>
        <v>PASSEIO COM ACESSIBILIDADE</v>
      </c>
      <c r="E234" s="106"/>
      <c r="F234" s="106"/>
      <c r="G234" s="106"/>
      <c r="H234" s="106"/>
      <c r="I234" s="106"/>
      <c r="J234" s="106"/>
      <c r="K234" s="107">
        <f>K195</f>
        <v>143928.07999999999</v>
      </c>
      <c r="L234" s="110">
        <f ca="1">L195</f>
        <v>3.232040808233682E-2</v>
      </c>
    </row>
    <row r="235" spans="1:12" ht="14.1" customHeight="1" x14ac:dyDescent="0.2">
      <c r="A235" s="106"/>
      <c r="B235" s="106"/>
      <c r="C235" s="109" t="str">
        <f>C197</f>
        <v>10</v>
      </c>
      <c r="D235" s="108" t="str">
        <f>D197</f>
        <v>SINALIZAÇÃO VIÁRIA</v>
      </c>
      <c r="E235" s="106"/>
      <c r="F235" s="106"/>
      <c r="G235" s="106"/>
      <c r="H235" s="106"/>
      <c r="I235" s="106"/>
      <c r="J235" s="106"/>
      <c r="K235" s="107">
        <f>K208</f>
        <v>72879.739999999991</v>
      </c>
      <c r="L235" s="110">
        <f ca="1">L208</f>
        <v>1.6365833114251268E-2</v>
      </c>
    </row>
    <row r="236" spans="1:12" ht="14.1" customHeight="1" x14ac:dyDescent="0.2">
      <c r="A236" s="106"/>
      <c r="B236" s="106"/>
      <c r="C236" s="109" t="str">
        <f>C210</f>
        <v>11</v>
      </c>
      <c r="D236" s="108" t="str">
        <f>D210</f>
        <v>ADMINISTRAÇÃO LOCAL</v>
      </c>
      <c r="E236" s="106"/>
      <c r="F236" s="106"/>
      <c r="G236" s="106"/>
      <c r="H236" s="106"/>
      <c r="I236" s="106"/>
      <c r="J236" s="106"/>
      <c r="K236" s="107">
        <f>K220</f>
        <v>216659.52000000002</v>
      </c>
      <c r="L236" s="110">
        <f ca="1">L220</f>
        <v>4.8652939032628059E-2</v>
      </c>
    </row>
    <row r="237" spans="1:12" ht="5.0999999999999996" customHeight="1" x14ac:dyDescent="0.2">
      <c r="A237" s="106"/>
      <c r="B237" s="106"/>
      <c r="C237" s="106"/>
      <c r="D237" s="106"/>
      <c r="E237" s="106"/>
      <c r="F237" s="106"/>
      <c r="G237" s="106"/>
      <c r="H237" s="106"/>
      <c r="I237" s="106"/>
      <c r="J237" s="106"/>
      <c r="K237" s="106"/>
      <c r="L237" s="106"/>
    </row>
    <row r="238" spans="1:12" s="106" customFormat="1" ht="15" customHeight="1" x14ac:dyDescent="0.2">
      <c r="K238" s="107">
        <f ca="1">SUM(K225:K237)</f>
        <v>4453164.07</v>
      </c>
      <c r="L238" s="110">
        <f ca="1">SUM(L225:L237)</f>
        <v>0.99999999999999911</v>
      </c>
    </row>
    <row r="239" spans="1:12" x14ac:dyDescent="0.2">
      <c r="A239" s="106"/>
      <c r="B239" s="106"/>
      <c r="C239" s="106"/>
      <c r="D239" s="106"/>
      <c r="E239" s="106"/>
      <c r="F239" s="106"/>
      <c r="G239" s="106"/>
      <c r="H239" s="106"/>
      <c r="I239" s="106"/>
      <c r="J239" s="106"/>
      <c r="K239" s="106"/>
      <c r="L239" s="106"/>
    </row>
  </sheetData>
  <mergeCells count="37">
    <mergeCell ref="K2:L2"/>
    <mergeCell ref="H2:J2"/>
    <mergeCell ref="H3:J3"/>
    <mergeCell ref="H4:J5"/>
    <mergeCell ref="K3:L5"/>
    <mergeCell ref="B8:L8"/>
    <mergeCell ref="C10:C11"/>
    <mergeCell ref="D10:D11"/>
    <mergeCell ref="E10:E11"/>
    <mergeCell ref="F10:F11"/>
    <mergeCell ref="G10:G11"/>
    <mergeCell ref="H10:K10"/>
    <mergeCell ref="B10:B11"/>
    <mergeCell ref="L10:L11"/>
    <mergeCell ref="B222:J222"/>
    <mergeCell ref="I111:J111"/>
    <mergeCell ref="I24:J24"/>
    <mergeCell ref="I40:J40"/>
    <mergeCell ref="I195:J195"/>
    <mergeCell ref="I208:J208"/>
    <mergeCell ref="E111:G111"/>
    <mergeCell ref="E160:G160"/>
    <mergeCell ref="E24:G24"/>
    <mergeCell ref="E40:G40"/>
    <mergeCell ref="E195:G195"/>
    <mergeCell ref="E208:G208"/>
    <mergeCell ref="E220:G220"/>
    <mergeCell ref="E171:G171"/>
    <mergeCell ref="I220:J220"/>
    <mergeCell ref="I160:J160"/>
    <mergeCell ref="I171:J171"/>
    <mergeCell ref="E68:G68"/>
    <mergeCell ref="I68:J68"/>
    <mergeCell ref="E83:G83"/>
    <mergeCell ref="I83:J83"/>
    <mergeCell ref="E128:G128"/>
    <mergeCell ref="I128:J128"/>
  </mergeCells>
  <phoneticPr fontId="34"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rowBreaks count="2" manualBreakCount="2">
    <brk id="84" min="1" max="11" man="1"/>
    <brk id="208" min="1"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3"/>
  <dimension ref="B1:CJ312"/>
  <sheetViews>
    <sheetView showGridLines="0" view="pageBreakPreview" topLeftCell="A31" zoomScaleNormal="100" zoomScaleSheetLayoutView="100" workbookViewId="0">
      <selection activeCell="R80" sqref="R80"/>
    </sheetView>
  </sheetViews>
  <sheetFormatPr defaultColWidth="10.28515625" defaultRowHeight="12.75" x14ac:dyDescent="0.2"/>
  <cols>
    <col min="1" max="1" width="1.7109375" style="124" customWidth="1"/>
    <col min="2" max="2" width="2.28515625" style="124" customWidth="1"/>
    <col min="3" max="3" width="35.85546875" style="124" customWidth="1"/>
    <col min="4" max="7" width="14.7109375" style="124" customWidth="1"/>
    <col min="8" max="8" width="2.28515625" style="124" customWidth="1"/>
    <col min="9" max="9" width="3.28515625" style="124" customWidth="1"/>
    <col min="10" max="10" width="23.140625" style="124" hidden="1" customWidth="1"/>
    <col min="11" max="11" width="47.7109375" style="124" hidden="1" customWidth="1"/>
    <col min="12" max="13" width="10.28515625" style="124"/>
    <col min="14" max="14" width="18.7109375" style="124" bestFit="1" customWidth="1"/>
    <col min="15" max="15" width="0" style="124" hidden="1" customWidth="1"/>
    <col min="16" max="16" width="15.42578125" style="124" hidden="1" customWidth="1"/>
    <col min="17" max="17" width="41.7109375" style="124" hidden="1" customWidth="1"/>
    <col min="18" max="18" width="18.85546875" style="124" hidden="1" customWidth="1"/>
    <col min="19" max="25" width="11.7109375" style="124" hidden="1" customWidth="1"/>
    <col min="26" max="38" width="0" style="124" hidden="1" customWidth="1"/>
    <col min="39" max="39" width="13.85546875" style="124" hidden="1" customWidth="1"/>
    <col min="40" max="40" width="38.7109375" style="124" hidden="1" customWidth="1"/>
    <col min="41" max="41" width="11.85546875" style="124" hidden="1" customWidth="1"/>
    <col min="42" max="42" width="8.7109375" style="124" hidden="1" customWidth="1"/>
    <col min="43" max="43" width="11.85546875" style="124" hidden="1" customWidth="1"/>
    <col min="44" max="44" width="9.28515625" style="124" hidden="1" customWidth="1"/>
    <col min="45" max="45" width="11.85546875" style="124" hidden="1" customWidth="1"/>
    <col min="46" max="46" width="7.28515625" style="124" hidden="1" customWidth="1"/>
    <col min="47" max="72" width="10.28515625" style="124"/>
    <col min="73" max="73" width="22.7109375" style="124" bestFit="1" customWidth="1"/>
    <col min="74" max="74" width="29" style="124" customWidth="1"/>
    <col min="75" max="75" width="9.5703125" style="124" customWidth="1"/>
    <col min="76" max="76" width="11.5703125" style="124" customWidth="1"/>
    <col min="77" max="77" width="10.7109375" style="124" customWidth="1"/>
    <col min="78" max="78" width="10.28515625" style="124"/>
    <col min="79" max="82" width="2.42578125" style="124" customWidth="1"/>
    <col min="83" max="83" width="4.85546875" style="124" bestFit="1" customWidth="1"/>
    <col min="84" max="84" width="29.42578125" style="124" bestFit="1" customWidth="1"/>
    <col min="85" max="85" width="17" style="124" bestFit="1" customWidth="1"/>
    <col min="86" max="86" width="14.42578125" style="124" bestFit="1" customWidth="1"/>
    <col min="87" max="87" width="17" style="124" bestFit="1" customWidth="1"/>
    <col min="88" max="88" width="8.85546875" style="124" customWidth="1"/>
    <col min="89" max="98" width="2.42578125" style="124" customWidth="1"/>
    <col min="99" max="16384" width="10.28515625" style="124"/>
  </cols>
  <sheetData>
    <row r="1" spans="2:12" ht="5.0999999999999996" customHeight="1" thickBot="1" x14ac:dyDescent="0.25"/>
    <row r="2" spans="2:12" ht="21" thickBot="1" x14ac:dyDescent="0.25">
      <c r="B2" s="125"/>
      <c r="C2" s="409" t="s">
        <v>390</v>
      </c>
      <c r="D2" s="409"/>
      <c r="E2" s="409"/>
      <c r="F2" s="409"/>
      <c r="G2" s="409"/>
      <c r="H2" s="126"/>
    </row>
    <row r="3" spans="2:12" ht="3.75" customHeight="1" thickTop="1" thickBot="1" x14ac:dyDescent="0.25">
      <c r="B3" s="127"/>
      <c r="C3" s="128"/>
      <c r="D3" s="128"/>
      <c r="E3" s="128"/>
      <c r="F3" s="128"/>
      <c r="G3" s="128"/>
      <c r="H3" s="129"/>
    </row>
    <row r="4" spans="2:12" ht="3.75" customHeight="1" x14ac:dyDescent="0.2">
      <c r="B4" s="130"/>
      <c r="C4" s="131"/>
      <c r="D4" s="131"/>
      <c r="E4" s="131"/>
      <c r="F4" s="131"/>
      <c r="G4" s="131"/>
      <c r="H4" s="132"/>
    </row>
    <row r="5" spans="2:12" ht="14.25" customHeight="1" x14ac:dyDescent="0.2">
      <c r="B5" s="127"/>
      <c r="C5" s="410" t="s">
        <v>391</v>
      </c>
      <c r="D5" s="410"/>
      <c r="E5" s="410"/>
      <c r="F5" s="410"/>
      <c r="G5" s="410"/>
      <c r="H5" s="129"/>
    </row>
    <row r="6" spans="2:12" ht="3.75" customHeight="1" x14ac:dyDescent="0.2">
      <c r="B6" s="127"/>
      <c r="C6" s="133"/>
      <c r="D6" s="133"/>
      <c r="E6" s="133"/>
      <c r="F6" s="133"/>
      <c r="G6" s="133"/>
      <c r="H6" s="129"/>
    </row>
    <row r="7" spans="2:12" ht="38.25" customHeight="1" x14ac:dyDescent="0.2">
      <c r="B7" s="127"/>
      <c r="C7" s="134" t="s">
        <v>392</v>
      </c>
      <c r="D7" s="411" t="s">
        <v>393</v>
      </c>
      <c r="E7" s="412"/>
      <c r="F7" s="412"/>
      <c r="G7" s="413"/>
      <c r="H7" s="129"/>
    </row>
    <row r="8" spans="2:12" x14ac:dyDescent="0.2">
      <c r="B8" s="127"/>
      <c r="C8" s="133"/>
      <c r="H8" s="129"/>
    </row>
    <row r="9" spans="2:12" x14ac:dyDescent="0.2">
      <c r="B9" s="127"/>
      <c r="C9" s="134" t="s">
        <v>394</v>
      </c>
      <c r="G9" s="135" t="s">
        <v>395</v>
      </c>
      <c r="H9" s="129"/>
      <c r="L9" s="136" t="str">
        <f>IF(G9="","PREENCHER SE A OBRA POSSUI FOLHA DE PAGAMENTO DESONERADA","")</f>
        <v/>
      </c>
    </row>
    <row r="10" spans="2:12" x14ac:dyDescent="0.2">
      <c r="B10" s="127"/>
      <c r="C10" s="137" t="s">
        <v>396</v>
      </c>
      <c r="H10" s="129"/>
    </row>
    <row r="11" spans="2:12" x14ac:dyDescent="0.2">
      <c r="B11" s="127"/>
      <c r="C11" s="133"/>
      <c r="D11" s="133"/>
      <c r="E11" s="133"/>
      <c r="F11" s="138"/>
      <c r="G11" s="133"/>
      <c r="H11" s="129"/>
    </row>
    <row r="12" spans="2:12" x14ac:dyDescent="0.2">
      <c r="B12" s="127"/>
      <c r="C12" s="133" t="s">
        <v>397</v>
      </c>
      <c r="D12" s="133"/>
      <c r="E12" s="133"/>
      <c r="F12" s="138"/>
      <c r="G12" s="133"/>
      <c r="H12" s="129"/>
    </row>
    <row r="13" spans="2:12" ht="81" customHeight="1" x14ac:dyDescent="0.2">
      <c r="B13" s="127"/>
      <c r="C13" s="414" t="str">
        <f>VLOOKUP(BV295,BW257:BX262,2,0)</f>
        <v>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D13" s="415"/>
      <c r="E13" s="415"/>
      <c r="F13" s="415"/>
      <c r="G13" s="416"/>
      <c r="H13" s="129"/>
    </row>
    <row r="14" spans="2:12" ht="3.75" customHeight="1" x14ac:dyDescent="0.2">
      <c r="B14" s="127"/>
      <c r="C14" s="133"/>
      <c r="D14" s="133"/>
      <c r="E14" s="133"/>
      <c r="F14" s="138"/>
      <c r="G14" s="133"/>
      <c r="H14" s="129"/>
    </row>
    <row r="15" spans="2:12" x14ac:dyDescent="0.2">
      <c r="B15" s="127"/>
      <c r="C15" s="133" t="s">
        <v>398</v>
      </c>
      <c r="D15" s="133"/>
      <c r="E15" s="133"/>
      <c r="F15" s="138"/>
      <c r="G15" s="133"/>
      <c r="H15" s="129"/>
    </row>
    <row r="16" spans="2:12" ht="3.75" customHeight="1" x14ac:dyDescent="0.2">
      <c r="B16" s="127"/>
      <c r="C16" s="133"/>
      <c r="D16" s="133"/>
      <c r="E16" s="133"/>
      <c r="F16" s="138"/>
      <c r="G16" s="133"/>
      <c r="H16" s="129"/>
    </row>
    <row r="17" spans="2:49" x14ac:dyDescent="0.2">
      <c r="B17" s="127"/>
      <c r="C17" s="133" t="s">
        <v>399</v>
      </c>
      <c r="D17" s="133"/>
      <c r="E17" s="133"/>
      <c r="F17" s="417" t="s">
        <v>400</v>
      </c>
      <c r="G17" s="417"/>
      <c r="H17" s="129"/>
      <c r="L17" s="406" t="str">
        <f>IF(F17="LUCRO REAL","PARA CÁLCULO DO IMPOSTO PREENCHER O % ADOTADO DE LUCRO NO CÁLCULO DO BDI - CELULA F40","")</f>
        <v/>
      </c>
      <c r="M17" s="406"/>
      <c r="N17" s="406"/>
      <c r="O17" s="406"/>
      <c r="P17" s="406"/>
      <c r="Q17" s="406"/>
      <c r="R17" s="406"/>
      <c r="S17" s="406"/>
      <c r="T17" s="406"/>
      <c r="U17" s="406"/>
      <c r="V17" s="406"/>
      <c r="W17" s="406"/>
      <c r="X17" s="406"/>
      <c r="Y17" s="406"/>
      <c r="Z17" s="406"/>
      <c r="AA17" s="406"/>
      <c r="AB17" s="406"/>
      <c r="AC17" s="406"/>
      <c r="AD17" s="406"/>
      <c r="AE17" s="406"/>
      <c r="AF17" s="406"/>
      <c r="AG17" s="406"/>
      <c r="AH17" s="406"/>
      <c r="AI17" s="406"/>
      <c r="AJ17" s="406"/>
      <c r="AK17" s="406"/>
      <c r="AL17" s="406"/>
      <c r="AM17" s="406"/>
      <c r="AN17" s="406"/>
      <c r="AO17" s="406"/>
      <c r="AP17" s="406"/>
      <c r="AQ17" s="406"/>
      <c r="AR17" s="406"/>
      <c r="AS17" s="406"/>
      <c r="AT17" s="406"/>
      <c r="AU17" s="406"/>
      <c r="AV17" s="406"/>
      <c r="AW17" s="406"/>
    </row>
    <row r="18" spans="2:49" ht="3.75" customHeight="1" x14ac:dyDescent="0.2">
      <c r="B18" s="127"/>
      <c r="C18" s="133"/>
      <c r="D18" s="133"/>
      <c r="E18" s="133"/>
      <c r="F18" s="139"/>
      <c r="G18" s="139"/>
      <c r="H18" s="129"/>
      <c r="L18" s="406"/>
      <c r="M18" s="406"/>
      <c r="N18" s="406"/>
      <c r="O18" s="406"/>
      <c r="P18" s="406"/>
      <c r="Q18" s="406"/>
      <c r="R18" s="406"/>
      <c r="S18" s="406"/>
      <c r="T18" s="406"/>
      <c r="U18" s="406"/>
      <c r="V18" s="406"/>
      <c r="W18" s="406"/>
      <c r="X18" s="406"/>
      <c r="Y18" s="406"/>
      <c r="Z18" s="406"/>
      <c r="AA18" s="406"/>
      <c r="AB18" s="406"/>
      <c r="AC18" s="406"/>
      <c r="AD18" s="406"/>
      <c r="AE18" s="406"/>
      <c r="AF18" s="406"/>
      <c r="AG18" s="406"/>
      <c r="AH18" s="406"/>
      <c r="AI18" s="406"/>
      <c r="AJ18" s="406"/>
      <c r="AK18" s="406"/>
      <c r="AL18" s="406"/>
      <c r="AM18" s="406"/>
      <c r="AN18" s="406"/>
      <c r="AO18" s="406"/>
      <c r="AP18" s="406"/>
      <c r="AQ18" s="406"/>
      <c r="AR18" s="406"/>
      <c r="AS18" s="406"/>
      <c r="AT18" s="406"/>
      <c r="AU18" s="406"/>
      <c r="AV18" s="406"/>
      <c r="AW18" s="406"/>
    </row>
    <row r="19" spans="2:49" x14ac:dyDescent="0.2">
      <c r="B19" s="127"/>
      <c r="C19" s="139" t="s">
        <v>401</v>
      </c>
      <c r="D19" s="139" t="s">
        <v>402</v>
      </c>
      <c r="E19" s="407" t="s">
        <v>403</v>
      </c>
      <c r="F19" s="407"/>
      <c r="G19" s="407"/>
      <c r="H19" s="129"/>
      <c r="L19" s="406"/>
      <c r="M19" s="406"/>
      <c r="N19" s="406"/>
      <c r="O19" s="406"/>
      <c r="P19" s="406"/>
      <c r="Q19" s="406"/>
      <c r="R19" s="406"/>
      <c r="S19" s="406"/>
      <c r="T19" s="406"/>
      <c r="U19" s="406"/>
      <c r="V19" s="406"/>
      <c r="W19" s="406"/>
      <c r="X19" s="406"/>
      <c r="Y19" s="406"/>
      <c r="Z19" s="406"/>
      <c r="AA19" s="406"/>
      <c r="AB19" s="406"/>
      <c r="AC19" s="406"/>
      <c r="AD19" s="406"/>
      <c r="AE19" s="406"/>
      <c r="AF19" s="406"/>
      <c r="AG19" s="406"/>
      <c r="AH19" s="406"/>
      <c r="AI19" s="406"/>
      <c r="AJ19" s="406"/>
      <c r="AK19" s="406"/>
      <c r="AL19" s="406"/>
      <c r="AM19" s="406"/>
      <c r="AN19" s="406"/>
      <c r="AO19" s="406"/>
      <c r="AP19" s="406"/>
      <c r="AQ19" s="406"/>
      <c r="AR19" s="406"/>
      <c r="AS19" s="406"/>
      <c r="AT19" s="406"/>
      <c r="AU19" s="406"/>
      <c r="AV19" s="406"/>
      <c r="AW19" s="406"/>
    </row>
    <row r="20" spans="2:49" x14ac:dyDescent="0.2">
      <c r="B20" s="127"/>
      <c r="C20" s="140" t="s">
        <v>222</v>
      </c>
      <c r="D20" s="141">
        <f>VLOOKUP($F$17,$CF$266:$CI$267,2,0)</f>
        <v>6.4999999999999997E-3</v>
      </c>
      <c r="E20" s="410" t="str">
        <f>VLOOKUP(F17,CF266:CI267,4,0)</f>
        <v>RECEITA BRUTA (VALOR DA NOTA)</v>
      </c>
      <c r="F20" s="410"/>
      <c r="G20" s="410"/>
      <c r="H20" s="129"/>
    </row>
    <row r="21" spans="2:49" x14ac:dyDescent="0.2">
      <c r="B21" s="127"/>
      <c r="C21" s="140" t="s">
        <v>223</v>
      </c>
      <c r="D21" s="141">
        <f>VLOOKUP($F$17,$CF$266:$CI$267,3,0)</f>
        <v>0.03</v>
      </c>
      <c r="E21" s="410"/>
      <c r="F21" s="410"/>
      <c r="G21" s="410"/>
      <c r="H21" s="129"/>
    </row>
    <row r="22" spans="2:49" x14ac:dyDescent="0.2">
      <c r="B22" s="127"/>
      <c r="C22" s="133"/>
      <c r="D22" s="133"/>
      <c r="E22" s="133"/>
      <c r="F22" s="139"/>
      <c r="G22" s="139"/>
      <c r="H22" s="129"/>
    </row>
    <row r="23" spans="2:49" x14ac:dyDescent="0.2">
      <c r="B23" s="127"/>
      <c r="C23" s="133" t="s">
        <v>404</v>
      </c>
      <c r="D23" s="133"/>
      <c r="E23" s="418" t="s">
        <v>405</v>
      </c>
      <c r="F23" s="418"/>
      <c r="G23" s="418"/>
      <c r="H23" s="129"/>
    </row>
    <row r="24" spans="2:49" x14ac:dyDescent="0.2">
      <c r="B24" s="127"/>
      <c r="C24" s="142">
        <v>0.05</v>
      </c>
      <c r="D24" s="143"/>
      <c r="E24" s="419">
        <v>0.4</v>
      </c>
      <c r="F24" s="419"/>
      <c r="G24" s="419"/>
      <c r="H24" s="129"/>
    </row>
    <row r="25" spans="2:49" ht="3.75" customHeight="1" x14ac:dyDescent="0.2">
      <c r="B25" s="127"/>
      <c r="D25" s="133"/>
      <c r="E25" s="133" t="s">
        <v>406</v>
      </c>
      <c r="F25" s="133"/>
      <c r="G25" s="133"/>
      <c r="H25" s="129"/>
    </row>
    <row r="26" spans="2:49" x14ac:dyDescent="0.2">
      <c r="B26" s="127"/>
      <c r="C26" s="133" t="s">
        <v>407</v>
      </c>
      <c r="D26" s="141">
        <f>+C24*E24</f>
        <v>2.0000000000000004E-2</v>
      </c>
      <c r="E26" s="144"/>
      <c r="F26" s="145"/>
      <c r="H26" s="129"/>
    </row>
    <row r="27" spans="2:49" ht="3.75" customHeight="1" x14ac:dyDescent="0.2">
      <c r="B27" s="127"/>
      <c r="D27" s="141"/>
      <c r="H27" s="129"/>
    </row>
    <row r="28" spans="2:49" ht="15.75" x14ac:dyDescent="0.25">
      <c r="B28" s="127"/>
      <c r="E28" s="420" t="s">
        <v>408</v>
      </c>
      <c r="F28" s="420"/>
      <c r="G28" s="146">
        <f>VLOOKUP(F17,CF266:CJ267,5,0)</f>
        <v>5.6500000000000002E-2</v>
      </c>
      <c r="H28" s="129"/>
    </row>
    <row r="29" spans="2:49" ht="3.75" customHeight="1" x14ac:dyDescent="0.2">
      <c r="B29" s="127"/>
      <c r="D29" s="141"/>
      <c r="H29" s="129"/>
    </row>
    <row r="30" spans="2:49" ht="26.25" customHeight="1" x14ac:dyDescent="0.2">
      <c r="B30" s="127"/>
      <c r="C30" s="421" t="s">
        <v>409</v>
      </c>
      <c r="D30" s="421"/>
      <c r="E30" s="421"/>
      <c r="F30" s="421"/>
      <c r="G30" s="421"/>
      <c r="H30" s="129"/>
    </row>
    <row r="31" spans="2:49" ht="3.75" customHeight="1" thickBot="1" x14ac:dyDescent="0.25">
      <c r="B31" s="147"/>
      <c r="C31" s="408"/>
      <c r="D31" s="408"/>
      <c r="E31" s="408"/>
      <c r="F31" s="408"/>
      <c r="G31" s="408"/>
      <c r="H31" s="148"/>
    </row>
    <row r="32" spans="2:49" ht="6.75" customHeight="1" thickBot="1" x14ac:dyDescent="0.25">
      <c r="B32" s="127"/>
      <c r="H32" s="129"/>
    </row>
    <row r="33" spans="2:10" x14ac:dyDescent="0.2">
      <c r="B33" s="130"/>
      <c r="C33" s="149"/>
      <c r="D33" s="149"/>
      <c r="E33" s="149"/>
      <c r="F33" s="149"/>
      <c r="G33" s="149"/>
      <c r="H33" s="132"/>
    </row>
    <row r="34" spans="2:10" x14ac:dyDescent="0.2">
      <c r="B34" s="127"/>
      <c r="C34" s="420" t="s">
        <v>410</v>
      </c>
      <c r="D34" s="420"/>
      <c r="E34" s="420"/>
      <c r="F34" s="420"/>
      <c r="G34" s="420"/>
      <c r="H34" s="129"/>
    </row>
    <row r="35" spans="2:10" x14ac:dyDescent="0.2">
      <c r="B35" s="127"/>
      <c r="C35" s="420"/>
      <c r="D35" s="420"/>
      <c r="E35" s="420"/>
      <c r="F35" s="420"/>
      <c r="G35" s="420"/>
      <c r="H35" s="129"/>
    </row>
    <row r="36" spans="2:10" x14ac:dyDescent="0.2">
      <c r="B36" s="127"/>
      <c r="C36" s="150" t="s">
        <v>411</v>
      </c>
      <c r="D36" s="150" t="s">
        <v>220</v>
      </c>
      <c r="E36" s="150" t="s">
        <v>219</v>
      </c>
      <c r="F36" s="150" t="s">
        <v>218</v>
      </c>
      <c r="G36" s="151" t="s">
        <v>412</v>
      </c>
      <c r="H36" s="129"/>
      <c r="J36" s="152" t="s">
        <v>413</v>
      </c>
    </row>
    <row r="37" spans="2:10" x14ac:dyDescent="0.2">
      <c r="B37" s="127"/>
      <c r="C37" s="153" t="s">
        <v>414</v>
      </c>
      <c r="D37" s="154">
        <f t="shared" ref="D37:F41" si="0">BW296</f>
        <v>3.7999999999999999E-2</v>
      </c>
      <c r="E37" s="154">
        <f t="shared" si="0"/>
        <v>4.0099999999999997E-2</v>
      </c>
      <c r="F37" s="154">
        <f t="shared" si="0"/>
        <v>4.6699999999999998E-2</v>
      </c>
      <c r="G37" s="155">
        <v>4.6699999999999998E-2</v>
      </c>
      <c r="H37" s="156"/>
      <c r="I37" s="157"/>
      <c r="J37" s="157">
        <f>TRUNC(G37,4)</f>
        <v>4.6699999999999998E-2</v>
      </c>
    </row>
    <row r="38" spans="2:10" ht="23.45" customHeight="1" x14ac:dyDescent="0.2">
      <c r="B38" s="127"/>
      <c r="C38" s="153" t="s">
        <v>415</v>
      </c>
      <c r="D38" s="154">
        <f t="shared" si="0"/>
        <v>3.2000000000000002E-3</v>
      </c>
      <c r="E38" s="154">
        <f t="shared" si="0"/>
        <v>4.0000000000000001E-3</v>
      </c>
      <c r="F38" s="154">
        <f t="shared" si="0"/>
        <v>7.4000000000000003E-3</v>
      </c>
      <c r="G38" s="155">
        <v>7.4000000000000003E-3</v>
      </c>
      <c r="H38" s="156"/>
      <c r="I38" s="157"/>
      <c r="J38" s="157">
        <f>TRUNC(G38,4)</f>
        <v>7.4000000000000003E-3</v>
      </c>
    </row>
    <row r="39" spans="2:10" x14ac:dyDescent="0.2">
      <c r="B39" s="127"/>
      <c r="C39" s="153" t="s">
        <v>416</v>
      </c>
      <c r="D39" s="154">
        <f t="shared" si="0"/>
        <v>5.0000000000000001E-3</v>
      </c>
      <c r="E39" s="154">
        <f t="shared" si="0"/>
        <v>5.5999999999999999E-3</v>
      </c>
      <c r="F39" s="154">
        <f t="shared" si="0"/>
        <v>9.7000000000000003E-3</v>
      </c>
      <c r="G39" s="155">
        <v>9.7000000000000003E-3</v>
      </c>
      <c r="H39" s="156"/>
      <c r="I39" s="157"/>
      <c r="J39" s="157">
        <f>TRUNC(G39,4)</f>
        <v>9.7000000000000003E-3</v>
      </c>
    </row>
    <row r="40" spans="2:10" x14ac:dyDescent="0.2">
      <c r="B40" s="127"/>
      <c r="C40" s="153" t="s">
        <v>417</v>
      </c>
      <c r="D40" s="154">
        <f t="shared" si="0"/>
        <v>1.0200000000000001E-2</v>
      </c>
      <c r="E40" s="154">
        <f t="shared" si="0"/>
        <v>1.11E-2</v>
      </c>
      <c r="F40" s="154">
        <f t="shared" si="0"/>
        <v>1.21E-2</v>
      </c>
      <c r="G40" s="155">
        <v>1.21E-2</v>
      </c>
      <c r="H40" s="156"/>
      <c r="I40" s="157"/>
      <c r="J40" s="157">
        <f>TRUNC(G40,4)</f>
        <v>1.21E-2</v>
      </c>
    </row>
    <row r="41" spans="2:10" x14ac:dyDescent="0.2">
      <c r="B41" s="127"/>
      <c r="C41" s="153" t="s">
        <v>418</v>
      </c>
      <c r="D41" s="154">
        <f t="shared" si="0"/>
        <v>6.6400000000000001E-2</v>
      </c>
      <c r="E41" s="154">
        <f t="shared" si="0"/>
        <v>7.2999999999999995E-2</v>
      </c>
      <c r="F41" s="154">
        <f t="shared" si="0"/>
        <v>8.6900000000000005E-2</v>
      </c>
      <c r="G41" s="155">
        <v>8.6900000000000005E-2</v>
      </c>
      <c r="H41" s="156"/>
      <c r="I41" s="157"/>
      <c r="J41" s="157">
        <f>TRUNC(G41,4)</f>
        <v>8.6900000000000005E-2</v>
      </c>
    </row>
    <row r="42" spans="2:10" ht="3.75" customHeight="1" x14ac:dyDescent="0.2">
      <c r="B42" s="127"/>
      <c r="C42" s="153"/>
      <c r="D42" s="154"/>
      <c r="E42" s="154"/>
      <c r="F42" s="154"/>
      <c r="H42" s="156"/>
      <c r="I42" s="157"/>
    </row>
    <row r="43" spans="2:10" x14ac:dyDescent="0.2">
      <c r="B43" s="127"/>
      <c r="C43" s="158" t="s">
        <v>419</v>
      </c>
      <c r="D43" s="154"/>
      <c r="E43" s="154"/>
      <c r="F43" s="154"/>
      <c r="G43" s="159">
        <f>G28</f>
        <v>5.6500000000000002E-2</v>
      </c>
      <c r="H43" s="156"/>
      <c r="I43" s="157"/>
      <c r="J43" s="160">
        <f>TRUNC(G43,5)</f>
        <v>5.6500000000000002E-2</v>
      </c>
    </row>
    <row r="44" spans="2:10" ht="3.75" customHeight="1" x14ac:dyDescent="0.2">
      <c r="B44" s="127"/>
      <c r="C44" s="158"/>
      <c r="D44" s="154"/>
      <c r="E44" s="154"/>
      <c r="F44" s="154"/>
      <c r="G44" s="159"/>
      <c r="H44" s="156"/>
      <c r="I44" s="157"/>
      <c r="J44" s="160"/>
    </row>
    <row r="45" spans="2:10" x14ac:dyDescent="0.2">
      <c r="B45" s="127"/>
      <c r="H45" s="156"/>
      <c r="I45" s="157"/>
    </row>
    <row r="46" spans="2:10" x14ac:dyDescent="0.2">
      <c r="B46" s="127"/>
      <c r="H46" s="129"/>
    </row>
    <row r="47" spans="2:10" x14ac:dyDescent="0.2">
      <c r="B47" s="127"/>
      <c r="H47" s="129"/>
    </row>
    <row r="48" spans="2:10" x14ac:dyDescent="0.2">
      <c r="B48" s="127"/>
      <c r="H48" s="129"/>
    </row>
    <row r="49" spans="2:10" x14ac:dyDescent="0.2">
      <c r="B49" s="127"/>
      <c r="H49" s="129"/>
    </row>
    <row r="50" spans="2:10" ht="15.75" x14ac:dyDescent="0.25">
      <c r="B50" s="127"/>
      <c r="C50" s="161" t="s">
        <v>420</v>
      </c>
      <c r="F50" s="423">
        <f>TRUNC((((1+J37+J38+J39)*(1+J40)*(1+J41))/(1-J43))-1,4)</f>
        <v>0.24030000000000001</v>
      </c>
      <c r="G50" s="423"/>
      <c r="H50" s="129"/>
    </row>
    <row r="51" spans="2:10" ht="3.75" customHeight="1" x14ac:dyDescent="0.25">
      <c r="B51" s="127"/>
      <c r="C51" s="161"/>
      <c r="F51" s="162"/>
      <c r="G51" s="162"/>
      <c r="H51" s="129"/>
    </row>
    <row r="52" spans="2:10" x14ac:dyDescent="0.2">
      <c r="B52" s="127"/>
      <c r="C52" s="424" t="str">
        <f>IF(F50&lt;D54,"ERRO - BDI INFERIOR AO 1º QUARTIL",IF(F50&gt;F54,"ERRO - BDI SUPERIOR AO 3º QUARTIL",""))</f>
        <v/>
      </c>
      <c r="D52" s="424"/>
      <c r="E52" s="424"/>
      <c r="F52" s="424"/>
      <c r="G52" s="424"/>
      <c r="H52" s="129"/>
    </row>
    <row r="53" spans="2:10" x14ac:dyDescent="0.2">
      <c r="B53" s="127"/>
      <c r="D53" s="150" t="s">
        <v>220</v>
      </c>
      <c r="E53" s="150" t="s">
        <v>219</v>
      </c>
      <c r="F53" s="150" t="s">
        <v>218</v>
      </c>
      <c r="H53" s="129"/>
    </row>
    <row r="54" spans="2:10" x14ac:dyDescent="0.2">
      <c r="B54" s="127"/>
      <c r="C54" s="158" t="s">
        <v>421</v>
      </c>
      <c r="D54" s="154">
        <f>BW295</f>
        <v>0.19600000000000001</v>
      </c>
      <c r="E54" s="154">
        <f>BX295</f>
        <v>0.2097</v>
      </c>
      <c r="F54" s="154">
        <f>BY295</f>
        <v>0.24229999999999999</v>
      </c>
      <c r="H54" s="129"/>
    </row>
    <row r="55" spans="2:10" ht="3.75" customHeight="1" x14ac:dyDescent="0.2">
      <c r="B55" s="127"/>
      <c r="C55" s="158"/>
      <c r="D55" s="154"/>
      <c r="E55" s="154"/>
      <c r="F55" s="154"/>
      <c r="H55" s="129"/>
    </row>
    <row r="56" spans="2:10" x14ac:dyDescent="0.2">
      <c r="B56" s="127"/>
      <c r="C56" s="420" t="s">
        <v>422</v>
      </c>
      <c r="D56" s="420"/>
      <c r="E56" s="420"/>
      <c r="F56" s="420"/>
      <c r="G56" s="420"/>
      <c r="H56" s="129"/>
    </row>
    <row r="57" spans="2:10" ht="3.75" customHeight="1" x14ac:dyDescent="0.2">
      <c r="B57" s="127"/>
      <c r="C57" s="140"/>
      <c r="D57" s="140"/>
      <c r="E57" s="140"/>
      <c r="F57" s="140"/>
      <c r="G57" s="140"/>
      <c r="H57" s="129"/>
    </row>
    <row r="58" spans="2:10" ht="37.5" customHeight="1" x14ac:dyDescent="0.2">
      <c r="B58" s="127"/>
      <c r="C58" s="425" t="s">
        <v>423</v>
      </c>
      <c r="D58" s="425"/>
      <c r="E58" s="425"/>
      <c r="F58" s="426">
        <f>TRUNC((((1+J37+J38+J39)*(1+J40)*(1+J41))/(1-J60))-1,4)</f>
        <v>0.28949999999999998</v>
      </c>
      <c r="G58" s="426"/>
      <c r="H58" s="129"/>
    </row>
    <row r="59" spans="2:10" ht="3.75" customHeight="1" x14ac:dyDescent="0.2">
      <c r="B59" s="127"/>
      <c r="C59" s="163"/>
      <c r="D59" s="164"/>
      <c r="E59" s="164"/>
      <c r="F59" s="164"/>
      <c r="G59" s="165"/>
      <c r="H59" s="129"/>
    </row>
    <row r="60" spans="2:10" ht="15.75" x14ac:dyDescent="0.25">
      <c r="B60" s="127"/>
      <c r="C60" s="166" t="s">
        <v>424</v>
      </c>
      <c r="D60" s="167">
        <v>3.5999999999999997E-2</v>
      </c>
      <c r="E60" s="427" t="s">
        <v>408</v>
      </c>
      <c r="F60" s="427"/>
      <c r="G60" s="168">
        <f>+G28+D60</f>
        <v>9.2499999999999999E-2</v>
      </c>
      <c r="H60" s="129"/>
      <c r="J60" s="160">
        <f>TRUNC(G60,5)</f>
        <v>9.2499999999999999E-2</v>
      </c>
    </row>
    <row r="61" spans="2:10" ht="3.75" customHeight="1" x14ac:dyDescent="0.2">
      <c r="B61" s="127"/>
      <c r="C61" s="163"/>
      <c r="D61" s="164"/>
      <c r="E61" s="164"/>
      <c r="F61" s="164"/>
      <c r="G61" s="165"/>
      <c r="H61" s="129"/>
    </row>
    <row r="62" spans="2:10" x14ac:dyDescent="0.2">
      <c r="B62" s="127"/>
      <c r="C62" s="165"/>
      <c r="D62" s="165"/>
      <c r="E62" s="165"/>
      <c r="F62" s="165"/>
      <c r="G62" s="165"/>
      <c r="H62" s="129"/>
    </row>
    <row r="63" spans="2:10" ht="15" x14ac:dyDescent="0.25">
      <c r="B63" s="127"/>
      <c r="C63" s="165"/>
      <c r="D63" s="165"/>
      <c r="E63" s="165"/>
      <c r="F63" s="165"/>
      <c r="G63" s="165"/>
      <c r="H63" s="129"/>
      <c r="J63" s="169"/>
    </row>
    <row r="64" spans="2:10" ht="15" x14ac:dyDescent="0.25">
      <c r="B64" s="127"/>
      <c r="C64" s="165"/>
      <c r="D64" s="165"/>
      <c r="E64" s="165"/>
      <c r="F64" s="165"/>
      <c r="G64" s="165"/>
      <c r="H64" s="129"/>
      <c r="J64" s="169"/>
    </row>
    <row r="65" spans="2:10" x14ac:dyDescent="0.2">
      <c r="B65" s="428" t="s">
        <v>425</v>
      </c>
      <c r="C65" s="429"/>
      <c r="D65" s="429"/>
      <c r="E65" s="429"/>
      <c r="F65" s="429"/>
      <c r="G65" s="429"/>
      <c r="H65" s="430"/>
      <c r="J65" s="170"/>
    </row>
    <row r="66" spans="2:10" ht="25.5" customHeight="1" x14ac:dyDescent="0.25">
      <c r="B66" s="431" t="s">
        <v>426</v>
      </c>
      <c r="C66" s="429"/>
      <c r="D66" s="429"/>
      <c r="E66" s="429"/>
      <c r="F66" s="429"/>
      <c r="G66" s="429"/>
      <c r="H66" s="430"/>
      <c r="J66" s="169"/>
    </row>
    <row r="67" spans="2:10" ht="15.75" thickBot="1" x14ac:dyDescent="0.3">
      <c r="B67" s="432"/>
      <c r="C67" s="422"/>
      <c r="D67" s="422"/>
      <c r="E67" s="422"/>
      <c r="F67" s="422"/>
      <c r="G67" s="422"/>
      <c r="H67" s="433"/>
      <c r="J67" s="169"/>
    </row>
    <row r="73" spans="2:10" x14ac:dyDescent="0.2">
      <c r="J73" s="171"/>
    </row>
    <row r="74" spans="2:10" ht="15" x14ac:dyDescent="0.25">
      <c r="J74" s="172"/>
    </row>
    <row r="75" spans="2:10" ht="15" x14ac:dyDescent="0.25">
      <c r="J75" s="172"/>
    </row>
    <row r="76" spans="2:10" ht="15" x14ac:dyDescent="0.25">
      <c r="J76" s="172"/>
    </row>
    <row r="77" spans="2:10" ht="15" x14ac:dyDescent="0.25">
      <c r="J77" s="172"/>
    </row>
    <row r="78" spans="2:10" ht="15" x14ac:dyDescent="0.25">
      <c r="J78" s="172"/>
    </row>
    <row r="79" spans="2:10" ht="15" x14ac:dyDescent="0.25">
      <c r="J79" s="172"/>
    </row>
    <row r="80" spans="2:10" ht="15" x14ac:dyDescent="0.25">
      <c r="J80" s="172"/>
    </row>
    <row r="81" spans="10:16" ht="15" x14ac:dyDescent="0.25">
      <c r="J81" s="172"/>
    </row>
    <row r="82" spans="10:16" ht="15" x14ac:dyDescent="0.25">
      <c r="J82" s="172"/>
    </row>
    <row r="83" spans="10:16" ht="15" x14ac:dyDescent="0.25">
      <c r="J83" s="173"/>
    </row>
    <row r="84" spans="10:16" ht="15" x14ac:dyDescent="0.25">
      <c r="J84" s="173"/>
    </row>
    <row r="85" spans="10:16" ht="15" x14ac:dyDescent="0.25">
      <c r="J85" s="173"/>
    </row>
    <row r="89" spans="10:16" ht="15" x14ac:dyDescent="0.25">
      <c r="O89" s="172"/>
      <c r="P89" s="157"/>
    </row>
    <row r="90" spans="10:16" ht="15" x14ac:dyDescent="0.25">
      <c r="O90" s="172"/>
      <c r="P90" s="157"/>
    </row>
    <row r="91" spans="10:16" ht="15" x14ac:dyDescent="0.25">
      <c r="O91" s="172"/>
      <c r="P91" s="157"/>
    </row>
    <row r="92" spans="10:16" ht="15" x14ac:dyDescent="0.25">
      <c r="O92" s="172"/>
      <c r="P92" s="157"/>
    </row>
    <row r="93" spans="10:16" ht="15" x14ac:dyDescent="0.25">
      <c r="O93" s="172"/>
      <c r="P93" s="157"/>
    </row>
    <row r="94" spans="10:16" ht="15" x14ac:dyDescent="0.25">
      <c r="O94" s="172"/>
      <c r="P94" s="157"/>
    </row>
    <row r="95" spans="10:16" ht="15" x14ac:dyDescent="0.25">
      <c r="O95" s="172"/>
      <c r="P95" s="157"/>
    </row>
    <row r="96" spans="10:16" ht="15" x14ac:dyDescent="0.25">
      <c r="O96" s="172"/>
      <c r="P96" s="157"/>
    </row>
    <row r="97" spans="15:16" ht="15" x14ac:dyDescent="0.25">
      <c r="O97" s="172"/>
      <c r="P97" s="157"/>
    </row>
    <row r="98" spans="15:16" ht="15" x14ac:dyDescent="0.25">
      <c r="O98" s="172"/>
      <c r="P98" s="157"/>
    </row>
    <row r="99" spans="15:16" ht="15" x14ac:dyDescent="0.25">
      <c r="O99" s="172"/>
      <c r="P99" s="157"/>
    </row>
    <row r="100" spans="15:16" ht="15" x14ac:dyDescent="0.25">
      <c r="O100" s="172"/>
    </row>
    <row r="101" spans="15:16" ht="15" x14ac:dyDescent="0.25">
      <c r="O101" s="172"/>
    </row>
    <row r="102" spans="15:16" ht="15" x14ac:dyDescent="0.25">
      <c r="O102" s="172"/>
    </row>
    <row r="103" spans="15:16" ht="15" x14ac:dyDescent="0.25">
      <c r="O103" s="172"/>
    </row>
    <row r="254" spans="73:77" ht="13.5" thickBot="1" x14ac:dyDescent="0.25"/>
    <row r="255" spans="73:77" x14ac:dyDescent="0.2">
      <c r="BU255" s="434" t="s">
        <v>427</v>
      </c>
      <c r="BV255" s="435"/>
      <c r="BW255" s="435"/>
      <c r="BX255" s="435"/>
      <c r="BY255" s="436"/>
    </row>
    <row r="256" spans="73:77" x14ac:dyDescent="0.2">
      <c r="BU256" s="127"/>
      <c r="BV256" s="124" t="s">
        <v>428</v>
      </c>
      <c r="BW256" s="124" t="s">
        <v>50</v>
      </c>
      <c r="BX256" s="124" t="s">
        <v>429</v>
      </c>
      <c r="BY256" s="129"/>
    </row>
    <row r="257" spans="73:88" x14ac:dyDescent="0.2">
      <c r="BU257" s="174">
        <v>100</v>
      </c>
      <c r="BV257" s="175" t="s">
        <v>430</v>
      </c>
      <c r="BW257" s="133">
        <f t="shared" ref="BW257:BW262" si="1">+BU257</f>
        <v>100</v>
      </c>
      <c r="BX257" s="138" t="s">
        <v>431</v>
      </c>
      <c r="BY257" s="129"/>
    </row>
    <row r="258" spans="73:88" ht="25.5" x14ac:dyDescent="0.2">
      <c r="BU258" s="174">
        <v>200</v>
      </c>
      <c r="BV258" s="175" t="s">
        <v>393</v>
      </c>
      <c r="BW258" s="133">
        <f t="shared" si="1"/>
        <v>200</v>
      </c>
      <c r="BX258" s="138" t="s">
        <v>432</v>
      </c>
      <c r="BY258" s="129"/>
    </row>
    <row r="259" spans="73:88" ht="57" x14ac:dyDescent="0.2">
      <c r="BU259" s="174">
        <v>300</v>
      </c>
      <c r="BV259" s="176" t="s">
        <v>433</v>
      </c>
      <c r="BW259" s="133">
        <f t="shared" si="1"/>
        <v>300</v>
      </c>
      <c r="BX259" s="138" t="s">
        <v>434</v>
      </c>
      <c r="BY259" s="129"/>
    </row>
    <row r="260" spans="73:88" ht="57" x14ac:dyDescent="0.2">
      <c r="BU260" s="174">
        <v>400</v>
      </c>
      <c r="BV260" s="176" t="s">
        <v>435</v>
      </c>
      <c r="BW260" s="133">
        <f t="shared" si="1"/>
        <v>400</v>
      </c>
      <c r="BX260" s="138" t="s">
        <v>436</v>
      </c>
      <c r="BY260" s="129"/>
    </row>
    <row r="261" spans="73:88" x14ac:dyDescent="0.2">
      <c r="BU261" s="174">
        <v>500</v>
      </c>
      <c r="BV261" s="175" t="s">
        <v>437</v>
      </c>
      <c r="BW261" s="133">
        <f t="shared" si="1"/>
        <v>500</v>
      </c>
      <c r="BX261" s="138" t="s">
        <v>438</v>
      </c>
      <c r="BY261" s="129"/>
    </row>
    <row r="262" spans="73:88" ht="25.5" x14ac:dyDescent="0.2">
      <c r="BU262" s="174">
        <v>600</v>
      </c>
      <c r="BV262" s="175" t="s">
        <v>439</v>
      </c>
      <c r="BW262" s="133">
        <f t="shared" si="1"/>
        <v>600</v>
      </c>
      <c r="BX262" s="138" t="s">
        <v>440</v>
      </c>
      <c r="BY262" s="129"/>
    </row>
    <row r="263" spans="73:88" x14ac:dyDescent="0.2">
      <c r="BU263" s="174"/>
      <c r="BV263" s="133"/>
      <c r="BW263" s="133"/>
      <c r="BX263" s="138"/>
      <c r="BY263" s="129"/>
    </row>
    <row r="264" spans="73:88" x14ac:dyDescent="0.2">
      <c r="BU264" s="177"/>
      <c r="BV264" s="138"/>
      <c r="BW264" s="138"/>
      <c r="BX264" s="138"/>
      <c r="BY264" s="129"/>
    </row>
    <row r="265" spans="73:88" x14ac:dyDescent="0.2">
      <c r="BU265" s="177"/>
      <c r="BV265" s="138"/>
      <c r="BW265" s="138"/>
      <c r="BX265" s="138"/>
      <c r="BY265" s="129"/>
      <c r="CG265" s="124" t="s">
        <v>222</v>
      </c>
      <c r="CH265" s="124" t="s">
        <v>441</v>
      </c>
      <c r="CI265" s="124" t="s">
        <v>442</v>
      </c>
    </row>
    <row r="266" spans="73:88" x14ac:dyDescent="0.2">
      <c r="BU266" s="127"/>
      <c r="BY266" s="129"/>
      <c r="CF266" s="124" t="s">
        <v>400</v>
      </c>
      <c r="CG266" s="157">
        <v>6.4999999999999997E-3</v>
      </c>
      <c r="CH266" s="178">
        <v>0.03</v>
      </c>
      <c r="CI266" s="124" t="s">
        <v>443</v>
      </c>
      <c r="CJ266" s="157">
        <f>(D20+D21)+D26</f>
        <v>5.6500000000000002E-2</v>
      </c>
    </row>
    <row r="267" spans="73:88" x14ac:dyDescent="0.2">
      <c r="BU267" s="127"/>
      <c r="BY267" s="129"/>
      <c r="CF267" s="124" t="s">
        <v>444</v>
      </c>
      <c r="CG267" s="157">
        <v>1.6500000000000001E-2</v>
      </c>
      <c r="CH267" s="157">
        <v>7.5999999999999998E-2</v>
      </c>
      <c r="CI267" s="124" t="s">
        <v>221</v>
      </c>
      <c r="CJ267" s="157">
        <f>(D20+D21)*(G41/(1+G41))+D26</f>
        <v>2.2918253749194963E-2</v>
      </c>
    </row>
    <row r="268" spans="73:88" x14ac:dyDescent="0.2">
      <c r="BU268" s="127"/>
      <c r="BY268" s="129"/>
    </row>
    <row r="269" spans="73:88" x14ac:dyDescent="0.2">
      <c r="BU269" s="179"/>
      <c r="BV269" s="180"/>
      <c r="BW269" s="180"/>
      <c r="BY269" s="129"/>
    </row>
    <row r="270" spans="73:88" x14ac:dyDescent="0.2">
      <c r="BU270" s="127"/>
      <c r="BY270" s="129"/>
    </row>
    <row r="271" spans="73:88" ht="13.5" thickBot="1" x14ac:dyDescent="0.25">
      <c r="BU271" s="127"/>
      <c r="BY271" s="129"/>
      <c r="CE271" s="124">
        <f>BU257</f>
        <v>100</v>
      </c>
      <c r="CF271" s="422" t="str">
        <f>BV257</f>
        <v>Construção de edificios</v>
      </c>
      <c r="CG271" s="422"/>
      <c r="CH271" s="422"/>
      <c r="CI271" s="422"/>
    </row>
    <row r="272" spans="73:88" ht="15" thickBot="1" x14ac:dyDescent="0.25">
      <c r="BU272" s="127"/>
      <c r="BY272" s="129"/>
      <c r="CE272" s="124">
        <f>+CE271+1</f>
        <v>101</v>
      </c>
      <c r="CF272" s="181" t="s">
        <v>414</v>
      </c>
      <c r="CG272" s="182">
        <v>0.03</v>
      </c>
      <c r="CH272" s="182">
        <v>0.04</v>
      </c>
      <c r="CI272" s="182">
        <v>5.5E-2</v>
      </c>
    </row>
    <row r="273" spans="73:87" ht="15" thickBot="1" x14ac:dyDescent="0.25">
      <c r="BU273" s="127"/>
      <c r="BY273" s="129"/>
      <c r="CE273" s="124">
        <f>+CE272+1</f>
        <v>102</v>
      </c>
      <c r="CF273" s="181" t="s">
        <v>415</v>
      </c>
      <c r="CG273" s="182">
        <v>8.0000000000000002E-3</v>
      </c>
      <c r="CH273" s="182">
        <v>8.0000000000000002E-3</v>
      </c>
      <c r="CI273" s="182">
        <v>0.01</v>
      </c>
    </row>
    <row r="274" spans="73:87" ht="15" thickBot="1" x14ac:dyDescent="0.25">
      <c r="BU274" s="127"/>
      <c r="BY274" s="129"/>
      <c r="CE274" s="124">
        <f>+CE273+1</f>
        <v>103</v>
      </c>
      <c r="CF274" s="181" t="s">
        <v>416</v>
      </c>
      <c r="CG274" s="182">
        <v>9.7000000000000003E-3</v>
      </c>
      <c r="CH274" s="182">
        <v>1.2699999999999999E-2</v>
      </c>
      <c r="CI274" s="182">
        <v>1.2699999999999999E-2</v>
      </c>
    </row>
    <row r="275" spans="73:87" ht="15" thickBot="1" x14ac:dyDescent="0.25">
      <c r="BU275" s="179"/>
      <c r="BV275" s="180"/>
      <c r="BW275" s="180"/>
      <c r="BY275" s="129"/>
      <c r="CE275" s="124">
        <f>+CE274+1</f>
        <v>104</v>
      </c>
      <c r="CF275" s="181" t="s">
        <v>417</v>
      </c>
      <c r="CG275" s="182">
        <v>5.8999999999999999E-3</v>
      </c>
      <c r="CH275" s="182">
        <v>1.23E-2</v>
      </c>
      <c r="CI275" s="182">
        <v>1.3899999999999999E-2</v>
      </c>
    </row>
    <row r="276" spans="73:87" ht="15" thickBot="1" x14ac:dyDescent="0.25">
      <c r="BU276" s="127"/>
      <c r="BY276" s="129"/>
      <c r="CE276" s="124">
        <f>+CE275+1</f>
        <v>105</v>
      </c>
      <c r="CF276" s="181" t="s">
        <v>418</v>
      </c>
      <c r="CG276" s="182">
        <v>6.1600000000000002E-2</v>
      </c>
      <c r="CH276" s="182">
        <v>7.3999999999999996E-2</v>
      </c>
      <c r="CI276" s="182">
        <v>8.9599999999999999E-2</v>
      </c>
    </row>
    <row r="277" spans="73:87" x14ac:dyDescent="0.2">
      <c r="BU277" s="127"/>
      <c r="BY277" s="129"/>
    </row>
    <row r="278" spans="73:87" x14ac:dyDescent="0.2">
      <c r="BU278" s="127"/>
      <c r="BY278" s="129"/>
    </row>
    <row r="279" spans="73:87" ht="13.5" thickBot="1" x14ac:dyDescent="0.25">
      <c r="BU279" s="127"/>
      <c r="BY279" s="129"/>
      <c r="CE279" s="124">
        <f>BU258</f>
        <v>200</v>
      </c>
      <c r="CF279" s="422" t="str">
        <f>BV258</f>
        <v>Construção de rodovias e ferrovias</v>
      </c>
      <c r="CG279" s="422"/>
      <c r="CH279" s="422"/>
      <c r="CI279" s="422"/>
    </row>
    <row r="280" spans="73:87" ht="15" thickBot="1" x14ac:dyDescent="0.25">
      <c r="BU280" s="127"/>
      <c r="BY280" s="129"/>
      <c r="CE280" s="124">
        <f>+CE279+1</f>
        <v>201</v>
      </c>
      <c r="CF280" s="181" t="s">
        <v>414</v>
      </c>
      <c r="CG280" s="182">
        <v>3.7999999999999999E-2</v>
      </c>
      <c r="CH280" s="182">
        <v>4.0099999999999997E-2</v>
      </c>
      <c r="CI280" s="182">
        <v>4.6699999999999998E-2</v>
      </c>
    </row>
    <row r="281" spans="73:87" ht="15" thickBot="1" x14ac:dyDescent="0.25">
      <c r="BU281" s="127"/>
      <c r="BY281" s="129"/>
      <c r="CE281" s="124">
        <f>+CE280+1</f>
        <v>202</v>
      </c>
      <c r="CF281" s="181" t="s">
        <v>415</v>
      </c>
      <c r="CG281" s="182">
        <v>3.2000000000000002E-3</v>
      </c>
      <c r="CH281" s="182">
        <v>4.0000000000000001E-3</v>
      </c>
      <c r="CI281" s="182">
        <v>7.4000000000000003E-3</v>
      </c>
    </row>
    <row r="282" spans="73:87" ht="15" thickBot="1" x14ac:dyDescent="0.25">
      <c r="BU282" s="434"/>
      <c r="BV282" s="435"/>
      <c r="BW282" s="435"/>
      <c r="BX282" s="435"/>
      <c r="BY282" s="436"/>
      <c r="CE282" s="124">
        <f>+CE281+1</f>
        <v>203</v>
      </c>
      <c r="CF282" s="181" t="s">
        <v>416</v>
      </c>
      <c r="CG282" s="182">
        <v>5.0000000000000001E-3</v>
      </c>
      <c r="CH282" s="182">
        <v>5.5999999999999999E-3</v>
      </c>
      <c r="CI282" s="182">
        <v>9.7000000000000003E-3</v>
      </c>
    </row>
    <row r="283" spans="73:87" ht="15" thickBot="1" x14ac:dyDescent="0.25">
      <c r="BU283" s="127"/>
      <c r="BY283" s="129"/>
      <c r="CE283" s="124">
        <f>+CE282+1</f>
        <v>204</v>
      </c>
      <c r="CF283" s="181" t="s">
        <v>417</v>
      </c>
      <c r="CG283" s="182">
        <v>1.0200000000000001E-2</v>
      </c>
      <c r="CH283" s="182">
        <v>1.11E-2</v>
      </c>
      <c r="CI283" s="182">
        <v>1.21E-2</v>
      </c>
    </row>
    <row r="284" spans="73:87" ht="15" thickBot="1" x14ac:dyDescent="0.25">
      <c r="BU284" s="127"/>
      <c r="BY284" s="129"/>
      <c r="CE284" s="124">
        <f>+CE283+1</f>
        <v>205</v>
      </c>
      <c r="CF284" s="181" t="s">
        <v>418</v>
      </c>
      <c r="CG284" s="182">
        <v>6.6400000000000001E-2</v>
      </c>
      <c r="CH284" s="182">
        <v>7.2999999999999995E-2</v>
      </c>
      <c r="CI284" s="182">
        <v>8.6900000000000005E-2</v>
      </c>
    </row>
    <row r="285" spans="73:87" x14ac:dyDescent="0.2">
      <c r="BU285" s="127"/>
      <c r="BY285" s="129"/>
    </row>
    <row r="286" spans="73:87" ht="13.5" thickBot="1" x14ac:dyDescent="0.25">
      <c r="BU286" s="147"/>
      <c r="BV286" s="183"/>
      <c r="BW286" s="183"/>
      <c r="BX286" s="183"/>
      <c r="BY286" s="148"/>
    </row>
    <row r="287" spans="73:87" ht="13.5" thickBot="1" x14ac:dyDescent="0.25">
      <c r="BU287" s="434"/>
      <c r="BV287" s="435"/>
      <c r="BW287" s="435"/>
      <c r="BX287" s="435"/>
      <c r="BY287" s="436"/>
      <c r="CE287" s="124">
        <f>BU259</f>
        <v>300</v>
      </c>
      <c r="CF287" s="422" t="str">
        <f>BV259</f>
        <v>Construção de Redes de Abastecimento de Água, Coleta de Esgoto e Construções Correlatas</v>
      </c>
      <c r="CG287" s="422"/>
      <c r="CH287" s="422"/>
      <c r="CI287" s="422"/>
    </row>
    <row r="288" spans="73:87" ht="15" thickBot="1" x14ac:dyDescent="0.25">
      <c r="BU288" s="437"/>
      <c r="BV288" s="438"/>
      <c r="BW288" s="438"/>
      <c r="BX288" s="438"/>
      <c r="BY288" s="439"/>
      <c r="CE288" s="124">
        <f>+CE287+1</f>
        <v>301</v>
      </c>
      <c r="CF288" s="184" t="s">
        <v>414</v>
      </c>
      <c r="CG288" s="185">
        <v>3.4299999999999997E-2</v>
      </c>
      <c r="CH288" s="185">
        <v>4.9299999999999997E-2</v>
      </c>
      <c r="CI288" s="185">
        <v>6.7100000000000007E-2</v>
      </c>
    </row>
    <row r="289" spans="73:87" ht="15" thickBot="1" x14ac:dyDescent="0.25">
      <c r="BU289" s="437"/>
      <c r="BV289" s="438"/>
      <c r="BW289" s="438"/>
      <c r="BX289" s="438"/>
      <c r="BY289" s="439"/>
      <c r="CE289" s="124">
        <f>+CE288+1</f>
        <v>302</v>
      </c>
      <c r="CF289" s="181" t="s">
        <v>415</v>
      </c>
      <c r="CG289" s="182">
        <v>2.8E-3</v>
      </c>
      <c r="CH289" s="182">
        <v>4.8999999999999998E-3</v>
      </c>
      <c r="CI289" s="182">
        <v>7.4999999999999997E-3</v>
      </c>
    </row>
    <row r="290" spans="73:87" ht="27" customHeight="1" thickBot="1" x14ac:dyDescent="0.25">
      <c r="BU290" s="186"/>
      <c r="BV290" s="187"/>
      <c r="BW290" s="188"/>
      <c r="BX290" s="188"/>
      <c r="BY290" s="189"/>
      <c r="CE290" s="124">
        <f>+CE289+1</f>
        <v>303</v>
      </c>
      <c r="CF290" s="181" t="s">
        <v>416</v>
      </c>
      <c r="CG290" s="182">
        <v>0.01</v>
      </c>
      <c r="CH290" s="182">
        <v>1.3899999999999999E-2</v>
      </c>
      <c r="CI290" s="182">
        <v>1.7399999999999999E-2</v>
      </c>
    </row>
    <row r="291" spans="73:87" ht="15" thickBot="1" x14ac:dyDescent="0.25">
      <c r="BU291" s="127"/>
      <c r="BY291" s="129"/>
      <c r="CE291" s="124">
        <f>+CE290+1</f>
        <v>304</v>
      </c>
      <c r="CF291" s="181" t="s">
        <v>417</v>
      </c>
      <c r="CG291" s="182">
        <v>9.4000000000000004E-3</v>
      </c>
      <c r="CH291" s="182">
        <v>9.9000000000000008E-3</v>
      </c>
      <c r="CI291" s="182">
        <v>1.17E-2</v>
      </c>
    </row>
    <row r="292" spans="73:87" ht="15" thickBot="1" x14ac:dyDescent="0.25">
      <c r="BU292" s="147"/>
      <c r="BV292" s="183"/>
      <c r="BW292" s="183"/>
      <c r="BX292" s="183"/>
      <c r="BY292" s="148"/>
      <c r="CE292" s="124">
        <f>+CE291+1</f>
        <v>305</v>
      </c>
      <c r="CF292" s="181" t="s">
        <v>418</v>
      </c>
      <c r="CG292" s="182">
        <v>6.7400000000000002E-2</v>
      </c>
      <c r="CH292" s="182">
        <v>8.0399999999999999E-2</v>
      </c>
      <c r="CI292" s="182">
        <v>9.4E-2</v>
      </c>
    </row>
    <row r="293" spans="73:87" x14ac:dyDescent="0.2">
      <c r="BU293" s="434"/>
      <c r="BV293" s="435"/>
      <c r="BW293" s="435"/>
      <c r="BX293" s="435"/>
      <c r="BY293" s="436"/>
    </row>
    <row r="294" spans="73:87" ht="13.5" thickBot="1" x14ac:dyDescent="0.25">
      <c r="BU294" s="190"/>
      <c r="BV294" s="191" t="s">
        <v>445</v>
      </c>
      <c r="BW294" s="191" t="s">
        <v>446</v>
      </c>
      <c r="BX294" s="191" t="s">
        <v>447</v>
      </c>
      <c r="BY294" s="191" t="s">
        <v>448</v>
      </c>
      <c r="CE294" s="124">
        <f>BU260</f>
        <v>400</v>
      </c>
      <c r="CF294" s="422" t="str">
        <f>BV260</f>
        <v>Construção e Manutenção de Estações e Redes de Distribuição de Energia Elétrica</v>
      </c>
      <c r="CG294" s="422"/>
      <c r="CH294" s="422"/>
      <c r="CI294" s="422"/>
    </row>
    <row r="295" spans="73:87" ht="15" thickBot="1" x14ac:dyDescent="0.25">
      <c r="BU295" s="190" t="s">
        <v>309</v>
      </c>
      <c r="BV295" s="191">
        <f>VLOOKUP(D7,BV257:BW262,2,0)</f>
        <v>200</v>
      </c>
      <c r="BW295" s="192">
        <f>VLOOKUP($BV295,$BU$306:$BY$311,3,0)</f>
        <v>0.19600000000000001</v>
      </c>
      <c r="BX295" s="192">
        <f>VLOOKUP($BV295,$BU$306:$BY$311,4,0)</f>
        <v>0.2097</v>
      </c>
      <c r="BY295" s="192">
        <f>VLOOKUP($BV295,$BU$306:$BY$311,5,0)</f>
        <v>0.24229999999999999</v>
      </c>
      <c r="CE295" s="124">
        <f>+CE294+1</f>
        <v>401</v>
      </c>
      <c r="CF295" s="184" t="s">
        <v>414</v>
      </c>
      <c r="CG295" s="185">
        <v>5.2900000000000003E-2</v>
      </c>
      <c r="CH295" s="185">
        <v>5.9200000000000003E-2</v>
      </c>
      <c r="CI295" s="185">
        <v>7.9299999999999995E-2</v>
      </c>
    </row>
    <row r="296" spans="73:87" ht="15" thickBot="1" x14ac:dyDescent="0.25">
      <c r="BU296" s="193" t="s">
        <v>414</v>
      </c>
      <c r="BV296" s="191">
        <f>+BV295+1</f>
        <v>201</v>
      </c>
      <c r="BW296" s="192">
        <f>VLOOKUP($BV296,$CE$271:$CI$312,3,0)</f>
        <v>3.7999999999999999E-2</v>
      </c>
      <c r="BX296" s="192">
        <f>VLOOKUP($BV296,$CE$271:$CI$312,4,0)</f>
        <v>4.0099999999999997E-2</v>
      </c>
      <c r="BY296" s="192">
        <f>VLOOKUP($BV296,$CE$271:$CI$312,5,0)</f>
        <v>4.6699999999999998E-2</v>
      </c>
      <c r="CE296" s="124">
        <f>+CE295+1</f>
        <v>402</v>
      </c>
      <c r="CF296" s="181" t="s">
        <v>415</v>
      </c>
      <c r="CG296" s="182">
        <v>2.5000000000000001E-3</v>
      </c>
      <c r="CH296" s="182">
        <v>5.1000000000000004E-3</v>
      </c>
      <c r="CI296" s="182">
        <v>5.5999999999999999E-3</v>
      </c>
    </row>
    <row r="297" spans="73:87" ht="15" thickBot="1" x14ac:dyDescent="0.25">
      <c r="BU297" s="193" t="s">
        <v>415</v>
      </c>
      <c r="BV297" s="191">
        <f>+BV296+1</f>
        <v>202</v>
      </c>
      <c r="BW297" s="192">
        <f>VLOOKUP($BV297,$CE$271:$CI$312,3,0)</f>
        <v>3.2000000000000002E-3</v>
      </c>
      <c r="BX297" s="192">
        <f>VLOOKUP($BV297,$CE$271:$CI$312,4,0)</f>
        <v>4.0000000000000001E-3</v>
      </c>
      <c r="BY297" s="192">
        <f>VLOOKUP($BV297,$CE$271:$CI$312,5,0)</f>
        <v>7.4000000000000003E-3</v>
      </c>
      <c r="CE297" s="124">
        <f>+CE296+1</f>
        <v>403</v>
      </c>
      <c r="CF297" s="181" t="s">
        <v>416</v>
      </c>
      <c r="CG297" s="182">
        <v>0.01</v>
      </c>
      <c r="CH297" s="182">
        <v>1.4800000000000001E-2</v>
      </c>
      <c r="CI297" s="182">
        <v>1.9699999999999999E-2</v>
      </c>
    </row>
    <row r="298" spans="73:87" ht="15" thickBot="1" x14ac:dyDescent="0.25">
      <c r="BU298" s="193" t="s">
        <v>416</v>
      </c>
      <c r="BV298" s="191">
        <f>+BV297+1</f>
        <v>203</v>
      </c>
      <c r="BW298" s="192">
        <f>VLOOKUP($BV298,$CE$271:$CI$312,3,0)</f>
        <v>5.0000000000000001E-3</v>
      </c>
      <c r="BX298" s="192">
        <f>VLOOKUP($BV298,$CE$271:$CI$312,4,0)</f>
        <v>5.5999999999999999E-3</v>
      </c>
      <c r="BY298" s="192">
        <f>VLOOKUP($BV298,$CE$271:$CI$312,5,0)</f>
        <v>9.7000000000000003E-3</v>
      </c>
      <c r="CE298" s="124">
        <f>+CE297+1</f>
        <v>404</v>
      </c>
      <c r="CF298" s="181" t="s">
        <v>417</v>
      </c>
      <c r="CG298" s="182">
        <v>1.01E-2</v>
      </c>
      <c r="CH298" s="182">
        <v>1.0699999999999999E-2</v>
      </c>
      <c r="CI298" s="182">
        <v>1.11E-2</v>
      </c>
    </row>
    <row r="299" spans="73:87" ht="15" thickBot="1" x14ac:dyDescent="0.25">
      <c r="BU299" s="193" t="s">
        <v>417</v>
      </c>
      <c r="BV299" s="191">
        <f>+BV298+1</f>
        <v>204</v>
      </c>
      <c r="BW299" s="192">
        <f>VLOOKUP($BV299,$CE$271:$CI$312,3,0)</f>
        <v>1.0200000000000001E-2</v>
      </c>
      <c r="BX299" s="192">
        <f>VLOOKUP($BV299,$CE$271:$CI$312,4,0)</f>
        <v>1.11E-2</v>
      </c>
      <c r="BY299" s="192">
        <f>VLOOKUP($BV299,$CE$271:$CI$312,5,0)</f>
        <v>1.21E-2</v>
      </c>
      <c r="CE299" s="124">
        <f>+CE298+1</f>
        <v>405</v>
      </c>
      <c r="CF299" s="181" t="s">
        <v>418</v>
      </c>
      <c r="CG299" s="182">
        <v>0.08</v>
      </c>
      <c r="CH299" s="182">
        <v>8.3099999999999993E-2</v>
      </c>
      <c r="CI299" s="182">
        <v>9.5100000000000004E-2</v>
      </c>
    </row>
    <row r="300" spans="73:87" ht="15" thickBot="1" x14ac:dyDescent="0.25">
      <c r="BU300" s="193" t="s">
        <v>418</v>
      </c>
      <c r="BV300" s="191">
        <f>+BV299+1</f>
        <v>205</v>
      </c>
      <c r="BW300" s="192">
        <f>VLOOKUP($BV300,$CE$271:$CI$312,3,0)</f>
        <v>6.6400000000000001E-2</v>
      </c>
      <c r="BX300" s="192">
        <f>VLOOKUP($BV300,$CE$271:$CI$312,4,0)</f>
        <v>7.2999999999999995E-2</v>
      </c>
      <c r="BY300" s="192">
        <f>VLOOKUP($BV300,$CE$271:$CI$312,5,0)</f>
        <v>8.6900000000000005E-2</v>
      </c>
      <c r="CE300" s="124">
        <f>BU261</f>
        <v>500</v>
      </c>
      <c r="CF300" s="422" t="str">
        <f>BV261</f>
        <v>Portuárias, Marítimas e Fluviais</v>
      </c>
      <c r="CG300" s="422"/>
      <c r="CH300" s="422"/>
      <c r="CI300" s="422"/>
    </row>
    <row r="301" spans="73:87" ht="15" thickBot="1" x14ac:dyDescent="0.25">
      <c r="BU301" s="127"/>
      <c r="BY301" s="129"/>
      <c r="CE301" s="124">
        <f>+CE300+1</f>
        <v>501</v>
      </c>
      <c r="CF301" s="184" t="s">
        <v>414</v>
      </c>
      <c r="CG301" s="185">
        <v>0.04</v>
      </c>
      <c r="CH301" s="185">
        <v>5.5199999999999999E-2</v>
      </c>
      <c r="CI301" s="185">
        <v>7.85E-2</v>
      </c>
    </row>
    <row r="302" spans="73:87" ht="15" thickBot="1" x14ac:dyDescent="0.25">
      <c r="CE302" s="124">
        <f>+CE301+1</f>
        <v>502</v>
      </c>
      <c r="CF302" s="181" t="s">
        <v>415</v>
      </c>
      <c r="CG302" s="182">
        <v>8.0999999999999996E-3</v>
      </c>
      <c r="CH302" s="182">
        <v>1.2200000000000001E-2</v>
      </c>
      <c r="CI302" s="182">
        <v>1.9900000000000001E-2</v>
      </c>
    </row>
    <row r="303" spans="73:87" ht="15" thickBot="1" x14ac:dyDescent="0.25">
      <c r="CE303" s="124">
        <f>+CE302+1</f>
        <v>503</v>
      </c>
      <c r="CF303" s="181" t="s">
        <v>416</v>
      </c>
      <c r="CG303" s="182">
        <v>1.46E-2</v>
      </c>
      <c r="CH303" s="182">
        <v>2.3199999999999998E-2</v>
      </c>
      <c r="CI303" s="182">
        <v>3.1600000000000003E-2</v>
      </c>
    </row>
    <row r="304" spans="73:87" ht="15" thickBot="1" x14ac:dyDescent="0.25">
      <c r="CE304" s="124">
        <f>+CE303+1</f>
        <v>504</v>
      </c>
      <c r="CF304" s="181" t="s">
        <v>417</v>
      </c>
      <c r="CG304" s="182">
        <v>9.4000000000000004E-3</v>
      </c>
      <c r="CH304" s="182">
        <v>1.0200000000000001E-2</v>
      </c>
      <c r="CI304" s="182">
        <v>1.3299999999999999E-2</v>
      </c>
    </row>
    <row r="305" spans="73:87" ht="15" thickBot="1" x14ac:dyDescent="0.25">
      <c r="BW305" s="194" t="s">
        <v>449</v>
      </c>
      <c r="BX305" s="195" t="s">
        <v>447</v>
      </c>
      <c r="BY305" s="195" t="s">
        <v>450</v>
      </c>
      <c r="CE305" s="124">
        <f>+CE304+1</f>
        <v>505</v>
      </c>
      <c r="CF305" s="181" t="s">
        <v>418</v>
      </c>
      <c r="CG305" s="182">
        <v>7.1400000000000005E-2</v>
      </c>
      <c r="CH305" s="182">
        <v>8.4000000000000005E-2</v>
      </c>
      <c r="CI305" s="182">
        <v>0.1043</v>
      </c>
    </row>
    <row r="306" spans="73:87" ht="15" thickBot="1" x14ac:dyDescent="0.25">
      <c r="BU306" s="124">
        <f>BU257</f>
        <v>100</v>
      </c>
      <c r="BV306" s="184" t="str">
        <f t="shared" ref="BV306:BV311" si="2">VLOOKUP(BU306,BU257:BV262,2,0)</f>
        <v>Construção de edificios</v>
      </c>
      <c r="BW306" s="185">
        <v>0.2034</v>
      </c>
      <c r="BX306" s="185">
        <v>0.22120000000000001</v>
      </c>
      <c r="BY306" s="185">
        <v>0.25</v>
      </c>
    </row>
    <row r="307" spans="73:87" ht="29.25" thickBot="1" x14ac:dyDescent="0.25">
      <c r="BU307" s="124">
        <v>200</v>
      </c>
      <c r="BV307" s="184" t="str">
        <f t="shared" si="2"/>
        <v>Construção de rodovias e ferrovias</v>
      </c>
      <c r="BW307" s="182">
        <v>0.19600000000000001</v>
      </c>
      <c r="BX307" s="182">
        <v>0.2097</v>
      </c>
      <c r="BY307" s="182">
        <v>0.24229999999999999</v>
      </c>
      <c r="CE307" s="124">
        <f>BU262</f>
        <v>600</v>
      </c>
      <c r="CF307" s="422" t="str">
        <f>BV262</f>
        <v>Fornecimento de Materiais e Equipamentos</v>
      </c>
      <c r="CG307" s="422"/>
      <c r="CH307" s="422"/>
      <c r="CI307" s="422"/>
    </row>
    <row r="308" spans="73:87" ht="57.75" thickBot="1" x14ac:dyDescent="0.25">
      <c r="BU308" s="124">
        <f>BU259</f>
        <v>300</v>
      </c>
      <c r="BV308" s="184" t="str">
        <f t="shared" si="2"/>
        <v>Construção de Redes de Abastecimento de Água, Coleta de Esgoto e Construções Correlatas</v>
      </c>
      <c r="BW308" s="182">
        <v>0.20760000000000001</v>
      </c>
      <c r="BX308" s="182">
        <v>0.24179999999999999</v>
      </c>
      <c r="BY308" s="182">
        <v>0.26440000000000002</v>
      </c>
      <c r="CE308" s="124">
        <f>+CE307+1</f>
        <v>601</v>
      </c>
      <c r="CF308" s="184" t="s">
        <v>414</v>
      </c>
      <c r="CG308" s="185">
        <v>1.4999999999999999E-2</v>
      </c>
      <c r="CH308" s="185">
        <v>3.4500000000000003E-2</v>
      </c>
      <c r="CI308" s="185">
        <v>4.4900000000000002E-2</v>
      </c>
    </row>
    <row r="309" spans="73:87" ht="57.75" thickBot="1" x14ac:dyDescent="0.25">
      <c r="BU309" s="124">
        <v>400</v>
      </c>
      <c r="BV309" s="184" t="str">
        <f t="shared" si="2"/>
        <v>Construção e Manutenção de Estações e Redes de Distribuição de Energia Elétrica</v>
      </c>
      <c r="BW309" s="182">
        <v>0.24</v>
      </c>
      <c r="BX309" s="182">
        <v>0.25840000000000002</v>
      </c>
      <c r="BY309" s="182">
        <v>0.27860000000000001</v>
      </c>
      <c r="CE309" s="124">
        <f>+CE308+1</f>
        <v>602</v>
      </c>
      <c r="CF309" s="181" t="s">
        <v>415</v>
      </c>
      <c r="CG309" s="182">
        <v>3.0000000000000001E-3</v>
      </c>
      <c r="CH309" s="182">
        <v>4.7999999999999996E-3</v>
      </c>
      <c r="CI309" s="182">
        <v>8.2000000000000007E-3</v>
      </c>
    </row>
    <row r="310" spans="73:87" ht="29.25" thickBot="1" x14ac:dyDescent="0.25">
      <c r="BU310" s="124">
        <v>500</v>
      </c>
      <c r="BV310" s="184" t="str">
        <f t="shared" si="2"/>
        <v>Portuárias, Marítimas e Fluviais</v>
      </c>
      <c r="BW310" s="182">
        <v>0.22800000000000001</v>
      </c>
      <c r="BX310" s="182">
        <v>0.27479999999999999</v>
      </c>
      <c r="BY310" s="182">
        <v>0.3095</v>
      </c>
      <c r="CE310" s="124">
        <f>+CE309+1</f>
        <v>603</v>
      </c>
      <c r="CF310" s="181" t="s">
        <v>416</v>
      </c>
      <c r="CG310" s="182">
        <v>5.5999999999999999E-3</v>
      </c>
      <c r="CH310" s="182">
        <v>8.5000000000000006E-3</v>
      </c>
      <c r="CI310" s="182">
        <v>8.8999999999999999E-3</v>
      </c>
    </row>
    <row r="311" spans="73:87" ht="29.25" thickBot="1" x14ac:dyDescent="0.25">
      <c r="BU311" s="124">
        <v>600</v>
      </c>
      <c r="BV311" s="184" t="str">
        <f t="shared" si="2"/>
        <v>Fornecimento de Materiais e Equipamentos</v>
      </c>
      <c r="BW311" s="182">
        <v>0.111</v>
      </c>
      <c r="BX311" s="182">
        <v>0.14019999999999999</v>
      </c>
      <c r="BY311" s="182">
        <v>0.16800000000000001</v>
      </c>
      <c r="CE311" s="124">
        <f>+CE310+1</f>
        <v>604</v>
      </c>
      <c r="CF311" s="181" t="s">
        <v>417</v>
      </c>
      <c r="CG311" s="182">
        <v>8.5000000000000006E-3</v>
      </c>
      <c r="CH311" s="182">
        <v>8.5000000000000006E-3</v>
      </c>
      <c r="CI311" s="182">
        <v>1.11E-2</v>
      </c>
    </row>
    <row r="312" spans="73:87" ht="15" thickBot="1" x14ac:dyDescent="0.25">
      <c r="CE312" s="124">
        <f>+CE311+1</f>
        <v>605</v>
      </c>
      <c r="CF312" s="181" t="s">
        <v>418</v>
      </c>
      <c r="CG312" s="182">
        <v>3.5000000000000003E-2</v>
      </c>
      <c r="CH312" s="182">
        <v>5.11E-2</v>
      </c>
      <c r="CI312" s="182">
        <v>6.2199999999999998E-2</v>
      </c>
    </row>
  </sheetData>
  <sheetProtection formatCells="0" formatColumns="0" formatRows="0" selectLockedCells="1"/>
  <mergeCells count="36">
    <mergeCell ref="BU293:BY293"/>
    <mergeCell ref="CF294:CI294"/>
    <mergeCell ref="CF300:CI300"/>
    <mergeCell ref="CF307:CI307"/>
    <mergeCell ref="CF279:CI279"/>
    <mergeCell ref="BU282:BY282"/>
    <mergeCell ref="BU287:BY287"/>
    <mergeCell ref="CF287:CI287"/>
    <mergeCell ref="BU288:BY288"/>
    <mergeCell ref="BU289:BY289"/>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L17:AW19"/>
    <mergeCell ref="E19:G19"/>
    <mergeCell ref="C31:G31"/>
    <mergeCell ref="C2:G2"/>
    <mergeCell ref="C5:G5"/>
    <mergeCell ref="D7:G7"/>
    <mergeCell ref="C13:G13"/>
    <mergeCell ref="F17:G17"/>
    <mergeCell ref="E20:G21"/>
    <mergeCell ref="E23:G23"/>
    <mergeCell ref="E24:G24"/>
    <mergeCell ref="E28:F28"/>
    <mergeCell ref="C30:G30"/>
  </mergeCells>
  <conditionalFormatting sqref="C56:G60">
    <cfRule type="expression" dxfId="1" priority="2" stopIfTrue="1">
      <formula>OR($G$9="NÃO",$G$9="")</formula>
    </cfRule>
  </conditionalFormatting>
  <conditionalFormatting sqref="G37:G41">
    <cfRule type="cellIs" dxfId="0" priority="1" stopIfTrue="1" operator="between">
      <formula>$D37</formula>
      <formula>$F37</formula>
    </cfRule>
  </conditionalFormatting>
  <dataValidations count="5">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formula1>D37</formula1>
      <formula2>F37</formula2>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formula1>$CF$266:$CF$267</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formula1>$BV$257:$BV$262</formula1>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formula1>"SIM, NÃO"</formula1>
    </dataValidation>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formula1>D43</formula1>
      <formula2>F43</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15713"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15713" r:id="rId4"/>
      </mc:Fallback>
    </mc:AlternateContent>
    <mc:AlternateContent xmlns:mc="http://schemas.openxmlformats.org/markup-compatibility/2006">
      <mc:Choice Requires="x14">
        <oleObject progId="Equation.3" shapeId="115714"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15714" r:id="rId6"/>
      </mc:Fallback>
    </mc:AlternateContent>
  </oleObjects>
  <controls>
    <mc:AlternateContent xmlns:mc="http://schemas.openxmlformats.org/markup-compatibility/2006">
      <mc:Choice Requires="x14">
        <control shapeId="115715" r:id="rId7" name="CommandButton1">
          <controlPr defaultSize="0" autoLine="0" autoPict="0" r:id="rId8">
            <anchor moveWithCells="1">
              <from>
                <xdr:col>11</xdr:col>
                <xdr:colOff>47625</xdr:colOff>
                <xdr:row>6</xdr:row>
                <xdr:rowOff>0</xdr:rowOff>
              </from>
              <to>
                <xdr:col>13</xdr:col>
                <xdr:colOff>762000</xdr:colOff>
                <xdr:row>7</xdr:row>
                <xdr:rowOff>0</xdr:rowOff>
              </to>
            </anchor>
          </controlPr>
        </control>
      </mc:Choice>
      <mc:Fallback>
        <control shapeId="115715" r:id="rId7"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H23"/>
  <sheetViews>
    <sheetView showGridLines="0" view="pageBreakPreview" zoomScaleSheetLayoutView="100" workbookViewId="0">
      <pane ySplit="8" topLeftCell="A9" activePane="bottomLeft" state="frozen"/>
      <selection activeCell="R80" sqref="R80"/>
      <selection pane="bottomLeft" activeCell="B2" sqref="B2"/>
    </sheetView>
  </sheetViews>
  <sheetFormatPr defaultRowHeight="12.75" x14ac:dyDescent="0.25"/>
  <cols>
    <col min="1" max="1" width="1.7109375" style="4" customWidth="1"/>
    <col min="2" max="2" width="11.7109375" style="4" customWidth="1"/>
    <col min="3" max="3" width="10.7109375" style="4" customWidth="1"/>
    <col min="4" max="4" width="58.7109375" style="4" customWidth="1"/>
    <col min="5" max="5" width="15.7109375" style="4" customWidth="1"/>
    <col min="6" max="6" width="10.7109375" style="4" customWidth="1"/>
    <col min="7" max="16384" width="9.140625" style="4"/>
  </cols>
  <sheetData>
    <row r="1" spans="2:6" ht="5.0999999999999996" customHeight="1" x14ac:dyDescent="0.25"/>
    <row r="2" spans="2:6" ht="14.1" customHeight="1" x14ac:dyDescent="0.25">
      <c r="B2" s="100" t="str">
        <f>DADOS!$B$3</f>
        <v>CLIENTE:</v>
      </c>
      <c r="C2" s="81" t="str">
        <f>DADOS!$C$3</f>
        <v>PREFEITURA MUNICIPAL DE JARDIM / MS</v>
      </c>
      <c r="D2" s="34"/>
      <c r="E2" s="34"/>
      <c r="F2" s="44"/>
    </row>
    <row r="3" spans="2:6" ht="14.1" customHeight="1" x14ac:dyDescent="0.25">
      <c r="B3" s="101" t="str">
        <f>DADOS!$B$4</f>
        <v>ENDEREÇO:</v>
      </c>
      <c r="C3" s="82" t="str">
        <f>DADOS!$C$4</f>
        <v>RUA CEL. JUVÊNCIO, Nº 547 - CENTRO</v>
      </c>
      <c r="F3" s="45"/>
    </row>
    <row r="4" spans="2:6" ht="14.1" customHeight="1" x14ac:dyDescent="0.2">
      <c r="B4" s="83"/>
      <c r="C4" s="82"/>
      <c r="F4" s="45"/>
    </row>
    <row r="5" spans="2:6" ht="14.1" customHeight="1" x14ac:dyDescent="0.25">
      <c r="B5" s="101" t="str">
        <f>DADOS!$B$7</f>
        <v>OBRA:</v>
      </c>
      <c r="C5" s="82" t="str">
        <f>DADOS!$C$7</f>
        <v>PAVIMENTAÇÃO ASFÁLTICA E DRENAGEM DE ÁGUAS PLUVIAIS</v>
      </c>
      <c r="F5" s="45"/>
    </row>
    <row r="6" spans="2:6" ht="14.1" customHeight="1" x14ac:dyDescent="0.25">
      <c r="B6" s="84" t="str">
        <f>DADOS!$B$8</f>
        <v>LOCAL:</v>
      </c>
      <c r="C6" s="85" t="str">
        <f>DADOS!$C$8</f>
        <v>JARDIM PREVISUL, JARDIM / MS</v>
      </c>
      <c r="D6" s="46"/>
      <c r="E6" s="46"/>
      <c r="F6" s="47"/>
    </row>
    <row r="7" spans="2:6" ht="5.0999999999999996" customHeight="1" x14ac:dyDescent="0.25"/>
    <row r="8" spans="2:6" ht="20.100000000000001" customHeight="1" x14ac:dyDescent="0.25">
      <c r="B8" s="442" t="s">
        <v>0</v>
      </c>
      <c r="C8" s="442"/>
      <c r="D8" s="10" t="s">
        <v>1</v>
      </c>
      <c r="E8" s="10" t="s">
        <v>59</v>
      </c>
      <c r="F8" s="10" t="s">
        <v>7</v>
      </c>
    </row>
    <row r="9" spans="2:6" ht="5.0999999999999996" customHeight="1" x14ac:dyDescent="0.25"/>
    <row r="10" spans="2:6" ht="15" customHeight="1" x14ac:dyDescent="0.25">
      <c r="B10" s="440" t="s">
        <v>61</v>
      </c>
      <c r="C10" s="23" t="str">
        <f>Orçamento!C226</f>
        <v>01</v>
      </c>
      <c r="D10" s="78" t="str">
        <f>Orçamento!D226</f>
        <v>SERVIÇOS PRELIMINARES</v>
      </c>
      <c r="E10" s="330">
        <f>Orçamento!K226</f>
        <v>107435.70999999999</v>
      </c>
      <c r="F10" s="80">
        <f ca="1">Orçamento!L226</f>
        <v>2.4125702154962354E-2</v>
      </c>
    </row>
    <row r="11" spans="2:6" ht="15" customHeight="1" x14ac:dyDescent="0.25">
      <c r="B11" s="440"/>
      <c r="C11" s="23" t="str">
        <f>Orçamento!C227</f>
        <v>02</v>
      </c>
      <c r="D11" s="78" t="str">
        <f>Orçamento!D227</f>
        <v>DEMOLIÇÕES</v>
      </c>
      <c r="E11" s="330">
        <f>Orçamento!K227</f>
        <v>607.29000000000008</v>
      </c>
      <c r="F11" s="80">
        <f ca="1">Orçamento!L227</f>
        <v>1.3637269825542256E-4</v>
      </c>
    </row>
    <row r="12" spans="2:6" ht="15" customHeight="1" x14ac:dyDescent="0.25">
      <c r="B12" s="440"/>
      <c r="C12" s="307" t="str">
        <f>Orçamento!C228</f>
        <v>03</v>
      </c>
      <c r="D12" s="78" t="str">
        <f>Orçamento!D228</f>
        <v>DRENAGEM DE ÁGUAS PLUVIAIS - TERRAPLENAGEM</v>
      </c>
      <c r="E12" s="307">
        <f ca="1">Orçamento!K228</f>
        <v>310040.90999999997</v>
      </c>
      <c r="F12" s="80">
        <f ca="1">Orçamento!L228</f>
        <v>6.9622611052819305E-2</v>
      </c>
    </row>
    <row r="13" spans="2:6" ht="15" customHeight="1" x14ac:dyDescent="0.25">
      <c r="B13" s="440"/>
      <c r="C13" s="307" t="str">
        <f>Orçamento!C229</f>
        <v>04</v>
      </c>
      <c r="D13" s="78" t="str">
        <f>Orçamento!D229</f>
        <v>DRENAGEM DE ÁGUAS PLUVIAIS - DISPOSITIVOS ESTRUTURAIS 01</v>
      </c>
      <c r="E13" s="307">
        <f>Orçamento!K229</f>
        <v>611362.82000000007</v>
      </c>
      <c r="F13" s="80">
        <f ca="1">Orçamento!L229</f>
        <v>0.13728728840660018</v>
      </c>
    </row>
    <row r="14" spans="2:6" ht="15" customHeight="1" x14ac:dyDescent="0.25">
      <c r="B14" s="440"/>
      <c r="C14" s="307" t="str">
        <f>Orçamento!C230</f>
        <v>05</v>
      </c>
      <c r="D14" s="78" t="str">
        <f>Orçamento!D230</f>
        <v>DRENAGEM DE ÁGUAS PLUVIAIS - DISPOSITIVOS ESTRUTURAIS 02</v>
      </c>
      <c r="E14" s="307">
        <f>Orçamento!K230</f>
        <v>284297.15999999997</v>
      </c>
      <c r="F14" s="80">
        <f ca="1">Orçamento!L230</f>
        <v>6.3841609141519859E-2</v>
      </c>
    </row>
    <row r="15" spans="2:6" ht="15" customHeight="1" x14ac:dyDescent="0.25">
      <c r="B15" s="440"/>
      <c r="C15" s="307" t="str">
        <f>Orçamento!C231</f>
        <v>06</v>
      </c>
      <c r="D15" s="78" t="str">
        <f>Orçamento!D231</f>
        <v>IMPLANTAÇÃO ASFÁLTICA - TERRAPLENAGEM</v>
      </c>
      <c r="E15" s="307">
        <f>Orçamento!K231</f>
        <v>165404.97</v>
      </c>
      <c r="F15" s="80">
        <f ca="1">Orçamento!L231</f>
        <v>3.7143246330018975E-2</v>
      </c>
    </row>
    <row r="16" spans="2:6" ht="15" customHeight="1" x14ac:dyDescent="0.25">
      <c r="B16" s="440"/>
      <c r="C16" s="307" t="str">
        <f>Orçamento!C232</f>
        <v>07</v>
      </c>
      <c r="D16" s="78" t="str">
        <f>Orçamento!D232</f>
        <v>IMPLANTAÇÃO ASFÁLTICA - ESTRUTURA DO PAVIMENTO</v>
      </c>
      <c r="E16" s="307">
        <f>Orçamento!K232</f>
        <v>2149782.6100000003</v>
      </c>
      <c r="F16" s="80">
        <f ca="1">Orçamento!L232</f>
        <v>0.48275396464339082</v>
      </c>
    </row>
    <row r="17" spans="2:8" ht="15" customHeight="1" x14ac:dyDescent="0.25">
      <c r="B17" s="440"/>
      <c r="C17" s="307" t="str">
        <f>Orçamento!C233</f>
        <v>08</v>
      </c>
      <c r="D17" s="78" t="str">
        <f>Orçamento!D233</f>
        <v>SERVIÇOS COMPLEMENTARES</v>
      </c>
      <c r="E17" s="307">
        <f>Orçamento!K233</f>
        <v>390765.26000000007</v>
      </c>
      <c r="F17" s="80">
        <f ca="1">Orçamento!L233</f>
        <v>8.7750025343216187E-2</v>
      </c>
    </row>
    <row r="18" spans="2:8" ht="15" customHeight="1" x14ac:dyDescent="0.25">
      <c r="B18" s="440"/>
      <c r="C18" s="307" t="str">
        <f>Orçamento!C234</f>
        <v>09</v>
      </c>
      <c r="D18" s="78" t="str">
        <f>Orçamento!D234</f>
        <v>PASSEIO COM ACESSIBILIDADE</v>
      </c>
      <c r="E18" s="307">
        <f>Orçamento!K234</f>
        <v>143928.07999999999</v>
      </c>
      <c r="F18" s="80">
        <f ca="1">Orçamento!L234</f>
        <v>3.232040808233682E-2</v>
      </c>
    </row>
    <row r="19" spans="2:8" ht="15" customHeight="1" x14ac:dyDescent="0.25">
      <c r="B19" s="440"/>
      <c r="C19" s="307" t="str">
        <f>Orçamento!C235</f>
        <v>10</v>
      </c>
      <c r="D19" s="78" t="str">
        <f>Orçamento!D235</f>
        <v>SINALIZAÇÃO VIÁRIA</v>
      </c>
      <c r="E19" s="307">
        <f>Orçamento!K235</f>
        <v>72879.739999999991</v>
      </c>
      <c r="F19" s="80">
        <f ca="1">Orçamento!L235</f>
        <v>1.6365833114251268E-2</v>
      </c>
    </row>
    <row r="20" spans="2:8" ht="15" customHeight="1" x14ac:dyDescent="0.25">
      <c r="B20" s="440"/>
      <c r="C20" s="213" t="str">
        <f>Orçamento!C236</f>
        <v>11</v>
      </c>
      <c r="D20" s="78" t="str">
        <f>Orçamento!D236</f>
        <v>ADMINISTRAÇÃO LOCAL</v>
      </c>
      <c r="E20" s="213">
        <f>Orçamento!K236</f>
        <v>216659.52000000002</v>
      </c>
      <c r="F20" s="80">
        <f ca="1">Orçamento!L236</f>
        <v>4.8652939032628059E-2</v>
      </c>
      <c r="H20" s="4">
        <f ca="1">E22/'Pav-Pavimento'!S32</f>
        <v>264.29857635383485</v>
      </c>
    </row>
    <row r="21" spans="2:8" ht="5.0999999999999996" customHeight="1" x14ac:dyDescent="0.25"/>
    <row r="22" spans="2:8" ht="20.100000000000001" customHeight="1" x14ac:dyDescent="0.25">
      <c r="B22" s="441" t="s">
        <v>60</v>
      </c>
      <c r="C22" s="441"/>
      <c r="D22" s="441"/>
      <c r="E22" s="102">
        <f ca="1">SUM(E9:E21)</f>
        <v>4453164.07</v>
      </c>
      <c r="F22" s="88">
        <f ca="1">SUM(F9:F21)</f>
        <v>0.99999999999999911</v>
      </c>
    </row>
    <row r="23" spans="2:8" ht="15" customHeight="1" x14ac:dyDescent="0.25"/>
  </sheetData>
  <mergeCells count="3">
    <mergeCell ref="B10:B20"/>
    <mergeCell ref="B22:D22"/>
    <mergeCell ref="B8:C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B1:AJ78"/>
  <sheetViews>
    <sheetView showGridLines="0" view="pageBreakPreview" zoomScaleSheetLayoutView="100" workbookViewId="0">
      <pane ySplit="9" topLeftCell="A34" activePane="bottomLeft" state="frozen"/>
      <selection activeCell="R80" sqref="R80"/>
      <selection pane="bottomLeft" activeCell="P45" sqref="P45"/>
    </sheetView>
  </sheetViews>
  <sheetFormatPr defaultRowHeight="12.75" x14ac:dyDescent="0.25"/>
  <cols>
    <col min="1" max="1" width="1.7109375" style="4" customWidth="1"/>
    <col min="2" max="2" width="11.7109375" style="4" customWidth="1"/>
    <col min="3" max="3" width="10.7109375" style="4" customWidth="1"/>
    <col min="4" max="4" width="48.7109375" style="4" customWidth="1"/>
    <col min="5" max="5" width="10.7109375" style="4" customWidth="1"/>
    <col min="6" max="7" width="12.7109375" style="4" customWidth="1"/>
    <col min="8" max="8" width="10.7109375" style="4" customWidth="1"/>
    <col min="9" max="9" width="12.7109375" style="4" customWidth="1"/>
    <col min="10" max="10" width="10.7109375" style="4" customWidth="1"/>
    <col min="11" max="11" width="12.7109375" style="4" customWidth="1"/>
    <col min="12" max="12" width="10.7109375" style="4" customWidth="1"/>
    <col min="13" max="16384" width="9.140625" style="4"/>
  </cols>
  <sheetData>
    <row r="1" spans="2:36" ht="5.0999999999999996" customHeight="1" x14ac:dyDescent="0.25"/>
    <row r="2" spans="2:36" ht="14.1" customHeight="1" x14ac:dyDescent="0.25">
      <c r="B2" s="357" t="str">
        <f>DADOS!$B$3</f>
        <v>CLIENTE:</v>
      </c>
      <c r="C2" s="81" t="str">
        <f>DADOS!$C$3</f>
        <v>PREFEITURA MUNICIPAL DE JARDIM / MS</v>
      </c>
      <c r="D2" s="34"/>
      <c r="E2" s="34"/>
      <c r="F2" s="34"/>
      <c r="G2" s="34"/>
      <c r="H2" s="34"/>
      <c r="I2" s="34"/>
      <c r="J2" s="34"/>
      <c r="K2" s="34"/>
      <c r="L2" s="44"/>
    </row>
    <row r="3" spans="2:36" ht="14.1" customHeight="1" x14ac:dyDescent="0.25">
      <c r="B3" s="101" t="str">
        <f>DADOS!$B$4</f>
        <v>ENDEREÇO:</v>
      </c>
      <c r="C3" s="252" t="str">
        <f>DADOS!$C$4</f>
        <v>RUA CEL. JUVÊNCIO, Nº 547 - CENTRO</v>
      </c>
      <c r="D3" s="253"/>
      <c r="E3" s="253"/>
      <c r="F3" s="253"/>
      <c r="G3" s="253"/>
      <c r="H3" s="253"/>
      <c r="I3" s="253"/>
      <c r="J3" s="253"/>
      <c r="K3" s="253"/>
      <c r="L3" s="45"/>
    </row>
    <row r="4" spans="2:36" ht="14.1" customHeight="1" x14ac:dyDescent="0.2">
      <c r="B4" s="83"/>
      <c r="C4" s="252"/>
      <c r="D4" s="253"/>
      <c r="E4" s="253"/>
      <c r="F4" s="253"/>
      <c r="G4" s="253"/>
      <c r="H4" s="253"/>
      <c r="I4" s="253"/>
      <c r="J4" s="253"/>
      <c r="K4" s="253"/>
      <c r="L4" s="45"/>
    </row>
    <row r="5" spans="2:36" ht="14.1" customHeight="1" x14ac:dyDescent="0.25">
      <c r="B5" s="101" t="str">
        <f>DADOS!$B$7</f>
        <v>OBRA:</v>
      </c>
      <c r="C5" s="252" t="str">
        <f>DADOS!$C$7</f>
        <v>PAVIMENTAÇÃO ASFÁLTICA E DRENAGEM DE ÁGUAS PLUVIAIS</v>
      </c>
      <c r="D5" s="253"/>
      <c r="E5" s="253"/>
      <c r="F5" s="253"/>
      <c r="G5" s="253"/>
      <c r="H5" s="253"/>
      <c r="I5" s="253"/>
      <c r="J5" s="253"/>
      <c r="K5" s="253"/>
      <c r="L5" s="45"/>
    </row>
    <row r="6" spans="2:36" ht="14.1" customHeight="1" x14ac:dyDescent="0.25">
      <c r="B6" s="358" t="str">
        <f>DADOS!$B$8</f>
        <v>LOCAL:</v>
      </c>
      <c r="C6" s="85" t="str">
        <f>DADOS!$C$8</f>
        <v>JARDIM PREVISUL, JARDIM / MS</v>
      </c>
      <c r="D6" s="46"/>
      <c r="E6" s="46"/>
      <c r="F6" s="46"/>
      <c r="G6" s="46"/>
      <c r="H6" s="46"/>
      <c r="I6" s="46"/>
      <c r="J6" s="46"/>
      <c r="K6" s="46"/>
      <c r="L6" s="47"/>
    </row>
    <row r="7" spans="2:36" ht="5.0999999999999996" customHeight="1" x14ac:dyDescent="0.25"/>
    <row r="8" spans="2:36" ht="15" customHeight="1" x14ac:dyDescent="0.25">
      <c r="B8" s="448" t="s">
        <v>0</v>
      </c>
      <c r="C8" s="448"/>
      <c r="D8" s="448" t="s">
        <v>1</v>
      </c>
      <c r="E8" s="448" t="s">
        <v>338</v>
      </c>
      <c r="F8" s="450" t="s">
        <v>138</v>
      </c>
      <c r="G8" s="390" t="s">
        <v>139</v>
      </c>
      <c r="H8" s="390"/>
      <c r="I8" s="390" t="s">
        <v>142</v>
      </c>
      <c r="J8" s="390"/>
      <c r="K8" s="390" t="s">
        <v>143</v>
      </c>
      <c r="L8" s="390"/>
      <c r="M8" s="31"/>
      <c r="N8" s="31"/>
      <c r="O8" s="31"/>
      <c r="P8" s="31"/>
      <c r="Q8" s="31"/>
      <c r="R8" s="31"/>
      <c r="S8" s="31"/>
      <c r="T8" s="31"/>
      <c r="U8" s="31"/>
      <c r="V8" s="31"/>
      <c r="W8" s="31"/>
      <c r="X8" s="31"/>
      <c r="Y8" s="31"/>
      <c r="Z8" s="31"/>
      <c r="AA8" s="31"/>
      <c r="AB8" s="31"/>
      <c r="AC8" s="31"/>
      <c r="AD8" s="31"/>
      <c r="AE8" s="31"/>
      <c r="AF8" s="9"/>
      <c r="AG8" s="30"/>
      <c r="AH8" s="30"/>
      <c r="AI8" s="9"/>
      <c r="AJ8" s="32"/>
    </row>
    <row r="9" spans="2:36" ht="15" customHeight="1" x14ac:dyDescent="0.25">
      <c r="B9" s="449"/>
      <c r="C9" s="449"/>
      <c r="D9" s="449"/>
      <c r="E9" s="449"/>
      <c r="F9" s="450"/>
      <c r="G9" s="13" t="s">
        <v>59</v>
      </c>
      <c r="H9" s="13" t="s">
        <v>7</v>
      </c>
      <c r="I9" s="212" t="s">
        <v>59</v>
      </c>
      <c r="J9" s="13" t="s">
        <v>7</v>
      </c>
      <c r="K9" s="212" t="s">
        <v>59</v>
      </c>
      <c r="L9" s="13" t="s">
        <v>7</v>
      </c>
      <c r="M9" s="31"/>
      <c r="N9" s="31"/>
      <c r="O9" s="31"/>
      <c r="P9" s="31"/>
      <c r="Q9" s="31"/>
      <c r="R9" s="31"/>
      <c r="S9" s="31"/>
      <c r="T9" s="31"/>
      <c r="U9" s="31"/>
      <c r="V9" s="31"/>
      <c r="W9" s="31"/>
      <c r="X9" s="31"/>
      <c r="Y9" s="31"/>
      <c r="Z9" s="31"/>
      <c r="AA9" s="31"/>
      <c r="AB9" s="31"/>
      <c r="AC9" s="31"/>
      <c r="AD9" s="31"/>
      <c r="AE9" s="31"/>
      <c r="AF9" s="9"/>
      <c r="AG9" s="30"/>
      <c r="AH9" s="30"/>
      <c r="AI9" s="9"/>
      <c r="AJ9" s="32"/>
    </row>
    <row r="10" spans="2:36" ht="5.0999999999999996" customHeight="1" x14ac:dyDescent="0.25"/>
    <row r="11" spans="2:36" ht="14.1" customHeight="1" x14ac:dyDescent="0.25">
      <c r="B11" s="443" t="s">
        <v>137</v>
      </c>
      <c r="C11" s="94" t="str">
        <f>'Tabela Resumo'!C10</f>
        <v>01</v>
      </c>
      <c r="D11" s="103" t="str">
        <f>'Tabela Resumo'!D10</f>
        <v>SERVIÇOS PRELIMINARES</v>
      </c>
      <c r="E11" s="95">
        <f ca="1">'Tabela Resumo'!F10</f>
        <v>2.4125702154962354E-2</v>
      </c>
      <c r="F11" s="94">
        <f>'Tabela Resumo'!E10</f>
        <v>107435.70999999999</v>
      </c>
      <c r="G11" s="94">
        <f>H11*$F$11</f>
        <v>107435.70999999999</v>
      </c>
      <c r="H11" s="95">
        <v>1</v>
      </c>
      <c r="I11" s="308">
        <f>J11*$F$11</f>
        <v>0</v>
      </c>
      <c r="J11" s="95"/>
      <c r="K11" s="308">
        <f>L11*$F$11</f>
        <v>0</v>
      </c>
      <c r="L11" s="95"/>
      <c r="N11" s="122">
        <f>H11+J11+L11+H29+J29+L29+H47+J47+L47+H65+J65+L65</f>
        <v>1</v>
      </c>
    </row>
    <row r="12" spans="2:36" ht="14.1" customHeight="1" x14ac:dyDescent="0.25">
      <c r="B12" s="444"/>
      <c r="C12" s="68" t="str">
        <f>'Tabela Resumo'!C11</f>
        <v>02</v>
      </c>
      <c r="D12" s="69" t="str">
        <f>'Tabela Resumo'!D11</f>
        <v>DEMOLIÇÕES</v>
      </c>
      <c r="E12" s="72">
        <f ca="1">'Tabela Resumo'!F11</f>
        <v>1.3637269825542256E-4</v>
      </c>
      <c r="F12" s="68">
        <f>'Tabela Resumo'!E11</f>
        <v>607.29000000000008</v>
      </c>
      <c r="G12" s="68">
        <f>H12*$F$12</f>
        <v>607.29000000000008</v>
      </c>
      <c r="H12" s="72">
        <v>1</v>
      </c>
      <c r="I12" s="309">
        <f>J12*$F$12</f>
        <v>0</v>
      </c>
      <c r="J12" s="72"/>
      <c r="K12" s="309">
        <f>L12*$F$12</f>
        <v>0</v>
      </c>
      <c r="L12" s="72"/>
      <c r="N12" s="122">
        <f t="shared" ref="N12:N21" si="0">H12+J12+L12+H30+J30+L30+H48+J48+L48+H66+J66+L66</f>
        <v>1</v>
      </c>
    </row>
    <row r="13" spans="2:36" ht="14.1" customHeight="1" x14ac:dyDescent="0.25">
      <c r="B13" s="444"/>
      <c r="C13" s="68" t="str">
        <f>'Tabela Resumo'!C12</f>
        <v>03</v>
      </c>
      <c r="D13" s="69" t="str">
        <f>'Tabela Resumo'!D12</f>
        <v>DRENAGEM DE ÁGUAS PLUVIAIS - TERRAPLENAGEM</v>
      </c>
      <c r="E13" s="72">
        <f ca="1">'Tabela Resumo'!F12</f>
        <v>6.9622611052819305E-2</v>
      </c>
      <c r="F13" s="309">
        <f ca="1">'Tabela Resumo'!E12</f>
        <v>310040.90999999997</v>
      </c>
      <c r="G13" s="309">
        <f ca="1">H13*$F$13</f>
        <v>248032.728</v>
      </c>
      <c r="H13" s="72">
        <v>0.8</v>
      </c>
      <c r="I13" s="309">
        <f ca="1">J13*$F$13</f>
        <v>62008.182000000001</v>
      </c>
      <c r="J13" s="72">
        <v>0.2</v>
      </c>
      <c r="K13" s="309">
        <f ca="1">L13*$F$13</f>
        <v>0</v>
      </c>
      <c r="L13" s="72"/>
      <c r="N13" s="122">
        <f t="shared" si="0"/>
        <v>1</v>
      </c>
    </row>
    <row r="14" spans="2:36" ht="14.1" customHeight="1" x14ac:dyDescent="0.25">
      <c r="B14" s="444"/>
      <c r="C14" s="309" t="str">
        <f>'Tabela Resumo'!C13</f>
        <v>04</v>
      </c>
      <c r="D14" s="69" t="str">
        <f>'Tabela Resumo'!D13</f>
        <v>DRENAGEM DE ÁGUAS PLUVIAIS - DISPOSITIVOS ESTRUTURAIS 01</v>
      </c>
      <c r="E14" s="72">
        <f ca="1">'Tabela Resumo'!F13</f>
        <v>0.13728728840660018</v>
      </c>
      <c r="F14" s="309">
        <f>'Tabela Resumo'!E13</f>
        <v>611362.82000000007</v>
      </c>
      <c r="G14" s="309">
        <f>H14*$F$14</f>
        <v>0</v>
      </c>
      <c r="H14" s="72"/>
      <c r="I14" s="309">
        <f>J14*$F$14</f>
        <v>305681.41000000003</v>
      </c>
      <c r="J14" s="72">
        <v>0.5</v>
      </c>
      <c r="K14" s="309">
        <f>L14*$F$14</f>
        <v>305681.41000000003</v>
      </c>
      <c r="L14" s="72">
        <v>0.5</v>
      </c>
      <c r="N14" s="122">
        <f t="shared" si="0"/>
        <v>1</v>
      </c>
    </row>
    <row r="15" spans="2:36" ht="14.1" customHeight="1" x14ac:dyDescent="0.25">
      <c r="B15" s="444"/>
      <c r="C15" s="309" t="str">
        <f>'Tabela Resumo'!C14</f>
        <v>05</v>
      </c>
      <c r="D15" s="69" t="str">
        <f>'Tabela Resumo'!D14</f>
        <v>DRENAGEM DE ÁGUAS PLUVIAIS - DISPOSITIVOS ESTRUTURAIS 02</v>
      </c>
      <c r="E15" s="72">
        <f ca="1">'Tabela Resumo'!F14</f>
        <v>6.3841609141519859E-2</v>
      </c>
      <c r="F15" s="309">
        <f>'Tabela Resumo'!E14</f>
        <v>284297.15999999997</v>
      </c>
      <c r="G15" s="309">
        <f>H15*$F$15</f>
        <v>0</v>
      </c>
      <c r="H15" s="72"/>
      <c r="I15" s="309">
        <f>J15*$F$15</f>
        <v>0</v>
      </c>
      <c r="J15" s="72"/>
      <c r="K15" s="309">
        <f>L15*$F$15</f>
        <v>56859.432000000001</v>
      </c>
      <c r="L15" s="72">
        <v>0.2</v>
      </c>
      <c r="N15" s="122">
        <f t="shared" si="0"/>
        <v>1</v>
      </c>
    </row>
    <row r="16" spans="2:36" ht="14.1" customHeight="1" x14ac:dyDescent="0.25">
      <c r="B16" s="444"/>
      <c r="C16" s="68" t="str">
        <f>'Tabela Resumo'!C15</f>
        <v>06</v>
      </c>
      <c r="D16" s="69" t="str">
        <f>'Tabela Resumo'!D15</f>
        <v>IMPLANTAÇÃO ASFÁLTICA - TERRAPLENAGEM</v>
      </c>
      <c r="E16" s="72">
        <f ca="1">'Tabela Resumo'!F15</f>
        <v>3.7143246330018975E-2</v>
      </c>
      <c r="F16" s="309">
        <f>'Tabela Resumo'!E15</f>
        <v>165404.97</v>
      </c>
      <c r="G16" s="309">
        <f>H16*$F$16</f>
        <v>0</v>
      </c>
      <c r="H16" s="72"/>
      <c r="I16" s="309">
        <f>J16*$F$16</f>
        <v>0</v>
      </c>
      <c r="J16" s="72"/>
      <c r="K16" s="309">
        <f>L16*$F$16</f>
        <v>0</v>
      </c>
      <c r="L16" s="72"/>
      <c r="N16" s="122">
        <f t="shared" si="0"/>
        <v>1</v>
      </c>
    </row>
    <row r="17" spans="2:36" ht="14.1" customHeight="1" x14ac:dyDescent="0.25">
      <c r="B17" s="444"/>
      <c r="C17" s="309" t="str">
        <f>'Tabela Resumo'!C16</f>
        <v>07</v>
      </c>
      <c r="D17" s="69" t="str">
        <f>'Tabela Resumo'!D16</f>
        <v>IMPLANTAÇÃO ASFÁLTICA - ESTRUTURA DO PAVIMENTO</v>
      </c>
      <c r="E17" s="72">
        <f ca="1">'Tabela Resumo'!F16</f>
        <v>0.48275396464339082</v>
      </c>
      <c r="F17" s="309">
        <f>'Tabela Resumo'!E16</f>
        <v>2149782.6100000003</v>
      </c>
      <c r="G17" s="309">
        <f>H17*$F$17</f>
        <v>0</v>
      </c>
      <c r="H17" s="72"/>
      <c r="I17" s="309">
        <f>J17*$F$17</f>
        <v>0</v>
      </c>
      <c r="J17" s="72"/>
      <c r="K17" s="309">
        <f>L17*$F$17</f>
        <v>0</v>
      </c>
      <c r="L17" s="72"/>
      <c r="N17" s="122">
        <f t="shared" si="0"/>
        <v>1</v>
      </c>
    </row>
    <row r="18" spans="2:36" ht="14.1" customHeight="1" x14ac:dyDescent="0.25">
      <c r="B18" s="444"/>
      <c r="C18" s="68" t="str">
        <f>'Tabela Resumo'!C17</f>
        <v>08</v>
      </c>
      <c r="D18" s="69" t="str">
        <f>'Tabela Resumo'!D17</f>
        <v>SERVIÇOS COMPLEMENTARES</v>
      </c>
      <c r="E18" s="72">
        <f ca="1">'Tabela Resumo'!F17</f>
        <v>8.7750025343216187E-2</v>
      </c>
      <c r="F18" s="309">
        <f>'Tabela Resumo'!E17</f>
        <v>390765.26000000007</v>
      </c>
      <c r="G18" s="309">
        <f>H18*$F$18</f>
        <v>0</v>
      </c>
      <c r="H18" s="72"/>
      <c r="I18" s="309">
        <f>J18*$F$18</f>
        <v>0</v>
      </c>
      <c r="J18" s="72"/>
      <c r="K18" s="309">
        <f>L18*$F$18</f>
        <v>0</v>
      </c>
      <c r="L18" s="72"/>
      <c r="N18" s="122">
        <f t="shared" si="0"/>
        <v>0.99999999999999989</v>
      </c>
    </row>
    <row r="19" spans="2:36" ht="14.1" customHeight="1" x14ac:dyDescent="0.25">
      <c r="B19" s="444"/>
      <c r="C19" s="68" t="str">
        <f>'Tabela Resumo'!C18</f>
        <v>09</v>
      </c>
      <c r="D19" s="69" t="str">
        <f>'Tabela Resumo'!D18</f>
        <v>PASSEIO COM ACESSIBILIDADE</v>
      </c>
      <c r="E19" s="72">
        <f ca="1">'Tabela Resumo'!F18</f>
        <v>3.232040808233682E-2</v>
      </c>
      <c r="F19" s="309">
        <f>'Tabela Resumo'!E18</f>
        <v>143928.07999999999</v>
      </c>
      <c r="G19" s="309">
        <f>H19*$F$19</f>
        <v>0</v>
      </c>
      <c r="H19" s="72"/>
      <c r="I19" s="309">
        <f>J19*$F$19</f>
        <v>0</v>
      </c>
      <c r="J19" s="72"/>
      <c r="K19" s="309">
        <f>L19*$F$19</f>
        <v>0</v>
      </c>
      <c r="L19" s="72"/>
      <c r="N19" s="122">
        <f t="shared" si="0"/>
        <v>1</v>
      </c>
    </row>
    <row r="20" spans="2:36" ht="14.1" customHeight="1" x14ac:dyDescent="0.25">
      <c r="B20" s="444"/>
      <c r="C20" s="68" t="str">
        <f>'Tabela Resumo'!C19</f>
        <v>10</v>
      </c>
      <c r="D20" s="69" t="str">
        <f>'Tabela Resumo'!D19</f>
        <v>SINALIZAÇÃO VIÁRIA</v>
      </c>
      <c r="E20" s="72">
        <f ca="1">'Tabela Resumo'!F19</f>
        <v>1.6365833114251268E-2</v>
      </c>
      <c r="F20" s="309">
        <f>'Tabela Resumo'!E19</f>
        <v>72879.739999999991</v>
      </c>
      <c r="G20" s="309">
        <f>H20*$F$20</f>
        <v>0</v>
      </c>
      <c r="H20" s="72"/>
      <c r="I20" s="309">
        <f>J20*$F$20</f>
        <v>0</v>
      </c>
      <c r="J20" s="72"/>
      <c r="K20" s="309">
        <f>L20*$F$20</f>
        <v>0</v>
      </c>
      <c r="L20" s="72"/>
      <c r="N20" s="122">
        <f t="shared" si="0"/>
        <v>1</v>
      </c>
    </row>
    <row r="21" spans="2:36" ht="14.1" customHeight="1" x14ac:dyDescent="0.25">
      <c r="B21" s="451"/>
      <c r="C21" s="75" t="str">
        <f>'Tabela Resumo'!C20</f>
        <v>11</v>
      </c>
      <c r="D21" s="69" t="str">
        <f>'Tabela Resumo'!D20</f>
        <v>ADMINISTRAÇÃO LOCAL</v>
      </c>
      <c r="E21" s="72">
        <f ca="1">'Tabela Resumo'!F20</f>
        <v>4.8652939032628059E-2</v>
      </c>
      <c r="F21" s="68">
        <f>'Tabela Resumo'!E20</f>
        <v>216659.52000000002</v>
      </c>
      <c r="G21" s="68">
        <f>H21*$F$21</f>
        <v>18054.96</v>
      </c>
      <c r="H21" s="72">
        <f>1/12</f>
        <v>8.3333333333333329E-2</v>
      </c>
      <c r="I21" s="309">
        <f>J21*$F$21</f>
        <v>18054.96</v>
      </c>
      <c r="J21" s="72">
        <f>1/12</f>
        <v>8.3333333333333329E-2</v>
      </c>
      <c r="K21" s="309">
        <f>L21*$F$21</f>
        <v>18054.96</v>
      </c>
      <c r="L21" s="72">
        <f>1/12</f>
        <v>8.3333333333333329E-2</v>
      </c>
      <c r="N21" s="122">
        <f t="shared" si="0"/>
        <v>1</v>
      </c>
    </row>
    <row r="22" spans="2:36" ht="5.0999999999999996" customHeight="1" x14ac:dyDescent="0.25">
      <c r="C22" s="209"/>
      <c r="D22" s="33"/>
      <c r="E22" s="34"/>
      <c r="F22" s="34"/>
      <c r="G22" s="34"/>
      <c r="H22" s="34"/>
      <c r="I22" s="34"/>
      <c r="J22" s="34"/>
      <c r="K22" s="34"/>
      <c r="L22" s="34"/>
    </row>
    <row r="23" spans="2:36" ht="20.100000000000001" customHeight="1" x14ac:dyDescent="0.25">
      <c r="B23" s="445" t="s">
        <v>140</v>
      </c>
      <c r="C23" s="446"/>
      <c r="D23" s="447"/>
      <c r="E23" s="104">
        <f ca="1">SUM(E10:E22)</f>
        <v>0.99999999999999911</v>
      </c>
      <c r="F23" s="15">
        <f ca="1">SUM(F10:F22)</f>
        <v>4453164.07</v>
      </c>
      <c r="G23" s="15">
        <f ca="1">SUM(G10:G22)</f>
        <v>374130.68800000002</v>
      </c>
      <c r="H23" s="104">
        <f ca="1">G23/$F$23</f>
        <v>8.4014575281525616E-2</v>
      </c>
      <c r="I23" s="15">
        <f ca="1">SUM(I10:I22)</f>
        <v>385744.55200000008</v>
      </c>
      <c r="J23" s="104">
        <f ca="1">I23/$F$23</f>
        <v>8.6622577999916378E-2</v>
      </c>
      <c r="K23" s="15">
        <f ca="1">SUM(K10:K22)</f>
        <v>380595.80200000008</v>
      </c>
      <c r="L23" s="104">
        <f ca="1">K23/$F$23</f>
        <v>8.5466377617656492E-2</v>
      </c>
    </row>
    <row r="24" spans="2:36" ht="20.100000000000001" customHeight="1" x14ac:dyDescent="0.25">
      <c r="B24" s="445" t="s">
        <v>141</v>
      </c>
      <c r="C24" s="446"/>
      <c r="D24" s="447"/>
      <c r="E24" s="104"/>
      <c r="F24" s="15"/>
      <c r="G24" s="15">
        <f ca="1">G23</f>
        <v>374130.68800000002</v>
      </c>
      <c r="H24" s="104">
        <f ca="1">H23</f>
        <v>8.4014575281525616E-2</v>
      </c>
      <c r="I24" s="15">
        <f ca="1">I23+G24</f>
        <v>759875.24000000011</v>
      </c>
      <c r="J24" s="104">
        <f ca="1">J23+H24</f>
        <v>0.17063715328144199</v>
      </c>
      <c r="K24" s="15">
        <f ca="1">K23+I24</f>
        <v>1140471.0420000001</v>
      </c>
      <c r="L24" s="104">
        <f ca="1">L23+J24</f>
        <v>0.25610353089909849</v>
      </c>
    </row>
    <row r="25" spans="2:36" ht="30" customHeight="1" x14ac:dyDescent="0.25"/>
    <row r="26" spans="2:36" ht="15" customHeight="1" x14ac:dyDescent="0.25">
      <c r="B26" s="448" t="s">
        <v>0</v>
      </c>
      <c r="C26" s="448"/>
      <c r="D26" s="448" t="s">
        <v>1</v>
      </c>
      <c r="E26" s="448" t="s">
        <v>338</v>
      </c>
      <c r="F26" s="450" t="s">
        <v>138</v>
      </c>
      <c r="G26" s="390" t="s">
        <v>144</v>
      </c>
      <c r="H26" s="390"/>
      <c r="I26" s="390" t="s">
        <v>145</v>
      </c>
      <c r="J26" s="390"/>
      <c r="K26" s="390" t="s">
        <v>146</v>
      </c>
      <c r="L26" s="390"/>
      <c r="M26" s="31"/>
      <c r="N26" s="31"/>
      <c r="O26" s="31"/>
      <c r="P26" s="31"/>
      <c r="Q26" s="31"/>
      <c r="R26" s="31"/>
      <c r="S26" s="31"/>
      <c r="T26" s="31"/>
      <c r="U26" s="31"/>
      <c r="V26" s="31"/>
      <c r="W26" s="31"/>
      <c r="X26" s="31"/>
      <c r="Y26" s="31"/>
      <c r="Z26" s="31"/>
      <c r="AA26" s="31"/>
      <c r="AB26" s="31"/>
      <c r="AC26" s="31"/>
      <c r="AD26" s="31"/>
      <c r="AE26" s="31"/>
      <c r="AF26" s="9"/>
      <c r="AG26" s="218"/>
      <c r="AH26" s="218"/>
      <c r="AI26" s="9"/>
      <c r="AJ26" s="32"/>
    </row>
    <row r="27" spans="2:36" ht="15" customHeight="1" x14ac:dyDescent="0.25">
      <c r="B27" s="449"/>
      <c r="C27" s="449"/>
      <c r="D27" s="449"/>
      <c r="E27" s="449"/>
      <c r="F27" s="450"/>
      <c r="G27" s="212" t="s">
        <v>59</v>
      </c>
      <c r="H27" s="212" t="s">
        <v>7</v>
      </c>
      <c r="I27" s="212" t="s">
        <v>59</v>
      </c>
      <c r="J27" s="212" t="s">
        <v>7</v>
      </c>
      <c r="K27" s="212" t="s">
        <v>59</v>
      </c>
      <c r="L27" s="212" t="s">
        <v>7</v>
      </c>
      <c r="M27" s="31"/>
      <c r="N27" s="31"/>
      <c r="O27" s="31"/>
      <c r="P27" s="31"/>
      <c r="Q27" s="31"/>
      <c r="R27" s="31"/>
      <c r="S27" s="31"/>
      <c r="T27" s="31"/>
      <c r="U27" s="31"/>
      <c r="V27" s="31"/>
      <c r="W27" s="31"/>
      <c r="X27" s="31"/>
      <c r="Y27" s="31"/>
      <c r="Z27" s="31"/>
      <c r="AA27" s="31"/>
      <c r="AB27" s="31"/>
      <c r="AC27" s="31"/>
      <c r="AD27" s="31"/>
      <c r="AE27" s="31"/>
      <c r="AF27" s="9"/>
      <c r="AG27" s="218"/>
      <c r="AH27" s="218"/>
      <c r="AI27" s="9"/>
      <c r="AJ27" s="32"/>
    </row>
    <row r="28" spans="2:36" ht="5.0999999999999996" customHeight="1" x14ac:dyDescent="0.25"/>
    <row r="29" spans="2:36" ht="14.1" customHeight="1" x14ac:dyDescent="0.25">
      <c r="B29" s="443" t="s">
        <v>137</v>
      </c>
      <c r="C29" s="355" t="str">
        <f>'Tabela Resumo'!C10</f>
        <v>01</v>
      </c>
      <c r="D29" s="103" t="str">
        <f>'Tabela Resumo'!D10</f>
        <v>SERVIÇOS PRELIMINARES</v>
      </c>
      <c r="E29" s="95">
        <f ca="1">'Tabela Resumo'!F10</f>
        <v>2.4125702154962354E-2</v>
      </c>
      <c r="F29" s="355">
        <f>'Tabela Resumo'!E10</f>
        <v>107435.70999999999</v>
      </c>
      <c r="G29" s="219">
        <f>H29*$F$29</f>
        <v>0</v>
      </c>
      <c r="H29" s="95"/>
      <c r="I29" s="355">
        <f>J29*$F$29</f>
        <v>0</v>
      </c>
      <c r="J29" s="95"/>
      <c r="K29" s="355">
        <f>L29*$F$29</f>
        <v>0</v>
      </c>
      <c r="L29" s="95"/>
      <c r="N29" s="122">
        <f>N11</f>
        <v>1</v>
      </c>
    </row>
    <row r="30" spans="2:36" ht="14.1" customHeight="1" x14ac:dyDescent="0.25">
      <c r="B30" s="444"/>
      <c r="C30" s="359" t="str">
        <f>'Tabela Resumo'!C11</f>
        <v>02</v>
      </c>
      <c r="D30" s="69" t="str">
        <f>'Tabela Resumo'!D11</f>
        <v>DEMOLIÇÕES</v>
      </c>
      <c r="E30" s="72">
        <f ca="1">'Tabela Resumo'!F11</f>
        <v>1.3637269825542256E-4</v>
      </c>
      <c r="F30" s="359">
        <f>'Tabela Resumo'!E11</f>
        <v>607.29000000000008</v>
      </c>
      <c r="G30" s="221">
        <f>H30*$F$30</f>
        <v>0</v>
      </c>
      <c r="H30" s="72"/>
      <c r="I30" s="359">
        <f>J30*$F$30</f>
        <v>0</v>
      </c>
      <c r="J30" s="72"/>
      <c r="K30" s="359">
        <f>L30*$F$30</f>
        <v>0</v>
      </c>
      <c r="L30" s="72"/>
      <c r="N30" s="122">
        <f t="shared" ref="N30:N39" si="1">N12</f>
        <v>1</v>
      </c>
    </row>
    <row r="31" spans="2:36" ht="14.1" customHeight="1" x14ac:dyDescent="0.25">
      <c r="B31" s="444"/>
      <c r="C31" s="359" t="str">
        <f>'Tabela Resumo'!C12</f>
        <v>03</v>
      </c>
      <c r="D31" s="69" t="str">
        <f>'Tabela Resumo'!D12</f>
        <v>DRENAGEM DE ÁGUAS PLUVIAIS - TERRAPLENAGEM</v>
      </c>
      <c r="E31" s="72">
        <f ca="1">'Tabela Resumo'!F12</f>
        <v>6.9622611052819305E-2</v>
      </c>
      <c r="F31" s="359">
        <f ca="1">'Tabela Resumo'!E12</f>
        <v>310040.90999999997</v>
      </c>
      <c r="G31" s="221">
        <f ca="1">H31*$F$31</f>
        <v>0</v>
      </c>
      <c r="H31" s="72"/>
      <c r="I31" s="359">
        <f ca="1">J31*$F$31</f>
        <v>0</v>
      </c>
      <c r="J31" s="72"/>
      <c r="K31" s="359">
        <f ca="1">L31*$F$31</f>
        <v>0</v>
      </c>
      <c r="L31" s="72"/>
      <c r="N31" s="122">
        <f t="shared" si="1"/>
        <v>1</v>
      </c>
    </row>
    <row r="32" spans="2:36" ht="14.1" customHeight="1" x14ac:dyDescent="0.25">
      <c r="B32" s="444"/>
      <c r="C32" s="359" t="str">
        <f>'Tabela Resumo'!C13</f>
        <v>04</v>
      </c>
      <c r="D32" s="69" t="str">
        <f>'Tabela Resumo'!D13</f>
        <v>DRENAGEM DE ÁGUAS PLUVIAIS - DISPOSITIVOS ESTRUTURAIS 01</v>
      </c>
      <c r="E32" s="72">
        <f ca="1">'Tabela Resumo'!F13</f>
        <v>0.13728728840660018</v>
      </c>
      <c r="F32" s="359">
        <f>'Tabela Resumo'!E13</f>
        <v>611362.82000000007</v>
      </c>
      <c r="G32" s="221">
        <f>H32*$F$32</f>
        <v>0</v>
      </c>
      <c r="H32" s="72"/>
      <c r="I32" s="359">
        <f>J32*$F$32</f>
        <v>0</v>
      </c>
      <c r="J32" s="72"/>
      <c r="K32" s="359">
        <f>L32*$F$32</f>
        <v>0</v>
      </c>
      <c r="L32" s="72"/>
      <c r="N32" s="122">
        <f t="shared" si="1"/>
        <v>1</v>
      </c>
    </row>
    <row r="33" spans="2:36" ht="14.1" customHeight="1" x14ac:dyDescent="0.25">
      <c r="B33" s="444"/>
      <c r="C33" s="359" t="str">
        <f>'Tabela Resumo'!C14</f>
        <v>05</v>
      </c>
      <c r="D33" s="69" t="str">
        <f>'Tabela Resumo'!D14</f>
        <v>DRENAGEM DE ÁGUAS PLUVIAIS - DISPOSITIVOS ESTRUTURAIS 02</v>
      </c>
      <c r="E33" s="72">
        <f ca="1">'Tabela Resumo'!F14</f>
        <v>6.3841609141519859E-2</v>
      </c>
      <c r="F33" s="359">
        <f>'Tabela Resumo'!E14</f>
        <v>284297.15999999997</v>
      </c>
      <c r="G33" s="221">
        <f>H33*$F$33</f>
        <v>0</v>
      </c>
      <c r="H33" s="72"/>
      <c r="I33" s="359">
        <f>J33*$F$33</f>
        <v>0</v>
      </c>
      <c r="J33" s="72"/>
      <c r="K33" s="359">
        <f>L33*$F$33</f>
        <v>0</v>
      </c>
      <c r="L33" s="72"/>
      <c r="N33" s="122">
        <f t="shared" si="1"/>
        <v>1</v>
      </c>
    </row>
    <row r="34" spans="2:36" ht="14.1" customHeight="1" x14ac:dyDescent="0.25">
      <c r="B34" s="444"/>
      <c r="C34" s="359" t="str">
        <f>'Tabela Resumo'!C15</f>
        <v>06</v>
      </c>
      <c r="D34" s="69" t="str">
        <f>'Tabela Resumo'!D15</f>
        <v>IMPLANTAÇÃO ASFÁLTICA - TERRAPLENAGEM</v>
      </c>
      <c r="E34" s="72">
        <f ca="1">'Tabela Resumo'!F15</f>
        <v>3.7143246330018975E-2</v>
      </c>
      <c r="F34" s="359">
        <f>'Tabela Resumo'!E15</f>
        <v>165404.97</v>
      </c>
      <c r="G34" s="221">
        <f>H34*$F$34</f>
        <v>24810.745500000001</v>
      </c>
      <c r="H34" s="72">
        <v>0.15</v>
      </c>
      <c r="I34" s="359">
        <f>J34*$F$34</f>
        <v>24810.745500000001</v>
      </c>
      <c r="J34" s="72">
        <v>0.15</v>
      </c>
      <c r="K34" s="359">
        <f>L34*$F$34</f>
        <v>24810.745500000001</v>
      </c>
      <c r="L34" s="72">
        <v>0.15</v>
      </c>
      <c r="N34" s="122">
        <f t="shared" si="1"/>
        <v>1</v>
      </c>
    </row>
    <row r="35" spans="2:36" ht="14.1" customHeight="1" x14ac:dyDescent="0.25">
      <c r="B35" s="444"/>
      <c r="C35" s="359" t="str">
        <f>'Tabela Resumo'!C16</f>
        <v>07</v>
      </c>
      <c r="D35" s="69" t="str">
        <f>'Tabela Resumo'!D16</f>
        <v>IMPLANTAÇÃO ASFÁLTICA - ESTRUTURA DO PAVIMENTO</v>
      </c>
      <c r="E35" s="72">
        <f ca="1">'Tabela Resumo'!F16</f>
        <v>0.48275396464339082</v>
      </c>
      <c r="F35" s="359">
        <f>'Tabela Resumo'!E16</f>
        <v>2149782.6100000003</v>
      </c>
      <c r="G35" s="221">
        <f>H35*$F$35</f>
        <v>322467.39150000003</v>
      </c>
      <c r="H35" s="72">
        <v>0.15</v>
      </c>
      <c r="I35" s="359">
        <f>J35*$F$35</f>
        <v>322467.39150000003</v>
      </c>
      <c r="J35" s="72">
        <v>0.15</v>
      </c>
      <c r="K35" s="359">
        <f>L35*$F$35</f>
        <v>322467.39150000003</v>
      </c>
      <c r="L35" s="72">
        <v>0.15</v>
      </c>
      <c r="N35" s="122">
        <f t="shared" si="1"/>
        <v>1</v>
      </c>
    </row>
    <row r="36" spans="2:36" ht="14.1" customHeight="1" x14ac:dyDescent="0.25">
      <c r="B36" s="444"/>
      <c r="C36" s="359" t="str">
        <f>'Tabela Resumo'!C17</f>
        <v>08</v>
      </c>
      <c r="D36" s="69" t="str">
        <f>'Tabela Resumo'!D17</f>
        <v>SERVIÇOS COMPLEMENTARES</v>
      </c>
      <c r="E36" s="72">
        <f ca="1">'Tabela Resumo'!F17</f>
        <v>8.7750025343216187E-2</v>
      </c>
      <c r="F36" s="359">
        <f>'Tabela Resumo'!E17</f>
        <v>390765.26000000007</v>
      </c>
      <c r="G36" s="359">
        <f>H36*$F$36</f>
        <v>0</v>
      </c>
      <c r="H36" s="72"/>
      <c r="I36" s="359">
        <f>J36*$F$36</f>
        <v>0</v>
      </c>
      <c r="J36" s="72"/>
      <c r="K36" s="359">
        <f>L36*$F$36</f>
        <v>0</v>
      </c>
      <c r="L36" s="72"/>
      <c r="N36" s="122">
        <f t="shared" si="1"/>
        <v>0.99999999999999989</v>
      </c>
    </row>
    <row r="37" spans="2:36" ht="14.1" customHeight="1" x14ac:dyDescent="0.25">
      <c r="B37" s="444"/>
      <c r="C37" s="359" t="str">
        <f>'Tabela Resumo'!C18</f>
        <v>09</v>
      </c>
      <c r="D37" s="69" t="str">
        <f>'Tabela Resumo'!D18</f>
        <v>PASSEIO COM ACESSIBILIDADE</v>
      </c>
      <c r="E37" s="72">
        <f ca="1">'Tabela Resumo'!F18</f>
        <v>3.232040808233682E-2</v>
      </c>
      <c r="F37" s="359">
        <f>'Tabela Resumo'!E18</f>
        <v>143928.07999999999</v>
      </c>
      <c r="G37" s="359">
        <f>H37*$F$37</f>
        <v>0</v>
      </c>
      <c r="H37" s="72"/>
      <c r="I37" s="359">
        <f>J37*$F$37</f>
        <v>0</v>
      </c>
      <c r="J37" s="72"/>
      <c r="K37" s="359">
        <f>L37*$F$37</f>
        <v>0</v>
      </c>
      <c r="L37" s="72"/>
      <c r="N37" s="122">
        <f t="shared" si="1"/>
        <v>1</v>
      </c>
    </row>
    <row r="38" spans="2:36" ht="14.1" customHeight="1" x14ac:dyDescent="0.25">
      <c r="B38" s="444"/>
      <c r="C38" s="359" t="str">
        <f>'Tabela Resumo'!C19</f>
        <v>10</v>
      </c>
      <c r="D38" s="69" t="str">
        <f>'Tabela Resumo'!D19</f>
        <v>SINALIZAÇÃO VIÁRIA</v>
      </c>
      <c r="E38" s="72">
        <f ca="1">'Tabela Resumo'!F19</f>
        <v>1.6365833114251268E-2</v>
      </c>
      <c r="F38" s="359">
        <f>'Tabela Resumo'!E19</f>
        <v>72879.739999999991</v>
      </c>
      <c r="G38" s="359">
        <f>H38*$F$38</f>
        <v>0</v>
      </c>
      <c r="H38" s="72"/>
      <c r="I38" s="359">
        <f>J38*$F$38</f>
        <v>0</v>
      </c>
      <c r="J38" s="72"/>
      <c r="K38" s="359">
        <f>L38*$F$38</f>
        <v>0</v>
      </c>
      <c r="L38" s="72"/>
      <c r="N38" s="122">
        <f t="shared" si="1"/>
        <v>1</v>
      </c>
    </row>
    <row r="39" spans="2:36" ht="14.1" customHeight="1" x14ac:dyDescent="0.25">
      <c r="B39" s="451"/>
      <c r="C39" s="356" t="str">
        <f>'Tabela Resumo'!C20</f>
        <v>11</v>
      </c>
      <c r="D39" s="69" t="str">
        <f>'Tabela Resumo'!D20</f>
        <v>ADMINISTRAÇÃO LOCAL</v>
      </c>
      <c r="E39" s="72">
        <f ca="1">'Tabela Resumo'!F20</f>
        <v>4.8652939032628059E-2</v>
      </c>
      <c r="F39" s="359">
        <f>'Tabela Resumo'!E20</f>
        <v>216659.52000000002</v>
      </c>
      <c r="G39" s="359">
        <f>H39*$F$39</f>
        <v>18054.96</v>
      </c>
      <c r="H39" s="72">
        <f>1/12</f>
        <v>8.3333333333333329E-2</v>
      </c>
      <c r="I39" s="359">
        <f>J39*$F$39</f>
        <v>18054.96</v>
      </c>
      <c r="J39" s="72">
        <f>1/12</f>
        <v>8.3333333333333329E-2</v>
      </c>
      <c r="K39" s="359">
        <f>L39*$F$39</f>
        <v>18054.96</v>
      </c>
      <c r="L39" s="72">
        <f>1/12</f>
        <v>8.3333333333333329E-2</v>
      </c>
      <c r="N39" s="122">
        <f t="shared" si="1"/>
        <v>1</v>
      </c>
    </row>
    <row r="40" spans="2:36" ht="5.0999999999999996" customHeight="1" x14ac:dyDescent="0.25">
      <c r="C40" s="209"/>
      <c r="D40" s="33"/>
      <c r="E40" s="34"/>
      <c r="F40" s="34"/>
      <c r="G40" s="34"/>
      <c r="H40" s="34"/>
      <c r="I40" s="34"/>
      <c r="J40" s="34"/>
      <c r="K40" s="34"/>
      <c r="L40" s="34"/>
    </row>
    <row r="41" spans="2:36" ht="20.100000000000001" customHeight="1" x14ac:dyDescent="0.25">
      <c r="B41" s="445" t="s">
        <v>140</v>
      </c>
      <c r="C41" s="446"/>
      <c r="D41" s="447"/>
      <c r="E41" s="104">
        <f ca="1">SUM(E28:E40)</f>
        <v>0.99999999999999911</v>
      </c>
      <c r="F41" s="215">
        <f ca="1">SUM(F28:F40)</f>
        <v>4453164.07</v>
      </c>
      <c r="G41" s="215">
        <f ca="1">SUM(G28:G40)</f>
        <v>365333.09700000007</v>
      </c>
      <c r="H41" s="104">
        <f ca="1">G41/$F$41</f>
        <v>8.2038993232063886E-2</v>
      </c>
      <c r="I41" s="215">
        <f ca="1">SUM(I28:I40)</f>
        <v>365333.09700000007</v>
      </c>
      <c r="J41" s="104">
        <f ca="1">I41/$F$41</f>
        <v>8.2038993232063886E-2</v>
      </c>
      <c r="K41" s="215">
        <f ca="1">SUM(K28:K40)</f>
        <v>365333.09700000007</v>
      </c>
      <c r="L41" s="104">
        <f ca="1">K41/$F$41</f>
        <v>8.2038993232063886E-2</v>
      </c>
    </row>
    <row r="42" spans="2:36" ht="20.100000000000001" customHeight="1" x14ac:dyDescent="0.25">
      <c r="B42" s="445" t="s">
        <v>141</v>
      </c>
      <c r="C42" s="446"/>
      <c r="D42" s="447"/>
      <c r="E42" s="104"/>
      <c r="F42" s="215"/>
      <c r="G42" s="215">
        <f ca="1">G41+K24</f>
        <v>1505804.1390000002</v>
      </c>
      <c r="H42" s="104">
        <f ca="1">H41+L24</f>
        <v>0.33814252413116236</v>
      </c>
      <c r="I42" s="215">
        <f ca="1">I41+G42</f>
        <v>1871137.2360000003</v>
      </c>
      <c r="J42" s="104">
        <f ca="1">J41+H42</f>
        <v>0.42018151736322623</v>
      </c>
      <c r="K42" s="215">
        <f ca="1">K41+I42</f>
        <v>2236470.3330000006</v>
      </c>
      <c r="L42" s="104">
        <f ca="1">L41+J42</f>
        <v>0.50222051059529016</v>
      </c>
    </row>
    <row r="43" spans="2:36" ht="30" customHeight="1" x14ac:dyDescent="0.25"/>
    <row r="44" spans="2:36" ht="15" customHeight="1" x14ac:dyDescent="0.25">
      <c r="B44" s="448" t="s">
        <v>0</v>
      </c>
      <c r="C44" s="448"/>
      <c r="D44" s="448" t="s">
        <v>1</v>
      </c>
      <c r="E44" s="448" t="s">
        <v>338</v>
      </c>
      <c r="F44" s="450" t="s">
        <v>138</v>
      </c>
      <c r="G44" s="390" t="s">
        <v>600</v>
      </c>
      <c r="H44" s="390"/>
      <c r="I44" s="390" t="s">
        <v>601</v>
      </c>
      <c r="J44" s="390"/>
      <c r="K44" s="390" t="s">
        <v>602</v>
      </c>
      <c r="L44" s="390"/>
      <c r="M44" s="31"/>
      <c r="N44" s="31"/>
      <c r="O44" s="31"/>
      <c r="P44" s="31"/>
      <c r="Q44" s="31"/>
      <c r="R44" s="31"/>
      <c r="S44" s="31"/>
      <c r="T44" s="31"/>
      <c r="U44" s="31"/>
      <c r="V44" s="31"/>
      <c r="W44" s="31"/>
      <c r="X44" s="31"/>
      <c r="Y44" s="31"/>
      <c r="Z44" s="31"/>
      <c r="AA44" s="31"/>
      <c r="AB44" s="31"/>
      <c r="AC44" s="31"/>
      <c r="AD44" s="31"/>
      <c r="AE44" s="31"/>
      <c r="AF44" s="9"/>
      <c r="AG44" s="218"/>
      <c r="AH44" s="218"/>
      <c r="AI44" s="9"/>
      <c r="AJ44" s="32"/>
    </row>
    <row r="45" spans="2:36" ht="15" customHeight="1" x14ac:dyDescent="0.25">
      <c r="B45" s="449"/>
      <c r="C45" s="449"/>
      <c r="D45" s="449"/>
      <c r="E45" s="449"/>
      <c r="F45" s="450"/>
      <c r="G45" s="243" t="s">
        <v>59</v>
      </c>
      <c r="H45" s="243" t="s">
        <v>7</v>
      </c>
      <c r="I45" s="243" t="s">
        <v>59</v>
      </c>
      <c r="J45" s="243" t="s">
        <v>7</v>
      </c>
      <c r="K45" s="243" t="s">
        <v>59</v>
      </c>
      <c r="L45" s="243" t="s">
        <v>7</v>
      </c>
      <c r="M45" s="31"/>
      <c r="N45" s="31"/>
      <c r="O45" s="31"/>
      <c r="P45" s="31"/>
      <c r="Q45" s="31"/>
      <c r="R45" s="31"/>
      <c r="S45" s="31"/>
      <c r="T45" s="31"/>
      <c r="U45" s="31"/>
      <c r="V45" s="31"/>
      <c r="W45" s="31"/>
      <c r="X45" s="31"/>
      <c r="Y45" s="31"/>
      <c r="Z45" s="31"/>
      <c r="AA45" s="31"/>
      <c r="AB45" s="31"/>
      <c r="AC45" s="31"/>
      <c r="AD45" s="31"/>
      <c r="AE45" s="31"/>
      <c r="AF45" s="9"/>
      <c r="AG45" s="218"/>
      <c r="AH45" s="218"/>
      <c r="AI45" s="9"/>
      <c r="AJ45" s="32"/>
    </row>
    <row r="46" spans="2:36" ht="5.0999999999999996" customHeight="1" x14ac:dyDescent="0.25"/>
    <row r="47" spans="2:36" ht="14.1" customHeight="1" x14ac:dyDescent="0.25">
      <c r="B47" s="443" t="s">
        <v>137</v>
      </c>
      <c r="C47" s="355" t="str">
        <f t="shared" ref="C47:F57" si="2">C29</f>
        <v>01</v>
      </c>
      <c r="D47" s="103" t="str">
        <f t="shared" si="2"/>
        <v>SERVIÇOS PRELIMINARES</v>
      </c>
      <c r="E47" s="95">
        <f t="shared" ca="1" si="2"/>
        <v>2.4125702154962354E-2</v>
      </c>
      <c r="F47" s="355">
        <f t="shared" si="2"/>
        <v>107435.70999999999</v>
      </c>
      <c r="G47" s="355">
        <f>H47*$F$47</f>
        <v>0</v>
      </c>
      <c r="H47" s="95"/>
      <c r="I47" s="355">
        <f>J47*$F$47</f>
        <v>0</v>
      </c>
      <c r="J47" s="95"/>
      <c r="K47" s="355">
        <f>L47*$F$47</f>
        <v>0</v>
      </c>
      <c r="L47" s="95"/>
      <c r="N47" s="122">
        <f>N29</f>
        <v>1</v>
      </c>
    </row>
    <row r="48" spans="2:36" ht="14.1" customHeight="1" x14ac:dyDescent="0.25">
      <c r="B48" s="444"/>
      <c r="C48" s="359" t="str">
        <f t="shared" si="2"/>
        <v>02</v>
      </c>
      <c r="D48" s="69" t="str">
        <f t="shared" si="2"/>
        <v>DEMOLIÇÕES</v>
      </c>
      <c r="E48" s="72">
        <f t="shared" ca="1" si="2"/>
        <v>1.3637269825542256E-4</v>
      </c>
      <c r="F48" s="359">
        <f t="shared" si="2"/>
        <v>607.29000000000008</v>
      </c>
      <c r="G48" s="359">
        <f>H48*$F$48</f>
        <v>0</v>
      </c>
      <c r="H48" s="72"/>
      <c r="I48" s="359">
        <f>J48*$F$48</f>
        <v>0</v>
      </c>
      <c r="J48" s="72"/>
      <c r="K48" s="359">
        <f>L48*$F$48</f>
        <v>0</v>
      </c>
      <c r="L48" s="72"/>
      <c r="N48" s="122">
        <f t="shared" ref="N48:N57" si="3">N30</f>
        <v>1</v>
      </c>
    </row>
    <row r="49" spans="2:36" ht="14.1" customHeight="1" x14ac:dyDescent="0.25">
      <c r="B49" s="444"/>
      <c r="C49" s="359" t="str">
        <f t="shared" si="2"/>
        <v>03</v>
      </c>
      <c r="D49" s="69" t="str">
        <f t="shared" si="2"/>
        <v>DRENAGEM DE ÁGUAS PLUVIAIS - TERRAPLENAGEM</v>
      </c>
      <c r="E49" s="72">
        <f t="shared" ca="1" si="2"/>
        <v>6.9622611052819305E-2</v>
      </c>
      <c r="F49" s="359">
        <f t="shared" ca="1" si="2"/>
        <v>310040.90999999997</v>
      </c>
      <c r="G49" s="359">
        <f ca="1">H49*$F$49</f>
        <v>0</v>
      </c>
      <c r="H49" s="72"/>
      <c r="I49" s="359">
        <f ca="1">J49*$F$49</f>
        <v>0</v>
      </c>
      <c r="J49" s="72"/>
      <c r="K49" s="359">
        <f ca="1">L49*$F$49</f>
        <v>0</v>
      </c>
      <c r="L49" s="72"/>
      <c r="N49" s="122">
        <f t="shared" si="3"/>
        <v>1</v>
      </c>
    </row>
    <row r="50" spans="2:36" ht="14.1" customHeight="1" x14ac:dyDescent="0.25">
      <c r="B50" s="444"/>
      <c r="C50" s="359" t="str">
        <f t="shared" si="2"/>
        <v>04</v>
      </c>
      <c r="D50" s="69" t="str">
        <f t="shared" si="2"/>
        <v>DRENAGEM DE ÁGUAS PLUVIAIS - DISPOSITIVOS ESTRUTURAIS 01</v>
      </c>
      <c r="E50" s="72">
        <f t="shared" ca="1" si="2"/>
        <v>0.13728728840660018</v>
      </c>
      <c r="F50" s="359">
        <f t="shared" si="2"/>
        <v>611362.82000000007</v>
      </c>
      <c r="G50" s="359">
        <f>H50*$F$50</f>
        <v>0</v>
      </c>
      <c r="H50" s="72"/>
      <c r="I50" s="359">
        <f>J50*$F$50</f>
        <v>0</v>
      </c>
      <c r="J50" s="72"/>
      <c r="K50" s="359">
        <f>L50*$F$50</f>
        <v>0</v>
      </c>
      <c r="L50" s="72"/>
      <c r="N50" s="122">
        <f t="shared" si="3"/>
        <v>1</v>
      </c>
    </row>
    <row r="51" spans="2:36" ht="14.1" customHeight="1" x14ac:dyDescent="0.25">
      <c r="B51" s="444"/>
      <c r="C51" s="359" t="str">
        <f t="shared" si="2"/>
        <v>05</v>
      </c>
      <c r="D51" s="69" t="str">
        <f t="shared" si="2"/>
        <v>DRENAGEM DE ÁGUAS PLUVIAIS - DISPOSITIVOS ESTRUTURAIS 02</v>
      </c>
      <c r="E51" s="72">
        <f t="shared" ca="1" si="2"/>
        <v>6.3841609141519859E-2</v>
      </c>
      <c r="F51" s="359">
        <f t="shared" si="2"/>
        <v>284297.15999999997</v>
      </c>
      <c r="G51" s="359">
        <f>H51*$F$51</f>
        <v>0</v>
      </c>
      <c r="H51" s="72"/>
      <c r="I51" s="359">
        <f>J51*$F$51</f>
        <v>0</v>
      </c>
      <c r="J51" s="72"/>
      <c r="K51" s="359">
        <f>L51*$F$51</f>
        <v>0</v>
      </c>
      <c r="L51" s="72"/>
      <c r="N51" s="122">
        <f t="shared" si="3"/>
        <v>1</v>
      </c>
    </row>
    <row r="52" spans="2:36" ht="14.1" customHeight="1" x14ac:dyDescent="0.25">
      <c r="B52" s="444"/>
      <c r="C52" s="359" t="str">
        <f t="shared" si="2"/>
        <v>06</v>
      </c>
      <c r="D52" s="69" t="str">
        <f t="shared" si="2"/>
        <v>IMPLANTAÇÃO ASFÁLTICA - TERRAPLENAGEM</v>
      </c>
      <c r="E52" s="72">
        <f t="shared" ca="1" si="2"/>
        <v>3.7143246330018975E-2</v>
      </c>
      <c r="F52" s="359">
        <f t="shared" si="2"/>
        <v>165404.97</v>
      </c>
      <c r="G52" s="359">
        <f>H52*$F$52</f>
        <v>24810.745500000001</v>
      </c>
      <c r="H52" s="72">
        <v>0.15</v>
      </c>
      <c r="I52" s="359">
        <f>J52*$F$52</f>
        <v>24810.745500000001</v>
      </c>
      <c r="J52" s="72">
        <v>0.15</v>
      </c>
      <c r="K52" s="359">
        <f>L52*$F$52</f>
        <v>24810.745500000001</v>
      </c>
      <c r="L52" s="72">
        <v>0.15</v>
      </c>
      <c r="N52" s="122">
        <f t="shared" si="3"/>
        <v>1</v>
      </c>
    </row>
    <row r="53" spans="2:36" ht="14.1" customHeight="1" x14ac:dyDescent="0.25">
      <c r="B53" s="444"/>
      <c r="C53" s="359" t="str">
        <f t="shared" si="2"/>
        <v>07</v>
      </c>
      <c r="D53" s="69" t="str">
        <f t="shared" si="2"/>
        <v>IMPLANTAÇÃO ASFÁLTICA - ESTRUTURA DO PAVIMENTO</v>
      </c>
      <c r="E53" s="72">
        <f t="shared" ca="1" si="2"/>
        <v>0.48275396464339082</v>
      </c>
      <c r="F53" s="359">
        <f t="shared" si="2"/>
        <v>2149782.6100000003</v>
      </c>
      <c r="G53" s="359">
        <f>H53*$F$53</f>
        <v>322467.39150000003</v>
      </c>
      <c r="H53" s="72">
        <v>0.15</v>
      </c>
      <c r="I53" s="359">
        <f>J53*$F$53</f>
        <v>322467.39150000003</v>
      </c>
      <c r="J53" s="72">
        <v>0.15</v>
      </c>
      <c r="K53" s="359">
        <f>L53*$F$53</f>
        <v>322467.39150000003</v>
      </c>
      <c r="L53" s="72">
        <v>0.15</v>
      </c>
      <c r="N53" s="122">
        <f t="shared" si="3"/>
        <v>1</v>
      </c>
    </row>
    <row r="54" spans="2:36" ht="14.1" customHeight="1" x14ac:dyDescent="0.25">
      <c r="B54" s="444"/>
      <c r="C54" s="359" t="str">
        <f t="shared" si="2"/>
        <v>08</v>
      </c>
      <c r="D54" s="69" t="str">
        <f t="shared" si="2"/>
        <v>SERVIÇOS COMPLEMENTARES</v>
      </c>
      <c r="E54" s="72">
        <f t="shared" ca="1" si="2"/>
        <v>8.7750025343216187E-2</v>
      </c>
      <c r="F54" s="359">
        <f t="shared" si="2"/>
        <v>390765.26000000007</v>
      </c>
      <c r="G54" s="359">
        <f>H54*$F$54</f>
        <v>0</v>
      </c>
      <c r="H54" s="72"/>
      <c r="I54" s="359">
        <f>J54*$F$54</f>
        <v>0</v>
      </c>
      <c r="J54" s="72"/>
      <c r="K54" s="359">
        <f>L54*$F$54</f>
        <v>0</v>
      </c>
      <c r="L54" s="72"/>
      <c r="N54" s="122">
        <f t="shared" si="3"/>
        <v>0.99999999999999989</v>
      </c>
    </row>
    <row r="55" spans="2:36" ht="14.1" customHeight="1" x14ac:dyDescent="0.25">
      <c r="B55" s="444"/>
      <c r="C55" s="359" t="str">
        <f t="shared" si="2"/>
        <v>09</v>
      </c>
      <c r="D55" s="69" t="str">
        <f t="shared" si="2"/>
        <v>PASSEIO COM ACESSIBILIDADE</v>
      </c>
      <c r="E55" s="72">
        <f t="shared" ca="1" si="2"/>
        <v>3.232040808233682E-2</v>
      </c>
      <c r="F55" s="359">
        <f t="shared" si="2"/>
        <v>143928.07999999999</v>
      </c>
      <c r="G55" s="359">
        <f>H55*$F$55</f>
        <v>0</v>
      </c>
      <c r="H55" s="72"/>
      <c r="I55" s="359">
        <f>J55*$F$55</f>
        <v>0</v>
      </c>
      <c r="J55" s="72"/>
      <c r="K55" s="359">
        <f>L55*$F$55</f>
        <v>0</v>
      </c>
      <c r="L55" s="72"/>
      <c r="N55" s="122">
        <f t="shared" si="3"/>
        <v>1</v>
      </c>
    </row>
    <row r="56" spans="2:36" ht="14.1" customHeight="1" x14ac:dyDescent="0.25">
      <c r="B56" s="444"/>
      <c r="C56" s="359" t="str">
        <f t="shared" si="2"/>
        <v>10</v>
      </c>
      <c r="D56" s="69" t="str">
        <f t="shared" si="2"/>
        <v>SINALIZAÇÃO VIÁRIA</v>
      </c>
      <c r="E56" s="72">
        <f t="shared" ca="1" si="2"/>
        <v>1.6365833114251268E-2</v>
      </c>
      <c r="F56" s="359">
        <f t="shared" si="2"/>
        <v>72879.739999999991</v>
      </c>
      <c r="G56" s="359">
        <f>H56*$F$56</f>
        <v>0</v>
      </c>
      <c r="H56" s="72"/>
      <c r="I56" s="359">
        <f>J56*$F$56</f>
        <v>0</v>
      </c>
      <c r="J56" s="72"/>
      <c r="K56" s="359">
        <f>L56*$F$56</f>
        <v>0</v>
      </c>
      <c r="L56" s="72"/>
      <c r="N56" s="122">
        <f t="shared" si="3"/>
        <v>1</v>
      </c>
    </row>
    <row r="57" spans="2:36" ht="14.1" customHeight="1" x14ac:dyDescent="0.25">
      <c r="B57" s="444"/>
      <c r="C57" s="356" t="str">
        <f t="shared" si="2"/>
        <v>11</v>
      </c>
      <c r="D57" s="69" t="str">
        <f t="shared" si="2"/>
        <v>ADMINISTRAÇÃO LOCAL</v>
      </c>
      <c r="E57" s="72">
        <f t="shared" ca="1" si="2"/>
        <v>4.8652939032628059E-2</v>
      </c>
      <c r="F57" s="359">
        <f t="shared" si="2"/>
        <v>216659.52000000002</v>
      </c>
      <c r="G57" s="359">
        <f>H57*$F$57</f>
        <v>18054.96</v>
      </c>
      <c r="H57" s="72">
        <f>1/12</f>
        <v>8.3333333333333329E-2</v>
      </c>
      <c r="I57" s="359">
        <f>J57*$F$57</f>
        <v>18054.96</v>
      </c>
      <c r="J57" s="72">
        <f>1/12</f>
        <v>8.3333333333333329E-2</v>
      </c>
      <c r="K57" s="359">
        <f>L57*$F$57</f>
        <v>18054.96</v>
      </c>
      <c r="L57" s="72">
        <f>1/12</f>
        <v>8.3333333333333329E-2</v>
      </c>
      <c r="N57" s="122">
        <f t="shared" si="3"/>
        <v>1</v>
      </c>
    </row>
    <row r="58" spans="2:36" ht="5.0999999999999996" customHeight="1" x14ac:dyDescent="0.25">
      <c r="C58" s="209"/>
      <c r="D58" s="33"/>
      <c r="E58" s="34"/>
      <c r="F58" s="34"/>
      <c r="G58" s="34"/>
      <c r="H58" s="34"/>
      <c r="I58" s="34"/>
      <c r="J58" s="34"/>
      <c r="K58" s="34"/>
      <c r="L58" s="34"/>
    </row>
    <row r="59" spans="2:36" ht="20.100000000000001" customHeight="1" x14ac:dyDescent="0.25">
      <c r="B59" s="445" t="s">
        <v>140</v>
      </c>
      <c r="C59" s="446"/>
      <c r="D59" s="447"/>
      <c r="E59" s="104">
        <f ca="1">SUM(E46:E58)</f>
        <v>0.99999999999999911</v>
      </c>
      <c r="F59" s="246">
        <f ca="1">SUM(F46:F58)</f>
        <v>4453164.07</v>
      </c>
      <c r="G59" s="246">
        <f ca="1">SUM(G46:G58)</f>
        <v>365333.09700000007</v>
      </c>
      <c r="H59" s="104">
        <f ca="1">G59/$F$41</f>
        <v>8.2038993232063886E-2</v>
      </c>
      <c r="I59" s="246">
        <f ca="1">SUM(I46:I58)</f>
        <v>365333.09700000007</v>
      </c>
      <c r="J59" s="104">
        <f ca="1">I59/$F$41</f>
        <v>8.2038993232063886E-2</v>
      </c>
      <c r="K59" s="246">
        <f ca="1">SUM(K46:K58)</f>
        <v>365333.09700000007</v>
      </c>
      <c r="L59" s="104">
        <f ca="1">K59/$F$41</f>
        <v>8.2038993232063886E-2</v>
      </c>
    </row>
    <row r="60" spans="2:36" ht="20.100000000000001" customHeight="1" x14ac:dyDescent="0.25">
      <c r="B60" s="445" t="s">
        <v>141</v>
      </c>
      <c r="C60" s="446"/>
      <c r="D60" s="447"/>
      <c r="E60" s="104"/>
      <c r="F60" s="246"/>
      <c r="G60" s="246">
        <f ca="1">G59+K42</f>
        <v>2601803.4300000006</v>
      </c>
      <c r="H60" s="104">
        <f ca="1">H59+L42</f>
        <v>0.58425950382735403</v>
      </c>
      <c r="I60" s="246">
        <f ca="1">I59+G60</f>
        <v>2967136.5270000007</v>
      </c>
      <c r="J60" s="104">
        <f ca="1">J59+H60</f>
        <v>0.6662984970594179</v>
      </c>
      <c r="K60" s="246">
        <f ca="1">K59+I60</f>
        <v>3332469.6240000008</v>
      </c>
      <c r="L60" s="104">
        <f ca="1">L59+J60</f>
        <v>0.74833749029148178</v>
      </c>
    </row>
    <row r="61" spans="2:36" ht="30" customHeight="1" x14ac:dyDescent="0.25"/>
    <row r="62" spans="2:36" ht="15" customHeight="1" x14ac:dyDescent="0.25">
      <c r="B62" s="448" t="s">
        <v>0</v>
      </c>
      <c r="C62" s="448"/>
      <c r="D62" s="448" t="s">
        <v>1</v>
      </c>
      <c r="E62" s="448" t="s">
        <v>338</v>
      </c>
      <c r="F62" s="450" t="s">
        <v>138</v>
      </c>
      <c r="G62" s="390" t="s">
        <v>834</v>
      </c>
      <c r="H62" s="390"/>
      <c r="I62" s="390" t="s">
        <v>835</v>
      </c>
      <c r="J62" s="390"/>
      <c r="K62" s="390" t="s">
        <v>836</v>
      </c>
      <c r="L62" s="390"/>
      <c r="M62" s="31"/>
      <c r="N62" s="31"/>
      <c r="O62" s="31"/>
      <c r="P62" s="31"/>
      <c r="Q62" s="31"/>
      <c r="R62" s="31"/>
      <c r="S62" s="31"/>
      <c r="T62" s="31"/>
      <c r="U62" s="31"/>
      <c r="V62" s="31"/>
      <c r="W62" s="31"/>
      <c r="X62" s="31"/>
      <c r="Y62" s="31"/>
      <c r="Z62" s="31"/>
      <c r="AA62" s="31"/>
      <c r="AB62" s="31"/>
      <c r="AC62" s="31"/>
      <c r="AD62" s="31"/>
      <c r="AE62" s="31"/>
      <c r="AF62" s="9"/>
      <c r="AG62" s="218"/>
      <c r="AH62" s="218"/>
      <c r="AI62" s="9"/>
      <c r="AJ62" s="32"/>
    </row>
    <row r="63" spans="2:36" ht="15" customHeight="1" x14ac:dyDescent="0.25">
      <c r="B63" s="449"/>
      <c r="C63" s="449"/>
      <c r="D63" s="449"/>
      <c r="E63" s="449"/>
      <c r="F63" s="450"/>
      <c r="G63" s="353" t="s">
        <v>59</v>
      </c>
      <c r="H63" s="353" t="s">
        <v>7</v>
      </c>
      <c r="I63" s="353" t="s">
        <v>59</v>
      </c>
      <c r="J63" s="353" t="s">
        <v>7</v>
      </c>
      <c r="K63" s="353" t="s">
        <v>59</v>
      </c>
      <c r="L63" s="353" t="s">
        <v>7</v>
      </c>
      <c r="M63" s="31"/>
      <c r="N63" s="31"/>
      <c r="O63" s="31"/>
      <c r="P63" s="31"/>
      <c r="Q63" s="31"/>
      <c r="R63" s="31"/>
      <c r="S63" s="31"/>
      <c r="T63" s="31"/>
      <c r="U63" s="31"/>
      <c r="V63" s="31"/>
      <c r="W63" s="31"/>
      <c r="X63" s="31"/>
      <c r="Y63" s="31"/>
      <c r="Z63" s="31"/>
      <c r="AA63" s="31"/>
      <c r="AB63" s="31"/>
      <c r="AC63" s="31"/>
      <c r="AD63" s="31"/>
      <c r="AE63" s="31"/>
      <c r="AF63" s="9"/>
      <c r="AG63" s="218"/>
      <c r="AH63" s="218"/>
      <c r="AI63" s="9"/>
      <c r="AJ63" s="32"/>
    </row>
    <row r="64" spans="2:36" ht="5.0999999999999996" customHeight="1" x14ac:dyDescent="0.25"/>
    <row r="65" spans="2:14" ht="14.1" customHeight="1" x14ac:dyDescent="0.25">
      <c r="B65" s="443" t="s">
        <v>137</v>
      </c>
      <c r="C65" s="355" t="str">
        <f t="shared" ref="C65:F65" si="4">C47</f>
        <v>01</v>
      </c>
      <c r="D65" s="103" t="str">
        <f t="shared" si="4"/>
        <v>SERVIÇOS PRELIMINARES</v>
      </c>
      <c r="E65" s="95">
        <f t="shared" ca="1" si="4"/>
        <v>2.4125702154962354E-2</v>
      </c>
      <c r="F65" s="355">
        <f t="shared" si="4"/>
        <v>107435.70999999999</v>
      </c>
      <c r="G65" s="355">
        <f>H65*$F$47</f>
        <v>0</v>
      </c>
      <c r="H65" s="95"/>
      <c r="I65" s="355">
        <f>J65*$F$47</f>
        <v>0</v>
      </c>
      <c r="J65" s="95"/>
      <c r="K65" s="355">
        <f>L65*$F$47</f>
        <v>0</v>
      </c>
      <c r="L65" s="95"/>
      <c r="N65" s="122">
        <f>N47</f>
        <v>1</v>
      </c>
    </row>
    <row r="66" spans="2:14" ht="14.1" customHeight="1" x14ac:dyDescent="0.25">
      <c r="B66" s="444"/>
      <c r="C66" s="359" t="str">
        <f t="shared" ref="C66:F66" si="5">C48</f>
        <v>02</v>
      </c>
      <c r="D66" s="69" t="str">
        <f t="shared" si="5"/>
        <v>DEMOLIÇÕES</v>
      </c>
      <c r="E66" s="72">
        <f t="shared" ca="1" si="5"/>
        <v>1.3637269825542256E-4</v>
      </c>
      <c r="F66" s="359">
        <f t="shared" si="5"/>
        <v>607.29000000000008</v>
      </c>
      <c r="G66" s="359">
        <f>H66*$F$48</f>
        <v>0</v>
      </c>
      <c r="H66" s="72"/>
      <c r="I66" s="359">
        <f>J66*$F$48</f>
        <v>0</v>
      </c>
      <c r="J66" s="72"/>
      <c r="K66" s="359">
        <f>L66*$F$48</f>
        <v>0</v>
      </c>
      <c r="L66" s="72"/>
      <c r="N66" s="122">
        <f t="shared" ref="N66:N75" si="6">N48</f>
        <v>1</v>
      </c>
    </row>
    <row r="67" spans="2:14" ht="14.1" customHeight="1" x14ac:dyDescent="0.25">
      <c r="B67" s="444"/>
      <c r="C67" s="359" t="str">
        <f t="shared" ref="C67:F67" si="7">C49</f>
        <v>03</v>
      </c>
      <c r="D67" s="69" t="str">
        <f t="shared" si="7"/>
        <v>DRENAGEM DE ÁGUAS PLUVIAIS - TERRAPLENAGEM</v>
      </c>
      <c r="E67" s="72">
        <f t="shared" ca="1" si="7"/>
        <v>6.9622611052819305E-2</v>
      </c>
      <c r="F67" s="359">
        <f t="shared" ca="1" si="7"/>
        <v>310040.90999999997</v>
      </c>
      <c r="G67" s="359">
        <f ca="1">H67*$F$49</f>
        <v>0</v>
      </c>
      <c r="H67" s="72"/>
      <c r="I67" s="359">
        <f ca="1">J67*$F$49</f>
        <v>0</v>
      </c>
      <c r="J67" s="72"/>
      <c r="K67" s="359">
        <f ca="1">L67*$F$49</f>
        <v>0</v>
      </c>
      <c r="L67" s="72"/>
      <c r="N67" s="122">
        <f t="shared" si="6"/>
        <v>1</v>
      </c>
    </row>
    <row r="68" spans="2:14" ht="14.1" customHeight="1" x14ac:dyDescent="0.25">
      <c r="B68" s="444"/>
      <c r="C68" s="359" t="str">
        <f t="shared" ref="C68:F68" si="8">C50</f>
        <v>04</v>
      </c>
      <c r="D68" s="69" t="str">
        <f t="shared" si="8"/>
        <v>DRENAGEM DE ÁGUAS PLUVIAIS - DISPOSITIVOS ESTRUTURAIS 01</v>
      </c>
      <c r="E68" s="72">
        <f t="shared" ca="1" si="8"/>
        <v>0.13728728840660018</v>
      </c>
      <c r="F68" s="359">
        <f t="shared" si="8"/>
        <v>611362.82000000007</v>
      </c>
      <c r="G68" s="359">
        <f>H68*$F$50</f>
        <v>0</v>
      </c>
      <c r="H68" s="72"/>
      <c r="I68" s="359">
        <f>J68*$F$50</f>
        <v>0</v>
      </c>
      <c r="J68" s="72"/>
      <c r="K68" s="359">
        <f>L68*$F$50</f>
        <v>0</v>
      </c>
      <c r="L68" s="72"/>
      <c r="N68" s="122">
        <f t="shared" si="6"/>
        <v>1</v>
      </c>
    </row>
    <row r="69" spans="2:14" ht="14.1" customHeight="1" x14ac:dyDescent="0.25">
      <c r="B69" s="444"/>
      <c r="C69" s="359" t="str">
        <f t="shared" ref="C69:F69" si="9">C51</f>
        <v>05</v>
      </c>
      <c r="D69" s="69" t="str">
        <f t="shared" si="9"/>
        <v>DRENAGEM DE ÁGUAS PLUVIAIS - DISPOSITIVOS ESTRUTURAIS 02</v>
      </c>
      <c r="E69" s="72">
        <f t="shared" ca="1" si="9"/>
        <v>6.3841609141519859E-2</v>
      </c>
      <c r="F69" s="359">
        <f t="shared" si="9"/>
        <v>284297.15999999997</v>
      </c>
      <c r="G69" s="359">
        <f>H69*$F$51</f>
        <v>0</v>
      </c>
      <c r="H69" s="72"/>
      <c r="I69" s="359">
        <f>J69*$F$51</f>
        <v>0</v>
      </c>
      <c r="J69" s="72"/>
      <c r="K69" s="359">
        <f>L69*$F$51</f>
        <v>227437.728</v>
      </c>
      <c r="L69" s="72">
        <v>0.8</v>
      </c>
      <c r="N69" s="122">
        <f t="shared" si="6"/>
        <v>1</v>
      </c>
    </row>
    <row r="70" spans="2:14" ht="14.1" customHeight="1" x14ac:dyDescent="0.25">
      <c r="B70" s="444"/>
      <c r="C70" s="359" t="str">
        <f t="shared" ref="C70:F70" si="10">C52</f>
        <v>06</v>
      </c>
      <c r="D70" s="69" t="str">
        <f t="shared" si="10"/>
        <v>IMPLANTAÇÃO ASFÁLTICA - TERRAPLENAGEM</v>
      </c>
      <c r="E70" s="72">
        <f t="shared" ca="1" si="10"/>
        <v>3.7143246330018975E-2</v>
      </c>
      <c r="F70" s="359">
        <f t="shared" si="10"/>
        <v>165404.97</v>
      </c>
      <c r="G70" s="359">
        <f>H70*$F$52</f>
        <v>16540.496999999999</v>
      </c>
      <c r="H70" s="72">
        <v>0.1</v>
      </c>
      <c r="I70" s="359">
        <f>J70*$F$52</f>
        <v>0</v>
      </c>
      <c r="J70" s="72"/>
      <c r="K70" s="359">
        <f>L70*$F$52</f>
        <v>0</v>
      </c>
      <c r="L70" s="72"/>
      <c r="N70" s="122">
        <f t="shared" si="6"/>
        <v>1</v>
      </c>
    </row>
    <row r="71" spans="2:14" ht="14.1" customHeight="1" x14ac:dyDescent="0.25">
      <c r="B71" s="444"/>
      <c r="C71" s="359" t="str">
        <f t="shared" ref="C71:F71" si="11">C53</f>
        <v>07</v>
      </c>
      <c r="D71" s="69" t="str">
        <f t="shared" si="11"/>
        <v>IMPLANTAÇÃO ASFÁLTICA - ESTRUTURA DO PAVIMENTO</v>
      </c>
      <c r="E71" s="72">
        <f t="shared" ca="1" si="11"/>
        <v>0.48275396464339082</v>
      </c>
      <c r="F71" s="359">
        <f t="shared" si="11"/>
        <v>2149782.6100000003</v>
      </c>
      <c r="G71" s="359">
        <f>H71*$F$53</f>
        <v>214978.26100000006</v>
      </c>
      <c r="H71" s="72">
        <v>0.1</v>
      </c>
      <c r="I71" s="359">
        <f>J71*$F$53</f>
        <v>0</v>
      </c>
      <c r="J71" s="72"/>
      <c r="K71" s="359">
        <f>L71*$F$53</f>
        <v>0</v>
      </c>
      <c r="L71" s="72"/>
      <c r="N71" s="122">
        <f t="shared" si="6"/>
        <v>1</v>
      </c>
    </row>
    <row r="72" spans="2:14" ht="14.1" customHeight="1" x14ac:dyDescent="0.25">
      <c r="B72" s="444"/>
      <c r="C72" s="359" t="str">
        <f t="shared" ref="C72:F72" si="12">C54</f>
        <v>08</v>
      </c>
      <c r="D72" s="69" t="str">
        <f t="shared" si="12"/>
        <v>SERVIÇOS COMPLEMENTARES</v>
      </c>
      <c r="E72" s="72">
        <f t="shared" ca="1" si="12"/>
        <v>8.7750025343216187E-2</v>
      </c>
      <c r="F72" s="359">
        <f t="shared" si="12"/>
        <v>390765.26000000007</v>
      </c>
      <c r="G72" s="359">
        <f>H72*$F$54</f>
        <v>117229.57800000002</v>
      </c>
      <c r="H72" s="72">
        <v>0.3</v>
      </c>
      <c r="I72" s="359">
        <f>J72*$F$54</f>
        <v>234459.15600000005</v>
      </c>
      <c r="J72" s="72">
        <v>0.6</v>
      </c>
      <c r="K72" s="359">
        <f>L72*$F$54</f>
        <v>39076.526000000005</v>
      </c>
      <c r="L72" s="72">
        <v>0.1</v>
      </c>
      <c r="N72" s="122">
        <f t="shared" si="6"/>
        <v>0.99999999999999989</v>
      </c>
    </row>
    <row r="73" spans="2:14" ht="14.1" customHeight="1" x14ac:dyDescent="0.25">
      <c r="B73" s="444"/>
      <c r="C73" s="359" t="str">
        <f t="shared" ref="C73:F73" si="13">C55</f>
        <v>09</v>
      </c>
      <c r="D73" s="69" t="str">
        <f t="shared" si="13"/>
        <v>PASSEIO COM ACESSIBILIDADE</v>
      </c>
      <c r="E73" s="72">
        <f t="shared" ca="1" si="13"/>
        <v>3.232040808233682E-2</v>
      </c>
      <c r="F73" s="359">
        <f t="shared" si="13"/>
        <v>143928.07999999999</v>
      </c>
      <c r="G73" s="359">
        <f>H73*$F$55</f>
        <v>0</v>
      </c>
      <c r="H73" s="72"/>
      <c r="I73" s="359">
        <f>J73*$F$55</f>
        <v>143928.07999999999</v>
      </c>
      <c r="J73" s="72">
        <v>1</v>
      </c>
      <c r="K73" s="359">
        <f>L73*$F$55</f>
        <v>0</v>
      </c>
      <c r="L73" s="72"/>
      <c r="N73" s="122">
        <f t="shared" si="6"/>
        <v>1</v>
      </c>
    </row>
    <row r="74" spans="2:14" ht="14.1" customHeight="1" x14ac:dyDescent="0.25">
      <c r="B74" s="444"/>
      <c r="C74" s="359" t="str">
        <f t="shared" ref="C74:F74" si="14">C56</f>
        <v>10</v>
      </c>
      <c r="D74" s="69" t="str">
        <f t="shared" si="14"/>
        <v>SINALIZAÇÃO VIÁRIA</v>
      </c>
      <c r="E74" s="72">
        <f t="shared" ca="1" si="14"/>
        <v>1.6365833114251268E-2</v>
      </c>
      <c r="F74" s="359">
        <f t="shared" si="14"/>
        <v>72879.739999999991</v>
      </c>
      <c r="G74" s="359">
        <f>H74*$F$56</f>
        <v>0</v>
      </c>
      <c r="H74" s="72"/>
      <c r="I74" s="359">
        <f>J74*$F$56</f>
        <v>0</v>
      </c>
      <c r="J74" s="72"/>
      <c r="K74" s="359">
        <f>L74*$F$56</f>
        <v>72879.739999999991</v>
      </c>
      <c r="L74" s="72">
        <v>1</v>
      </c>
      <c r="N74" s="122">
        <f t="shared" si="6"/>
        <v>1</v>
      </c>
    </row>
    <row r="75" spans="2:14" ht="14.1" customHeight="1" x14ac:dyDescent="0.25">
      <c r="B75" s="444"/>
      <c r="C75" s="356" t="str">
        <f t="shared" ref="C75:F75" si="15">C57</f>
        <v>11</v>
      </c>
      <c r="D75" s="69" t="str">
        <f t="shared" si="15"/>
        <v>ADMINISTRAÇÃO LOCAL</v>
      </c>
      <c r="E75" s="72">
        <f t="shared" ca="1" si="15"/>
        <v>4.8652939032628059E-2</v>
      </c>
      <c r="F75" s="359">
        <f t="shared" si="15"/>
        <v>216659.52000000002</v>
      </c>
      <c r="G75" s="359">
        <f>H75*$F$57</f>
        <v>18054.96</v>
      </c>
      <c r="H75" s="72">
        <f>1/12</f>
        <v>8.3333333333333329E-2</v>
      </c>
      <c r="I75" s="359">
        <f>J75*$F$57</f>
        <v>18054.96</v>
      </c>
      <c r="J75" s="72">
        <f>1/12</f>
        <v>8.3333333333333329E-2</v>
      </c>
      <c r="K75" s="359">
        <f>L75*$F$57</f>
        <v>18054.96</v>
      </c>
      <c r="L75" s="72">
        <f>1/12</f>
        <v>8.3333333333333329E-2</v>
      </c>
      <c r="N75" s="122">
        <f t="shared" si="6"/>
        <v>1</v>
      </c>
    </row>
    <row r="76" spans="2:14" ht="5.0999999999999996" customHeight="1" x14ac:dyDescent="0.25">
      <c r="C76" s="209"/>
      <c r="D76" s="33"/>
      <c r="E76" s="34"/>
      <c r="F76" s="34"/>
      <c r="G76" s="34"/>
      <c r="H76" s="34"/>
      <c r="I76" s="34"/>
      <c r="J76" s="34"/>
      <c r="K76" s="34"/>
      <c r="L76" s="34"/>
    </row>
    <row r="77" spans="2:14" ht="20.100000000000001" customHeight="1" x14ac:dyDescent="0.25">
      <c r="B77" s="445" t="s">
        <v>140</v>
      </c>
      <c r="C77" s="446"/>
      <c r="D77" s="447"/>
      <c r="E77" s="104">
        <f ca="1">SUM(E64:E76)</f>
        <v>0.99999999999999911</v>
      </c>
      <c r="F77" s="354">
        <f ca="1">SUM(F64:F76)</f>
        <v>4453164.07</v>
      </c>
      <c r="G77" s="354">
        <f ca="1">SUM(G64:G76)</f>
        <v>366803.29600000009</v>
      </c>
      <c r="H77" s="104">
        <f ca="1">G77/$F$41</f>
        <v>8.236914028635825E-2</v>
      </c>
      <c r="I77" s="354">
        <f ca="1">SUM(I64:I76)</f>
        <v>396442.19600000005</v>
      </c>
      <c r="J77" s="104">
        <f ca="1">I77/$F$41</f>
        <v>8.9024834874318934E-2</v>
      </c>
      <c r="K77" s="354">
        <f ca="1">SUM(K64:K76)</f>
        <v>357448.95400000003</v>
      </c>
      <c r="L77" s="104">
        <f ca="1">K77/$F$41</f>
        <v>8.0268534547841178E-2</v>
      </c>
    </row>
    <row r="78" spans="2:14" ht="20.100000000000001" customHeight="1" x14ac:dyDescent="0.25">
      <c r="B78" s="445" t="s">
        <v>141</v>
      </c>
      <c r="C78" s="446"/>
      <c r="D78" s="447"/>
      <c r="E78" s="104"/>
      <c r="F78" s="354"/>
      <c r="G78" s="354">
        <f ca="1">G77+K60</f>
        <v>3699272.9200000009</v>
      </c>
      <c r="H78" s="104">
        <f ca="1">H77+L60</f>
        <v>0.83070663057784</v>
      </c>
      <c r="I78" s="354">
        <f ca="1">I77+G78</f>
        <v>4095715.1160000009</v>
      </c>
      <c r="J78" s="104">
        <f ca="1">J77+H78</f>
        <v>0.91973146545215889</v>
      </c>
      <c r="K78" s="354">
        <f ca="1">K77+I78</f>
        <v>4453164.0700000012</v>
      </c>
      <c r="L78" s="104">
        <f ca="1">L77+J78</f>
        <v>1</v>
      </c>
    </row>
  </sheetData>
  <mergeCells count="40">
    <mergeCell ref="I44:J44"/>
    <mergeCell ref="K44:L44"/>
    <mergeCell ref="B47:B57"/>
    <mergeCell ref="B59:D59"/>
    <mergeCell ref="B60:D60"/>
    <mergeCell ref="B44:C45"/>
    <mergeCell ref="D44:D45"/>
    <mergeCell ref="E44:E45"/>
    <mergeCell ref="F44:F45"/>
    <mergeCell ref="G44:H44"/>
    <mergeCell ref="B11:B21"/>
    <mergeCell ref="B23:D23"/>
    <mergeCell ref="B24:D24"/>
    <mergeCell ref="B8:C9"/>
    <mergeCell ref="I8:J8"/>
    <mergeCell ref="K8:L8"/>
    <mergeCell ref="D8:D9"/>
    <mergeCell ref="E8:E9"/>
    <mergeCell ref="F8:F9"/>
    <mergeCell ref="G8:H8"/>
    <mergeCell ref="I26:J26"/>
    <mergeCell ref="K26:L26"/>
    <mergeCell ref="B29:B39"/>
    <mergeCell ref="B41:D41"/>
    <mergeCell ref="B42:D42"/>
    <mergeCell ref="B26:C27"/>
    <mergeCell ref="D26:D27"/>
    <mergeCell ref="E26:E27"/>
    <mergeCell ref="F26:F27"/>
    <mergeCell ref="G26:H26"/>
    <mergeCell ref="I62:J62"/>
    <mergeCell ref="K62:L62"/>
    <mergeCell ref="B65:B75"/>
    <mergeCell ref="B77:D77"/>
    <mergeCell ref="B78:D78"/>
    <mergeCell ref="B62:C63"/>
    <mergeCell ref="D62:D63"/>
    <mergeCell ref="E62:E63"/>
    <mergeCell ref="F62:F63"/>
    <mergeCell ref="G62:H62"/>
  </mergeCells>
  <phoneticPr fontId="34" type="noConversion"/>
  <printOptions horizontalCentered="1"/>
  <pageMargins left="0.59055118110236227" right="0.39370078740157483" top="0.39370078740157483" bottom="0.98425196850393704" header="0.31496062992125984" footer="0.31496062992125984"/>
  <pageSetup paperSize="9" scale="76"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rowBreaks count="1" manualBreakCount="1">
    <brk id="43" min="1" max="11"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tabColor rgb="FF00B050"/>
  </sheetPr>
  <dimension ref="B1:J19"/>
  <sheetViews>
    <sheetView showGridLines="0" view="pageBreakPreview" zoomScaleSheetLayoutView="100" workbookViewId="0">
      <selection activeCell="M24" sqref="M24"/>
    </sheetView>
  </sheetViews>
  <sheetFormatPr defaultRowHeight="12.75" x14ac:dyDescent="0.25"/>
  <cols>
    <col min="1" max="1" width="1.7109375" style="4" customWidth="1"/>
    <col min="2" max="2" width="10.7109375" style="4" customWidth="1"/>
    <col min="3" max="3" width="20.7109375" style="4" customWidth="1"/>
    <col min="4" max="4" width="26.7109375" style="4" customWidth="1"/>
    <col min="5" max="5" width="7.7109375" style="4" customWidth="1"/>
    <col min="6" max="6" width="1.7109375" style="4" customWidth="1"/>
    <col min="7" max="8" width="20.7109375" style="4" customWidth="1"/>
    <col min="9" max="9" width="1.7109375" style="4" customWidth="1"/>
    <col min="10" max="10" width="12.7109375" style="4" customWidth="1"/>
    <col min="11" max="16384" width="9.140625" style="4"/>
  </cols>
  <sheetData>
    <row r="1" spans="2:10" ht="5.0999999999999996" customHeight="1" x14ac:dyDescent="0.25"/>
    <row r="2" spans="2:10" ht="14.1" customHeight="1" x14ac:dyDescent="0.25">
      <c r="B2" s="100" t="str">
        <f>DADOS!$B$3</f>
        <v>CLIENTE:</v>
      </c>
      <c r="C2" s="81" t="str">
        <f>DADOS!$C$3</f>
        <v>PREFEITURA MUNICIPAL DE JARDIM / MS</v>
      </c>
      <c r="D2" s="34"/>
      <c r="E2" s="34"/>
      <c r="F2" s="34"/>
      <c r="G2" s="34"/>
      <c r="H2" s="34"/>
      <c r="I2" s="34"/>
      <c r="J2" s="44"/>
    </row>
    <row r="3" spans="2:10" ht="14.1" customHeight="1" x14ac:dyDescent="0.25">
      <c r="B3" s="101" t="str">
        <f>DADOS!$B$4</f>
        <v>ENDEREÇO:</v>
      </c>
      <c r="C3" s="82" t="str">
        <f>DADOS!$C$4</f>
        <v>RUA CEL. JUVÊNCIO, Nº 547 - CENTRO</v>
      </c>
      <c r="J3" s="45"/>
    </row>
    <row r="4" spans="2:10" ht="14.1" customHeight="1" x14ac:dyDescent="0.2">
      <c r="B4" s="83"/>
      <c r="C4" s="82"/>
      <c r="J4" s="45"/>
    </row>
    <row r="5" spans="2:10" ht="14.1" customHeight="1" x14ac:dyDescent="0.25">
      <c r="B5" s="101" t="str">
        <f>DADOS!$B$7</f>
        <v>OBRA:</v>
      </c>
      <c r="C5" s="82" t="str">
        <f>DADOS!$C$7</f>
        <v>PAVIMENTAÇÃO ASFÁLTICA E DRENAGEM DE ÁGUAS PLUVIAIS</v>
      </c>
      <c r="J5" s="45"/>
    </row>
    <row r="6" spans="2:10" ht="14.1" customHeight="1" x14ac:dyDescent="0.25">
      <c r="B6" s="84" t="str">
        <f>DADOS!$B$8</f>
        <v>LOCAL:</v>
      </c>
      <c r="C6" s="85" t="str">
        <f>DADOS!$C$8</f>
        <v>JARDIM PREVISUL, JARDIM / MS</v>
      </c>
      <c r="D6" s="46"/>
      <c r="E6" s="46"/>
      <c r="F6" s="46"/>
      <c r="G6" s="46"/>
      <c r="H6" s="46"/>
      <c r="I6" s="46"/>
      <c r="J6" s="47"/>
    </row>
    <row r="7" spans="2:10" ht="5.0999999999999996" customHeight="1" x14ac:dyDescent="0.25"/>
    <row r="8" spans="2:10" ht="30" customHeight="1" x14ac:dyDescent="0.25">
      <c r="B8" s="442" t="s">
        <v>0</v>
      </c>
      <c r="C8" s="442"/>
      <c r="D8" s="442"/>
      <c r="E8" s="442"/>
      <c r="F8" s="8"/>
      <c r="G8" s="11" t="s">
        <v>285</v>
      </c>
      <c r="H8" s="11" t="s">
        <v>284</v>
      </c>
      <c r="I8" s="8"/>
      <c r="J8" s="10" t="s">
        <v>5</v>
      </c>
    </row>
    <row r="9" spans="2:10" ht="5.0999999999999996" customHeight="1" x14ac:dyDescent="0.25"/>
    <row r="10" spans="2:10" ht="14.1" customHeight="1" x14ac:dyDescent="0.25">
      <c r="B10" s="440" t="s">
        <v>283</v>
      </c>
      <c r="C10" s="442" t="s">
        <v>286</v>
      </c>
      <c r="D10" s="442"/>
      <c r="E10" s="442"/>
      <c r="G10" s="23">
        <f>'Dre-Terraplenagem'!V10</f>
        <v>1385.1</v>
      </c>
      <c r="H10" s="23">
        <f>'Pav-Terrapl'!R10</f>
        <v>2520.8299999999995</v>
      </c>
      <c r="J10" s="15">
        <f>SUM(F10:I10)</f>
        <v>3905.9299999999994</v>
      </c>
    </row>
    <row r="11" spans="2:10" ht="14.1" customHeight="1" x14ac:dyDescent="0.25">
      <c r="B11" s="440"/>
      <c r="C11" s="450" t="s">
        <v>287</v>
      </c>
      <c r="D11" s="231" t="s">
        <v>312</v>
      </c>
      <c r="E11" s="55">
        <v>1</v>
      </c>
      <c r="G11" s="453">
        <f>TRUNC((E11*E12*E13),2)</f>
        <v>8</v>
      </c>
      <c r="H11" s="453"/>
      <c r="J11" s="454">
        <f>SUM(F11:I13)</f>
        <v>8</v>
      </c>
    </row>
    <row r="12" spans="2:10" ht="14.1" customHeight="1" x14ac:dyDescent="0.25">
      <c r="B12" s="440"/>
      <c r="C12" s="450"/>
      <c r="D12" s="231" t="s">
        <v>313</v>
      </c>
      <c r="E12" s="56">
        <v>4</v>
      </c>
      <c r="G12" s="453"/>
      <c r="H12" s="453"/>
      <c r="J12" s="454"/>
    </row>
    <row r="13" spans="2:10" ht="14.1" customHeight="1" x14ac:dyDescent="0.25">
      <c r="B13" s="440"/>
      <c r="C13" s="450"/>
      <c r="D13" s="231" t="s">
        <v>167</v>
      </c>
      <c r="E13" s="56">
        <v>2</v>
      </c>
      <c r="G13" s="453"/>
      <c r="H13" s="453"/>
      <c r="J13" s="454"/>
    </row>
    <row r="14" spans="2:10" ht="14.1" customHeight="1" x14ac:dyDescent="0.25">
      <c r="B14" s="440"/>
      <c r="C14" s="442" t="s">
        <v>525</v>
      </c>
      <c r="D14" s="442"/>
      <c r="E14" s="442"/>
      <c r="G14" s="453">
        <f>Orçamento!$P$213</f>
        <v>12</v>
      </c>
      <c r="H14" s="453"/>
      <c r="J14" s="215">
        <f t="shared" ref="J14:J19" si="0">SUM(F14:I14)</f>
        <v>12</v>
      </c>
    </row>
    <row r="15" spans="2:10" ht="14.1" customHeight="1" x14ac:dyDescent="0.25">
      <c r="B15" s="440"/>
      <c r="C15" s="442" t="s">
        <v>526</v>
      </c>
      <c r="D15" s="442"/>
      <c r="E15" s="442"/>
      <c r="G15" s="453">
        <f>G14</f>
        <v>12</v>
      </c>
      <c r="H15" s="453"/>
      <c r="J15" s="215">
        <f t="shared" si="0"/>
        <v>12</v>
      </c>
    </row>
    <row r="16" spans="2:10" ht="14.1" customHeight="1" x14ac:dyDescent="0.25">
      <c r="B16" s="440"/>
      <c r="C16" s="442" t="s">
        <v>527</v>
      </c>
      <c r="D16" s="442"/>
      <c r="E16" s="442"/>
      <c r="G16" s="213">
        <f>TRUNC((G10*1.2),2)</f>
        <v>1662.12</v>
      </c>
      <c r="H16" s="213">
        <f t="shared" ref="H16" si="1">TRUNC((H10*1.2),2)</f>
        <v>3024.99</v>
      </c>
      <c r="J16" s="15">
        <f t="shared" si="0"/>
        <v>4687.1099999999997</v>
      </c>
    </row>
    <row r="17" spans="2:10" ht="14.1" customHeight="1" x14ac:dyDescent="0.25">
      <c r="B17" s="440"/>
      <c r="C17" s="232" t="s">
        <v>314</v>
      </c>
      <c r="D17" s="442" t="s">
        <v>528</v>
      </c>
      <c r="E17" s="442"/>
      <c r="G17" s="217">
        <f>INT((G10/250)/2)</f>
        <v>2</v>
      </c>
      <c r="H17" s="217">
        <f>INT((H10/250)/2)</f>
        <v>5</v>
      </c>
      <c r="J17" s="15">
        <f t="shared" si="0"/>
        <v>7</v>
      </c>
    </row>
    <row r="18" spans="2:10" ht="14.1" customHeight="1" x14ac:dyDescent="0.25">
      <c r="B18" s="440"/>
      <c r="C18" s="442" t="s">
        <v>288</v>
      </c>
      <c r="D18" s="442"/>
      <c r="E18" s="442"/>
      <c r="G18" s="217">
        <f>INT((G10/150)*2)</f>
        <v>18</v>
      </c>
      <c r="H18" s="217">
        <f t="shared" ref="H18" si="2">INT((H10/150)*2)</f>
        <v>33</v>
      </c>
      <c r="J18" s="15">
        <f t="shared" si="0"/>
        <v>51</v>
      </c>
    </row>
    <row r="19" spans="2:10" x14ac:dyDescent="0.25">
      <c r="B19" s="440"/>
      <c r="C19" s="442" t="s">
        <v>568</v>
      </c>
      <c r="D19" s="442"/>
      <c r="E19" s="442"/>
      <c r="G19" s="452">
        <v>13</v>
      </c>
      <c r="H19" s="452"/>
      <c r="J19" s="233">
        <f t="shared" si="0"/>
        <v>13</v>
      </c>
    </row>
  </sheetData>
  <mergeCells count="15">
    <mergeCell ref="B8:E8"/>
    <mergeCell ref="J11:J13"/>
    <mergeCell ref="C10:E10"/>
    <mergeCell ref="C11:C13"/>
    <mergeCell ref="G11:H13"/>
    <mergeCell ref="C19:E19"/>
    <mergeCell ref="G19:H19"/>
    <mergeCell ref="B10:B19"/>
    <mergeCell ref="C14:E14"/>
    <mergeCell ref="C15:E15"/>
    <mergeCell ref="C16:E16"/>
    <mergeCell ref="G14:H14"/>
    <mergeCell ref="G15:H15"/>
    <mergeCell ref="D17:E17"/>
    <mergeCell ref="C18:E1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I23"/>
  <sheetViews>
    <sheetView showGridLines="0" view="pageBreakPreview" zoomScale="85" zoomScaleSheetLayoutView="85" workbookViewId="0">
      <selection activeCell="M24" sqref="M24"/>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2.7109375" style="4" customWidth="1"/>
    <col min="8" max="8" width="1.7109375" style="4" customWidth="1"/>
    <col min="9" max="9" width="12.7109375" style="4" customWidth="1"/>
    <col min="10" max="16384" width="9.140625" style="4"/>
  </cols>
  <sheetData>
    <row r="1" spans="2:9" ht="5.0999999999999996" customHeight="1" x14ac:dyDescent="0.25"/>
    <row r="2" spans="2:9" ht="14.1" customHeight="1" x14ac:dyDescent="0.25">
      <c r="B2" s="100" t="str">
        <f>DADOS!$B$3</f>
        <v>CLIENTE:</v>
      </c>
      <c r="C2" s="81" t="str">
        <f>DADOS!$C$3</f>
        <v>PREFEITURA MUNICIPAL DE JARDIM / MS</v>
      </c>
      <c r="D2" s="34"/>
      <c r="E2" s="34"/>
      <c r="F2" s="34"/>
      <c r="G2" s="34"/>
      <c r="H2" s="34"/>
      <c r="I2" s="44"/>
    </row>
    <row r="3" spans="2:9" ht="14.1" customHeight="1" x14ac:dyDescent="0.25">
      <c r="B3" s="101" t="str">
        <f>DADOS!$B$4</f>
        <v>ENDEREÇO:</v>
      </c>
      <c r="C3" s="82" t="str">
        <f>DADOS!$C$4</f>
        <v>RUA CEL. JUVÊNCIO, Nº 547 - CENTRO</v>
      </c>
      <c r="I3" s="45"/>
    </row>
    <row r="4" spans="2:9" ht="14.1" customHeight="1" x14ac:dyDescent="0.2">
      <c r="B4" s="83"/>
      <c r="C4" s="82"/>
      <c r="I4" s="45"/>
    </row>
    <row r="5" spans="2:9" ht="14.1" customHeight="1" x14ac:dyDescent="0.25">
      <c r="B5" s="101" t="str">
        <f>DADOS!$B$7</f>
        <v>OBRA:</v>
      </c>
      <c r="C5" s="82" t="str">
        <f>DADOS!$C$7</f>
        <v>PAVIMENTAÇÃO ASFÁLTICA E DRENAGEM DE ÁGUAS PLUVIAIS</v>
      </c>
      <c r="I5" s="45"/>
    </row>
    <row r="6" spans="2:9" ht="14.1" customHeight="1" x14ac:dyDescent="0.25">
      <c r="B6" s="84" t="str">
        <f>DADOS!$B$8</f>
        <v>LOCAL:</v>
      </c>
      <c r="C6" s="85" t="str">
        <f>DADOS!$C$8</f>
        <v>JARDIM PREVISUL, JARDIM / MS</v>
      </c>
      <c r="D6" s="46"/>
      <c r="E6" s="46"/>
      <c r="F6" s="46"/>
      <c r="G6" s="46"/>
      <c r="H6" s="46"/>
      <c r="I6" s="47"/>
    </row>
    <row r="7" spans="2:9" ht="5.0999999999999996" customHeight="1" x14ac:dyDescent="0.25"/>
    <row r="8" spans="2:9" ht="39.950000000000003" customHeight="1" x14ac:dyDescent="0.25">
      <c r="B8" s="456" t="s">
        <v>0</v>
      </c>
      <c r="C8" s="457"/>
      <c r="D8" s="457"/>
      <c r="E8" s="458"/>
      <c r="F8" s="8"/>
      <c r="G8" s="259" t="str">
        <f>'Pav-Terrapl'!K8</f>
        <v>RUA TEODORINA GONÇALVES</v>
      </c>
      <c r="H8" s="8"/>
      <c r="I8" s="10" t="s">
        <v>5</v>
      </c>
    </row>
    <row r="9" spans="2:9" ht="5.0999999999999996" customHeight="1" x14ac:dyDescent="0.25"/>
    <row r="10" spans="2:9" ht="14.1" customHeight="1" x14ac:dyDescent="0.25">
      <c r="B10" s="440" t="s">
        <v>831</v>
      </c>
      <c r="C10" s="459" t="s">
        <v>482</v>
      </c>
      <c r="D10" s="455" t="s">
        <v>488</v>
      </c>
      <c r="E10" s="442"/>
      <c r="G10" s="254">
        <v>7.55</v>
      </c>
      <c r="I10" s="15">
        <f>SUM(F10:H10)</f>
        <v>7.55</v>
      </c>
    </row>
    <row r="11" spans="2:9" ht="14.1" customHeight="1" x14ac:dyDescent="0.25">
      <c r="B11" s="440"/>
      <c r="C11" s="459"/>
      <c r="D11" s="455" t="s">
        <v>489</v>
      </c>
      <c r="E11" s="442"/>
      <c r="G11" s="254">
        <v>1</v>
      </c>
      <c r="I11" s="20"/>
    </row>
    <row r="12" spans="2:9" ht="14.1" customHeight="1" x14ac:dyDescent="0.25">
      <c r="B12" s="440"/>
      <c r="C12" s="459"/>
      <c r="D12" s="442" t="s">
        <v>491</v>
      </c>
      <c r="E12" s="442"/>
      <c r="G12" s="254">
        <f>TRUNC((G10*G11),2)</f>
        <v>7.55</v>
      </c>
      <c r="I12" s="15">
        <f>SUM(F12:H12)</f>
        <v>7.55</v>
      </c>
    </row>
    <row r="13" spans="2:9" ht="14.1" customHeight="1" x14ac:dyDescent="0.25">
      <c r="B13" s="440"/>
      <c r="C13" s="459"/>
      <c r="D13" s="455" t="s">
        <v>490</v>
      </c>
      <c r="E13" s="442"/>
      <c r="G13" s="254">
        <v>0.03</v>
      </c>
      <c r="I13" s="20"/>
    </row>
    <row r="14" spans="2:9" ht="14.1" customHeight="1" x14ac:dyDescent="0.25">
      <c r="B14" s="440"/>
      <c r="C14" s="459"/>
      <c r="D14" s="442" t="s">
        <v>315</v>
      </c>
      <c r="E14" s="442"/>
      <c r="G14" s="254">
        <f>TRUNC((G12*G13*1.3),2)</f>
        <v>0.28999999999999998</v>
      </c>
      <c r="I14" s="15">
        <f>SUM(F14:H14)</f>
        <v>0.28999999999999998</v>
      </c>
    </row>
    <row r="15" spans="2:9" ht="14.1" customHeight="1" x14ac:dyDescent="0.25">
      <c r="B15" s="440"/>
      <c r="C15" s="459"/>
      <c r="D15" s="10" t="s">
        <v>497</v>
      </c>
      <c r="E15" s="14">
        <f>'Resumo DMT''s'!$E$13</f>
        <v>4.3</v>
      </c>
      <c r="G15" s="254">
        <f>TRUNC((G14*$E$15),2)</f>
        <v>1.24</v>
      </c>
      <c r="I15" s="15">
        <f>SUM(F15:H15)</f>
        <v>1.24</v>
      </c>
    </row>
    <row r="16" spans="2:9" ht="14.1" customHeight="1" x14ac:dyDescent="0.25">
      <c r="B16" s="440"/>
      <c r="C16" s="459"/>
      <c r="D16" s="442" t="s">
        <v>289</v>
      </c>
      <c r="E16" s="442"/>
      <c r="G16" s="254">
        <f>G14</f>
        <v>0.28999999999999998</v>
      </c>
      <c r="I16" s="15">
        <f>SUM(F16:H16)</f>
        <v>0.28999999999999998</v>
      </c>
    </row>
    <row r="17" spans="2:9" ht="5.0999999999999996" customHeight="1" x14ac:dyDescent="0.25">
      <c r="B17" s="440"/>
      <c r="G17" s="260"/>
    </row>
    <row r="18" spans="2:9" ht="14.1" customHeight="1" x14ac:dyDescent="0.25">
      <c r="B18" s="440"/>
      <c r="C18" s="459" t="s">
        <v>492</v>
      </c>
      <c r="D18" s="455" t="s">
        <v>488</v>
      </c>
      <c r="E18" s="442"/>
      <c r="G18" s="254">
        <f>11.43+10.94</f>
        <v>22.369999999999997</v>
      </c>
      <c r="I18" s="15">
        <f>SUM(F18:H18)</f>
        <v>22.369999999999997</v>
      </c>
    </row>
    <row r="19" spans="2:9" ht="14.1" customHeight="1" x14ac:dyDescent="0.25">
      <c r="B19" s="440"/>
      <c r="C19" s="459"/>
      <c r="D19" s="455" t="s">
        <v>495</v>
      </c>
      <c r="E19" s="442"/>
      <c r="G19" s="256">
        <v>6.1499999999999999E-2</v>
      </c>
      <c r="I19" s="20"/>
    </row>
    <row r="20" spans="2:9" ht="14.1" customHeight="1" x14ac:dyDescent="0.25">
      <c r="B20" s="440"/>
      <c r="C20" s="459"/>
      <c r="D20" s="442" t="s">
        <v>496</v>
      </c>
      <c r="E20" s="442"/>
      <c r="G20" s="254">
        <f>TRUNC((G18*G19),2)</f>
        <v>1.37</v>
      </c>
      <c r="I20" s="15">
        <f>SUM(F20:H20)</f>
        <v>1.37</v>
      </c>
    </row>
    <row r="21" spans="2:9" ht="14.1" customHeight="1" x14ac:dyDescent="0.25">
      <c r="B21" s="440"/>
      <c r="C21" s="459"/>
      <c r="D21" s="442" t="s">
        <v>315</v>
      </c>
      <c r="E21" s="442"/>
      <c r="G21" s="254">
        <f>TRUNC((G20*1.3),2)</f>
        <v>1.78</v>
      </c>
      <c r="I21" s="15">
        <f>SUM(F21:H21)</f>
        <v>1.78</v>
      </c>
    </row>
    <row r="22" spans="2:9" ht="14.1" customHeight="1" x14ac:dyDescent="0.25">
      <c r="B22" s="440"/>
      <c r="C22" s="459"/>
      <c r="D22" s="10" t="s">
        <v>497</v>
      </c>
      <c r="E22" s="14">
        <f>'Resumo DMT''s'!$E$13</f>
        <v>4.3</v>
      </c>
      <c r="G22" s="254">
        <f>TRUNC((G21*$E$22),2)</f>
        <v>7.65</v>
      </c>
      <c r="I22" s="15">
        <f>SUM(F22:H22)</f>
        <v>7.65</v>
      </c>
    </row>
    <row r="23" spans="2:9" ht="14.1" customHeight="1" x14ac:dyDescent="0.25">
      <c r="B23" s="440"/>
      <c r="C23" s="459"/>
      <c r="D23" s="442" t="s">
        <v>289</v>
      </c>
      <c r="E23" s="442"/>
      <c r="G23" s="254">
        <f>G21</f>
        <v>1.78</v>
      </c>
      <c r="I23" s="15">
        <f>SUM(F23:H23)</f>
        <v>1.78</v>
      </c>
    </row>
  </sheetData>
  <mergeCells count="15">
    <mergeCell ref="D10:E10"/>
    <mergeCell ref="D11:E11"/>
    <mergeCell ref="B10:B23"/>
    <mergeCell ref="B8:E8"/>
    <mergeCell ref="D13:E13"/>
    <mergeCell ref="C18:C23"/>
    <mergeCell ref="D18:E18"/>
    <mergeCell ref="D19:E19"/>
    <mergeCell ref="D20:E20"/>
    <mergeCell ref="D21:E21"/>
    <mergeCell ref="D23:E23"/>
    <mergeCell ref="C10:C16"/>
    <mergeCell ref="D14:E14"/>
    <mergeCell ref="D16:E16"/>
    <mergeCell ref="D12:E12"/>
  </mergeCells>
  <phoneticPr fontId="34"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
    <tabColor rgb="FFFF0000"/>
    <pageSetUpPr fitToPage="1"/>
  </sheetPr>
  <dimension ref="B1:P37"/>
  <sheetViews>
    <sheetView showGridLines="0" view="pageBreakPreview" zoomScaleSheetLayoutView="100" workbookViewId="0">
      <pane ySplit="4" topLeftCell="A5" activePane="bottomLeft" state="frozen"/>
      <selection activeCell="M24" sqref="M24"/>
      <selection pane="bottomLeft" activeCell="M24" sqref="M24"/>
    </sheetView>
  </sheetViews>
  <sheetFormatPr defaultRowHeight="12.75" x14ac:dyDescent="0.25"/>
  <cols>
    <col min="1" max="1" width="1.7109375" style="4" customWidth="1"/>
    <col min="2" max="2" width="8.7109375" style="4" customWidth="1"/>
    <col min="3" max="4" width="10.7109375" style="4" customWidth="1"/>
    <col min="5" max="5" width="9.7109375" style="4" customWidth="1"/>
    <col min="6" max="6" width="10.7109375" style="4" customWidth="1"/>
    <col min="7" max="11" width="7.7109375" style="4" customWidth="1"/>
    <col min="12" max="12" width="12.7109375" style="4" customWidth="1"/>
    <col min="13" max="13" width="1.7109375" style="4" customWidth="1"/>
    <col min="14" max="15" width="14.7109375" style="4" customWidth="1"/>
    <col min="16" max="16" width="10.7109375" style="4" customWidth="1"/>
    <col min="17" max="16384" width="9.140625" style="4"/>
  </cols>
  <sheetData>
    <row r="1" spans="2:16" ht="5.0999999999999996" customHeight="1" x14ac:dyDescent="0.25"/>
    <row r="2" spans="2:16" ht="15" customHeight="1" x14ac:dyDescent="0.25">
      <c r="B2" s="450" t="s">
        <v>224</v>
      </c>
      <c r="C2" s="450" t="s">
        <v>227</v>
      </c>
      <c r="D2" s="450"/>
      <c r="E2" s="450" t="s">
        <v>64</v>
      </c>
      <c r="F2" s="450" t="s">
        <v>231</v>
      </c>
      <c r="G2" s="450"/>
      <c r="H2" s="450" t="s">
        <v>230</v>
      </c>
      <c r="I2" s="450"/>
      <c r="J2" s="450"/>
      <c r="K2" s="450"/>
      <c r="L2" s="461" t="s">
        <v>228</v>
      </c>
    </row>
    <row r="3" spans="2:16" ht="15" customHeight="1" x14ac:dyDescent="0.25">
      <c r="B3" s="450"/>
      <c r="C3" s="450"/>
      <c r="D3" s="450"/>
      <c r="E3" s="450"/>
      <c r="F3" s="450" t="s">
        <v>232</v>
      </c>
      <c r="G3" s="450" t="s">
        <v>233</v>
      </c>
      <c r="H3" s="450" t="s">
        <v>226</v>
      </c>
      <c r="I3" s="450" t="s">
        <v>225</v>
      </c>
      <c r="J3" s="450"/>
      <c r="K3" s="450"/>
      <c r="L3" s="461"/>
    </row>
    <row r="4" spans="2:16" ht="15" customHeight="1" x14ac:dyDescent="0.25">
      <c r="B4" s="450"/>
      <c r="C4" s="11" t="s">
        <v>225</v>
      </c>
      <c r="D4" s="11" t="s">
        <v>226</v>
      </c>
      <c r="E4" s="450"/>
      <c r="F4" s="450"/>
      <c r="G4" s="450"/>
      <c r="H4" s="450"/>
      <c r="I4" s="11" t="s">
        <v>169</v>
      </c>
      <c r="J4" s="11" t="s">
        <v>229</v>
      </c>
      <c r="K4" s="11" t="s">
        <v>170</v>
      </c>
      <c r="L4" s="461"/>
    </row>
    <row r="5" spans="2:16" ht="5.0999999999999996" customHeight="1" x14ac:dyDescent="0.25"/>
    <row r="6" spans="2:16" ht="14.1" customHeight="1" x14ac:dyDescent="0.25">
      <c r="B6" s="21">
        <v>1</v>
      </c>
      <c r="C6" s="199">
        <v>235.92599999999999</v>
      </c>
      <c r="D6" s="199"/>
      <c r="E6" s="22">
        <v>89.52</v>
      </c>
      <c r="F6" s="200">
        <v>1.0845</v>
      </c>
      <c r="G6" s="22">
        <v>0.6</v>
      </c>
      <c r="H6" s="28">
        <v>2</v>
      </c>
      <c r="I6" s="28"/>
      <c r="J6" s="28"/>
      <c r="K6" s="28"/>
      <c r="L6" s="201">
        <f>IF(D6&gt;0,B6,0)</f>
        <v>0</v>
      </c>
      <c r="N6" s="460" t="s">
        <v>234</v>
      </c>
      <c r="O6" s="460"/>
      <c r="P6" s="12" t="str">
        <f>IF(P9+P8=P7,"OK","NÃO")</f>
        <v>NÃO</v>
      </c>
    </row>
    <row r="7" spans="2:16" ht="14.1" customHeight="1" x14ac:dyDescent="0.25">
      <c r="B7" s="21">
        <f>B6+1</f>
        <v>2</v>
      </c>
      <c r="C7" s="199">
        <v>233.095</v>
      </c>
      <c r="D7" s="199"/>
      <c r="E7" s="22">
        <v>90.49</v>
      </c>
      <c r="F7" s="200">
        <v>1.2544999999999999</v>
      </c>
      <c r="G7" s="22">
        <v>0.6</v>
      </c>
      <c r="H7" s="28">
        <v>3</v>
      </c>
      <c r="I7" s="28">
        <v>1</v>
      </c>
      <c r="J7" s="28"/>
      <c r="K7" s="28"/>
      <c r="L7" s="201">
        <f t="shared" ref="L7:L27" si="0">IF(D7&gt;0,B7,0)</f>
        <v>0</v>
      </c>
      <c r="N7" s="460" t="s">
        <v>237</v>
      </c>
      <c r="O7" s="460"/>
      <c r="P7" s="12">
        <f>SUM(B5:B124)</f>
        <v>528</v>
      </c>
    </row>
    <row r="8" spans="2:16" ht="14.1" customHeight="1" x14ac:dyDescent="0.25">
      <c r="B8" s="21">
        <f t="shared" ref="B8:B37" si="1">B7+1</f>
        <v>3</v>
      </c>
      <c r="C8" s="199">
        <v>230.387</v>
      </c>
      <c r="D8" s="199"/>
      <c r="E8" s="22">
        <v>116.24</v>
      </c>
      <c r="F8" s="200">
        <v>1.2604</v>
      </c>
      <c r="G8" s="22">
        <v>0.6</v>
      </c>
      <c r="H8" s="28">
        <v>4</v>
      </c>
      <c r="I8" s="28">
        <v>2</v>
      </c>
      <c r="J8" s="28"/>
      <c r="K8" s="28"/>
      <c r="L8" s="201">
        <f t="shared" si="0"/>
        <v>0</v>
      </c>
      <c r="N8" s="460" t="s">
        <v>238</v>
      </c>
      <c r="O8" s="460"/>
      <c r="P8" s="12">
        <f>SUM(L5:L124)</f>
        <v>67</v>
      </c>
    </row>
    <row r="9" spans="2:16" ht="14.1" customHeight="1" x14ac:dyDescent="0.25">
      <c r="B9" s="21">
        <f t="shared" si="1"/>
        <v>4</v>
      </c>
      <c r="C9" s="199">
        <v>227.822</v>
      </c>
      <c r="D9" s="199"/>
      <c r="E9" s="22">
        <v>85.02</v>
      </c>
      <c r="F9" s="200">
        <v>1.3972</v>
      </c>
      <c r="G9" s="22">
        <v>0.6</v>
      </c>
      <c r="H9" s="28">
        <v>5</v>
      </c>
      <c r="I9" s="28">
        <v>3</v>
      </c>
      <c r="J9" s="28"/>
      <c r="K9" s="28"/>
      <c r="L9" s="201">
        <f t="shared" si="0"/>
        <v>0</v>
      </c>
      <c r="N9" s="460" t="s">
        <v>235</v>
      </c>
      <c r="O9" s="460"/>
      <c r="P9" s="12">
        <f>SUM(I5:K124)</f>
        <v>202</v>
      </c>
    </row>
    <row r="10" spans="2:16" ht="14.1" customHeight="1" x14ac:dyDescent="0.25">
      <c r="B10" s="21">
        <f t="shared" si="1"/>
        <v>5</v>
      </c>
      <c r="C10" s="199">
        <v>227.4</v>
      </c>
      <c r="D10" s="199"/>
      <c r="E10" s="22">
        <v>79.33</v>
      </c>
      <c r="F10" s="200">
        <v>1.1274</v>
      </c>
      <c r="G10" s="22">
        <v>0.6</v>
      </c>
      <c r="H10" s="28">
        <v>10</v>
      </c>
      <c r="I10" s="28">
        <v>4</v>
      </c>
      <c r="J10" s="28"/>
      <c r="K10" s="28"/>
      <c r="L10" s="201">
        <f t="shared" si="0"/>
        <v>0</v>
      </c>
      <c r="N10" s="460" t="s">
        <v>236</v>
      </c>
      <c r="O10" s="460"/>
      <c r="P10" s="21">
        <f>P7-P8-P9</f>
        <v>259</v>
      </c>
    </row>
    <row r="11" spans="2:16" ht="14.1" customHeight="1" x14ac:dyDescent="0.25">
      <c r="B11" s="21">
        <f t="shared" si="1"/>
        <v>6</v>
      </c>
      <c r="C11" s="199">
        <v>230.596</v>
      </c>
      <c r="D11" s="199"/>
      <c r="E11" s="22">
        <v>68.510000000000005</v>
      </c>
      <c r="F11" s="200">
        <v>0.8448</v>
      </c>
      <c r="G11" s="22">
        <v>0.6</v>
      </c>
      <c r="H11" s="28">
        <v>7</v>
      </c>
      <c r="I11" s="28"/>
      <c r="J11" s="28"/>
      <c r="K11" s="28"/>
      <c r="L11" s="201">
        <f t="shared" si="0"/>
        <v>0</v>
      </c>
    </row>
    <row r="12" spans="2:16" ht="14.1" customHeight="1" x14ac:dyDescent="0.25">
      <c r="B12" s="21">
        <f t="shared" si="1"/>
        <v>7</v>
      </c>
      <c r="C12" s="199">
        <v>229.154</v>
      </c>
      <c r="D12" s="199"/>
      <c r="E12" s="22">
        <v>68.510000000000005</v>
      </c>
      <c r="F12" s="200">
        <v>0.36799999999999999</v>
      </c>
      <c r="G12" s="22">
        <v>0.6</v>
      </c>
      <c r="H12" s="28">
        <v>8</v>
      </c>
      <c r="I12" s="28">
        <v>6</v>
      </c>
      <c r="J12" s="28"/>
      <c r="K12" s="28"/>
      <c r="L12" s="201">
        <f t="shared" si="0"/>
        <v>0</v>
      </c>
    </row>
    <row r="13" spans="2:16" ht="14.1" customHeight="1" x14ac:dyDescent="0.25">
      <c r="B13" s="21">
        <f t="shared" si="1"/>
        <v>8</v>
      </c>
      <c r="C13" s="199">
        <v>228.29</v>
      </c>
      <c r="D13" s="199"/>
      <c r="E13" s="22">
        <v>69.290000000000006</v>
      </c>
      <c r="F13" s="200">
        <v>1.7585</v>
      </c>
      <c r="G13" s="214">
        <v>0.6</v>
      </c>
      <c r="H13" s="28">
        <v>9</v>
      </c>
      <c r="I13" s="28">
        <v>7</v>
      </c>
      <c r="J13" s="28"/>
      <c r="K13" s="28"/>
      <c r="L13" s="201">
        <f t="shared" si="0"/>
        <v>0</v>
      </c>
    </row>
    <row r="14" spans="2:16" ht="14.1" customHeight="1" x14ac:dyDescent="0.25">
      <c r="B14" s="21">
        <f t="shared" si="1"/>
        <v>9</v>
      </c>
      <c r="C14" s="199">
        <v>227.505</v>
      </c>
      <c r="D14" s="199"/>
      <c r="E14" s="22">
        <v>69.290000000000006</v>
      </c>
      <c r="F14" s="200">
        <v>0.42599999999999999</v>
      </c>
      <c r="G14" s="214">
        <v>0.6</v>
      </c>
      <c r="H14" s="28">
        <v>10</v>
      </c>
      <c r="I14" s="28">
        <v>8</v>
      </c>
      <c r="J14" s="28"/>
      <c r="K14" s="28"/>
      <c r="L14" s="201">
        <f t="shared" si="0"/>
        <v>0</v>
      </c>
    </row>
    <row r="15" spans="2:16" ht="14.1" customHeight="1" x14ac:dyDescent="0.25">
      <c r="B15" s="21">
        <f t="shared" si="1"/>
        <v>10</v>
      </c>
      <c r="C15" s="199">
        <v>226.43799999999999</v>
      </c>
      <c r="D15" s="199"/>
      <c r="E15" s="22">
        <v>73.61</v>
      </c>
      <c r="F15" s="200">
        <v>0.69620000000000004</v>
      </c>
      <c r="G15" s="214">
        <v>0.6</v>
      </c>
      <c r="H15" s="28">
        <v>11</v>
      </c>
      <c r="I15" s="28">
        <v>9</v>
      </c>
      <c r="J15" s="28">
        <v>5</v>
      </c>
      <c r="K15" s="28"/>
      <c r="L15" s="201">
        <f t="shared" si="0"/>
        <v>0</v>
      </c>
    </row>
    <row r="16" spans="2:16" ht="14.1" customHeight="1" x14ac:dyDescent="0.25">
      <c r="B16" s="21">
        <f t="shared" si="1"/>
        <v>11</v>
      </c>
      <c r="C16" s="199">
        <v>224.76599999999999</v>
      </c>
      <c r="D16" s="199">
        <v>222.22399999999999</v>
      </c>
      <c r="E16" s="22">
        <v>34.68</v>
      </c>
      <c r="F16" s="200">
        <v>1.1776</v>
      </c>
      <c r="G16" s="214">
        <v>0.6</v>
      </c>
      <c r="H16" s="28"/>
      <c r="I16" s="28">
        <v>10</v>
      </c>
      <c r="J16" s="28"/>
      <c r="K16" s="28"/>
      <c r="L16" s="201">
        <f t="shared" si="0"/>
        <v>11</v>
      </c>
    </row>
    <row r="17" spans="2:12" ht="14.1" customHeight="1" x14ac:dyDescent="0.25">
      <c r="B17" s="21">
        <f t="shared" si="1"/>
        <v>12</v>
      </c>
      <c r="C17" s="199"/>
      <c r="D17" s="199"/>
      <c r="E17" s="22"/>
      <c r="F17" s="200"/>
      <c r="G17" s="22"/>
      <c r="H17" s="28"/>
      <c r="I17" s="28"/>
      <c r="J17" s="28"/>
      <c r="K17" s="28"/>
      <c r="L17" s="201">
        <f t="shared" si="0"/>
        <v>0</v>
      </c>
    </row>
    <row r="18" spans="2:12" ht="14.1" customHeight="1" x14ac:dyDescent="0.25">
      <c r="B18" s="21">
        <f t="shared" si="1"/>
        <v>13</v>
      </c>
      <c r="C18" s="199"/>
      <c r="D18" s="199"/>
      <c r="E18" s="22"/>
      <c r="F18" s="200"/>
      <c r="G18" s="22"/>
      <c r="H18" s="28"/>
      <c r="I18" s="28"/>
      <c r="J18" s="28"/>
      <c r="K18" s="28"/>
      <c r="L18" s="201">
        <f t="shared" si="0"/>
        <v>0</v>
      </c>
    </row>
    <row r="19" spans="2:12" ht="14.1" customHeight="1" x14ac:dyDescent="0.25">
      <c r="B19" s="21">
        <f t="shared" si="1"/>
        <v>14</v>
      </c>
      <c r="C19" s="199"/>
      <c r="D19" s="199"/>
      <c r="E19" s="22"/>
      <c r="F19" s="200"/>
      <c r="G19" s="22"/>
      <c r="H19" s="28"/>
      <c r="I19" s="28"/>
      <c r="J19" s="28"/>
      <c r="K19" s="28"/>
      <c r="L19" s="201">
        <f t="shared" si="0"/>
        <v>0</v>
      </c>
    </row>
    <row r="20" spans="2:12" ht="14.1" customHeight="1" x14ac:dyDescent="0.25">
      <c r="B20" s="21">
        <f t="shared" si="1"/>
        <v>15</v>
      </c>
      <c r="C20" s="199"/>
      <c r="D20" s="199"/>
      <c r="E20" s="22"/>
      <c r="F20" s="200"/>
      <c r="G20" s="22"/>
      <c r="H20" s="28"/>
      <c r="I20" s="28"/>
      <c r="J20" s="28"/>
      <c r="K20" s="28"/>
      <c r="L20" s="201">
        <f t="shared" si="0"/>
        <v>0</v>
      </c>
    </row>
    <row r="21" spans="2:12" ht="14.1" customHeight="1" x14ac:dyDescent="0.25">
      <c r="B21" s="21">
        <f t="shared" si="1"/>
        <v>16</v>
      </c>
      <c r="C21" s="199"/>
      <c r="D21" s="199"/>
      <c r="E21" s="22"/>
      <c r="F21" s="200"/>
      <c r="G21" s="22"/>
      <c r="H21" s="28"/>
      <c r="I21" s="28"/>
      <c r="J21" s="28"/>
      <c r="K21" s="28"/>
      <c r="L21" s="201">
        <f t="shared" si="0"/>
        <v>0</v>
      </c>
    </row>
    <row r="22" spans="2:12" ht="14.1" customHeight="1" x14ac:dyDescent="0.25">
      <c r="B22" s="21">
        <f t="shared" si="1"/>
        <v>17</v>
      </c>
      <c r="C22" s="199"/>
      <c r="D22" s="199"/>
      <c r="E22" s="22"/>
      <c r="F22" s="200"/>
      <c r="G22" s="22"/>
      <c r="H22" s="28"/>
      <c r="I22" s="28"/>
      <c r="J22" s="28"/>
      <c r="K22" s="28"/>
      <c r="L22" s="201">
        <f t="shared" si="0"/>
        <v>0</v>
      </c>
    </row>
    <row r="23" spans="2:12" ht="14.1" customHeight="1" x14ac:dyDescent="0.25">
      <c r="B23" s="21">
        <f t="shared" si="1"/>
        <v>18</v>
      </c>
      <c r="C23" s="199"/>
      <c r="D23" s="199"/>
      <c r="E23" s="22"/>
      <c r="F23" s="200"/>
      <c r="G23" s="22"/>
      <c r="H23" s="28"/>
      <c r="I23" s="28"/>
      <c r="J23" s="28"/>
      <c r="K23" s="28"/>
      <c r="L23" s="201">
        <f t="shared" si="0"/>
        <v>0</v>
      </c>
    </row>
    <row r="24" spans="2:12" ht="14.1" customHeight="1" x14ac:dyDescent="0.25">
      <c r="B24" s="21">
        <f t="shared" si="1"/>
        <v>19</v>
      </c>
      <c r="C24" s="199"/>
      <c r="D24" s="199"/>
      <c r="E24" s="22"/>
      <c r="F24" s="200"/>
      <c r="G24" s="22"/>
      <c r="H24" s="28"/>
      <c r="I24" s="28"/>
      <c r="J24" s="28"/>
      <c r="K24" s="28"/>
      <c r="L24" s="201">
        <f t="shared" si="0"/>
        <v>0</v>
      </c>
    </row>
    <row r="25" spans="2:12" ht="14.1" customHeight="1" x14ac:dyDescent="0.25">
      <c r="B25" s="21">
        <f t="shared" si="1"/>
        <v>20</v>
      </c>
      <c r="C25" s="199">
        <v>226.13</v>
      </c>
      <c r="D25" s="199"/>
      <c r="E25" s="214">
        <v>88.65</v>
      </c>
      <c r="F25" s="200">
        <v>1.2165999999999999</v>
      </c>
      <c r="G25" s="214">
        <v>0.6</v>
      </c>
      <c r="H25" s="28">
        <v>21</v>
      </c>
      <c r="I25" s="28"/>
      <c r="J25" s="28"/>
      <c r="K25" s="28"/>
      <c r="L25" s="201">
        <f t="shared" si="0"/>
        <v>0</v>
      </c>
    </row>
    <row r="26" spans="2:12" ht="14.1" customHeight="1" x14ac:dyDescent="0.25">
      <c r="B26" s="21">
        <f t="shared" si="1"/>
        <v>21</v>
      </c>
      <c r="C26" s="199">
        <v>225.01499999999999</v>
      </c>
      <c r="D26" s="199"/>
      <c r="E26" s="214">
        <v>84.58</v>
      </c>
      <c r="F26" s="200">
        <v>0.46360000000000001</v>
      </c>
      <c r="G26" s="214">
        <v>0.6</v>
      </c>
      <c r="H26" s="28">
        <v>22</v>
      </c>
      <c r="I26" s="28">
        <v>20</v>
      </c>
      <c r="J26" s="28"/>
      <c r="K26" s="28"/>
      <c r="L26" s="201">
        <f t="shared" si="0"/>
        <v>0</v>
      </c>
    </row>
    <row r="27" spans="2:12" ht="14.1" customHeight="1" x14ac:dyDescent="0.25">
      <c r="B27" s="21">
        <f t="shared" si="1"/>
        <v>22</v>
      </c>
      <c r="C27" s="199">
        <v>224.535</v>
      </c>
      <c r="D27" s="199"/>
      <c r="E27" s="214">
        <v>80.400000000000006</v>
      </c>
      <c r="F27" s="200">
        <v>1.3931</v>
      </c>
      <c r="G27" s="214">
        <v>0.6</v>
      </c>
      <c r="H27" s="28">
        <v>23</v>
      </c>
      <c r="I27" s="28">
        <v>21</v>
      </c>
      <c r="J27" s="28"/>
      <c r="K27" s="28"/>
      <c r="L27" s="201">
        <f t="shared" si="0"/>
        <v>0</v>
      </c>
    </row>
    <row r="28" spans="2:12" x14ac:dyDescent="0.25">
      <c r="B28" s="296">
        <f t="shared" si="1"/>
        <v>23</v>
      </c>
      <c r="C28" s="199">
        <v>223.74199999999999</v>
      </c>
      <c r="D28" s="199"/>
      <c r="E28" s="214">
        <v>39.29</v>
      </c>
      <c r="F28" s="200">
        <v>1.3160000000000001</v>
      </c>
      <c r="G28" s="214">
        <v>0.6</v>
      </c>
      <c r="H28" s="28">
        <v>24</v>
      </c>
      <c r="I28" s="28">
        <v>22</v>
      </c>
      <c r="J28" s="28"/>
      <c r="K28" s="28"/>
      <c r="L28" s="201">
        <f t="shared" ref="L28:L36" si="2">IF(D28&gt;0,B28,0)</f>
        <v>0</v>
      </c>
    </row>
    <row r="29" spans="2:12" x14ac:dyDescent="0.25">
      <c r="B29" s="296">
        <f t="shared" si="1"/>
        <v>24</v>
      </c>
      <c r="C29" s="199">
        <v>223.58500000000001</v>
      </c>
      <c r="D29" s="199">
        <v>220.76400000000001</v>
      </c>
      <c r="E29" s="214">
        <v>16.190000000000001</v>
      </c>
      <c r="F29" s="200">
        <v>0.41670000000000001</v>
      </c>
      <c r="G29" s="214">
        <v>0.6</v>
      </c>
      <c r="H29" s="28"/>
      <c r="I29" s="28">
        <v>23</v>
      </c>
      <c r="J29" s="28"/>
      <c r="K29" s="28"/>
      <c r="L29" s="201">
        <f t="shared" si="2"/>
        <v>24</v>
      </c>
    </row>
    <row r="30" spans="2:12" x14ac:dyDescent="0.25">
      <c r="B30" s="296">
        <f t="shared" si="1"/>
        <v>25</v>
      </c>
      <c r="C30" s="199"/>
      <c r="D30" s="199"/>
      <c r="E30" s="214"/>
      <c r="F30" s="200"/>
      <c r="G30" s="214"/>
      <c r="H30" s="28"/>
      <c r="I30" s="28"/>
      <c r="J30" s="28"/>
      <c r="K30" s="28"/>
      <c r="L30" s="201">
        <f t="shared" si="2"/>
        <v>0</v>
      </c>
    </row>
    <row r="31" spans="2:12" x14ac:dyDescent="0.25">
      <c r="B31" s="296">
        <f t="shared" si="1"/>
        <v>26</v>
      </c>
      <c r="C31" s="199"/>
      <c r="D31" s="199"/>
      <c r="E31" s="214"/>
      <c r="F31" s="200"/>
      <c r="G31" s="214"/>
      <c r="H31" s="28"/>
      <c r="I31" s="28"/>
      <c r="J31" s="28"/>
      <c r="K31" s="28"/>
      <c r="L31" s="201">
        <f t="shared" si="2"/>
        <v>0</v>
      </c>
    </row>
    <row r="32" spans="2:12" x14ac:dyDescent="0.25">
      <c r="B32" s="296">
        <f t="shared" si="1"/>
        <v>27</v>
      </c>
      <c r="C32" s="199"/>
      <c r="D32" s="199"/>
      <c r="E32" s="214"/>
      <c r="F32" s="200"/>
      <c r="G32" s="214"/>
      <c r="H32" s="28"/>
      <c r="I32" s="28"/>
      <c r="J32" s="28"/>
      <c r="K32" s="28"/>
      <c r="L32" s="201">
        <f t="shared" si="2"/>
        <v>0</v>
      </c>
    </row>
    <row r="33" spans="2:12" x14ac:dyDescent="0.25">
      <c r="B33" s="296">
        <f t="shared" si="1"/>
        <v>28</v>
      </c>
      <c r="C33" s="199"/>
      <c r="D33" s="199"/>
      <c r="E33" s="214"/>
      <c r="F33" s="200"/>
      <c r="G33" s="214"/>
      <c r="H33" s="28"/>
      <c r="I33" s="28"/>
      <c r="J33" s="28"/>
      <c r="K33" s="28"/>
      <c r="L33" s="201">
        <f t="shared" si="2"/>
        <v>0</v>
      </c>
    </row>
    <row r="34" spans="2:12" x14ac:dyDescent="0.25">
      <c r="B34" s="296">
        <f t="shared" si="1"/>
        <v>29</v>
      </c>
      <c r="C34" s="199"/>
      <c r="D34" s="199"/>
      <c r="E34" s="214"/>
      <c r="F34" s="200"/>
      <c r="G34" s="214"/>
      <c r="H34" s="28"/>
      <c r="I34" s="28"/>
      <c r="J34" s="28"/>
      <c r="K34" s="28"/>
      <c r="L34" s="201">
        <f t="shared" si="2"/>
        <v>0</v>
      </c>
    </row>
    <row r="35" spans="2:12" x14ac:dyDescent="0.25">
      <c r="B35" s="296">
        <f t="shared" si="1"/>
        <v>30</v>
      </c>
      <c r="C35" s="199">
        <v>227.33099999999999</v>
      </c>
      <c r="D35" s="199"/>
      <c r="E35" s="214">
        <v>120</v>
      </c>
      <c r="F35" s="200">
        <v>1.2432000000000001</v>
      </c>
      <c r="G35" s="214">
        <v>0.6</v>
      </c>
      <c r="H35" s="28">
        <v>31</v>
      </c>
      <c r="I35" s="28"/>
      <c r="J35" s="28"/>
      <c r="K35" s="28"/>
      <c r="L35" s="201">
        <f t="shared" si="2"/>
        <v>0</v>
      </c>
    </row>
    <row r="36" spans="2:12" x14ac:dyDescent="0.25">
      <c r="B36" s="296">
        <f t="shared" si="1"/>
        <v>31</v>
      </c>
      <c r="C36" s="199">
        <v>225.44</v>
      </c>
      <c r="D36" s="199"/>
      <c r="E36" s="214">
        <v>120</v>
      </c>
      <c r="F36" s="200">
        <v>0.94610000000000005</v>
      </c>
      <c r="G36" s="214">
        <v>0.6</v>
      </c>
      <c r="H36" s="28">
        <v>32</v>
      </c>
      <c r="I36" s="28">
        <v>30</v>
      </c>
      <c r="J36" s="28"/>
      <c r="K36" s="28"/>
      <c r="L36" s="201">
        <f t="shared" si="2"/>
        <v>0</v>
      </c>
    </row>
    <row r="37" spans="2:12" x14ac:dyDescent="0.25">
      <c r="B37" s="296">
        <f t="shared" si="1"/>
        <v>32</v>
      </c>
      <c r="C37" s="199">
        <v>223.60300000000001</v>
      </c>
      <c r="D37" s="199">
        <v>221.35</v>
      </c>
      <c r="E37" s="214">
        <v>16.39</v>
      </c>
      <c r="F37" s="200">
        <v>1.0807</v>
      </c>
      <c r="G37" s="214">
        <v>0.6</v>
      </c>
      <c r="H37" s="28"/>
      <c r="I37" s="28">
        <v>31</v>
      </c>
      <c r="J37" s="28"/>
      <c r="K37" s="28"/>
      <c r="L37" s="201">
        <f t="shared" ref="L37" si="3">IF(D37&gt;0,B37,0)</f>
        <v>32</v>
      </c>
    </row>
  </sheetData>
  <mergeCells count="15">
    <mergeCell ref="B2:B4"/>
    <mergeCell ref="C2:D3"/>
    <mergeCell ref="E2:E4"/>
    <mergeCell ref="L2:L4"/>
    <mergeCell ref="H2:K2"/>
    <mergeCell ref="I3:K3"/>
    <mergeCell ref="H3:H4"/>
    <mergeCell ref="F2:G2"/>
    <mergeCell ref="N10:O10"/>
    <mergeCell ref="G3:G4"/>
    <mergeCell ref="F3:F4"/>
    <mergeCell ref="N6:O6"/>
    <mergeCell ref="N7:O7"/>
    <mergeCell ref="N8:O8"/>
    <mergeCell ref="N9:O9"/>
  </mergeCells>
  <printOptions horizontalCentered="1"/>
  <pageMargins left="0.51181102362204722" right="0.51181102362204722" top="0.78740157480314965" bottom="0.78740157480314965" header="0.31496062992125984" footer="0.31496062992125984"/>
  <pageSetup paperSize="9" scale="90" fitToHeight="1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tabColor rgb="FF00B050"/>
    <pageSetUpPr fitToPage="1"/>
  </sheetPr>
  <dimension ref="B1:AW43"/>
  <sheetViews>
    <sheetView showGridLines="0" view="pageBreakPreview" zoomScaleSheetLayoutView="100" workbookViewId="0">
      <pane ySplit="9" topLeftCell="A10"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9.7109375" style="4" customWidth="1"/>
    <col min="4" max="4" width="9.7109375" style="4" hidden="1" customWidth="1"/>
    <col min="5" max="10" width="9.7109375" style="4" customWidth="1"/>
    <col min="11" max="12" width="9.140625" style="4"/>
    <col min="13" max="16" width="9.7109375" style="4" customWidth="1"/>
    <col min="17" max="17" width="9.140625" style="4"/>
    <col min="18" max="25" width="9.7109375" style="4" customWidth="1"/>
    <col min="26" max="26" width="10.7109375" style="4" customWidth="1"/>
    <col min="27" max="30" width="9.7109375" style="4" customWidth="1"/>
    <col min="31" max="31" width="1.7109375" style="4" hidden="1" customWidth="1"/>
    <col min="32" max="49" width="9.7109375" style="4" hidden="1" customWidth="1"/>
    <col min="50" max="16384" width="9.140625" style="4"/>
  </cols>
  <sheetData>
    <row r="1" spans="2:49" ht="14.1" customHeight="1" x14ac:dyDescent="0.25">
      <c r="B1" s="100" t="str">
        <f>DADOS!$B$3</f>
        <v>CLIENTE:</v>
      </c>
      <c r="C1" s="81" t="str">
        <f>Orçamento!C2</f>
        <v>PREFEITURA MUNICIPAL DE JARDIM / MS</v>
      </c>
      <c r="D1" s="34"/>
      <c r="E1" s="34"/>
      <c r="F1" s="34"/>
      <c r="G1" s="34"/>
      <c r="H1" s="34"/>
      <c r="I1" s="34"/>
      <c r="J1" s="34"/>
      <c r="K1" s="34"/>
      <c r="L1" s="34"/>
      <c r="M1" s="34"/>
      <c r="N1" s="34"/>
      <c r="O1" s="34"/>
      <c r="P1" s="34"/>
      <c r="Q1" s="34"/>
      <c r="R1" s="34"/>
      <c r="S1" s="34"/>
      <c r="T1" s="34"/>
      <c r="U1" s="34"/>
      <c r="V1" s="34"/>
      <c r="W1" s="34"/>
      <c r="X1" s="34"/>
      <c r="Y1" s="34"/>
      <c r="Z1" s="44"/>
      <c r="AA1" s="462" t="s">
        <v>290</v>
      </c>
      <c r="AB1" s="463"/>
      <c r="AC1" s="463"/>
      <c r="AD1" s="463"/>
    </row>
    <row r="2" spans="2:49" ht="14.1" customHeight="1" x14ac:dyDescent="0.25">
      <c r="B2" s="101" t="str">
        <f>DADOS!$B$4</f>
        <v>ENDEREÇO:</v>
      </c>
      <c r="C2" s="82" t="str">
        <f>Orçamento!C3</f>
        <v>RUA CEL. JUVÊNCIO, Nº 547 - CENTRO</v>
      </c>
      <c r="Z2" s="45"/>
      <c r="AA2" s="462" t="s">
        <v>291</v>
      </c>
      <c r="AB2" s="463"/>
      <c r="AC2" s="464"/>
      <c r="AD2" s="464"/>
    </row>
    <row r="3" spans="2:49" ht="14.1" customHeight="1" x14ac:dyDescent="0.2">
      <c r="B3" s="83"/>
      <c r="C3" s="82"/>
      <c r="K3" s="397" t="s">
        <v>305</v>
      </c>
      <c r="L3" s="397"/>
      <c r="M3" s="397"/>
      <c r="N3" s="397"/>
      <c r="O3" s="397"/>
      <c r="P3" s="397"/>
      <c r="Q3" s="397"/>
      <c r="R3" s="397"/>
      <c r="S3" s="397"/>
      <c r="T3" s="397"/>
      <c r="U3" s="397"/>
      <c r="V3" s="397"/>
      <c r="W3" s="397"/>
      <c r="X3" s="397"/>
      <c r="Y3" s="397"/>
      <c r="Z3" s="465"/>
      <c r="AA3" s="54" t="s">
        <v>297</v>
      </c>
      <c r="AB3" s="50">
        <v>1313.07</v>
      </c>
      <c r="AC3" s="49" t="s">
        <v>292</v>
      </c>
      <c r="AD3" s="52">
        <v>11</v>
      </c>
    </row>
    <row r="4" spans="2:49" ht="14.1" customHeight="1" x14ac:dyDescent="0.25">
      <c r="B4" s="101" t="str">
        <f>DADOS!$B$7</f>
        <v>OBRA:</v>
      </c>
      <c r="C4" s="82" t="str">
        <f>Orçamento!C5</f>
        <v>PAVIMENTAÇÃO ASFÁLTICA E DRENAGEM DE ÁGUAS PLUVIAIS</v>
      </c>
      <c r="K4" s="397"/>
      <c r="L4" s="397"/>
      <c r="M4" s="397"/>
      <c r="N4" s="397"/>
      <c r="O4" s="397"/>
      <c r="P4" s="397"/>
      <c r="Q4" s="397"/>
      <c r="R4" s="397"/>
      <c r="S4" s="397"/>
      <c r="T4" s="397"/>
      <c r="U4" s="397"/>
      <c r="V4" s="397"/>
      <c r="W4" s="397"/>
      <c r="X4" s="397"/>
      <c r="Y4" s="397"/>
      <c r="Z4" s="465"/>
      <c r="AA4" s="54" t="s">
        <v>296</v>
      </c>
      <c r="AB4" s="51">
        <v>0.17699999999999999</v>
      </c>
      <c r="AC4" s="49" t="s">
        <v>293</v>
      </c>
      <c r="AD4" s="51">
        <v>0.80300000000000005</v>
      </c>
    </row>
    <row r="5" spans="2:49" ht="14.1" customHeight="1" x14ac:dyDescent="0.25">
      <c r="B5" s="84" t="str">
        <f>DADOS!$B$8</f>
        <v>LOCAL:</v>
      </c>
      <c r="C5" s="85" t="str">
        <f>Orçamento!C6</f>
        <v>JARDIM PREVISUL, JARDIM / MS</v>
      </c>
      <c r="D5" s="46"/>
      <c r="E5" s="46"/>
      <c r="F5" s="46"/>
      <c r="G5" s="46"/>
      <c r="H5" s="46"/>
      <c r="I5" s="46"/>
      <c r="J5" s="46"/>
      <c r="K5" s="46"/>
      <c r="L5" s="46"/>
      <c r="M5" s="46"/>
      <c r="N5" s="46"/>
      <c r="O5" s="46"/>
      <c r="P5" s="46"/>
      <c r="Q5" s="46"/>
      <c r="R5" s="46"/>
      <c r="S5" s="46"/>
      <c r="T5" s="46"/>
      <c r="U5" s="46"/>
      <c r="V5" s="46"/>
      <c r="W5" s="46"/>
      <c r="X5" s="46"/>
      <c r="Y5" s="46"/>
      <c r="Z5" s="47"/>
      <c r="AA5" s="54" t="s">
        <v>295</v>
      </c>
      <c r="AB5" s="52">
        <v>10</v>
      </c>
      <c r="AC5" s="49" t="s">
        <v>294</v>
      </c>
      <c r="AD5" s="52">
        <v>41</v>
      </c>
    </row>
    <row r="7" spans="2:49" ht="15" customHeight="1" x14ac:dyDescent="0.25">
      <c r="B7" s="442" t="s">
        <v>239</v>
      </c>
      <c r="C7" s="442" t="s">
        <v>244</v>
      </c>
      <c r="D7" s="442"/>
      <c r="E7" s="442"/>
      <c r="F7" s="442"/>
      <c r="G7" s="442"/>
      <c r="H7" s="442"/>
      <c r="I7" s="442"/>
      <c r="J7" s="450" t="s">
        <v>64</v>
      </c>
      <c r="K7" s="450" t="s">
        <v>245</v>
      </c>
      <c r="L7" s="450"/>
      <c r="M7" s="450" t="s">
        <v>248</v>
      </c>
      <c r="N7" s="450" t="s">
        <v>249</v>
      </c>
      <c r="O7" s="450" t="s">
        <v>246</v>
      </c>
      <c r="P7" s="450" t="s">
        <v>247</v>
      </c>
      <c r="Q7" s="450" t="s">
        <v>251</v>
      </c>
      <c r="R7" s="450" t="s">
        <v>256</v>
      </c>
      <c r="S7" s="450" t="s">
        <v>250</v>
      </c>
      <c r="T7" s="450" t="s">
        <v>252</v>
      </c>
      <c r="U7" s="450"/>
      <c r="V7" s="450"/>
      <c r="W7" s="450" t="s">
        <v>263</v>
      </c>
      <c r="X7" s="450"/>
      <c r="Y7" s="450"/>
      <c r="Z7" s="450"/>
      <c r="AA7" s="450" t="s">
        <v>260</v>
      </c>
      <c r="AB7" s="450"/>
      <c r="AC7" s="450" t="s">
        <v>259</v>
      </c>
      <c r="AD7" s="450" t="s">
        <v>258</v>
      </c>
      <c r="AG7" s="450" t="s">
        <v>230</v>
      </c>
      <c r="AH7" s="450"/>
      <c r="AI7" s="450"/>
      <c r="AJ7" s="450"/>
      <c r="AK7" s="450" t="s">
        <v>268</v>
      </c>
      <c r="AL7" s="450"/>
      <c r="AM7" s="450"/>
      <c r="AN7" s="450" t="s">
        <v>269</v>
      </c>
      <c r="AO7" s="450"/>
      <c r="AP7" s="450"/>
      <c r="AQ7" s="450" t="s">
        <v>270</v>
      </c>
      <c r="AR7" s="450"/>
      <c r="AS7" s="450"/>
      <c r="AT7" s="450" t="s">
        <v>279</v>
      </c>
      <c r="AU7" s="450" t="s">
        <v>271</v>
      </c>
      <c r="AV7" s="450"/>
      <c r="AW7" s="450"/>
    </row>
    <row r="8" spans="2:49" ht="15" customHeight="1" x14ac:dyDescent="0.25">
      <c r="B8" s="442"/>
      <c r="C8" s="442" t="s">
        <v>225</v>
      </c>
      <c r="D8" s="442"/>
      <c r="E8" s="442"/>
      <c r="F8" s="442"/>
      <c r="G8" s="442" t="s">
        <v>226</v>
      </c>
      <c r="H8" s="442"/>
      <c r="I8" s="442"/>
      <c r="J8" s="450"/>
      <c r="K8" s="450" t="s">
        <v>232</v>
      </c>
      <c r="L8" s="450" t="s">
        <v>233</v>
      </c>
      <c r="M8" s="450"/>
      <c r="N8" s="450"/>
      <c r="O8" s="450"/>
      <c r="P8" s="450"/>
      <c r="Q8" s="450"/>
      <c r="R8" s="450"/>
      <c r="S8" s="450"/>
      <c r="T8" s="450" t="s">
        <v>257</v>
      </c>
      <c r="U8" s="450" t="s">
        <v>253</v>
      </c>
      <c r="V8" s="450"/>
      <c r="W8" s="450" t="s">
        <v>264</v>
      </c>
      <c r="X8" s="450" t="s">
        <v>265</v>
      </c>
      <c r="Y8" s="450" t="s">
        <v>266</v>
      </c>
      <c r="Z8" s="450" t="s">
        <v>267</v>
      </c>
      <c r="AA8" s="450"/>
      <c r="AB8" s="450"/>
      <c r="AC8" s="450"/>
      <c r="AD8" s="450"/>
      <c r="AG8" s="450" t="s">
        <v>226</v>
      </c>
      <c r="AH8" s="450" t="s">
        <v>225</v>
      </c>
      <c r="AI8" s="450"/>
      <c r="AJ8" s="450"/>
      <c r="AK8" s="450"/>
      <c r="AL8" s="450"/>
      <c r="AM8" s="450"/>
      <c r="AN8" s="450"/>
      <c r="AO8" s="450"/>
      <c r="AP8" s="450"/>
      <c r="AQ8" s="37" t="s">
        <v>274</v>
      </c>
      <c r="AR8" s="37" t="s">
        <v>275</v>
      </c>
      <c r="AS8" s="37" t="s">
        <v>276</v>
      </c>
      <c r="AT8" s="450"/>
      <c r="AU8" s="37" t="s">
        <v>280</v>
      </c>
      <c r="AV8" s="37" t="s">
        <v>281</v>
      </c>
      <c r="AW8" s="37" t="s">
        <v>282</v>
      </c>
    </row>
    <row r="9" spans="2:49" ht="15" customHeight="1" x14ac:dyDescent="0.25">
      <c r="B9" s="442"/>
      <c r="C9" s="10" t="s">
        <v>240</v>
      </c>
      <c r="D9" s="10" t="s">
        <v>242</v>
      </c>
      <c r="E9" s="10" t="s">
        <v>241</v>
      </c>
      <c r="F9" s="10" t="s">
        <v>243</v>
      </c>
      <c r="G9" s="10" t="s">
        <v>240</v>
      </c>
      <c r="H9" s="10" t="s">
        <v>241</v>
      </c>
      <c r="I9" s="10" t="s">
        <v>243</v>
      </c>
      <c r="J9" s="450"/>
      <c r="K9" s="450"/>
      <c r="L9" s="450"/>
      <c r="M9" s="450"/>
      <c r="N9" s="450"/>
      <c r="O9" s="450"/>
      <c r="P9" s="450"/>
      <c r="Q9" s="450"/>
      <c r="R9" s="450"/>
      <c r="S9" s="450"/>
      <c r="T9" s="450"/>
      <c r="U9" s="11" t="s">
        <v>254</v>
      </c>
      <c r="V9" s="11" t="s">
        <v>255</v>
      </c>
      <c r="W9" s="450"/>
      <c r="X9" s="450"/>
      <c r="Y9" s="450"/>
      <c r="Z9" s="450"/>
      <c r="AA9" s="11" t="s">
        <v>261</v>
      </c>
      <c r="AB9" s="11" t="s">
        <v>262</v>
      </c>
      <c r="AC9" s="450"/>
      <c r="AD9" s="450"/>
      <c r="AG9" s="450"/>
      <c r="AH9" s="11" t="s">
        <v>169</v>
      </c>
      <c r="AI9" s="11" t="s">
        <v>229</v>
      </c>
      <c r="AJ9" s="11" t="s">
        <v>170</v>
      </c>
      <c r="AK9" s="11" t="s">
        <v>169</v>
      </c>
      <c r="AL9" s="11" t="s">
        <v>229</v>
      </c>
      <c r="AM9" s="11" t="s">
        <v>170</v>
      </c>
      <c r="AN9" s="11" t="s">
        <v>169</v>
      </c>
      <c r="AO9" s="11" t="s">
        <v>229</v>
      </c>
      <c r="AP9" s="11" t="s">
        <v>170</v>
      </c>
      <c r="AQ9" s="38" t="s">
        <v>273</v>
      </c>
      <c r="AR9" s="38" t="s">
        <v>277</v>
      </c>
      <c r="AS9" s="38" t="s">
        <v>278</v>
      </c>
      <c r="AT9" s="11" t="s">
        <v>272</v>
      </c>
      <c r="AU9" s="38" t="s">
        <v>273</v>
      </c>
      <c r="AV9" s="38" t="s">
        <v>277</v>
      </c>
      <c r="AW9" s="38" t="s">
        <v>278</v>
      </c>
    </row>
    <row r="10" spans="2:49" ht="5.0999999999999996" customHeight="1" x14ac:dyDescent="0.25"/>
    <row r="11" spans="2:49" ht="14.1" customHeight="1" x14ac:dyDescent="0.25">
      <c r="B11" s="112">
        <f>'Dre-Dados'!B6</f>
        <v>1</v>
      </c>
      <c r="C11" s="326">
        <f>'Dre-Dados'!C6</f>
        <v>235.92599999999999</v>
      </c>
      <c r="D11" s="118">
        <v>0.25700000000000001</v>
      </c>
      <c r="E11" s="326">
        <f ca="1">IF(MINA(AK11,AL11,AM11)=10000,C11-Z11-IF(Z11=0.6,0.9,IF(Z11=0.8,0.8,IF(Z11=1,0.9,IF(Z11=1.2,1.1,1.15)))),MINA(AK11,AL11,AM11))-D11</f>
        <v>233.76899999999998</v>
      </c>
      <c r="F11" s="323">
        <f ca="1">IF(ABS(C11-E11)&lt;=Z11+IF(Z11=0.6,0.69,IF(Z11=0.8,0.79,0.89)),E11-C11,(C11-E11))</f>
        <v>2.1570000000000107</v>
      </c>
      <c r="G11" s="326">
        <f ca="1">INDIRECT(REPLACE("C00",2,2,FIXED(AG11+10,0)))</f>
        <v>233.095</v>
      </c>
      <c r="H11" s="326">
        <f ca="1">(E11-(J11*(U11/100)))</f>
        <v>230.90435999999997</v>
      </c>
      <c r="I11" s="323">
        <f ca="1">IF(ABS(G11-H11)&lt;Z11+IF(Z11=0.6,0.69,IF(Z11=0.8,0.79,0.89)),H11-G11,(G11-H11))</f>
        <v>2.1906400000000303</v>
      </c>
      <c r="J11" s="323">
        <f>'Dre-Dados'!E6</f>
        <v>89.52</v>
      </c>
      <c r="K11" s="323">
        <f>'Dre-Dados'!F6</f>
        <v>1.0845</v>
      </c>
      <c r="L11" s="323">
        <f>'Dre-Dados'!G6</f>
        <v>0.6</v>
      </c>
      <c r="M11" s="323">
        <f ca="1">IF($AH11=0,0,INDIRECT(REPLACE("M00",2,2,FIXED($AH11+10,0))))+IF($AI11=0,0,INDIRECT(REPLACE("M00",2,2,FIXED($AI11+10,0))))+IF($AJ11=0,0,INDIRECT(REPLACE("M00",2,2,FIXED($AJ11+10,0))))+K11</f>
        <v>1.0845</v>
      </c>
      <c r="N11" s="323">
        <f ca="1">IF(M11&lt;1,1,M11^-0.178)</f>
        <v>0.98566455405908393</v>
      </c>
      <c r="O11" s="323">
        <f ca="1">MAXA(AN11,AO11,AP11)</f>
        <v>15</v>
      </c>
      <c r="P11" s="323">
        <f ca="1">+AB$3*AB$5^AB$4/(O11+AD$3)^AD$4</f>
        <v>144.23288170648527</v>
      </c>
      <c r="Q11" s="323">
        <f ca="1">(((2.913+64.073*L11)/1000)*(O11*P11)^(1/3))</f>
        <v>0.53489118512182809</v>
      </c>
      <c r="R11" s="323">
        <f ca="1">(2.778*K11*N11*P11*Q11)</f>
        <v>229.09766257198356</v>
      </c>
      <c r="S11" s="323">
        <f ca="1">IF($AH11=0,0,INDIRECT(REPLACE("S00",2,2,FIXED($AH11+10,0))))+IF($AI11=0,0,INDIRECT(REPLACE("S00",2,2,FIXED($AI11+10,0))))+IF($AJ11=0,0,INDIRECT(REPLACE("S00",2,2,FIXED($AJ11+10,0))))+R11</f>
        <v>229.09766257198356</v>
      </c>
      <c r="T11" s="323">
        <f ca="1">(C11-G11)/J11*100</f>
        <v>3.1624218051831869</v>
      </c>
      <c r="U11" s="310">
        <v>3.2</v>
      </c>
      <c r="V11" s="323">
        <f ca="1">(((S11/Y11*X11)/33.53/Z11^(8/3))^2)</f>
        <v>1.0504048725778819E-2</v>
      </c>
      <c r="W11" s="319" t="s">
        <v>170</v>
      </c>
      <c r="X11" s="326">
        <v>1.4999999999999999E-2</v>
      </c>
      <c r="Y11" s="112">
        <v>1</v>
      </c>
      <c r="Z11" s="310">
        <v>1</v>
      </c>
      <c r="AA11" s="323">
        <f ca="1">IF(0.85*Z11&gt;AS11,IF(0.3*Z11&gt;AR11,AQ11,AR11),AS11)</f>
        <v>0.16965616692791113</v>
      </c>
      <c r="AB11" s="323">
        <f ca="1">IF(0.3*Z11&gt;AU11,AU11,IF(0.85*Z11&gt;AV11,AV11,AW11))</f>
        <v>0.266524266176485</v>
      </c>
      <c r="AC11" s="323">
        <f ca="1">((S11/Y11)/(AT11*Z11^2))</f>
        <v>2.5952028733435695</v>
      </c>
      <c r="AD11" s="323">
        <f ca="1">(J11/(AC11*60))+O11</f>
        <v>15.574906885055102</v>
      </c>
      <c r="AF11" s="43">
        <f>'Dre-Dados'!B6</f>
        <v>1</v>
      </c>
      <c r="AG11" s="41">
        <f>'Dre-Dados'!H6</f>
        <v>2</v>
      </c>
      <c r="AH11" s="41">
        <f>'Dre-Dados'!I6</f>
        <v>0</v>
      </c>
      <c r="AI11" s="41">
        <f>'Dre-Dados'!J6</f>
        <v>0</v>
      </c>
      <c r="AJ11" s="41">
        <f>'Dre-Dados'!K6</f>
        <v>0</v>
      </c>
      <c r="AK11" s="39">
        <f ca="1">IF(AH11=0,10000,INDIRECT(REPLACE("H00",2,2,FIXED(AH11+10,0))))</f>
        <v>10000</v>
      </c>
      <c r="AL11" s="39">
        <f ca="1">IF(AI11=0,10000,INDIRECT(REPLACE("H00",2,2,FIXED(AI11+10,0))))</f>
        <v>10000</v>
      </c>
      <c r="AM11" s="39">
        <f ca="1">IF(AJ11=0,10000,INDIRECT(REPLACE("H00",2,2,FIXED(AJ11+10,0))))</f>
        <v>10000</v>
      </c>
      <c r="AN11" s="39">
        <f ca="1">IF(AH11=0,15,INDIRECT(REPLACE("AD00",3,2,FIXED(AH11+10,0))))</f>
        <v>15</v>
      </c>
      <c r="AO11" s="39">
        <f ca="1">IF(AI11=0,15,INDIRECT(REPLACE("AD00",3,2,FIXED(AI11+10,0))))</f>
        <v>15</v>
      </c>
      <c r="AP11" s="39">
        <f ca="1">IF(AJ11=0,15,INDIRECT(REPLACE("AD00",3,2,FIXED(AJ11+10,0))))</f>
        <v>15</v>
      </c>
      <c r="AQ11" s="39">
        <f ca="1">1.14*Z11^(-0.285)*(S11/1000/Y11*X11)^(0.482)*(U11/100)^(-0.241)</f>
        <v>0.16965616692791113</v>
      </c>
      <c r="AR11" s="39">
        <f ca="1">1.97107*(S11/1000/Y11)*X11*Z11^(-5/3)*(U11/100)^(-0.5)+0.19066*Z11</f>
        <v>0.22852508848704617</v>
      </c>
      <c r="AS11" s="39">
        <f ca="1">15.428*(S11/1000/Y11*X11)^2.571*Z11^(-5.856)*(U11/100)^(-1.285)</f>
        <v>5.9502559507633901E-4</v>
      </c>
      <c r="AT11" s="39">
        <f ca="1">250*((ACOS(1-(2*AA11/Z11))-(1-(2*AA11/Z11))*(SIN(ACOS(1-(2*AA11/Z11))))))</f>
        <v>88.277361637174081</v>
      </c>
      <c r="AU11" s="39">
        <f ca="1">0.016614*(S11/Y11)^(0.5107)*Z11^(-0.2768)</f>
        <v>0.266524266176485</v>
      </c>
      <c r="AV11" s="39">
        <f ca="1">0.01619*(S11/Y11)^(0.5159)*Z11^(-0.2897)</f>
        <v>0.26716619566137495</v>
      </c>
      <c r="AW11" s="39">
        <f ca="1">0.07439*(S11/Y11)^(0.3117)*Z11^(-0.221)</f>
        <v>0.40469980755406082</v>
      </c>
    </row>
    <row r="12" spans="2:49" ht="14.1" customHeight="1" x14ac:dyDescent="0.25">
      <c r="B12" s="113">
        <f>'Dre-Dados'!B7</f>
        <v>2</v>
      </c>
      <c r="C12" s="325">
        <f>'Dre-Dados'!C7</f>
        <v>233.095</v>
      </c>
      <c r="D12" s="119"/>
      <c r="E12" s="325">
        <f t="shared" ref="E12:E13" ca="1" si="0">IF(MINA(AK12,AL12,AM12)=10000,C12-Z12-IF(Z12=0.6,0.9,IF(Z12=0.8,0.8,IF(Z12=1,0.9,IF(Z12=1.2,1.1,1.15)))),MINA(AK12,AL12,AM12))-D12</f>
        <v>230.90435999999997</v>
      </c>
      <c r="F12" s="324">
        <f t="shared" ref="F12:F13" ca="1" si="1">IF(ABS(C12-E12)&lt;=Z12+IF(Z12=0.6,0.69,IF(Z12=0.8,0.79,0.89)),E12-C12,(C12-E12))</f>
        <v>2.1906400000000303</v>
      </c>
      <c r="G12" s="325">
        <f t="shared" ref="G12:G13" ca="1" si="2">INDIRECT(REPLACE("C00",2,2,FIXED(AG12+10,0)))</f>
        <v>230.387</v>
      </c>
      <c r="H12" s="315">
        <f t="shared" ref="H12:H13" ca="1" si="3">(E12-(J12*(U12/100)))</f>
        <v>228.07835729999996</v>
      </c>
      <c r="I12" s="324">
        <f t="shared" ref="I12:I13" ca="1" si="4">IF(ABS(G12-H12)&lt;Z12+IF(Z12=0.6,0.69,IF(Z12=0.8,0.79,0.89)),H12-G12,(G12-H12))</f>
        <v>2.3086427000000356</v>
      </c>
      <c r="J12" s="324">
        <f>'Dre-Dados'!E7</f>
        <v>90.49</v>
      </c>
      <c r="K12" s="324">
        <f>'Dre-Dados'!F7</f>
        <v>1.2544999999999999</v>
      </c>
      <c r="L12" s="324">
        <f>'Dre-Dados'!G7</f>
        <v>0.6</v>
      </c>
      <c r="M12" s="324">
        <f t="shared" ref="M12:M13" ca="1" si="5">IF($AH12=0,0,INDIRECT(REPLACE("M00",2,2,FIXED($AH12+10,0))))+IF($AI12=0,0,INDIRECT(REPLACE("M00",2,2,FIXED($AI12+10,0))))+IF($AJ12=0,0,INDIRECT(REPLACE("M00",2,2,FIXED($AJ12+10,0))))+K12</f>
        <v>2.339</v>
      </c>
      <c r="N12" s="324">
        <f t="shared" ref="N12:N13" ca="1" si="6">IF(M12&lt;1,1,M12^-0.178)</f>
        <v>0.85963209240741933</v>
      </c>
      <c r="O12" s="324">
        <f t="shared" ref="O12:O13" ca="1" si="7">MAXA(AN12,AO12,AP12)</f>
        <v>15.574906885055102</v>
      </c>
      <c r="P12" s="324">
        <f t="shared" ref="P12:P13" ca="1" si="8">+AB$3*AB$5^AB$4/(O12+AD$3)^AD$4</f>
        <v>141.72193148858858</v>
      </c>
      <c r="Q12" s="324">
        <f t="shared" ref="Q12:Q13" ca="1" si="9">(((2.913+64.073*L12)/1000)*(O12*P12)^(1/3))</f>
        <v>0.53847775654892005</v>
      </c>
      <c r="R12" s="324">
        <f t="shared" ref="R12:R13" ca="1" si="10">(2.778*K12*N12*P12*Q12)</f>
        <v>228.62323111424109</v>
      </c>
      <c r="S12" s="324">
        <f t="shared" ref="S12:S13" ca="1" si="11">IF($AH12=0,0,INDIRECT(REPLACE("S00",2,2,FIXED($AH12+10,0))))+IF($AI12=0,0,INDIRECT(REPLACE("S00",2,2,FIXED($AI12+10,0))))+IF($AJ12=0,0,INDIRECT(REPLACE("S00",2,2,FIXED($AJ12+10,0))))+R12</f>
        <v>457.72089368622466</v>
      </c>
      <c r="T12" s="324">
        <f t="shared" ref="T12:T13" ca="1" si="12">(C12-G12)/J12*100</f>
        <v>2.9925958669466226</v>
      </c>
      <c r="U12" s="293">
        <v>3.1230000000000002</v>
      </c>
      <c r="V12" s="324">
        <f t="shared" ref="V12:V13" ca="1" si="13">(((S12/Y12*X12)/33.53/Z12^(8/3))^2)</f>
        <v>4.192922987565087E-2</v>
      </c>
      <c r="W12" s="70" t="s">
        <v>170</v>
      </c>
      <c r="X12" s="325">
        <v>1.4999999999999999E-2</v>
      </c>
      <c r="Y12" s="113">
        <v>1</v>
      </c>
      <c r="Z12" s="293">
        <v>1</v>
      </c>
      <c r="AA12" s="324">
        <f t="shared" ref="AA12:AA13" ca="1" si="14">IF(0.85*Z12&gt;AS12,IF(0.3*Z12&gt;AR12,AQ12,AR12),AS12)</f>
        <v>0.23823114898425762</v>
      </c>
      <c r="AB12" s="324">
        <f t="shared" ref="AB12:AB13" ca="1" si="15">IF(0.3*Z12&gt;AU12,AU12,IF(0.85*Z12&gt;AV12,AV12,AW12))</f>
        <v>0.3818130508853213</v>
      </c>
      <c r="AC12" s="324">
        <f t="shared" ref="AC12:AC13" ca="1" si="16">((S12/Y12)/(AT12*Z12^2))</f>
        <v>3.1911214596180182</v>
      </c>
      <c r="AD12" s="324">
        <f t="shared" ref="AD12:AD13" ca="1" si="17">(J12/(AC12*60))+O12</f>
        <v>16.047520254916364</v>
      </c>
      <c r="AF12" s="43">
        <f>'Dre-Dados'!B7</f>
        <v>2</v>
      </c>
      <c r="AG12" s="42">
        <f>'Dre-Dados'!H7</f>
        <v>3</v>
      </c>
      <c r="AH12" s="42">
        <f>'Dre-Dados'!I7</f>
        <v>1</v>
      </c>
      <c r="AI12" s="42">
        <f>'Dre-Dados'!J7</f>
        <v>0</v>
      </c>
      <c r="AJ12" s="42">
        <f>'Dre-Dados'!K7</f>
        <v>0</v>
      </c>
      <c r="AK12" s="40">
        <f t="shared" ref="AK12:AK13" ca="1" si="18">IF(AH12=0,10000,INDIRECT(REPLACE("H00",2,2,FIXED(AH12+10,0))))</f>
        <v>230.90435999999997</v>
      </c>
      <c r="AL12" s="40">
        <f t="shared" ref="AL12:AL13" ca="1" si="19">IF(AI12=0,10000,INDIRECT(REPLACE("H00",2,2,FIXED(AI12+10,0))))</f>
        <v>10000</v>
      </c>
      <c r="AM12" s="40">
        <f t="shared" ref="AM12:AM13" ca="1" si="20">IF(AJ12=0,10000,INDIRECT(REPLACE("H00",2,2,FIXED(AJ12+10,0))))</f>
        <v>10000</v>
      </c>
      <c r="AN12" s="40">
        <f t="shared" ref="AN12:AN13" ca="1" si="21">IF(AH12=0,15,INDIRECT(REPLACE("AD00",3,2,FIXED(AH12+10,0))))</f>
        <v>15.574906885055102</v>
      </c>
      <c r="AO12" s="40">
        <f t="shared" ref="AO12:AO13" ca="1" si="22">IF(AI12=0,15,INDIRECT(REPLACE("AD00",3,2,FIXED(AI12+10,0))))</f>
        <v>15</v>
      </c>
      <c r="AP12" s="40">
        <f t="shared" ref="AP12:AP13" ca="1" si="23">IF(AJ12=0,15,INDIRECT(REPLACE("AD00",3,2,FIXED(AJ12+10,0))))</f>
        <v>15</v>
      </c>
      <c r="AQ12" s="40">
        <f t="shared" ref="AQ12:AQ13" ca="1" si="24">1.14*Z12^(-0.285)*(S12/1000/Y12*X12)^(0.482)*(U12/100)^(-0.241)</f>
        <v>0.23823114898425762</v>
      </c>
      <c r="AR12" s="40">
        <f t="shared" ref="AR12:AR13" ca="1" si="25">1.97107*(S12/1000/Y12)*X12*Z12^(-5/3)*(U12/100)^(-0.5)+0.19066*Z12</f>
        <v>0.26723871104253083</v>
      </c>
      <c r="AS12" s="40">
        <f t="shared" ref="AS12:AS13" ca="1" si="26">15.428*(S12/1000/Y12*X12)^2.571*Z12^(-5.856)*(U12/100)^(-1.285)</f>
        <v>3.6384779963185825E-3</v>
      </c>
      <c r="AT12" s="40">
        <f t="shared" ref="AT12:AT13" ca="1" si="27">250*((ACOS(1-(2*AA12/Z12))-(1-(2*AA12/Z12))*(SIN(ACOS(1-(2*AA12/Z12))))))</f>
        <v>143.43574805235227</v>
      </c>
      <c r="AU12" s="40">
        <f t="shared" ref="AU12:AU13" ca="1" si="28">0.016614*(S12/Y12)^(0.5107)*Z12^(-0.2768)</f>
        <v>0.3795272840775385</v>
      </c>
      <c r="AV12" s="40">
        <f t="shared" ref="AV12:AV13" ca="1" si="29">0.01619*(S12/Y12)^(0.5159)*Z12^(-0.2897)</f>
        <v>0.3818130508853213</v>
      </c>
      <c r="AW12" s="40">
        <f t="shared" ref="AW12:AW13" ca="1" si="30">0.07439*(S12/Y12)^(0.3117)*Z12^(-0.221)</f>
        <v>0.50213883251534164</v>
      </c>
    </row>
    <row r="13" spans="2:49" ht="14.1" customHeight="1" x14ac:dyDescent="0.25">
      <c r="B13" s="113">
        <f>'Dre-Dados'!B8</f>
        <v>3</v>
      </c>
      <c r="C13" s="325">
        <f>'Dre-Dados'!C8</f>
        <v>230.387</v>
      </c>
      <c r="D13" s="119"/>
      <c r="E13" s="315">
        <f t="shared" ca="1" si="0"/>
        <v>228.07835729999996</v>
      </c>
      <c r="F13" s="324">
        <f t="shared" ca="1" si="1"/>
        <v>2.3086427000000356</v>
      </c>
      <c r="G13" s="325">
        <f t="shared" ca="1" si="2"/>
        <v>227.822</v>
      </c>
      <c r="H13" s="315">
        <f t="shared" ca="1" si="3"/>
        <v>225.83260049999996</v>
      </c>
      <c r="I13" s="324">
        <f t="shared" ca="1" si="4"/>
        <v>1.9893995000000473</v>
      </c>
      <c r="J13" s="324">
        <f>'Dre-Dados'!E8</f>
        <v>116.24</v>
      </c>
      <c r="K13" s="324">
        <f>'Dre-Dados'!F8</f>
        <v>1.2604</v>
      </c>
      <c r="L13" s="324">
        <f>'Dre-Dados'!G8</f>
        <v>0.6</v>
      </c>
      <c r="M13" s="324">
        <f t="shared" ca="1" si="5"/>
        <v>3.5994000000000002</v>
      </c>
      <c r="N13" s="324">
        <f t="shared" ca="1" si="6"/>
        <v>0.79614292490642402</v>
      </c>
      <c r="O13" s="324">
        <f t="shared" ca="1" si="7"/>
        <v>16.047520254916364</v>
      </c>
      <c r="P13" s="324">
        <f t="shared" ca="1" si="8"/>
        <v>139.72995941297009</v>
      </c>
      <c r="Q13" s="324">
        <f t="shared" ca="1" si="9"/>
        <v>0.54131004065020927</v>
      </c>
      <c r="R13" s="324">
        <f t="shared" ca="1" si="10"/>
        <v>210.84693470656362</v>
      </c>
      <c r="S13" s="324">
        <f t="shared" ca="1" si="11"/>
        <v>668.56782839278821</v>
      </c>
      <c r="T13" s="324">
        <f t="shared" ca="1" si="12"/>
        <v>2.206641431520989</v>
      </c>
      <c r="U13" s="293">
        <v>1.9319999999999999</v>
      </c>
      <c r="V13" s="324">
        <f t="shared" ca="1" si="13"/>
        <v>8.9455358414951489E-2</v>
      </c>
      <c r="W13" s="70" t="s">
        <v>170</v>
      </c>
      <c r="X13" s="325">
        <v>1.4999999999999999E-2</v>
      </c>
      <c r="Y13" s="113">
        <v>1</v>
      </c>
      <c r="Z13" s="293">
        <v>1</v>
      </c>
      <c r="AA13" s="324">
        <f t="shared" ca="1" si="14"/>
        <v>0.3328716647627542</v>
      </c>
      <c r="AB13" s="324">
        <f t="shared" ca="1" si="15"/>
        <v>0.46423662367864266</v>
      </c>
      <c r="AC13" s="324">
        <f t="shared" ca="1" si="16"/>
        <v>2.9228638752614877</v>
      </c>
      <c r="AD13" s="324">
        <f t="shared" ca="1" si="17"/>
        <v>16.710340494247561</v>
      </c>
      <c r="AF13" s="43">
        <f>'Dre-Dados'!B8</f>
        <v>3</v>
      </c>
      <c r="AG13" s="42">
        <f>'Dre-Dados'!H8</f>
        <v>4</v>
      </c>
      <c r="AH13" s="42">
        <f>'Dre-Dados'!I8</f>
        <v>2</v>
      </c>
      <c r="AI13" s="42">
        <f>'Dre-Dados'!J8</f>
        <v>0</v>
      </c>
      <c r="AJ13" s="42">
        <f>'Dre-Dados'!K8</f>
        <v>0</v>
      </c>
      <c r="AK13" s="40">
        <f t="shared" ca="1" si="18"/>
        <v>228.07835729999996</v>
      </c>
      <c r="AL13" s="40">
        <f t="shared" ca="1" si="19"/>
        <v>10000</v>
      </c>
      <c r="AM13" s="40">
        <f t="shared" ca="1" si="20"/>
        <v>10000</v>
      </c>
      <c r="AN13" s="40">
        <f t="shared" ca="1" si="21"/>
        <v>16.047520254916364</v>
      </c>
      <c r="AO13" s="40">
        <f t="shared" ca="1" si="22"/>
        <v>15</v>
      </c>
      <c r="AP13" s="40">
        <f t="shared" ca="1" si="23"/>
        <v>15</v>
      </c>
      <c r="AQ13" s="40">
        <f t="shared" ca="1" si="24"/>
        <v>0.32105041856247213</v>
      </c>
      <c r="AR13" s="40">
        <f t="shared" ca="1" si="25"/>
        <v>0.3328716647627542</v>
      </c>
      <c r="AS13" s="40">
        <f t="shared" ca="1" si="26"/>
        <v>1.7863646669694366E-2</v>
      </c>
      <c r="AT13" s="40">
        <f t="shared" ca="1" si="27"/>
        <v>228.73724433471136</v>
      </c>
      <c r="AU13" s="40">
        <f t="shared" ca="1" si="28"/>
        <v>0.46054916571919707</v>
      </c>
      <c r="AV13" s="40">
        <f t="shared" ca="1" si="29"/>
        <v>0.46423662367864266</v>
      </c>
      <c r="AW13" s="40">
        <f t="shared" ca="1" si="30"/>
        <v>0.56508320940956669</v>
      </c>
    </row>
    <row r="14" spans="2:49" ht="14.1" customHeight="1" x14ac:dyDescent="0.25">
      <c r="B14" s="113">
        <f>'Dre-Dados'!B9</f>
        <v>4</v>
      </c>
      <c r="C14" s="325">
        <f>'Dre-Dados'!C9</f>
        <v>227.822</v>
      </c>
      <c r="D14" s="119"/>
      <c r="E14" s="315">
        <f t="shared" ref="E14:E32" ca="1" si="31">IF(MINA(AK14,AL14,AM14)=10000,C14-Z14-IF(Z14=0.6,0.9,IF(Z14=0.8,0.8,IF(Z14=1,0.9,IF(Z14=1.2,1.1,1.15)))),MINA(AK14,AL14,AM14))-D14</f>
        <v>225.83260049999996</v>
      </c>
      <c r="F14" s="324">
        <f t="shared" ref="F14:F32" ca="1" si="32">IF(ABS(C14-E14)&lt;=Z14+IF(Z14=0.6,0.69,IF(Z14=0.8,0.79,0.89)),E14-C14,(C14-E14))</f>
        <v>1.9893995000000473</v>
      </c>
      <c r="G14" s="325">
        <f t="shared" ref="G14:G41" ca="1" si="33">INDIRECT(REPLACE("C00",2,2,FIXED(AG14+10,0)))</f>
        <v>227.4</v>
      </c>
      <c r="H14" s="315">
        <f t="shared" ref="H14:H32" ca="1" si="34">(E14-(J14*(U14/100)))</f>
        <v>224.79960749999995</v>
      </c>
      <c r="I14" s="324">
        <f t="shared" ref="I14:I32" ca="1" si="35">IF(ABS(G14-H14)&lt;Z14+IF(Z14=0.6,0.69,IF(Z14=0.8,0.79,0.89)),H14-G14,(G14-H14))</f>
        <v>2.600392500000055</v>
      </c>
      <c r="J14" s="324">
        <f>'Dre-Dados'!E9</f>
        <v>85.02</v>
      </c>
      <c r="K14" s="324">
        <f>'Dre-Dados'!F9</f>
        <v>1.3972</v>
      </c>
      <c r="L14" s="324">
        <f>'Dre-Dados'!G9</f>
        <v>0.6</v>
      </c>
      <c r="M14" s="324">
        <f t="shared" ref="M14:M32" ca="1" si="36">IF($AH14=0,0,INDIRECT(REPLACE("M00",2,2,FIXED($AH14+10,0))))+IF($AI14=0,0,INDIRECT(REPLACE("M00",2,2,FIXED($AI14+10,0))))+IF($AJ14=0,0,INDIRECT(REPLACE("M00",2,2,FIXED($AJ14+10,0))))+K14</f>
        <v>4.9965999999999999</v>
      </c>
      <c r="N14" s="324">
        <f t="shared" ref="N14:N32" ca="1" si="37">IF(M14&lt;1,1,M14^-0.178)</f>
        <v>0.75099306077478512</v>
      </c>
      <c r="O14" s="324">
        <f t="shared" ref="O14:O32" ca="1" si="38">MAXA(AN14,AO14,AP14)</f>
        <v>16.710340494247561</v>
      </c>
      <c r="P14" s="324">
        <f t="shared" ref="P14:P32" ca="1" si="39">+AB$3*AB$5^AB$4/(O14+AD$3)^AD$4</f>
        <v>137.03972032221432</v>
      </c>
      <c r="Q14" s="324">
        <f t="shared" ref="Q14:Q32" ca="1" si="40">(((2.913+64.073*L14)/1000)*(O14*P14)^(1/3))</f>
        <v>0.54511840894367636</v>
      </c>
      <c r="R14" s="324">
        <f t="shared" ref="R14:R32" ca="1" si="41">(2.778*K14*N14*P14*Q14)</f>
        <v>217.75295372791612</v>
      </c>
      <c r="S14" s="324">
        <f t="shared" ref="S14:S32" ca="1" si="42">IF($AH14=0,0,INDIRECT(REPLACE("S00",2,2,FIXED($AH14+10,0))))+IF($AI14=0,0,INDIRECT(REPLACE("S00",2,2,FIXED($AI14+10,0))))+IF($AJ14=0,0,INDIRECT(REPLACE("S00",2,2,FIXED($AJ14+10,0))))+R14</f>
        <v>886.32078212070428</v>
      </c>
      <c r="T14" s="324">
        <f t="shared" ref="T14:T32" ca="1" si="43">(C14-G14)/J14*100</f>
        <v>0.49635379910608929</v>
      </c>
      <c r="U14" s="293">
        <v>1.2150000000000001</v>
      </c>
      <c r="V14" s="324">
        <f t="shared" ref="V14:V32" ca="1" si="44">(((S14/Y14*X14)/33.53/Z14^(8/3))^2)</f>
        <v>0.15721619330912229</v>
      </c>
      <c r="W14" s="70" t="s">
        <v>170</v>
      </c>
      <c r="X14" s="325">
        <v>1.4999999999999999E-2</v>
      </c>
      <c r="Y14" s="113">
        <v>1</v>
      </c>
      <c r="Z14" s="293">
        <v>1</v>
      </c>
      <c r="AA14" s="324">
        <f t="shared" ref="AA14:AA32" ca="1" si="45">IF(0.85*Z14&gt;AS14,IF(0.3*Z14&gt;AR14,AQ14,AR14),AS14)</f>
        <v>0.42839662918461086</v>
      </c>
      <c r="AB14" s="324">
        <f t="shared" ref="AB14:AB32" ca="1" si="46">IF(0.3*Z14&gt;AU14,AU14,IF(0.85*Z14&gt;AV14,AV14,AW14))</f>
        <v>0.53691929452320419</v>
      </c>
      <c r="AC14" s="324">
        <f t="shared" ref="AC14:AC32" ca="1" si="47">((S14/Y14)/(AT14*Z14^2))</f>
        <v>2.7581920707951681</v>
      </c>
      <c r="AD14" s="324">
        <f t="shared" ref="AD14:AD32" ca="1" si="48">(J14/(AC14*60))+O14</f>
        <v>17.224082816620161</v>
      </c>
      <c r="AF14" s="43">
        <f>'Dre-Dados'!B9</f>
        <v>4</v>
      </c>
      <c r="AG14" s="42">
        <f>'Dre-Dados'!H9</f>
        <v>5</v>
      </c>
      <c r="AH14" s="42">
        <f>'Dre-Dados'!I9</f>
        <v>3</v>
      </c>
      <c r="AI14" s="42">
        <f>'Dre-Dados'!J9</f>
        <v>0</v>
      </c>
      <c r="AJ14" s="42">
        <f>'Dre-Dados'!K9</f>
        <v>0</v>
      </c>
      <c r="AK14" s="40">
        <f t="shared" ref="AK14:AK32" ca="1" si="49">IF(AH14=0,10000,INDIRECT(REPLACE("H00",2,2,FIXED(AH14+10,0))))</f>
        <v>225.83260049999996</v>
      </c>
      <c r="AL14" s="40">
        <f t="shared" ref="AL14:AL32" ca="1" si="50">IF(AI14=0,10000,INDIRECT(REPLACE("H00",2,2,FIXED(AI14+10,0))))</f>
        <v>10000</v>
      </c>
      <c r="AM14" s="40">
        <f t="shared" ref="AM14:AM32" ca="1" si="51">IF(AJ14=0,10000,INDIRECT(REPLACE("H00",2,2,FIXED(AJ14+10,0))))</f>
        <v>10000</v>
      </c>
      <c r="AN14" s="40">
        <f t="shared" ref="AN14:AN32" ca="1" si="52">IF(AH14=0,15,INDIRECT(REPLACE("AD00",3,2,FIXED(AH14+10,0))))</f>
        <v>16.710340494247561</v>
      </c>
      <c r="AO14" s="40">
        <f t="shared" ref="AO14:AO32" ca="1" si="53">IF(AI14=0,15,INDIRECT(REPLACE("AD00",3,2,FIXED(AI14+10,0))))</f>
        <v>15</v>
      </c>
      <c r="AP14" s="40">
        <f t="shared" ref="AP14:AP32" ca="1" si="54">IF(AJ14=0,15,INDIRECT(REPLACE("AD00",3,2,FIXED(AJ14+10,0))))</f>
        <v>15</v>
      </c>
      <c r="AQ14" s="40">
        <f t="shared" ref="AQ14:AQ32" ca="1" si="55">1.14*Z14^(-0.285)*(S14/1000/Y14*X14)^(0.482)*(U14/100)^(-0.241)</f>
        <v>0.41127923659275706</v>
      </c>
      <c r="AR14" s="40">
        <f t="shared" ref="AR14:AR32" ca="1" si="56">1.97107*(S14/1000/Y14)*X14*Z14^(-5/3)*(U14/100)^(-0.5)+0.19066*Z14</f>
        <v>0.42839662918461086</v>
      </c>
      <c r="AS14" s="40">
        <f t="shared" ref="AS14:AS32" ca="1" si="57">15.428*(S14/1000/Y14*X14)^2.571*Z14^(-5.856)*(U14/100)^(-1.285)</f>
        <v>6.6929260696419746E-2</v>
      </c>
      <c r="AT14" s="40">
        <f t="shared" ref="AT14:AT32" ca="1" si="58">250*((ACOS(1-(2*AA14/Z14))-(1-(2*AA14/Z14))*(SIN(ACOS(1-(2*AA14/Z14))))))</f>
        <v>321.34121169639354</v>
      </c>
      <c r="AU14" s="40">
        <f t="shared" ref="AU14:AU32" ca="1" si="59">0.016614*(S14/Y14)^(0.5107)*Z14^(-0.2768)</f>
        <v>0.531874164738255</v>
      </c>
      <c r="AV14" s="40">
        <f t="shared" ref="AV14:AV32" ca="1" si="60">0.01619*(S14/Y14)^(0.5159)*Z14^(-0.2897)</f>
        <v>0.53691929452320419</v>
      </c>
      <c r="AW14" s="40">
        <f t="shared" ref="AW14:AW32" ca="1" si="61">0.07439*(S14/Y14)^(0.3117)*Z14^(-0.221)</f>
        <v>0.61699074902405271</v>
      </c>
    </row>
    <row r="15" spans="2:49" ht="14.1" customHeight="1" x14ac:dyDescent="0.25">
      <c r="B15" s="113">
        <f>'Dre-Dados'!B10</f>
        <v>5</v>
      </c>
      <c r="C15" s="325">
        <f>'Dre-Dados'!C10</f>
        <v>227.4</v>
      </c>
      <c r="D15" s="119"/>
      <c r="E15" s="325">
        <f t="shared" ca="1" si="31"/>
        <v>224.79960749999995</v>
      </c>
      <c r="F15" s="324">
        <f t="shared" ca="1" si="32"/>
        <v>2.600392500000055</v>
      </c>
      <c r="G15" s="325">
        <f t="shared" ca="1" si="33"/>
        <v>226.43799999999999</v>
      </c>
      <c r="H15" s="315">
        <f t="shared" ca="1" si="34"/>
        <v>224.03803949999994</v>
      </c>
      <c r="I15" s="293">
        <f t="shared" ca="1" si="35"/>
        <v>2.3999605000000486</v>
      </c>
      <c r="J15" s="324">
        <f>'Dre-Dados'!E10</f>
        <v>79.33</v>
      </c>
      <c r="K15" s="324">
        <f>'Dre-Dados'!F10</f>
        <v>1.1274</v>
      </c>
      <c r="L15" s="324">
        <f>'Dre-Dados'!G10</f>
        <v>0.6</v>
      </c>
      <c r="M15" s="324">
        <f t="shared" ca="1" si="36"/>
        <v>6.1239999999999997</v>
      </c>
      <c r="N15" s="324">
        <f t="shared" ca="1" si="37"/>
        <v>0.72428207577649528</v>
      </c>
      <c r="O15" s="324">
        <f t="shared" ca="1" si="38"/>
        <v>17.224082816620161</v>
      </c>
      <c r="P15" s="324">
        <f t="shared" ca="1" si="39"/>
        <v>135.03307241091048</v>
      </c>
      <c r="Q15" s="324">
        <f t="shared" ca="1" si="40"/>
        <v>0.5479475789967363</v>
      </c>
      <c r="R15" s="324">
        <f t="shared" ca="1" si="41"/>
        <v>167.84065712580403</v>
      </c>
      <c r="S15" s="324">
        <f t="shared" ca="1" si="42"/>
        <v>1054.1614392465083</v>
      </c>
      <c r="T15" s="324">
        <f t="shared" ca="1" si="43"/>
        <v>1.2126559939493475</v>
      </c>
      <c r="U15" s="293">
        <v>0.96</v>
      </c>
      <c r="V15" s="324">
        <f t="shared" ca="1" si="44"/>
        <v>0.22239737813412411</v>
      </c>
      <c r="W15" s="70" t="s">
        <v>170</v>
      </c>
      <c r="X15" s="325">
        <v>1.4999999999999999E-2</v>
      </c>
      <c r="Y15" s="113">
        <v>1</v>
      </c>
      <c r="Z15" s="293">
        <v>1</v>
      </c>
      <c r="AA15" s="324">
        <f t="shared" ca="1" si="45"/>
        <v>0.50876084031440949</v>
      </c>
      <c r="AB15" s="324">
        <f t="shared" ca="1" si="46"/>
        <v>0.58717105013193371</v>
      </c>
      <c r="AC15" s="324">
        <f t="shared" ca="1" si="47"/>
        <v>2.6258227997191117</v>
      </c>
      <c r="AD15" s="324">
        <f t="shared" ca="1" si="48"/>
        <v>17.727607527734751</v>
      </c>
      <c r="AF15" s="43">
        <f>'Dre-Dados'!B10</f>
        <v>5</v>
      </c>
      <c r="AG15" s="42">
        <f>'Dre-Dados'!H10</f>
        <v>10</v>
      </c>
      <c r="AH15" s="42">
        <f>'Dre-Dados'!I10</f>
        <v>4</v>
      </c>
      <c r="AI15" s="42">
        <f>'Dre-Dados'!J10</f>
        <v>0</v>
      </c>
      <c r="AJ15" s="42">
        <f>'Dre-Dados'!K10</f>
        <v>0</v>
      </c>
      <c r="AK15" s="40">
        <f t="shared" ca="1" si="49"/>
        <v>224.79960749999995</v>
      </c>
      <c r="AL15" s="40">
        <f t="shared" ca="1" si="50"/>
        <v>10000</v>
      </c>
      <c r="AM15" s="40">
        <f t="shared" ca="1" si="51"/>
        <v>10000</v>
      </c>
      <c r="AN15" s="40">
        <f t="shared" ca="1" si="52"/>
        <v>17.224082816620161</v>
      </c>
      <c r="AO15" s="40">
        <f t="shared" ca="1" si="53"/>
        <v>15</v>
      </c>
      <c r="AP15" s="40">
        <f t="shared" ca="1" si="54"/>
        <v>15</v>
      </c>
      <c r="AQ15" s="40">
        <f t="shared" ca="1" si="55"/>
        <v>0.47325444933916083</v>
      </c>
      <c r="AR15" s="40">
        <f t="shared" ca="1" si="56"/>
        <v>0.50876084031440949</v>
      </c>
      <c r="AS15" s="40">
        <f t="shared" ca="1" si="57"/>
        <v>0.14148680622456394</v>
      </c>
      <c r="AT15" s="40">
        <f t="shared" ca="1" si="58"/>
        <v>401.45947371592382</v>
      </c>
      <c r="AU15" s="40">
        <f t="shared" ca="1" si="59"/>
        <v>0.58112943728422195</v>
      </c>
      <c r="AV15" s="40">
        <f t="shared" ca="1" si="60"/>
        <v>0.58717105013193371</v>
      </c>
      <c r="AW15" s="40">
        <f t="shared" ca="1" si="61"/>
        <v>0.65126045730798388</v>
      </c>
    </row>
    <row r="16" spans="2:49" ht="14.1" customHeight="1" x14ac:dyDescent="0.25">
      <c r="B16" s="113">
        <f>'Dre-Dados'!B11</f>
        <v>6</v>
      </c>
      <c r="C16" s="325">
        <f>'Dre-Dados'!C11</f>
        <v>230.596</v>
      </c>
      <c r="D16" s="119">
        <v>0.1</v>
      </c>
      <c r="E16" s="325">
        <f t="shared" ca="1" si="31"/>
        <v>228.89599999999999</v>
      </c>
      <c r="F16" s="324">
        <f t="shared" ca="1" si="32"/>
        <v>1.7000000000000171</v>
      </c>
      <c r="G16" s="325">
        <f t="shared" ca="1" si="33"/>
        <v>229.154</v>
      </c>
      <c r="H16" s="325">
        <f t="shared" ca="1" si="34"/>
        <v>227.423035</v>
      </c>
      <c r="I16" s="324">
        <f t="shared" ca="1" si="35"/>
        <v>1.7309649999999976</v>
      </c>
      <c r="J16" s="324">
        <f>'Dre-Dados'!E11</f>
        <v>68.510000000000005</v>
      </c>
      <c r="K16" s="324">
        <f>'Dre-Dados'!F11</f>
        <v>0.8448</v>
      </c>
      <c r="L16" s="324">
        <f>'Dre-Dados'!G11</f>
        <v>0.6</v>
      </c>
      <c r="M16" s="324">
        <f t="shared" ca="1" si="36"/>
        <v>0.8448</v>
      </c>
      <c r="N16" s="324">
        <f t="shared" ca="1" si="37"/>
        <v>1</v>
      </c>
      <c r="O16" s="324">
        <f t="shared" ca="1" si="38"/>
        <v>15</v>
      </c>
      <c r="P16" s="324">
        <f t="shared" ca="1" si="39"/>
        <v>144.23288170648527</v>
      </c>
      <c r="Q16" s="324">
        <f t="shared" ca="1" si="40"/>
        <v>0.53489118512182809</v>
      </c>
      <c r="R16" s="324">
        <f t="shared" ca="1" si="41"/>
        <v>181.05722844887208</v>
      </c>
      <c r="S16" s="324">
        <f t="shared" ca="1" si="42"/>
        <v>181.05722844887208</v>
      </c>
      <c r="T16" s="324">
        <f t="shared" ca="1" si="43"/>
        <v>2.1048022186542217</v>
      </c>
      <c r="U16" s="293">
        <v>2.15</v>
      </c>
      <c r="V16" s="324">
        <f t="shared" ca="1" si="44"/>
        <v>2.1567536918724269E-2</v>
      </c>
      <c r="W16" s="70" t="s">
        <v>170</v>
      </c>
      <c r="X16" s="325">
        <v>1.4999999999999999E-2</v>
      </c>
      <c r="Y16" s="113">
        <v>1</v>
      </c>
      <c r="Z16" s="293">
        <v>0.8</v>
      </c>
      <c r="AA16" s="324">
        <f t="shared" ca="1" si="45"/>
        <v>0.17764368417501805</v>
      </c>
      <c r="AB16" s="324">
        <f t="shared" ca="1" si="46"/>
        <v>0.25242297786967166</v>
      </c>
      <c r="AC16" s="324">
        <f t="shared" ca="1" si="47"/>
        <v>2.1792071777078754</v>
      </c>
      <c r="AD16" s="324">
        <f t="shared" ca="1" si="48"/>
        <v>15.523967314816911</v>
      </c>
      <c r="AF16" s="43">
        <f>'Dre-Dados'!B11</f>
        <v>6</v>
      </c>
      <c r="AG16" s="42">
        <f>'Dre-Dados'!H11</f>
        <v>7</v>
      </c>
      <c r="AH16" s="42">
        <f>'Dre-Dados'!I11</f>
        <v>0</v>
      </c>
      <c r="AI16" s="42">
        <f>'Dre-Dados'!J11</f>
        <v>0</v>
      </c>
      <c r="AJ16" s="42">
        <f>'Dre-Dados'!K11</f>
        <v>0</v>
      </c>
      <c r="AK16" s="40">
        <f t="shared" ca="1" si="49"/>
        <v>10000</v>
      </c>
      <c r="AL16" s="40">
        <f t="shared" ca="1" si="50"/>
        <v>10000</v>
      </c>
      <c r="AM16" s="40">
        <f t="shared" ca="1" si="51"/>
        <v>10000</v>
      </c>
      <c r="AN16" s="40">
        <f t="shared" ca="1" si="52"/>
        <v>15</v>
      </c>
      <c r="AO16" s="40">
        <f t="shared" ca="1" si="53"/>
        <v>15</v>
      </c>
      <c r="AP16" s="40">
        <f t="shared" ca="1" si="54"/>
        <v>15</v>
      </c>
      <c r="AQ16" s="40">
        <f t="shared" ca="1" si="55"/>
        <v>0.17764368417501805</v>
      </c>
      <c r="AR16" s="40">
        <f t="shared" ca="1" si="56"/>
        <v>0.20548295867816568</v>
      </c>
      <c r="AS16" s="40">
        <f t="shared" ca="1" si="57"/>
        <v>2.0008128560099958E-3</v>
      </c>
      <c r="AT16" s="40">
        <f t="shared" ca="1" si="58"/>
        <v>129.81873515528858</v>
      </c>
      <c r="AU16" s="40">
        <f t="shared" ca="1" si="59"/>
        <v>0.25140010894828368</v>
      </c>
      <c r="AV16" s="40">
        <f t="shared" ca="1" si="60"/>
        <v>0.25242297786967166</v>
      </c>
      <c r="AW16" s="40">
        <f t="shared" ca="1" si="61"/>
        <v>0.39508712539233037</v>
      </c>
    </row>
    <row r="17" spans="2:49" ht="14.1" customHeight="1" x14ac:dyDescent="0.25">
      <c r="B17" s="113">
        <f>'Dre-Dados'!B12</f>
        <v>7</v>
      </c>
      <c r="C17" s="325">
        <f>'Dre-Dados'!C12</f>
        <v>229.154</v>
      </c>
      <c r="D17" s="119"/>
      <c r="E17" s="325">
        <f t="shared" ca="1" si="31"/>
        <v>227.423035</v>
      </c>
      <c r="F17" s="324">
        <f t="shared" ca="1" si="32"/>
        <v>1.7309649999999976</v>
      </c>
      <c r="G17" s="325">
        <f t="shared" ca="1" si="33"/>
        <v>228.29</v>
      </c>
      <c r="H17" s="325">
        <f t="shared" ca="1" si="34"/>
        <v>226.56665999999998</v>
      </c>
      <c r="I17" s="324">
        <f t="shared" ca="1" si="35"/>
        <v>1.7233400000000074</v>
      </c>
      <c r="J17" s="324">
        <f>'Dre-Dados'!E12</f>
        <v>68.510000000000005</v>
      </c>
      <c r="K17" s="324">
        <f>'Dre-Dados'!F12</f>
        <v>0.36799999999999999</v>
      </c>
      <c r="L17" s="324">
        <f>'Dre-Dados'!G12</f>
        <v>0.6</v>
      </c>
      <c r="M17" s="324">
        <f t="shared" ca="1" si="36"/>
        <v>1.2128000000000001</v>
      </c>
      <c r="N17" s="324">
        <f t="shared" ca="1" si="37"/>
        <v>0.96624113961435532</v>
      </c>
      <c r="O17" s="324">
        <f t="shared" ca="1" si="38"/>
        <v>15.523967314816911</v>
      </c>
      <c r="P17" s="324">
        <f t="shared" ca="1" si="39"/>
        <v>141.94044953033568</v>
      </c>
      <c r="Q17" s="324">
        <f t="shared" ca="1" si="40"/>
        <v>0.53816637549934077</v>
      </c>
      <c r="R17" s="324">
        <f t="shared" ca="1" si="41"/>
        <v>75.455051619243775</v>
      </c>
      <c r="S17" s="324">
        <f t="shared" ca="1" si="42"/>
        <v>256.51228006811584</v>
      </c>
      <c r="T17" s="324">
        <f t="shared" ca="1" si="43"/>
        <v>1.2611297620785349</v>
      </c>
      <c r="U17" s="293">
        <v>1.25</v>
      </c>
      <c r="V17" s="324">
        <f t="shared" ca="1" si="44"/>
        <v>4.3289755806243571E-2</v>
      </c>
      <c r="W17" s="70" t="s">
        <v>170</v>
      </c>
      <c r="X17" s="325">
        <v>1.4999999999999999E-2</v>
      </c>
      <c r="Y17" s="113">
        <v>1</v>
      </c>
      <c r="Z17" s="293">
        <v>0.8</v>
      </c>
      <c r="AA17" s="324">
        <f t="shared" ca="1" si="45"/>
        <v>0.250920761542754</v>
      </c>
      <c r="AB17" s="324">
        <f t="shared" ca="1" si="46"/>
        <v>0.30212076784401215</v>
      </c>
      <c r="AC17" s="324">
        <f t="shared" ca="1" si="47"/>
        <v>1.9017019601731195</v>
      </c>
      <c r="AD17" s="324">
        <f t="shared" ca="1" si="48"/>
        <v>16.124394383435689</v>
      </c>
      <c r="AF17" s="43">
        <f>'Dre-Dados'!B12</f>
        <v>7</v>
      </c>
      <c r="AG17" s="42">
        <f>'Dre-Dados'!H12</f>
        <v>8</v>
      </c>
      <c r="AH17" s="42">
        <f>'Dre-Dados'!I12</f>
        <v>6</v>
      </c>
      <c r="AI17" s="42">
        <f>'Dre-Dados'!J12</f>
        <v>0</v>
      </c>
      <c r="AJ17" s="42">
        <f>'Dre-Dados'!K12</f>
        <v>0</v>
      </c>
      <c r="AK17" s="40">
        <f t="shared" ca="1" si="49"/>
        <v>227.423035</v>
      </c>
      <c r="AL17" s="40">
        <f t="shared" ca="1" si="50"/>
        <v>10000</v>
      </c>
      <c r="AM17" s="40">
        <f t="shared" ca="1" si="51"/>
        <v>10000</v>
      </c>
      <c r="AN17" s="40">
        <f t="shared" ca="1" si="52"/>
        <v>15.523967314816911</v>
      </c>
      <c r="AO17" s="40">
        <f t="shared" ca="1" si="53"/>
        <v>15</v>
      </c>
      <c r="AP17" s="40">
        <f t="shared" ca="1" si="54"/>
        <v>15</v>
      </c>
      <c r="AQ17" s="40">
        <f t="shared" ca="1" si="55"/>
        <v>0.23946112162339558</v>
      </c>
      <c r="AR17" s="40">
        <f t="shared" ca="1" si="56"/>
        <v>0.250920761542754</v>
      </c>
      <c r="AS17" s="40">
        <f t="shared" ca="1" si="57"/>
        <v>9.8363281465913624E-3</v>
      </c>
      <c r="AT17" s="40">
        <f t="shared" ca="1" si="58"/>
        <v>210.75880763668374</v>
      </c>
      <c r="AU17" s="40">
        <f t="shared" ca="1" si="59"/>
        <v>0.3003519359357511</v>
      </c>
      <c r="AV17" s="40">
        <f t="shared" ca="1" si="60"/>
        <v>0.30212076784401215</v>
      </c>
      <c r="AW17" s="40">
        <f t="shared" ca="1" si="61"/>
        <v>0.4404034225349423</v>
      </c>
    </row>
    <row r="18" spans="2:49" ht="14.1" customHeight="1" x14ac:dyDescent="0.25">
      <c r="B18" s="113">
        <f>'Dre-Dados'!B13</f>
        <v>8</v>
      </c>
      <c r="C18" s="325">
        <f>'Dre-Dados'!C13</f>
        <v>228.29</v>
      </c>
      <c r="D18" s="119"/>
      <c r="E18" s="325">
        <f t="shared" ca="1" si="31"/>
        <v>226.56665999999998</v>
      </c>
      <c r="F18" s="324">
        <f t="shared" ca="1" si="32"/>
        <v>1.7233400000000074</v>
      </c>
      <c r="G18" s="325">
        <f t="shared" ca="1" si="33"/>
        <v>227.505</v>
      </c>
      <c r="H18" s="325">
        <f t="shared" ca="1" si="34"/>
        <v>225.80446999999998</v>
      </c>
      <c r="I18" s="324">
        <f t="shared" ca="1" si="35"/>
        <v>1.7005300000000148</v>
      </c>
      <c r="J18" s="324">
        <f>'Dre-Dados'!E13</f>
        <v>69.290000000000006</v>
      </c>
      <c r="K18" s="324">
        <f>'Dre-Dados'!F13</f>
        <v>1.7585</v>
      </c>
      <c r="L18" s="324">
        <f>'Dre-Dados'!G13</f>
        <v>0.6</v>
      </c>
      <c r="M18" s="324">
        <f t="shared" ca="1" si="36"/>
        <v>2.9713000000000003</v>
      </c>
      <c r="N18" s="324">
        <f t="shared" ca="1" si="37"/>
        <v>0.82378811592040868</v>
      </c>
      <c r="O18" s="324">
        <f t="shared" ca="1" si="38"/>
        <v>16.124394383435689</v>
      </c>
      <c r="P18" s="324">
        <f t="shared" ca="1" si="39"/>
        <v>139.41187192073079</v>
      </c>
      <c r="Q18" s="324">
        <f t="shared" ca="1" si="40"/>
        <v>0.54176130744072748</v>
      </c>
      <c r="R18" s="324">
        <f t="shared" ca="1" si="41"/>
        <v>303.94701293447764</v>
      </c>
      <c r="S18" s="324">
        <f t="shared" ca="1" si="42"/>
        <v>560.45929300259354</v>
      </c>
      <c r="T18" s="324">
        <f t="shared" ca="1" si="43"/>
        <v>1.1329196132197958</v>
      </c>
      <c r="U18" s="293">
        <v>1.1000000000000001</v>
      </c>
      <c r="V18" s="324">
        <f t="shared" ca="1" si="44"/>
        <v>0.20666025607833971</v>
      </c>
      <c r="W18" s="70" t="s">
        <v>170</v>
      </c>
      <c r="X18" s="325">
        <v>1.4999999999999999E-2</v>
      </c>
      <c r="Y18" s="113">
        <v>1</v>
      </c>
      <c r="Z18" s="293">
        <v>0.8</v>
      </c>
      <c r="AA18" s="324">
        <f t="shared" ca="1" si="45"/>
        <v>0.38169798029307778</v>
      </c>
      <c r="AB18" s="324">
        <f t="shared" ca="1" si="46"/>
        <v>0.45216356845746031</v>
      </c>
      <c r="AC18" s="324">
        <f t="shared" ca="1" si="47"/>
        <v>2.3678953296723559</v>
      </c>
      <c r="AD18" s="324">
        <f t="shared" ca="1" si="48"/>
        <v>16.612098936446117</v>
      </c>
      <c r="AF18" s="43">
        <f>'Dre-Dados'!B13</f>
        <v>8</v>
      </c>
      <c r="AG18" s="42">
        <f>'Dre-Dados'!H13</f>
        <v>9</v>
      </c>
      <c r="AH18" s="42">
        <f>'Dre-Dados'!I13</f>
        <v>7</v>
      </c>
      <c r="AI18" s="42">
        <f>'Dre-Dados'!J13</f>
        <v>0</v>
      </c>
      <c r="AJ18" s="42">
        <f>'Dre-Dados'!K13</f>
        <v>0</v>
      </c>
      <c r="AK18" s="40">
        <f t="shared" ca="1" si="49"/>
        <v>226.56665999999998</v>
      </c>
      <c r="AL18" s="40">
        <f t="shared" ca="1" si="50"/>
        <v>10000</v>
      </c>
      <c r="AM18" s="40">
        <f t="shared" ca="1" si="51"/>
        <v>10000</v>
      </c>
      <c r="AN18" s="40">
        <f t="shared" ca="1" si="52"/>
        <v>16.124394383435689</v>
      </c>
      <c r="AO18" s="40">
        <f t="shared" ca="1" si="53"/>
        <v>15</v>
      </c>
      <c r="AP18" s="40">
        <f t="shared" ca="1" si="54"/>
        <v>15</v>
      </c>
      <c r="AQ18" s="40">
        <f t="shared" ca="1" si="55"/>
        <v>0.35993393861949674</v>
      </c>
      <c r="AR18" s="40">
        <f t="shared" ca="1" si="56"/>
        <v>0.38169798029307778</v>
      </c>
      <c r="AS18" s="40">
        <f t="shared" ca="1" si="57"/>
        <v>8.6469412611893171E-2</v>
      </c>
      <c r="AT18" s="40">
        <f t="shared" ca="1" si="58"/>
        <v>369.82954201684441</v>
      </c>
      <c r="AU18" s="40">
        <f t="shared" ca="1" si="59"/>
        <v>0.44769305433142526</v>
      </c>
      <c r="AV18" s="40">
        <f t="shared" ca="1" si="60"/>
        <v>0.45216356845746031</v>
      </c>
      <c r="AW18" s="40">
        <f t="shared" ca="1" si="61"/>
        <v>0.56189201399744593</v>
      </c>
    </row>
    <row r="19" spans="2:49" ht="14.1" customHeight="1" x14ac:dyDescent="0.25">
      <c r="B19" s="113">
        <f>'Dre-Dados'!B14</f>
        <v>9</v>
      </c>
      <c r="C19" s="325">
        <f>'Dre-Dados'!C14</f>
        <v>227.505</v>
      </c>
      <c r="D19" s="119"/>
      <c r="E19" s="325">
        <f t="shared" ca="1" si="31"/>
        <v>225.80446999999998</v>
      </c>
      <c r="F19" s="324">
        <f t="shared" ca="1" si="32"/>
        <v>1.7005300000000148</v>
      </c>
      <c r="G19" s="325">
        <f t="shared" ca="1" si="33"/>
        <v>226.43799999999999</v>
      </c>
      <c r="H19" s="325">
        <f t="shared" ca="1" si="34"/>
        <v>224.73047499999998</v>
      </c>
      <c r="I19" s="324">
        <f t="shared" ca="1" si="35"/>
        <v>1.707525000000004</v>
      </c>
      <c r="J19" s="324">
        <f>'Dre-Dados'!E14</f>
        <v>69.290000000000006</v>
      </c>
      <c r="K19" s="324">
        <f>'Dre-Dados'!F14</f>
        <v>0.42599999999999999</v>
      </c>
      <c r="L19" s="324">
        <f>'Dre-Dados'!G14</f>
        <v>0.6</v>
      </c>
      <c r="M19" s="324">
        <f t="shared" ca="1" si="36"/>
        <v>3.3973000000000004</v>
      </c>
      <c r="N19" s="324">
        <f t="shared" ca="1" si="37"/>
        <v>0.80437426230750253</v>
      </c>
      <c r="O19" s="324">
        <f t="shared" ca="1" si="38"/>
        <v>16.612098936446117</v>
      </c>
      <c r="P19" s="324">
        <f t="shared" ca="1" si="39"/>
        <v>137.4311067999964</v>
      </c>
      <c r="Q19" s="324">
        <f t="shared" ca="1" si="40"/>
        <v>0.54456548509839597</v>
      </c>
      <c r="R19" s="324">
        <f t="shared" ca="1" si="41"/>
        <v>71.241845723641603</v>
      </c>
      <c r="S19" s="324">
        <f t="shared" ca="1" si="42"/>
        <v>631.70113872623517</v>
      </c>
      <c r="T19" s="324">
        <f t="shared" ca="1" si="43"/>
        <v>1.539904748159918</v>
      </c>
      <c r="U19" s="293">
        <v>1.55</v>
      </c>
      <c r="V19" s="324">
        <f t="shared" ca="1" si="44"/>
        <v>0.2625379764320892</v>
      </c>
      <c r="W19" s="70" t="s">
        <v>170</v>
      </c>
      <c r="X19" s="325">
        <v>1.4999999999999999E-2</v>
      </c>
      <c r="Y19" s="113">
        <v>1</v>
      </c>
      <c r="Z19" s="293">
        <v>0.8</v>
      </c>
      <c r="AA19" s="324">
        <f t="shared" ca="1" si="45"/>
        <v>0.3701264542994403</v>
      </c>
      <c r="AB19" s="324">
        <f t="shared" ca="1" si="46"/>
        <v>0.48095632979844327</v>
      </c>
      <c r="AC19" s="324">
        <f t="shared" ca="1" si="47"/>
        <v>2.7773087986546661</v>
      </c>
      <c r="AD19" s="324">
        <f t="shared" ca="1" si="48"/>
        <v>17.027909138715572</v>
      </c>
      <c r="AF19" s="43">
        <f>'Dre-Dados'!B14</f>
        <v>9</v>
      </c>
      <c r="AG19" s="42">
        <f>'Dre-Dados'!H14</f>
        <v>10</v>
      </c>
      <c r="AH19" s="42">
        <f>'Dre-Dados'!I14</f>
        <v>8</v>
      </c>
      <c r="AI19" s="42">
        <f>'Dre-Dados'!J14</f>
        <v>0</v>
      </c>
      <c r="AJ19" s="42">
        <f>'Dre-Dados'!K14</f>
        <v>0</v>
      </c>
      <c r="AK19" s="40">
        <f t="shared" ca="1" si="49"/>
        <v>225.80446999999998</v>
      </c>
      <c r="AL19" s="40">
        <f t="shared" ca="1" si="50"/>
        <v>10000</v>
      </c>
      <c r="AM19" s="40">
        <f t="shared" ca="1" si="51"/>
        <v>10000</v>
      </c>
      <c r="AN19" s="40">
        <f t="shared" ca="1" si="52"/>
        <v>16.612098936446117</v>
      </c>
      <c r="AO19" s="40">
        <f t="shared" ca="1" si="53"/>
        <v>15</v>
      </c>
      <c r="AP19" s="40">
        <f t="shared" ca="1" si="54"/>
        <v>15</v>
      </c>
      <c r="AQ19" s="40">
        <f t="shared" ca="1" si="55"/>
        <v>0.35105638199664618</v>
      </c>
      <c r="AR19" s="40">
        <f t="shared" ca="1" si="56"/>
        <v>0.3701264542994403</v>
      </c>
      <c r="AS19" s="40">
        <f t="shared" ca="1" si="57"/>
        <v>7.5698023228314648E-2</v>
      </c>
      <c r="AT19" s="40">
        <f t="shared" ca="1" si="58"/>
        <v>355.39189222957958</v>
      </c>
      <c r="AU19" s="40">
        <f t="shared" ca="1" si="59"/>
        <v>0.47590492846959087</v>
      </c>
      <c r="AV19" s="40">
        <f t="shared" ca="1" si="60"/>
        <v>0.48095632979844327</v>
      </c>
      <c r="AW19" s="40">
        <f t="shared" ca="1" si="61"/>
        <v>0.5832451766536676</v>
      </c>
    </row>
    <row r="20" spans="2:49" ht="14.1" customHeight="1" x14ac:dyDescent="0.25">
      <c r="B20" s="113">
        <f>'Dre-Dados'!B15</f>
        <v>10</v>
      </c>
      <c r="C20" s="325">
        <f>'Dre-Dados'!C15</f>
        <v>226.43799999999999</v>
      </c>
      <c r="D20" s="119"/>
      <c r="E20" s="325">
        <f t="shared" ca="1" si="31"/>
        <v>224.03803949999994</v>
      </c>
      <c r="F20" s="324">
        <f t="shared" ca="1" si="32"/>
        <v>2.3999605000000486</v>
      </c>
      <c r="G20" s="325">
        <f t="shared" ca="1" si="33"/>
        <v>224.76599999999999</v>
      </c>
      <c r="H20" s="325">
        <f t="shared" ca="1" si="34"/>
        <v>222.38181449999993</v>
      </c>
      <c r="I20" s="324">
        <f t="shared" ca="1" si="35"/>
        <v>2.3841855000000578</v>
      </c>
      <c r="J20" s="324">
        <f>'Dre-Dados'!E15</f>
        <v>73.61</v>
      </c>
      <c r="K20" s="324">
        <f>'Dre-Dados'!F15</f>
        <v>0.69620000000000004</v>
      </c>
      <c r="L20" s="324">
        <f>'Dre-Dados'!G15</f>
        <v>0.6</v>
      </c>
      <c r="M20" s="324">
        <f t="shared" ca="1" si="36"/>
        <v>10.217499999999999</v>
      </c>
      <c r="N20" s="324">
        <f t="shared" ca="1" si="37"/>
        <v>0.66120579765582443</v>
      </c>
      <c r="O20" s="324">
        <f t="shared" ca="1" si="38"/>
        <v>17.727607527734751</v>
      </c>
      <c r="P20" s="324">
        <f t="shared" ca="1" si="39"/>
        <v>133.12922798166974</v>
      </c>
      <c r="Q20" s="324">
        <f t="shared" ca="1" si="40"/>
        <v>0.55062354092745047</v>
      </c>
      <c r="R20" s="324">
        <f t="shared" ca="1" si="41"/>
        <v>93.741328009594724</v>
      </c>
      <c r="S20" s="324">
        <f t="shared" ca="1" si="42"/>
        <v>1779.6039059823383</v>
      </c>
      <c r="T20" s="324">
        <f t="shared" ca="1" si="43"/>
        <v>2.2714305121586698</v>
      </c>
      <c r="U20" s="293">
        <v>2.25</v>
      </c>
      <c r="V20" s="324">
        <f t="shared" ca="1" si="44"/>
        <v>0.63381441442303021</v>
      </c>
      <c r="W20" s="70" t="s">
        <v>170</v>
      </c>
      <c r="X20" s="325">
        <v>1.4999999999999999E-2</v>
      </c>
      <c r="Y20" s="113">
        <v>1</v>
      </c>
      <c r="Z20" s="293">
        <v>1</v>
      </c>
      <c r="AA20" s="324">
        <f t="shared" ca="1" si="45"/>
        <v>0.5414323870964608</v>
      </c>
      <c r="AB20" s="324">
        <f t="shared" ca="1" si="46"/>
        <v>0.76928748129326407</v>
      </c>
      <c r="AC20" s="324">
        <f t="shared" ca="1" si="47"/>
        <v>4.0996763112804988</v>
      </c>
      <c r="AD20" s="324">
        <f t="shared" ca="1" si="48"/>
        <v>18.026858795440358</v>
      </c>
      <c r="AF20" s="43">
        <f>'Dre-Dados'!B15</f>
        <v>10</v>
      </c>
      <c r="AG20" s="42">
        <f>'Dre-Dados'!H15</f>
        <v>11</v>
      </c>
      <c r="AH20" s="42">
        <f>'Dre-Dados'!I15</f>
        <v>9</v>
      </c>
      <c r="AI20" s="42">
        <f>'Dre-Dados'!J15</f>
        <v>5</v>
      </c>
      <c r="AJ20" s="42">
        <f>'Dre-Dados'!K15</f>
        <v>0</v>
      </c>
      <c r="AK20" s="40">
        <f t="shared" ca="1" si="49"/>
        <v>224.73047499999998</v>
      </c>
      <c r="AL20" s="40">
        <f t="shared" ca="1" si="50"/>
        <v>224.03803949999994</v>
      </c>
      <c r="AM20" s="40">
        <f t="shared" ca="1" si="51"/>
        <v>10000</v>
      </c>
      <c r="AN20" s="40">
        <f t="shared" ca="1" si="52"/>
        <v>17.027909138715572</v>
      </c>
      <c r="AO20" s="40">
        <f t="shared" ca="1" si="53"/>
        <v>17.727607527734751</v>
      </c>
      <c r="AP20" s="40">
        <f t="shared" ca="1" si="54"/>
        <v>15</v>
      </c>
      <c r="AQ20" s="40">
        <f t="shared" ca="1" si="55"/>
        <v>0.4960902666125494</v>
      </c>
      <c r="AR20" s="40">
        <f t="shared" ca="1" si="56"/>
        <v>0.5414323870964608</v>
      </c>
      <c r="AS20" s="40">
        <f t="shared" ca="1" si="57"/>
        <v>0.18199818420636321</v>
      </c>
      <c r="AT20" s="40">
        <f t="shared" ca="1" si="58"/>
        <v>434.0840034335526</v>
      </c>
      <c r="AU20" s="40">
        <f t="shared" ca="1" si="59"/>
        <v>0.7593016456316859</v>
      </c>
      <c r="AV20" s="40">
        <f t="shared" ca="1" si="60"/>
        <v>0.76928748129326407</v>
      </c>
      <c r="AW20" s="40">
        <f t="shared" ca="1" si="61"/>
        <v>0.7667262760828738</v>
      </c>
    </row>
    <row r="21" spans="2:49" ht="14.1" customHeight="1" x14ac:dyDescent="0.25">
      <c r="B21" s="113">
        <f>'Dre-Dados'!B16</f>
        <v>11</v>
      </c>
      <c r="C21" s="325">
        <f>'Dre-Dados'!C16</f>
        <v>224.76599999999999</v>
      </c>
      <c r="D21" s="119"/>
      <c r="E21" s="325">
        <f t="shared" ca="1" si="31"/>
        <v>222.38181449999993</v>
      </c>
      <c r="F21" s="324">
        <f t="shared" ca="1" si="32"/>
        <v>2.3841855000000578</v>
      </c>
      <c r="G21" s="325">
        <f>'Dre-Dados'!D16</f>
        <v>222.22399999999999</v>
      </c>
      <c r="H21" s="325">
        <f t="shared" ca="1" si="34"/>
        <v>221.22350249999994</v>
      </c>
      <c r="I21" s="324">
        <f t="shared" ca="1" si="35"/>
        <v>-1.0004975000000513</v>
      </c>
      <c r="J21" s="324">
        <f>'Dre-Dados'!E16</f>
        <v>34.68</v>
      </c>
      <c r="K21" s="324">
        <f>'Dre-Dados'!F16</f>
        <v>1.1776</v>
      </c>
      <c r="L21" s="324">
        <f>'Dre-Dados'!G16</f>
        <v>0.6</v>
      </c>
      <c r="M21" s="324">
        <f t="shared" ca="1" si="36"/>
        <v>11.395099999999999</v>
      </c>
      <c r="N21" s="324">
        <f t="shared" ca="1" si="37"/>
        <v>0.64849132519263475</v>
      </c>
      <c r="O21" s="324">
        <f t="shared" ca="1" si="38"/>
        <v>18.026858795440358</v>
      </c>
      <c r="P21" s="324">
        <f t="shared" ca="1" si="39"/>
        <v>132.02599424389905</v>
      </c>
      <c r="Q21" s="324">
        <f t="shared" ca="1" si="40"/>
        <v>0.55217079033971816</v>
      </c>
      <c r="R21" s="324">
        <f t="shared" ca="1" si="41"/>
        <v>154.65611090977129</v>
      </c>
      <c r="S21" s="324">
        <f t="shared" ca="1" si="42"/>
        <v>1934.2600168921097</v>
      </c>
      <c r="T21" s="324">
        <f t="shared" si="43"/>
        <v>7.3298731257208818</v>
      </c>
      <c r="U21" s="293">
        <v>3.34</v>
      </c>
      <c r="V21" s="324">
        <f t="shared" ca="1" si="44"/>
        <v>0.74876428408493023</v>
      </c>
      <c r="W21" s="70" t="s">
        <v>170</v>
      </c>
      <c r="X21" s="325">
        <v>1.4999999999999999E-2</v>
      </c>
      <c r="Y21" s="113">
        <v>1</v>
      </c>
      <c r="Z21" s="293">
        <v>1</v>
      </c>
      <c r="AA21" s="324">
        <f t="shared" ca="1" si="45"/>
        <v>0.50358115762518818</v>
      </c>
      <c r="AB21" s="324">
        <f t="shared" ca="1" si="46"/>
        <v>0.80308194517668241</v>
      </c>
      <c r="AC21" s="324">
        <f t="shared" ca="1" si="47"/>
        <v>4.8810411784391743</v>
      </c>
      <c r="AD21" s="324">
        <f t="shared" ca="1" si="48"/>
        <v>18.145276153309243</v>
      </c>
      <c r="AF21" s="43">
        <f>'Dre-Dados'!B16</f>
        <v>11</v>
      </c>
      <c r="AG21" s="42">
        <f>'Dre-Dados'!H16</f>
        <v>0</v>
      </c>
      <c r="AH21" s="42">
        <f>'Dre-Dados'!I16</f>
        <v>10</v>
      </c>
      <c r="AI21" s="42">
        <f>'Dre-Dados'!J16</f>
        <v>0</v>
      </c>
      <c r="AJ21" s="42">
        <f>'Dre-Dados'!K16</f>
        <v>0</v>
      </c>
      <c r="AK21" s="40">
        <f t="shared" ca="1" si="49"/>
        <v>222.38181449999993</v>
      </c>
      <c r="AL21" s="40">
        <f t="shared" ca="1" si="50"/>
        <v>10000</v>
      </c>
      <c r="AM21" s="40">
        <f t="shared" ca="1" si="51"/>
        <v>10000</v>
      </c>
      <c r="AN21" s="40">
        <f t="shared" ca="1" si="52"/>
        <v>18.026858795440358</v>
      </c>
      <c r="AO21" s="40">
        <f t="shared" ca="1" si="53"/>
        <v>15</v>
      </c>
      <c r="AP21" s="40">
        <f t="shared" ca="1" si="54"/>
        <v>15</v>
      </c>
      <c r="AQ21" s="40">
        <f t="shared" ca="1" si="55"/>
        <v>0.46952432782417253</v>
      </c>
      <c r="AR21" s="40">
        <f t="shared" ca="1" si="56"/>
        <v>0.50358115762518818</v>
      </c>
      <c r="AS21" s="40">
        <f t="shared" ca="1" si="57"/>
        <v>0.13572371500224045</v>
      </c>
      <c r="AT21" s="40">
        <f t="shared" ca="1" si="58"/>
        <v>396.28020870551927</v>
      </c>
      <c r="AU21" s="40">
        <f t="shared" ca="1" si="59"/>
        <v>0.79231402280504937</v>
      </c>
      <c r="AV21" s="40">
        <f t="shared" ca="1" si="60"/>
        <v>0.80308194517668241</v>
      </c>
      <c r="AW21" s="40">
        <f t="shared" ca="1" si="61"/>
        <v>0.78690306860717962</v>
      </c>
    </row>
    <row r="22" spans="2:49" ht="14.1" hidden="1" customHeight="1" x14ac:dyDescent="0.25">
      <c r="B22" s="113">
        <f>'Dre-Dados'!B17</f>
        <v>12</v>
      </c>
      <c r="C22" s="325">
        <f>'Dre-Dados'!C17</f>
        <v>0</v>
      </c>
      <c r="D22" s="119"/>
      <c r="E22" s="325">
        <f t="shared" ca="1" si="31"/>
        <v>-1.6</v>
      </c>
      <c r="F22" s="324">
        <f t="shared" ca="1" si="32"/>
        <v>1.6</v>
      </c>
      <c r="G22" s="325">
        <f>'Dre-Dados'!D17</f>
        <v>0</v>
      </c>
      <c r="H22" s="325">
        <f t="shared" ca="1" si="34"/>
        <v>-1.6</v>
      </c>
      <c r="I22" s="324">
        <f t="shared" ca="1" si="35"/>
        <v>1.6</v>
      </c>
      <c r="J22" s="324">
        <f>'Dre-Dados'!E17</f>
        <v>0</v>
      </c>
      <c r="K22" s="324">
        <f>'Dre-Dados'!F17</f>
        <v>0</v>
      </c>
      <c r="L22" s="324">
        <f>'Dre-Dados'!G17</f>
        <v>0</v>
      </c>
      <c r="M22" s="324">
        <f t="shared" ca="1" si="36"/>
        <v>0</v>
      </c>
      <c r="N22" s="324">
        <f t="shared" ca="1" si="37"/>
        <v>1</v>
      </c>
      <c r="O22" s="324">
        <f t="shared" ca="1" si="38"/>
        <v>15</v>
      </c>
      <c r="P22" s="324">
        <f t="shared" ca="1" si="39"/>
        <v>144.23288170648527</v>
      </c>
      <c r="Q22" s="324">
        <f t="shared" ca="1" si="40"/>
        <v>3.7675497675349293E-2</v>
      </c>
      <c r="R22" s="324">
        <f t="shared" ca="1" si="41"/>
        <v>0</v>
      </c>
      <c r="S22" s="324">
        <f t="shared" ca="1" si="42"/>
        <v>0</v>
      </c>
      <c r="T22" s="324" t="e">
        <f t="shared" si="43"/>
        <v>#DIV/0!</v>
      </c>
      <c r="U22" s="314"/>
      <c r="V22" s="324">
        <f t="shared" ca="1" si="44"/>
        <v>0</v>
      </c>
      <c r="W22" s="70" t="s">
        <v>170</v>
      </c>
      <c r="X22" s="325">
        <v>1.4999999999999999E-2</v>
      </c>
      <c r="Y22" s="113">
        <v>1</v>
      </c>
      <c r="Z22" s="120">
        <v>0.8</v>
      </c>
      <c r="AA22" s="324" t="e">
        <f t="shared" ca="1" si="45"/>
        <v>#DIV/0!</v>
      </c>
      <c r="AB22" s="324">
        <f t="shared" ca="1" si="46"/>
        <v>0</v>
      </c>
      <c r="AC22" s="324" t="e">
        <f t="shared" ca="1" si="47"/>
        <v>#DIV/0!</v>
      </c>
      <c r="AD22" s="324" t="e">
        <f t="shared" ca="1" si="48"/>
        <v>#DIV/0!</v>
      </c>
      <c r="AF22" s="43">
        <f>'Dre-Dados'!B17</f>
        <v>12</v>
      </c>
      <c r="AG22" s="42">
        <f>'Dre-Dados'!H17</f>
        <v>0</v>
      </c>
      <c r="AH22" s="42">
        <f>'Dre-Dados'!I17</f>
        <v>0</v>
      </c>
      <c r="AI22" s="42">
        <f>'Dre-Dados'!J17</f>
        <v>0</v>
      </c>
      <c r="AJ22" s="42">
        <f>'Dre-Dados'!K17</f>
        <v>0</v>
      </c>
      <c r="AK22" s="40">
        <f t="shared" ca="1" si="49"/>
        <v>10000</v>
      </c>
      <c r="AL22" s="40">
        <f t="shared" ca="1" si="50"/>
        <v>10000</v>
      </c>
      <c r="AM22" s="40">
        <f t="shared" ca="1" si="51"/>
        <v>10000</v>
      </c>
      <c r="AN22" s="40">
        <f t="shared" ca="1" si="52"/>
        <v>15</v>
      </c>
      <c r="AO22" s="40">
        <f t="shared" ca="1" si="53"/>
        <v>15</v>
      </c>
      <c r="AP22" s="40">
        <f t="shared" ca="1" si="54"/>
        <v>15</v>
      </c>
      <c r="AQ22" s="40" t="e">
        <f t="shared" ca="1" si="55"/>
        <v>#DIV/0!</v>
      </c>
      <c r="AR22" s="40" t="e">
        <f t="shared" ca="1" si="56"/>
        <v>#DIV/0!</v>
      </c>
      <c r="AS22" s="40" t="e">
        <f t="shared" ca="1" si="57"/>
        <v>#DIV/0!</v>
      </c>
      <c r="AT22" s="40" t="e">
        <f t="shared" ca="1" si="58"/>
        <v>#DIV/0!</v>
      </c>
      <c r="AU22" s="40">
        <f t="shared" ca="1" si="59"/>
        <v>0</v>
      </c>
      <c r="AV22" s="40">
        <f t="shared" ca="1" si="60"/>
        <v>0</v>
      </c>
      <c r="AW22" s="40">
        <f t="shared" ca="1" si="61"/>
        <v>0</v>
      </c>
    </row>
    <row r="23" spans="2:49" ht="14.1" hidden="1" customHeight="1" x14ac:dyDescent="0.25">
      <c r="B23" s="113">
        <f>'Dre-Dados'!B18</f>
        <v>13</v>
      </c>
      <c r="C23" s="325">
        <f>'Dre-Dados'!C18</f>
        <v>0</v>
      </c>
      <c r="D23" s="119"/>
      <c r="E23" s="325">
        <f t="shared" ca="1" si="31"/>
        <v>-1.6</v>
      </c>
      <c r="F23" s="324">
        <f t="shared" ca="1" si="32"/>
        <v>1.6</v>
      </c>
      <c r="G23" s="325">
        <f t="shared" ca="1" si="33"/>
        <v>0</v>
      </c>
      <c r="H23" s="325">
        <f t="shared" ca="1" si="34"/>
        <v>-1.6</v>
      </c>
      <c r="I23" s="324">
        <f t="shared" ca="1" si="35"/>
        <v>1.6</v>
      </c>
      <c r="J23" s="324">
        <f>'Dre-Dados'!E18</f>
        <v>0</v>
      </c>
      <c r="K23" s="324">
        <f>'Dre-Dados'!F18</f>
        <v>0</v>
      </c>
      <c r="L23" s="324">
        <f>'Dre-Dados'!G18</f>
        <v>0</v>
      </c>
      <c r="M23" s="324">
        <f t="shared" ca="1" si="36"/>
        <v>0</v>
      </c>
      <c r="N23" s="324">
        <f t="shared" ca="1" si="37"/>
        <v>1</v>
      </c>
      <c r="O23" s="324">
        <f t="shared" ca="1" si="38"/>
        <v>15</v>
      </c>
      <c r="P23" s="324">
        <f t="shared" ca="1" si="39"/>
        <v>144.23288170648527</v>
      </c>
      <c r="Q23" s="324">
        <f t="shared" ca="1" si="40"/>
        <v>3.7675497675349293E-2</v>
      </c>
      <c r="R23" s="324">
        <f t="shared" ca="1" si="41"/>
        <v>0</v>
      </c>
      <c r="S23" s="324">
        <f t="shared" ca="1" si="42"/>
        <v>0</v>
      </c>
      <c r="T23" s="324" t="e">
        <f t="shared" ca="1" si="43"/>
        <v>#DIV/0!</v>
      </c>
      <c r="U23" s="314"/>
      <c r="V23" s="324">
        <f t="shared" ca="1" si="44"/>
        <v>0</v>
      </c>
      <c r="W23" s="70" t="s">
        <v>170</v>
      </c>
      <c r="X23" s="325">
        <v>1.4999999999999999E-2</v>
      </c>
      <c r="Y23" s="113">
        <v>1</v>
      </c>
      <c r="Z23" s="120">
        <v>0.8</v>
      </c>
      <c r="AA23" s="324" t="e">
        <f t="shared" ca="1" si="45"/>
        <v>#DIV/0!</v>
      </c>
      <c r="AB23" s="324">
        <f t="shared" ca="1" si="46"/>
        <v>0</v>
      </c>
      <c r="AC23" s="324" t="e">
        <f t="shared" ca="1" si="47"/>
        <v>#DIV/0!</v>
      </c>
      <c r="AD23" s="324" t="e">
        <f t="shared" ca="1" si="48"/>
        <v>#DIV/0!</v>
      </c>
      <c r="AF23" s="43">
        <f>'Dre-Dados'!B18</f>
        <v>13</v>
      </c>
      <c r="AG23" s="42">
        <f>'Dre-Dados'!H18</f>
        <v>0</v>
      </c>
      <c r="AH23" s="42">
        <f>'Dre-Dados'!I18</f>
        <v>0</v>
      </c>
      <c r="AI23" s="42">
        <f>'Dre-Dados'!J18</f>
        <v>0</v>
      </c>
      <c r="AJ23" s="42">
        <f>'Dre-Dados'!K18</f>
        <v>0</v>
      </c>
      <c r="AK23" s="40">
        <f t="shared" ca="1" si="49"/>
        <v>10000</v>
      </c>
      <c r="AL23" s="40">
        <f t="shared" ca="1" si="50"/>
        <v>10000</v>
      </c>
      <c r="AM23" s="40">
        <f t="shared" ca="1" si="51"/>
        <v>10000</v>
      </c>
      <c r="AN23" s="40">
        <f t="shared" ca="1" si="52"/>
        <v>15</v>
      </c>
      <c r="AO23" s="40">
        <f t="shared" ca="1" si="53"/>
        <v>15</v>
      </c>
      <c r="AP23" s="40">
        <f t="shared" ca="1" si="54"/>
        <v>15</v>
      </c>
      <c r="AQ23" s="40" t="e">
        <f t="shared" ca="1" si="55"/>
        <v>#DIV/0!</v>
      </c>
      <c r="AR23" s="40" t="e">
        <f t="shared" ca="1" si="56"/>
        <v>#DIV/0!</v>
      </c>
      <c r="AS23" s="40" t="e">
        <f t="shared" ca="1" si="57"/>
        <v>#DIV/0!</v>
      </c>
      <c r="AT23" s="40" t="e">
        <f t="shared" ca="1" si="58"/>
        <v>#DIV/0!</v>
      </c>
      <c r="AU23" s="40">
        <f t="shared" ca="1" si="59"/>
        <v>0</v>
      </c>
      <c r="AV23" s="40">
        <f t="shared" ca="1" si="60"/>
        <v>0</v>
      </c>
      <c r="AW23" s="40">
        <f t="shared" ca="1" si="61"/>
        <v>0</v>
      </c>
    </row>
    <row r="24" spans="2:49" ht="14.1" hidden="1" customHeight="1" x14ac:dyDescent="0.25">
      <c r="B24" s="113">
        <f>'Dre-Dados'!B19</f>
        <v>14</v>
      </c>
      <c r="C24" s="325">
        <f>'Dre-Dados'!C19</f>
        <v>0</v>
      </c>
      <c r="D24" s="119"/>
      <c r="E24" s="325">
        <f t="shared" ca="1" si="31"/>
        <v>-1.6</v>
      </c>
      <c r="F24" s="324">
        <f t="shared" ca="1" si="32"/>
        <v>1.6</v>
      </c>
      <c r="G24" s="325">
        <f t="shared" ca="1" si="33"/>
        <v>0</v>
      </c>
      <c r="H24" s="325">
        <f t="shared" ca="1" si="34"/>
        <v>-1.6</v>
      </c>
      <c r="I24" s="324">
        <f t="shared" ca="1" si="35"/>
        <v>1.6</v>
      </c>
      <c r="J24" s="324">
        <f>'Dre-Dados'!E19</f>
        <v>0</v>
      </c>
      <c r="K24" s="324">
        <f>'Dre-Dados'!F19</f>
        <v>0</v>
      </c>
      <c r="L24" s="324">
        <f>'Dre-Dados'!G19</f>
        <v>0</v>
      </c>
      <c r="M24" s="324">
        <f t="shared" ca="1" si="36"/>
        <v>0</v>
      </c>
      <c r="N24" s="324">
        <f t="shared" ca="1" si="37"/>
        <v>1</v>
      </c>
      <c r="O24" s="324">
        <f t="shared" ca="1" si="38"/>
        <v>15</v>
      </c>
      <c r="P24" s="324">
        <f t="shared" ca="1" si="39"/>
        <v>144.23288170648527</v>
      </c>
      <c r="Q24" s="324">
        <f t="shared" ca="1" si="40"/>
        <v>3.7675497675349293E-2</v>
      </c>
      <c r="R24" s="324">
        <f t="shared" ca="1" si="41"/>
        <v>0</v>
      </c>
      <c r="S24" s="324">
        <f t="shared" ca="1" si="42"/>
        <v>0</v>
      </c>
      <c r="T24" s="324" t="e">
        <f t="shared" ca="1" si="43"/>
        <v>#DIV/0!</v>
      </c>
      <c r="U24" s="314"/>
      <c r="V24" s="324">
        <f t="shared" ca="1" si="44"/>
        <v>0</v>
      </c>
      <c r="W24" s="70" t="s">
        <v>170</v>
      </c>
      <c r="X24" s="325">
        <v>1.4999999999999999E-2</v>
      </c>
      <c r="Y24" s="113">
        <v>1</v>
      </c>
      <c r="Z24" s="120">
        <v>0.8</v>
      </c>
      <c r="AA24" s="324" t="e">
        <f t="shared" ca="1" si="45"/>
        <v>#DIV/0!</v>
      </c>
      <c r="AB24" s="324">
        <f t="shared" ca="1" si="46"/>
        <v>0</v>
      </c>
      <c r="AC24" s="324" t="e">
        <f t="shared" ca="1" si="47"/>
        <v>#DIV/0!</v>
      </c>
      <c r="AD24" s="324" t="e">
        <f t="shared" ca="1" si="48"/>
        <v>#DIV/0!</v>
      </c>
      <c r="AF24" s="43">
        <f>'Dre-Dados'!B19</f>
        <v>14</v>
      </c>
      <c r="AG24" s="42">
        <f>'Dre-Dados'!H19</f>
        <v>0</v>
      </c>
      <c r="AH24" s="42">
        <f>'Dre-Dados'!I19</f>
        <v>0</v>
      </c>
      <c r="AI24" s="42">
        <f>'Dre-Dados'!J19</f>
        <v>0</v>
      </c>
      <c r="AJ24" s="42">
        <f>'Dre-Dados'!K19</f>
        <v>0</v>
      </c>
      <c r="AK24" s="40">
        <f t="shared" ca="1" si="49"/>
        <v>10000</v>
      </c>
      <c r="AL24" s="40">
        <f t="shared" ca="1" si="50"/>
        <v>10000</v>
      </c>
      <c r="AM24" s="40">
        <f t="shared" ca="1" si="51"/>
        <v>10000</v>
      </c>
      <c r="AN24" s="40">
        <f t="shared" ca="1" si="52"/>
        <v>15</v>
      </c>
      <c r="AO24" s="40">
        <f t="shared" ca="1" si="53"/>
        <v>15</v>
      </c>
      <c r="AP24" s="40">
        <f t="shared" ca="1" si="54"/>
        <v>15</v>
      </c>
      <c r="AQ24" s="40" t="e">
        <f t="shared" ca="1" si="55"/>
        <v>#DIV/0!</v>
      </c>
      <c r="AR24" s="40" t="e">
        <f t="shared" ca="1" si="56"/>
        <v>#DIV/0!</v>
      </c>
      <c r="AS24" s="40" t="e">
        <f t="shared" ca="1" si="57"/>
        <v>#DIV/0!</v>
      </c>
      <c r="AT24" s="40" t="e">
        <f t="shared" ca="1" si="58"/>
        <v>#DIV/0!</v>
      </c>
      <c r="AU24" s="40">
        <f t="shared" ca="1" si="59"/>
        <v>0</v>
      </c>
      <c r="AV24" s="40">
        <f t="shared" ca="1" si="60"/>
        <v>0</v>
      </c>
      <c r="AW24" s="40">
        <f t="shared" ca="1" si="61"/>
        <v>0</v>
      </c>
    </row>
    <row r="25" spans="2:49" ht="14.1" hidden="1" customHeight="1" x14ac:dyDescent="0.25">
      <c r="B25" s="113">
        <f>'Dre-Dados'!B20</f>
        <v>15</v>
      </c>
      <c r="C25" s="325">
        <f>'Dre-Dados'!C20</f>
        <v>0</v>
      </c>
      <c r="D25" s="119"/>
      <c r="E25" s="325">
        <f t="shared" ca="1" si="31"/>
        <v>-1.6</v>
      </c>
      <c r="F25" s="324">
        <f t="shared" ca="1" si="32"/>
        <v>1.6</v>
      </c>
      <c r="G25" s="325">
        <f t="shared" ca="1" si="33"/>
        <v>0</v>
      </c>
      <c r="H25" s="325">
        <f t="shared" ca="1" si="34"/>
        <v>-1.6</v>
      </c>
      <c r="I25" s="324">
        <f t="shared" ca="1" si="35"/>
        <v>1.6</v>
      </c>
      <c r="J25" s="324">
        <f>'Dre-Dados'!E20</f>
        <v>0</v>
      </c>
      <c r="K25" s="324">
        <f>'Dre-Dados'!F20</f>
        <v>0</v>
      </c>
      <c r="L25" s="324">
        <f>'Dre-Dados'!G20</f>
        <v>0</v>
      </c>
      <c r="M25" s="324">
        <f t="shared" ca="1" si="36"/>
        <v>0</v>
      </c>
      <c r="N25" s="324">
        <f t="shared" ca="1" si="37"/>
        <v>1</v>
      </c>
      <c r="O25" s="324">
        <f t="shared" ca="1" si="38"/>
        <v>15</v>
      </c>
      <c r="P25" s="324">
        <f t="shared" ca="1" si="39"/>
        <v>144.23288170648527</v>
      </c>
      <c r="Q25" s="324">
        <f t="shared" ca="1" si="40"/>
        <v>3.7675497675349293E-2</v>
      </c>
      <c r="R25" s="324">
        <f t="shared" ca="1" si="41"/>
        <v>0</v>
      </c>
      <c r="S25" s="324">
        <f t="shared" ca="1" si="42"/>
        <v>0</v>
      </c>
      <c r="T25" s="324" t="e">
        <f t="shared" ca="1" si="43"/>
        <v>#DIV/0!</v>
      </c>
      <c r="U25" s="314"/>
      <c r="V25" s="324">
        <f t="shared" ca="1" si="44"/>
        <v>0</v>
      </c>
      <c r="W25" s="70" t="s">
        <v>170</v>
      </c>
      <c r="X25" s="325">
        <v>1.4999999999999999E-2</v>
      </c>
      <c r="Y25" s="113">
        <v>1</v>
      </c>
      <c r="Z25" s="120">
        <v>0.8</v>
      </c>
      <c r="AA25" s="324" t="e">
        <f t="shared" ca="1" si="45"/>
        <v>#DIV/0!</v>
      </c>
      <c r="AB25" s="324">
        <f t="shared" ca="1" si="46"/>
        <v>0</v>
      </c>
      <c r="AC25" s="324" t="e">
        <f t="shared" ca="1" si="47"/>
        <v>#DIV/0!</v>
      </c>
      <c r="AD25" s="324" t="e">
        <f t="shared" ca="1" si="48"/>
        <v>#DIV/0!</v>
      </c>
      <c r="AF25" s="43">
        <f>'Dre-Dados'!B20</f>
        <v>15</v>
      </c>
      <c r="AG25" s="42">
        <f>'Dre-Dados'!H20</f>
        <v>0</v>
      </c>
      <c r="AH25" s="42">
        <f>'Dre-Dados'!I20</f>
        <v>0</v>
      </c>
      <c r="AI25" s="42">
        <f>'Dre-Dados'!J20</f>
        <v>0</v>
      </c>
      <c r="AJ25" s="42">
        <f>'Dre-Dados'!K20</f>
        <v>0</v>
      </c>
      <c r="AK25" s="40">
        <f t="shared" ca="1" si="49"/>
        <v>10000</v>
      </c>
      <c r="AL25" s="40">
        <f t="shared" ca="1" si="50"/>
        <v>10000</v>
      </c>
      <c r="AM25" s="40">
        <f t="shared" ca="1" si="51"/>
        <v>10000</v>
      </c>
      <c r="AN25" s="40">
        <f t="shared" ca="1" si="52"/>
        <v>15</v>
      </c>
      <c r="AO25" s="40">
        <f t="shared" ca="1" si="53"/>
        <v>15</v>
      </c>
      <c r="AP25" s="40">
        <f t="shared" ca="1" si="54"/>
        <v>15</v>
      </c>
      <c r="AQ25" s="40" t="e">
        <f t="shared" ca="1" si="55"/>
        <v>#DIV/0!</v>
      </c>
      <c r="AR25" s="40" t="e">
        <f t="shared" ca="1" si="56"/>
        <v>#DIV/0!</v>
      </c>
      <c r="AS25" s="40" t="e">
        <f t="shared" ca="1" si="57"/>
        <v>#DIV/0!</v>
      </c>
      <c r="AT25" s="40" t="e">
        <f t="shared" ca="1" si="58"/>
        <v>#DIV/0!</v>
      </c>
      <c r="AU25" s="40">
        <f t="shared" ca="1" si="59"/>
        <v>0</v>
      </c>
      <c r="AV25" s="40">
        <f t="shared" ca="1" si="60"/>
        <v>0</v>
      </c>
      <c r="AW25" s="40">
        <f t="shared" ca="1" si="61"/>
        <v>0</v>
      </c>
    </row>
    <row r="26" spans="2:49" ht="14.1" hidden="1" customHeight="1" x14ac:dyDescent="0.25">
      <c r="B26" s="113">
        <f>'Dre-Dados'!B21</f>
        <v>16</v>
      </c>
      <c r="C26" s="325">
        <f>'Dre-Dados'!C21</f>
        <v>0</v>
      </c>
      <c r="D26" s="119"/>
      <c r="E26" s="325">
        <f t="shared" ca="1" si="31"/>
        <v>-1.6</v>
      </c>
      <c r="F26" s="324">
        <f t="shared" ca="1" si="32"/>
        <v>1.6</v>
      </c>
      <c r="G26" s="325">
        <f t="shared" ca="1" si="33"/>
        <v>0</v>
      </c>
      <c r="H26" s="325">
        <f t="shared" ca="1" si="34"/>
        <v>-1.6</v>
      </c>
      <c r="I26" s="324">
        <f t="shared" ca="1" si="35"/>
        <v>1.6</v>
      </c>
      <c r="J26" s="324">
        <f>'Dre-Dados'!E21</f>
        <v>0</v>
      </c>
      <c r="K26" s="324">
        <f>'Dre-Dados'!F21</f>
        <v>0</v>
      </c>
      <c r="L26" s="324">
        <f>'Dre-Dados'!G21</f>
        <v>0</v>
      </c>
      <c r="M26" s="324">
        <f t="shared" ca="1" si="36"/>
        <v>0</v>
      </c>
      <c r="N26" s="324">
        <f t="shared" ca="1" si="37"/>
        <v>1</v>
      </c>
      <c r="O26" s="324">
        <f t="shared" ca="1" si="38"/>
        <v>15</v>
      </c>
      <c r="P26" s="324">
        <f t="shared" ca="1" si="39"/>
        <v>144.23288170648527</v>
      </c>
      <c r="Q26" s="324">
        <f t="shared" ca="1" si="40"/>
        <v>3.7675497675349293E-2</v>
      </c>
      <c r="R26" s="324">
        <f t="shared" ca="1" si="41"/>
        <v>0</v>
      </c>
      <c r="S26" s="324">
        <f t="shared" ca="1" si="42"/>
        <v>0</v>
      </c>
      <c r="T26" s="324" t="e">
        <f t="shared" ca="1" si="43"/>
        <v>#DIV/0!</v>
      </c>
      <c r="U26" s="314"/>
      <c r="V26" s="324">
        <f t="shared" ca="1" si="44"/>
        <v>0</v>
      </c>
      <c r="W26" s="70" t="s">
        <v>170</v>
      </c>
      <c r="X26" s="325">
        <v>1.4999999999999999E-2</v>
      </c>
      <c r="Y26" s="113">
        <v>1</v>
      </c>
      <c r="Z26" s="120">
        <v>0.8</v>
      </c>
      <c r="AA26" s="324" t="e">
        <f t="shared" ca="1" si="45"/>
        <v>#DIV/0!</v>
      </c>
      <c r="AB26" s="324">
        <f t="shared" ca="1" si="46"/>
        <v>0</v>
      </c>
      <c r="AC26" s="324" t="e">
        <f t="shared" ca="1" si="47"/>
        <v>#DIV/0!</v>
      </c>
      <c r="AD26" s="324" t="e">
        <f t="shared" ca="1" si="48"/>
        <v>#DIV/0!</v>
      </c>
      <c r="AF26" s="43">
        <f>'Dre-Dados'!B21</f>
        <v>16</v>
      </c>
      <c r="AG26" s="42">
        <f>'Dre-Dados'!H21</f>
        <v>0</v>
      </c>
      <c r="AH26" s="42">
        <f>'Dre-Dados'!I21</f>
        <v>0</v>
      </c>
      <c r="AI26" s="42">
        <f>'Dre-Dados'!J21</f>
        <v>0</v>
      </c>
      <c r="AJ26" s="42">
        <f>'Dre-Dados'!K21</f>
        <v>0</v>
      </c>
      <c r="AK26" s="40">
        <f t="shared" ca="1" si="49"/>
        <v>10000</v>
      </c>
      <c r="AL26" s="40">
        <f t="shared" ca="1" si="50"/>
        <v>10000</v>
      </c>
      <c r="AM26" s="40">
        <f t="shared" ca="1" si="51"/>
        <v>10000</v>
      </c>
      <c r="AN26" s="40">
        <f t="shared" ca="1" si="52"/>
        <v>15</v>
      </c>
      <c r="AO26" s="40">
        <f t="shared" ca="1" si="53"/>
        <v>15</v>
      </c>
      <c r="AP26" s="40">
        <f t="shared" ca="1" si="54"/>
        <v>15</v>
      </c>
      <c r="AQ26" s="40" t="e">
        <f t="shared" ca="1" si="55"/>
        <v>#DIV/0!</v>
      </c>
      <c r="AR26" s="40" t="e">
        <f t="shared" ca="1" si="56"/>
        <v>#DIV/0!</v>
      </c>
      <c r="AS26" s="40" t="e">
        <f t="shared" ca="1" si="57"/>
        <v>#DIV/0!</v>
      </c>
      <c r="AT26" s="40" t="e">
        <f t="shared" ca="1" si="58"/>
        <v>#DIV/0!</v>
      </c>
      <c r="AU26" s="40">
        <f t="shared" ca="1" si="59"/>
        <v>0</v>
      </c>
      <c r="AV26" s="40">
        <f t="shared" ca="1" si="60"/>
        <v>0</v>
      </c>
      <c r="AW26" s="40">
        <f t="shared" ca="1" si="61"/>
        <v>0</v>
      </c>
    </row>
    <row r="27" spans="2:49" ht="14.1" hidden="1" customHeight="1" x14ac:dyDescent="0.25">
      <c r="B27" s="113">
        <f>'Dre-Dados'!B22</f>
        <v>17</v>
      </c>
      <c r="C27" s="325">
        <f>'Dre-Dados'!C22</f>
        <v>0</v>
      </c>
      <c r="D27" s="119"/>
      <c r="E27" s="325">
        <f t="shared" ca="1" si="31"/>
        <v>-1.6</v>
      </c>
      <c r="F27" s="324">
        <f t="shared" ca="1" si="32"/>
        <v>1.6</v>
      </c>
      <c r="G27" s="325">
        <f t="shared" ca="1" si="33"/>
        <v>0</v>
      </c>
      <c r="H27" s="325">
        <f t="shared" ca="1" si="34"/>
        <v>-1.6</v>
      </c>
      <c r="I27" s="324">
        <f t="shared" ca="1" si="35"/>
        <v>1.6</v>
      </c>
      <c r="J27" s="324">
        <f>'Dre-Dados'!E22</f>
        <v>0</v>
      </c>
      <c r="K27" s="324">
        <f>'Dre-Dados'!F22</f>
        <v>0</v>
      </c>
      <c r="L27" s="324">
        <f>'Dre-Dados'!G22</f>
        <v>0</v>
      </c>
      <c r="M27" s="324">
        <f t="shared" ca="1" si="36"/>
        <v>0</v>
      </c>
      <c r="N27" s="324">
        <f t="shared" ca="1" si="37"/>
        <v>1</v>
      </c>
      <c r="O27" s="324">
        <f t="shared" ca="1" si="38"/>
        <v>15</v>
      </c>
      <c r="P27" s="324">
        <f t="shared" ca="1" si="39"/>
        <v>144.23288170648527</v>
      </c>
      <c r="Q27" s="324">
        <f t="shared" ca="1" si="40"/>
        <v>3.7675497675349293E-2</v>
      </c>
      <c r="R27" s="324">
        <f t="shared" ca="1" si="41"/>
        <v>0</v>
      </c>
      <c r="S27" s="324">
        <f t="shared" ca="1" si="42"/>
        <v>0</v>
      </c>
      <c r="T27" s="324" t="e">
        <f t="shared" ca="1" si="43"/>
        <v>#DIV/0!</v>
      </c>
      <c r="U27" s="314"/>
      <c r="V27" s="324">
        <f t="shared" ca="1" si="44"/>
        <v>0</v>
      </c>
      <c r="W27" s="70" t="s">
        <v>170</v>
      </c>
      <c r="X27" s="325">
        <v>1.4999999999999999E-2</v>
      </c>
      <c r="Y27" s="113">
        <v>1</v>
      </c>
      <c r="Z27" s="120">
        <v>0.8</v>
      </c>
      <c r="AA27" s="324" t="e">
        <f t="shared" ca="1" si="45"/>
        <v>#DIV/0!</v>
      </c>
      <c r="AB27" s="324">
        <f t="shared" ca="1" si="46"/>
        <v>0</v>
      </c>
      <c r="AC27" s="324" t="e">
        <f t="shared" ca="1" si="47"/>
        <v>#DIV/0!</v>
      </c>
      <c r="AD27" s="324" t="e">
        <f t="shared" ca="1" si="48"/>
        <v>#DIV/0!</v>
      </c>
      <c r="AF27" s="43">
        <f>'Dre-Dados'!B22</f>
        <v>17</v>
      </c>
      <c r="AG27" s="42">
        <f>'Dre-Dados'!H22</f>
        <v>0</v>
      </c>
      <c r="AH27" s="42">
        <f>'Dre-Dados'!I22</f>
        <v>0</v>
      </c>
      <c r="AI27" s="42">
        <f>'Dre-Dados'!J22</f>
        <v>0</v>
      </c>
      <c r="AJ27" s="42">
        <f>'Dre-Dados'!K22</f>
        <v>0</v>
      </c>
      <c r="AK27" s="40">
        <f t="shared" ca="1" si="49"/>
        <v>10000</v>
      </c>
      <c r="AL27" s="40">
        <f t="shared" ca="1" si="50"/>
        <v>10000</v>
      </c>
      <c r="AM27" s="40">
        <f t="shared" ca="1" si="51"/>
        <v>10000</v>
      </c>
      <c r="AN27" s="40">
        <f t="shared" ca="1" si="52"/>
        <v>15</v>
      </c>
      <c r="AO27" s="40">
        <f t="shared" ca="1" si="53"/>
        <v>15</v>
      </c>
      <c r="AP27" s="40">
        <f t="shared" ca="1" si="54"/>
        <v>15</v>
      </c>
      <c r="AQ27" s="40" t="e">
        <f t="shared" ca="1" si="55"/>
        <v>#DIV/0!</v>
      </c>
      <c r="AR27" s="40" t="e">
        <f t="shared" ca="1" si="56"/>
        <v>#DIV/0!</v>
      </c>
      <c r="AS27" s="40" t="e">
        <f t="shared" ca="1" si="57"/>
        <v>#DIV/0!</v>
      </c>
      <c r="AT27" s="40" t="e">
        <f t="shared" ca="1" si="58"/>
        <v>#DIV/0!</v>
      </c>
      <c r="AU27" s="40">
        <f t="shared" ca="1" si="59"/>
        <v>0</v>
      </c>
      <c r="AV27" s="40">
        <f t="shared" ca="1" si="60"/>
        <v>0</v>
      </c>
      <c r="AW27" s="40">
        <f t="shared" ca="1" si="61"/>
        <v>0</v>
      </c>
    </row>
    <row r="28" spans="2:49" ht="14.1" hidden="1" customHeight="1" x14ac:dyDescent="0.25">
      <c r="B28" s="113">
        <f>'Dre-Dados'!B23</f>
        <v>18</v>
      </c>
      <c r="C28" s="325">
        <f>'Dre-Dados'!C23</f>
        <v>0</v>
      </c>
      <c r="D28" s="119"/>
      <c r="E28" s="325">
        <f t="shared" ca="1" si="31"/>
        <v>-1.6</v>
      </c>
      <c r="F28" s="324">
        <f t="shared" ca="1" si="32"/>
        <v>1.6</v>
      </c>
      <c r="G28" s="325">
        <f t="shared" ca="1" si="33"/>
        <v>0</v>
      </c>
      <c r="H28" s="325">
        <f t="shared" ca="1" si="34"/>
        <v>-1.6</v>
      </c>
      <c r="I28" s="324">
        <f t="shared" ca="1" si="35"/>
        <v>1.6</v>
      </c>
      <c r="J28" s="324">
        <f>'Dre-Dados'!E23</f>
        <v>0</v>
      </c>
      <c r="K28" s="324">
        <f>'Dre-Dados'!F23</f>
        <v>0</v>
      </c>
      <c r="L28" s="324">
        <f>'Dre-Dados'!G23</f>
        <v>0</v>
      </c>
      <c r="M28" s="324">
        <f t="shared" ca="1" si="36"/>
        <v>0</v>
      </c>
      <c r="N28" s="324">
        <f t="shared" ca="1" si="37"/>
        <v>1</v>
      </c>
      <c r="O28" s="324">
        <f t="shared" ca="1" si="38"/>
        <v>15</v>
      </c>
      <c r="P28" s="324">
        <f t="shared" ca="1" si="39"/>
        <v>144.23288170648527</v>
      </c>
      <c r="Q28" s="324">
        <f t="shared" ca="1" si="40"/>
        <v>3.7675497675349293E-2</v>
      </c>
      <c r="R28" s="324">
        <f t="shared" ca="1" si="41"/>
        <v>0</v>
      </c>
      <c r="S28" s="324">
        <f t="shared" ca="1" si="42"/>
        <v>0</v>
      </c>
      <c r="T28" s="324" t="e">
        <f t="shared" ca="1" si="43"/>
        <v>#DIV/0!</v>
      </c>
      <c r="U28" s="314"/>
      <c r="V28" s="324">
        <f t="shared" ca="1" si="44"/>
        <v>0</v>
      </c>
      <c r="W28" s="70" t="s">
        <v>170</v>
      </c>
      <c r="X28" s="325">
        <v>1.4999999999999999E-2</v>
      </c>
      <c r="Y28" s="113">
        <v>1</v>
      </c>
      <c r="Z28" s="120">
        <v>0.8</v>
      </c>
      <c r="AA28" s="324" t="e">
        <f t="shared" ca="1" si="45"/>
        <v>#DIV/0!</v>
      </c>
      <c r="AB28" s="324">
        <f t="shared" ca="1" si="46"/>
        <v>0</v>
      </c>
      <c r="AC28" s="324" t="e">
        <f t="shared" ca="1" si="47"/>
        <v>#DIV/0!</v>
      </c>
      <c r="AD28" s="324" t="e">
        <f t="shared" ca="1" si="48"/>
        <v>#DIV/0!</v>
      </c>
      <c r="AF28" s="43">
        <f>'Dre-Dados'!B23</f>
        <v>18</v>
      </c>
      <c r="AG28" s="42">
        <f>'Dre-Dados'!H23</f>
        <v>0</v>
      </c>
      <c r="AH28" s="42">
        <f>'Dre-Dados'!I23</f>
        <v>0</v>
      </c>
      <c r="AI28" s="42">
        <f>'Dre-Dados'!J23</f>
        <v>0</v>
      </c>
      <c r="AJ28" s="42">
        <f>'Dre-Dados'!K23</f>
        <v>0</v>
      </c>
      <c r="AK28" s="40">
        <f t="shared" ca="1" si="49"/>
        <v>10000</v>
      </c>
      <c r="AL28" s="40">
        <f t="shared" ca="1" si="50"/>
        <v>10000</v>
      </c>
      <c r="AM28" s="40">
        <f t="shared" ca="1" si="51"/>
        <v>10000</v>
      </c>
      <c r="AN28" s="40">
        <f t="shared" ca="1" si="52"/>
        <v>15</v>
      </c>
      <c r="AO28" s="40">
        <f t="shared" ca="1" si="53"/>
        <v>15</v>
      </c>
      <c r="AP28" s="40">
        <f t="shared" ca="1" si="54"/>
        <v>15</v>
      </c>
      <c r="AQ28" s="40" t="e">
        <f t="shared" ca="1" si="55"/>
        <v>#DIV/0!</v>
      </c>
      <c r="AR28" s="40" t="e">
        <f t="shared" ca="1" si="56"/>
        <v>#DIV/0!</v>
      </c>
      <c r="AS28" s="40" t="e">
        <f t="shared" ca="1" si="57"/>
        <v>#DIV/0!</v>
      </c>
      <c r="AT28" s="40" t="e">
        <f t="shared" ca="1" si="58"/>
        <v>#DIV/0!</v>
      </c>
      <c r="AU28" s="40">
        <f t="shared" ca="1" si="59"/>
        <v>0</v>
      </c>
      <c r="AV28" s="40">
        <f t="shared" ca="1" si="60"/>
        <v>0</v>
      </c>
      <c r="AW28" s="40">
        <f t="shared" ca="1" si="61"/>
        <v>0</v>
      </c>
    </row>
    <row r="29" spans="2:49" ht="14.1" hidden="1" customHeight="1" x14ac:dyDescent="0.25">
      <c r="B29" s="113">
        <f>'Dre-Dados'!B24</f>
        <v>19</v>
      </c>
      <c r="C29" s="325">
        <f>'Dre-Dados'!C24</f>
        <v>0</v>
      </c>
      <c r="D29" s="119"/>
      <c r="E29" s="325">
        <f t="shared" ca="1" si="31"/>
        <v>-1.6</v>
      </c>
      <c r="F29" s="324">
        <f t="shared" ca="1" si="32"/>
        <v>1.6</v>
      </c>
      <c r="G29" s="325">
        <f t="shared" ca="1" si="33"/>
        <v>0</v>
      </c>
      <c r="H29" s="325">
        <f t="shared" ca="1" si="34"/>
        <v>-1.6</v>
      </c>
      <c r="I29" s="324">
        <f t="shared" ca="1" si="35"/>
        <v>1.6</v>
      </c>
      <c r="J29" s="324">
        <f>'Dre-Dados'!E24</f>
        <v>0</v>
      </c>
      <c r="K29" s="324">
        <f>'Dre-Dados'!F24</f>
        <v>0</v>
      </c>
      <c r="L29" s="324">
        <f>'Dre-Dados'!G24</f>
        <v>0</v>
      </c>
      <c r="M29" s="324">
        <f t="shared" ca="1" si="36"/>
        <v>0</v>
      </c>
      <c r="N29" s="324">
        <f t="shared" ca="1" si="37"/>
        <v>1</v>
      </c>
      <c r="O29" s="324">
        <f t="shared" ca="1" si="38"/>
        <v>15</v>
      </c>
      <c r="P29" s="324">
        <f t="shared" ca="1" si="39"/>
        <v>144.23288170648527</v>
      </c>
      <c r="Q29" s="324">
        <f t="shared" ca="1" si="40"/>
        <v>3.7675497675349293E-2</v>
      </c>
      <c r="R29" s="324">
        <f t="shared" ca="1" si="41"/>
        <v>0</v>
      </c>
      <c r="S29" s="324">
        <f t="shared" ca="1" si="42"/>
        <v>0</v>
      </c>
      <c r="T29" s="324" t="e">
        <f t="shared" ca="1" si="43"/>
        <v>#DIV/0!</v>
      </c>
      <c r="U29" s="314"/>
      <c r="V29" s="324">
        <f t="shared" ca="1" si="44"/>
        <v>0</v>
      </c>
      <c r="W29" s="70" t="s">
        <v>170</v>
      </c>
      <c r="X29" s="325">
        <v>1.4999999999999999E-2</v>
      </c>
      <c r="Y29" s="113">
        <v>1</v>
      </c>
      <c r="Z29" s="120">
        <v>0.8</v>
      </c>
      <c r="AA29" s="324" t="e">
        <f t="shared" ca="1" si="45"/>
        <v>#DIV/0!</v>
      </c>
      <c r="AB29" s="324">
        <f t="shared" ca="1" si="46"/>
        <v>0</v>
      </c>
      <c r="AC29" s="324" t="e">
        <f t="shared" ca="1" si="47"/>
        <v>#DIV/0!</v>
      </c>
      <c r="AD29" s="324" t="e">
        <f t="shared" ca="1" si="48"/>
        <v>#DIV/0!</v>
      </c>
      <c r="AF29" s="43">
        <f>'Dre-Dados'!B24</f>
        <v>19</v>
      </c>
      <c r="AG29" s="42">
        <f>'Dre-Dados'!H24</f>
        <v>0</v>
      </c>
      <c r="AH29" s="42">
        <f>'Dre-Dados'!I24</f>
        <v>0</v>
      </c>
      <c r="AI29" s="42">
        <f>'Dre-Dados'!J24</f>
        <v>0</v>
      </c>
      <c r="AJ29" s="42">
        <f>'Dre-Dados'!K24</f>
        <v>0</v>
      </c>
      <c r="AK29" s="40">
        <f t="shared" ca="1" si="49"/>
        <v>10000</v>
      </c>
      <c r="AL29" s="40">
        <f t="shared" ca="1" si="50"/>
        <v>10000</v>
      </c>
      <c r="AM29" s="40">
        <f t="shared" ca="1" si="51"/>
        <v>10000</v>
      </c>
      <c r="AN29" s="40">
        <f t="shared" ca="1" si="52"/>
        <v>15</v>
      </c>
      <c r="AO29" s="40">
        <f t="shared" ca="1" si="53"/>
        <v>15</v>
      </c>
      <c r="AP29" s="40">
        <f t="shared" ca="1" si="54"/>
        <v>15</v>
      </c>
      <c r="AQ29" s="40" t="e">
        <f t="shared" ca="1" si="55"/>
        <v>#DIV/0!</v>
      </c>
      <c r="AR29" s="40" t="e">
        <f t="shared" ca="1" si="56"/>
        <v>#DIV/0!</v>
      </c>
      <c r="AS29" s="40" t="e">
        <f t="shared" ca="1" si="57"/>
        <v>#DIV/0!</v>
      </c>
      <c r="AT29" s="40" t="e">
        <f t="shared" ca="1" si="58"/>
        <v>#DIV/0!</v>
      </c>
      <c r="AU29" s="40">
        <f t="shared" ca="1" si="59"/>
        <v>0</v>
      </c>
      <c r="AV29" s="40">
        <f t="shared" ca="1" si="60"/>
        <v>0</v>
      </c>
      <c r="AW29" s="40">
        <f t="shared" ca="1" si="61"/>
        <v>0</v>
      </c>
    </row>
    <row r="30" spans="2:49" ht="14.1" customHeight="1" x14ac:dyDescent="0.25">
      <c r="B30" s="113">
        <f>'Dre-Dados'!B25</f>
        <v>20</v>
      </c>
      <c r="C30" s="325">
        <f>'Dre-Dados'!C25</f>
        <v>226.13</v>
      </c>
      <c r="D30" s="119">
        <v>0.1</v>
      </c>
      <c r="E30" s="325">
        <f t="shared" ca="1" si="31"/>
        <v>224.42999999999998</v>
      </c>
      <c r="F30" s="324">
        <f t="shared" ca="1" si="32"/>
        <v>1.7000000000000171</v>
      </c>
      <c r="G30" s="325">
        <f t="shared" ca="1" si="33"/>
        <v>225.01499999999999</v>
      </c>
      <c r="H30" s="325">
        <f t="shared" ca="1" si="34"/>
        <v>223.27754999999999</v>
      </c>
      <c r="I30" s="324">
        <f t="shared" ca="1" si="35"/>
        <v>1.7374499999999955</v>
      </c>
      <c r="J30" s="324">
        <f>'Dre-Dados'!E25</f>
        <v>88.65</v>
      </c>
      <c r="K30" s="324">
        <f>'Dre-Dados'!F25</f>
        <v>1.2165999999999999</v>
      </c>
      <c r="L30" s="324">
        <f>'Dre-Dados'!G25</f>
        <v>0.6</v>
      </c>
      <c r="M30" s="324">
        <f t="shared" ca="1" si="36"/>
        <v>1.2165999999999999</v>
      </c>
      <c r="N30" s="324">
        <f t="shared" ca="1" si="37"/>
        <v>0.96570324210395908</v>
      </c>
      <c r="O30" s="324">
        <f t="shared" ca="1" si="38"/>
        <v>15</v>
      </c>
      <c r="P30" s="324">
        <f t="shared" ca="1" si="39"/>
        <v>144.23288170648527</v>
      </c>
      <c r="Q30" s="324">
        <f t="shared" ca="1" si="40"/>
        <v>0.53489118512182809</v>
      </c>
      <c r="R30" s="324">
        <f t="shared" ca="1" si="41"/>
        <v>251.7986889147042</v>
      </c>
      <c r="S30" s="324">
        <f t="shared" ca="1" si="42"/>
        <v>251.7986889147042</v>
      </c>
      <c r="T30" s="324">
        <f t="shared" ca="1" si="43"/>
        <v>1.2577552171460904</v>
      </c>
      <c r="U30" s="293">
        <v>1.3</v>
      </c>
      <c r="V30" s="324">
        <f t="shared" ca="1" si="44"/>
        <v>4.171341468258994E-2</v>
      </c>
      <c r="W30" s="70" t="s">
        <v>170</v>
      </c>
      <c r="X30" s="325">
        <v>1.4999999999999999E-2</v>
      </c>
      <c r="Y30" s="113">
        <v>1</v>
      </c>
      <c r="Z30" s="293">
        <v>0.8</v>
      </c>
      <c r="AA30" s="324">
        <f t="shared" ca="1" si="45"/>
        <v>0.2472371161468388</v>
      </c>
      <c r="AB30" s="324">
        <f t="shared" ca="1" si="46"/>
        <v>0.29924380052711963</v>
      </c>
      <c r="AC30" s="324">
        <f t="shared" ca="1" si="47"/>
        <v>1.9053063016574558</v>
      </c>
      <c r="AD30" s="324">
        <f t="shared" ca="1" si="48"/>
        <v>15.775465865364902</v>
      </c>
      <c r="AF30" s="43">
        <f>'Dre-Dados'!B25</f>
        <v>20</v>
      </c>
      <c r="AG30" s="42">
        <f>'Dre-Dados'!H25</f>
        <v>21</v>
      </c>
      <c r="AH30" s="42">
        <f>'Dre-Dados'!I25</f>
        <v>0</v>
      </c>
      <c r="AI30" s="42">
        <f>'Dre-Dados'!J25</f>
        <v>0</v>
      </c>
      <c r="AJ30" s="42">
        <f>'Dre-Dados'!K25</f>
        <v>0</v>
      </c>
      <c r="AK30" s="40">
        <f t="shared" ca="1" si="49"/>
        <v>10000</v>
      </c>
      <c r="AL30" s="40">
        <f t="shared" ca="1" si="50"/>
        <v>10000</v>
      </c>
      <c r="AM30" s="40">
        <f t="shared" ca="1" si="51"/>
        <v>10000</v>
      </c>
      <c r="AN30" s="40">
        <f t="shared" ca="1" si="52"/>
        <v>15</v>
      </c>
      <c r="AO30" s="40">
        <f t="shared" ca="1" si="53"/>
        <v>15</v>
      </c>
      <c r="AP30" s="40">
        <f t="shared" ca="1" si="54"/>
        <v>15</v>
      </c>
      <c r="AQ30" s="40">
        <f t="shared" ca="1" si="55"/>
        <v>0.2350972850698336</v>
      </c>
      <c r="AR30" s="40">
        <f t="shared" ca="1" si="56"/>
        <v>0.2472371161468388</v>
      </c>
      <c r="AS30" s="40">
        <f t="shared" ca="1" si="57"/>
        <v>8.9173649904627107E-3</v>
      </c>
      <c r="AT30" s="40">
        <f t="shared" ca="1" si="58"/>
        <v>206.49459411695094</v>
      </c>
      <c r="AU30" s="40">
        <f t="shared" ca="1" si="59"/>
        <v>0.29752050467290203</v>
      </c>
      <c r="AV30" s="40">
        <f t="shared" ca="1" si="60"/>
        <v>0.29924380052711963</v>
      </c>
      <c r="AW30" s="40">
        <f t="shared" ca="1" si="61"/>
        <v>0.4378648028647209</v>
      </c>
    </row>
    <row r="31" spans="2:49" ht="14.1" customHeight="1" x14ac:dyDescent="0.25">
      <c r="B31" s="113">
        <f>'Dre-Dados'!B26</f>
        <v>21</v>
      </c>
      <c r="C31" s="315">
        <f>'Dre-Dados'!C26</f>
        <v>225.01499999999999</v>
      </c>
      <c r="D31" s="119"/>
      <c r="E31" s="325">
        <f t="shared" ca="1" si="31"/>
        <v>223.27754999999999</v>
      </c>
      <c r="F31" s="324">
        <f t="shared" ca="1" si="32"/>
        <v>1.7374499999999955</v>
      </c>
      <c r="G31" s="325">
        <f t="shared" ca="1" si="33"/>
        <v>224.535</v>
      </c>
      <c r="H31" s="325">
        <f t="shared" ca="1" si="34"/>
        <v>222.81235999999998</v>
      </c>
      <c r="I31" s="324">
        <f t="shared" ca="1" si="35"/>
        <v>1.7226400000000126</v>
      </c>
      <c r="J31" s="324">
        <f>'Dre-Dados'!E26</f>
        <v>84.58</v>
      </c>
      <c r="K31" s="324">
        <f>'Dre-Dados'!F26</f>
        <v>0.46360000000000001</v>
      </c>
      <c r="L31" s="324">
        <f>'Dre-Dados'!G26</f>
        <v>0.6</v>
      </c>
      <c r="M31" s="324">
        <f t="shared" ca="1" si="36"/>
        <v>1.6801999999999999</v>
      </c>
      <c r="N31" s="324">
        <f t="shared" ca="1" si="37"/>
        <v>0.91177093844286194</v>
      </c>
      <c r="O31" s="324">
        <f t="shared" ca="1" si="38"/>
        <v>15.775465865364902</v>
      </c>
      <c r="P31" s="324">
        <f t="shared" ca="1" si="39"/>
        <v>140.86887271873627</v>
      </c>
      <c r="Q31" s="324">
        <f t="shared" ca="1" si="40"/>
        <v>0.53969203071518579</v>
      </c>
      <c r="R31" s="324">
        <f t="shared" ca="1" si="41"/>
        <v>89.273478789017162</v>
      </c>
      <c r="S31" s="324">
        <f t="shared" ca="1" si="42"/>
        <v>341.07216770372133</v>
      </c>
      <c r="T31" s="324">
        <f t="shared" ca="1" si="43"/>
        <v>0.56751004965711727</v>
      </c>
      <c r="U31" s="293">
        <v>0.55000000000000004</v>
      </c>
      <c r="V31" s="324">
        <f t="shared" ca="1" si="44"/>
        <v>7.6535227373433795E-2</v>
      </c>
      <c r="W31" s="70" t="s">
        <v>170</v>
      </c>
      <c r="X31" s="325">
        <v>1.4999999999999999E-2</v>
      </c>
      <c r="Y31" s="113">
        <v>1</v>
      </c>
      <c r="Z31" s="293">
        <v>0.8</v>
      </c>
      <c r="AA31" s="324">
        <f t="shared" ca="1" si="45"/>
        <v>0.3497588888835248</v>
      </c>
      <c r="AB31" s="324">
        <f t="shared" ca="1" si="46"/>
        <v>0.3499589268484965</v>
      </c>
      <c r="AC31" s="324">
        <f t="shared" ca="1" si="47"/>
        <v>1.6146157535580077</v>
      </c>
      <c r="AD31" s="324">
        <f t="shared" ca="1" si="48"/>
        <v>16.648532205489659</v>
      </c>
      <c r="AF31" s="43">
        <f>'Dre-Dados'!B26</f>
        <v>21</v>
      </c>
      <c r="AG31" s="42">
        <f>'Dre-Dados'!H26</f>
        <v>22</v>
      </c>
      <c r="AH31" s="42">
        <f>'Dre-Dados'!I26</f>
        <v>20</v>
      </c>
      <c r="AI31" s="42">
        <f>'Dre-Dados'!J26</f>
        <v>0</v>
      </c>
      <c r="AJ31" s="42">
        <f>'Dre-Dados'!K26</f>
        <v>0</v>
      </c>
      <c r="AK31" s="40">
        <f t="shared" ca="1" si="49"/>
        <v>223.27754999999999</v>
      </c>
      <c r="AL31" s="40">
        <f t="shared" ca="1" si="50"/>
        <v>10000</v>
      </c>
      <c r="AM31" s="40">
        <f t="shared" ca="1" si="51"/>
        <v>10000</v>
      </c>
      <c r="AN31" s="40">
        <f t="shared" ca="1" si="52"/>
        <v>15.775465865364902</v>
      </c>
      <c r="AO31" s="40">
        <f t="shared" ca="1" si="53"/>
        <v>15</v>
      </c>
      <c r="AP31" s="40">
        <f t="shared" ca="1" si="54"/>
        <v>15</v>
      </c>
      <c r="AQ31" s="40">
        <f t="shared" ca="1" si="55"/>
        <v>0.33481483413205371</v>
      </c>
      <c r="AR31" s="40">
        <f t="shared" ca="1" si="56"/>
        <v>0.3497588888835248</v>
      </c>
      <c r="AS31" s="40">
        <f t="shared" ca="1" si="57"/>
        <v>5.8766121252581675E-2</v>
      </c>
      <c r="AT31" s="40">
        <f t="shared" ca="1" si="58"/>
        <v>330.06321216840416</v>
      </c>
      <c r="AU31" s="40">
        <f t="shared" ca="1" si="59"/>
        <v>0.3473949441766393</v>
      </c>
      <c r="AV31" s="40">
        <f t="shared" ca="1" si="60"/>
        <v>0.3499589268484965</v>
      </c>
      <c r="AW31" s="40">
        <f t="shared" ca="1" si="61"/>
        <v>0.48130442832120485</v>
      </c>
    </row>
    <row r="32" spans="2:49" ht="14.1" customHeight="1" x14ac:dyDescent="0.25">
      <c r="B32" s="113">
        <f>'Dre-Dados'!B27</f>
        <v>22</v>
      </c>
      <c r="C32" s="315">
        <f>'Dre-Dados'!C27</f>
        <v>224.535</v>
      </c>
      <c r="D32" s="119"/>
      <c r="E32" s="325">
        <f t="shared" ca="1" si="31"/>
        <v>222.81235999999998</v>
      </c>
      <c r="F32" s="324">
        <f t="shared" ca="1" si="32"/>
        <v>1.7226400000000126</v>
      </c>
      <c r="G32" s="325">
        <f t="shared" ca="1" si="33"/>
        <v>223.74199999999999</v>
      </c>
      <c r="H32" s="325">
        <f t="shared" ca="1" si="34"/>
        <v>222.00835999999998</v>
      </c>
      <c r="I32" s="324">
        <f t="shared" ca="1" si="35"/>
        <v>1.7336400000000083</v>
      </c>
      <c r="J32" s="324">
        <f>'Dre-Dados'!E27</f>
        <v>80.400000000000006</v>
      </c>
      <c r="K32" s="324">
        <f>'Dre-Dados'!F27</f>
        <v>1.3931</v>
      </c>
      <c r="L32" s="324">
        <f>'Dre-Dados'!G27</f>
        <v>0.6</v>
      </c>
      <c r="M32" s="324">
        <f t="shared" ca="1" si="36"/>
        <v>3.0732999999999997</v>
      </c>
      <c r="N32" s="324">
        <f t="shared" ca="1" si="37"/>
        <v>0.81885370397657031</v>
      </c>
      <c r="O32" s="324">
        <f t="shared" ca="1" si="38"/>
        <v>16.648532205489659</v>
      </c>
      <c r="P32" s="324">
        <f t="shared" ca="1" si="39"/>
        <v>137.28566707474141</v>
      </c>
      <c r="Q32" s="324">
        <f t="shared" ca="1" si="40"/>
        <v>0.54477099589946243</v>
      </c>
      <c r="R32" s="324">
        <f t="shared" ca="1" si="41"/>
        <v>237.00637458262224</v>
      </c>
      <c r="S32" s="324">
        <f t="shared" ca="1" si="42"/>
        <v>578.07854228634358</v>
      </c>
      <c r="T32" s="324">
        <f t="shared" ca="1" si="43"/>
        <v>0.98631840796020687</v>
      </c>
      <c r="U32" s="293">
        <v>1</v>
      </c>
      <c r="V32" s="324">
        <f t="shared" ca="1" si="44"/>
        <v>0.21985812107483604</v>
      </c>
      <c r="W32" s="70" t="s">
        <v>170</v>
      </c>
      <c r="X32" s="325">
        <v>1.4999999999999999E-2</v>
      </c>
      <c r="Y32" s="113">
        <v>1</v>
      </c>
      <c r="Z32" s="293">
        <v>0.8</v>
      </c>
      <c r="AA32" s="324">
        <f t="shared" ca="1" si="45"/>
        <v>0.40043959782314242</v>
      </c>
      <c r="AB32" s="324">
        <f t="shared" ca="1" si="46"/>
        <v>0.45944200122449724</v>
      </c>
      <c r="AC32" s="324">
        <f t="shared" ca="1" si="47"/>
        <v>2.296887441843261</v>
      </c>
      <c r="AD32" s="324">
        <f t="shared" ca="1" si="48"/>
        <v>17.23193040584929</v>
      </c>
      <c r="AF32" s="43">
        <f>'Dre-Dados'!B27</f>
        <v>22</v>
      </c>
      <c r="AG32" s="42">
        <f>'Dre-Dados'!H27</f>
        <v>23</v>
      </c>
      <c r="AH32" s="42">
        <f>'Dre-Dados'!I27</f>
        <v>21</v>
      </c>
      <c r="AI32" s="42">
        <f>'Dre-Dados'!J27</f>
        <v>0</v>
      </c>
      <c r="AJ32" s="42">
        <f>'Dre-Dados'!K27</f>
        <v>0</v>
      </c>
      <c r="AK32" s="40">
        <f t="shared" ca="1" si="49"/>
        <v>222.81235999999998</v>
      </c>
      <c r="AL32" s="40">
        <f t="shared" ca="1" si="50"/>
        <v>10000</v>
      </c>
      <c r="AM32" s="40">
        <f t="shared" ca="1" si="51"/>
        <v>10000</v>
      </c>
      <c r="AN32" s="40">
        <f t="shared" ca="1" si="52"/>
        <v>16.648532205489659</v>
      </c>
      <c r="AO32" s="40">
        <f t="shared" ca="1" si="53"/>
        <v>15</v>
      </c>
      <c r="AP32" s="40">
        <f t="shared" ca="1" si="54"/>
        <v>15</v>
      </c>
      <c r="AQ32" s="40">
        <f t="shared" ca="1" si="55"/>
        <v>0.3738331869730056</v>
      </c>
      <c r="AR32" s="40">
        <f t="shared" ca="1" si="56"/>
        <v>0.40043959782314242</v>
      </c>
      <c r="AS32" s="40">
        <f t="shared" ca="1" si="57"/>
        <v>0.10583114196922919</v>
      </c>
      <c r="AT32" s="40">
        <f t="shared" ca="1" si="58"/>
        <v>393.24857886703927</v>
      </c>
      <c r="AU32" s="40">
        <f t="shared" ca="1" si="59"/>
        <v>0.45482631262316625</v>
      </c>
      <c r="AV32" s="40">
        <f t="shared" ca="1" si="60"/>
        <v>0.45944200122449724</v>
      </c>
      <c r="AW32" s="40">
        <f t="shared" ca="1" si="61"/>
        <v>0.56733943578986301</v>
      </c>
    </row>
    <row r="33" spans="2:49" ht="14.1" customHeight="1" x14ac:dyDescent="0.25">
      <c r="B33" s="113">
        <f>'Dre-Dados'!B28</f>
        <v>23</v>
      </c>
      <c r="C33" s="315">
        <f>'Dre-Dados'!C28</f>
        <v>223.74199999999999</v>
      </c>
      <c r="D33" s="119"/>
      <c r="E33" s="315">
        <f t="shared" ref="E33:E42" ca="1" si="62">IF(MINA(AK33,AL33,AM33)=10000,C33-Z33-IF(Z33=0.6,0.9,IF(Z33=0.8,0.8,IF(Z33=1,0.9,IF(Z33=1.2,1.1,1.15)))),MINA(AK33,AL33,AM33))-D33</f>
        <v>222.00835999999998</v>
      </c>
      <c r="F33" s="324">
        <f t="shared" ref="F33:F42" ca="1" si="63">IF(ABS(C33-E33)&lt;=Z33+IF(Z33=0.6,0.69,IF(Z33=0.8,0.79,0.89)),E33-C33,(C33-E33))</f>
        <v>1.7336400000000083</v>
      </c>
      <c r="G33" s="325">
        <f t="shared" ca="1" si="33"/>
        <v>223.58500000000001</v>
      </c>
      <c r="H33" s="325">
        <f t="shared" ref="H33:H42" ca="1" si="64">(E33-(J33*(U33/100)))</f>
        <v>221.85119999999998</v>
      </c>
      <c r="I33" s="324">
        <f t="shared" ref="I33:I42" ca="1" si="65">IF(ABS(G33-H33)&lt;Z33+IF(Z33=0.6,0.69,IF(Z33=0.8,0.79,0.89)),H33-G33,(G33-H33))</f>
        <v>1.7338000000000306</v>
      </c>
      <c r="J33" s="324">
        <f>'Dre-Dados'!E28</f>
        <v>39.29</v>
      </c>
      <c r="K33" s="324">
        <f>'Dre-Dados'!F28</f>
        <v>1.3160000000000001</v>
      </c>
      <c r="L33" s="324">
        <f>'Dre-Dados'!G28</f>
        <v>0.6</v>
      </c>
      <c r="M33" s="324">
        <f t="shared" ref="M33:M42" ca="1" si="66">IF($AH33=0,0,INDIRECT(REPLACE("M00",2,2,FIXED($AH33+10,0))))+IF($AI33=0,0,INDIRECT(REPLACE("M00",2,2,FIXED($AI33+10,0))))+IF($AJ33=0,0,INDIRECT(REPLACE("M00",2,2,FIXED($AJ33+10,0))))+K33</f>
        <v>4.3892999999999995</v>
      </c>
      <c r="N33" s="324">
        <f t="shared" ref="N33:N42" ca="1" si="67">IF(M33&lt;1,1,M33^-0.178)</f>
        <v>0.76851729031712135</v>
      </c>
      <c r="O33" s="324">
        <f t="shared" ref="O33:O42" ca="1" si="68">MAXA(AN33,AO33,AP33)</f>
        <v>17.23193040584929</v>
      </c>
      <c r="P33" s="324">
        <f t="shared" ref="P33:P42" ca="1" si="69">+AB$3*AB$5^AB$4/(O33+AD$3)^AD$4</f>
        <v>135.00293102105192</v>
      </c>
      <c r="Q33" s="324">
        <f t="shared" ref="Q33:Q42" ca="1" si="70">(((2.913+64.073*L33)/1000)*(O33*P33)^(1/3))</f>
        <v>0.54799000524293062</v>
      </c>
      <c r="R33" s="324">
        <f t="shared" ref="R33:R42" ca="1" si="71">(2.778*K33*N33*P33*Q33)</f>
        <v>207.85362758111049</v>
      </c>
      <c r="S33" s="324">
        <f t="shared" ref="S33:S42" ca="1" si="72">IF($AH33=0,0,INDIRECT(REPLACE("S00",2,2,FIXED($AH33+10,0))))+IF($AI33=0,0,INDIRECT(REPLACE("S00",2,2,FIXED($AI33+10,0))))+IF($AJ33=0,0,INDIRECT(REPLACE("S00",2,2,FIXED($AJ33+10,0))))+R33</f>
        <v>785.93216986745404</v>
      </c>
      <c r="T33" s="324">
        <f t="shared" ref="T33:T42" ca="1" si="73">(C33-G33)/J33*100</f>
        <v>0.39959277169758789</v>
      </c>
      <c r="U33" s="293">
        <v>0.4</v>
      </c>
      <c r="V33" s="324">
        <f t="shared" ref="V33:V42" ca="1" si="74">(((S33/Y33*X33)/33.53/Z33^(8/3))^2)</f>
        <v>0.40638619401278936</v>
      </c>
      <c r="W33" s="70" t="s">
        <v>170</v>
      </c>
      <c r="X33" s="325">
        <v>1.4999999999999999E-2</v>
      </c>
      <c r="Y33" s="113">
        <v>1</v>
      </c>
      <c r="Z33" s="293">
        <v>0.8</v>
      </c>
      <c r="AA33" s="324">
        <f t="shared" ref="AA33:AA42" ca="1" si="75">IF(0.85*Z33&gt;AS33,IF(0.3*Z33&gt;AR33,AQ33,AR33),AS33)</f>
        <v>0.75671650834720205</v>
      </c>
      <c r="AB33" s="324">
        <f t="shared" ref="AB33:AB42" ca="1" si="76">IF(0.3*Z33&gt;AU33,AU33,IF(0.85*Z33&gt;AV33,AV33,AW33))</f>
        <v>0.53833279162715952</v>
      </c>
      <c r="AC33" s="324">
        <f t="shared" ref="AC33:AC42" ca="1" si="77">((S33/Y33)/(AT33*Z33^2))</f>
        <v>1.5971251989137272</v>
      </c>
      <c r="AD33" s="324">
        <f t="shared" ref="AD33:AD42" ca="1" si="78">(J33/(AC33*60))+O33</f>
        <v>17.641937920462869</v>
      </c>
      <c r="AF33" s="43">
        <f>'Dre-Dados'!B28</f>
        <v>23</v>
      </c>
      <c r="AG33" s="42">
        <f>'Dre-Dados'!H28</f>
        <v>24</v>
      </c>
      <c r="AH33" s="42">
        <f>'Dre-Dados'!I28</f>
        <v>22</v>
      </c>
      <c r="AI33" s="42">
        <f>'Dre-Dados'!J28</f>
        <v>0</v>
      </c>
      <c r="AJ33" s="42">
        <f>'Dre-Dados'!K28</f>
        <v>0</v>
      </c>
      <c r="AK33" s="40">
        <f t="shared" ref="AK33:AK42" ca="1" si="79">IF(AH33=0,10000,INDIRECT(REPLACE("H00",2,2,FIXED(AH33+10,0))))</f>
        <v>222.00835999999998</v>
      </c>
      <c r="AL33" s="40">
        <f t="shared" ref="AL33:AL42" ca="1" si="80">IF(AI33=0,10000,INDIRECT(REPLACE("H00",2,2,FIXED(AI33+10,0))))</f>
        <v>10000</v>
      </c>
      <c r="AM33" s="40">
        <f t="shared" ref="AM33:AM42" ca="1" si="81">IF(AJ33=0,10000,INDIRECT(REPLACE("H00",2,2,FIXED(AJ33+10,0))))</f>
        <v>10000</v>
      </c>
      <c r="AN33" s="40">
        <f t="shared" ref="AN33:AN42" ca="1" si="82">IF(AH33=0,15,INDIRECT(REPLACE("AD00",3,2,FIXED(AH33+10,0))))</f>
        <v>17.23193040584929</v>
      </c>
      <c r="AO33" s="40">
        <f t="shared" ref="AO33:AO42" ca="1" si="83">IF(AI33=0,15,INDIRECT(REPLACE("AD00",3,2,FIXED(AI33+10,0))))</f>
        <v>15</v>
      </c>
      <c r="AP33" s="40">
        <f t="shared" ref="AP33:AP42" ca="1" si="84">IF(AJ33=0,15,INDIRECT(REPLACE("AD00",3,2,FIXED(AJ33+10,0))))</f>
        <v>15</v>
      </c>
      <c r="AQ33" s="40">
        <f t="shared" ref="AQ33:AQ42" ca="1" si="85">1.14*Z33^(-0.285)*(S33/1000/Y33*X33)^(0.482)*(U33/100)^(-0.241)</f>
        <v>0.54060410070794962</v>
      </c>
      <c r="AR33" s="40">
        <f t="shared" ref="AR33:AR42" ca="1" si="86">1.97107*(S33/1000/Y33)*X33*Z33^(-5/3)*(U33/100)^(-0.5)+0.19066*Z33</f>
        <v>0.68545173799389436</v>
      </c>
      <c r="AS33" s="40">
        <f t="shared" ref="AS33:AS42" ca="1" si="87">15.428*(S33/1000/Y33*X33)^2.571*Z33^(-5.856)*(U33/100)^(-1.285)</f>
        <v>0.75671650834720205</v>
      </c>
      <c r="AT33" s="40">
        <f t="shared" ref="AT33:AT42" ca="1" si="88">250*((ACOS(1-(2*AA33/Z33))-(1-(2*AA33/Z33))*(SIN(ACOS(1-(2*AA33/Z33))))))</f>
        <v>768.89339436452735</v>
      </c>
      <c r="AU33" s="40">
        <f t="shared" ref="AU33:AU42" ca="1" si="89">0.016614*(S33/Y33)^(0.5107)*Z33^(-0.2768)</f>
        <v>0.53207401632034623</v>
      </c>
      <c r="AV33" s="40">
        <f t="shared" ref="AV33:AV42" ca="1" si="90">0.01619*(S33/Y33)^(0.5159)*Z33^(-0.2897)</f>
        <v>0.53833279162715952</v>
      </c>
      <c r="AW33" s="40">
        <f t="shared" ref="AW33:AW42" ca="1" si="91">0.07439*(S33/Y33)^(0.3117)*Z33^(-0.221)</f>
        <v>0.62434292769872402</v>
      </c>
    </row>
    <row r="34" spans="2:49" ht="14.1" customHeight="1" x14ac:dyDescent="0.25">
      <c r="B34" s="113">
        <f>'Dre-Dados'!B29</f>
        <v>24</v>
      </c>
      <c r="C34" s="325">
        <f>'Dre-Dados'!C29</f>
        <v>223.58500000000001</v>
      </c>
      <c r="D34" s="119"/>
      <c r="E34" s="325">
        <f t="shared" ca="1" si="62"/>
        <v>221.85119999999998</v>
      </c>
      <c r="F34" s="324">
        <f t="shared" ca="1" si="63"/>
        <v>1.7338000000000306</v>
      </c>
      <c r="G34" s="325">
        <f>'Dre-Dados'!D29</f>
        <v>220.76400000000001</v>
      </c>
      <c r="H34" s="325">
        <f t="shared" ca="1" si="64"/>
        <v>219.96506499999998</v>
      </c>
      <c r="I34" s="324">
        <f t="shared" ca="1" si="65"/>
        <v>-0.79893500000002859</v>
      </c>
      <c r="J34" s="324">
        <f>'Dre-Dados'!E29</f>
        <v>16.190000000000001</v>
      </c>
      <c r="K34" s="324">
        <f>'Dre-Dados'!F29</f>
        <v>0.41670000000000001</v>
      </c>
      <c r="L34" s="324">
        <f>'Dre-Dados'!G29</f>
        <v>0.6</v>
      </c>
      <c r="M34" s="324">
        <f t="shared" ca="1" si="66"/>
        <v>4.8059999999999992</v>
      </c>
      <c r="N34" s="324">
        <f t="shared" ca="1" si="67"/>
        <v>0.75621012791746123</v>
      </c>
      <c r="O34" s="324">
        <f t="shared" ca="1" si="68"/>
        <v>17.641937920462869</v>
      </c>
      <c r="P34" s="324">
        <f t="shared" ca="1" si="69"/>
        <v>133.44888593759063</v>
      </c>
      <c r="Q34" s="324">
        <f t="shared" ca="1" si="70"/>
        <v>0.55017477564426898</v>
      </c>
      <c r="R34" s="324">
        <f t="shared" ca="1" si="71"/>
        <v>64.2708226785645</v>
      </c>
      <c r="S34" s="324">
        <f t="shared" ca="1" si="72"/>
        <v>850.20299254601855</v>
      </c>
      <c r="T34" s="324">
        <f t="shared" si="73"/>
        <v>17.42433600988263</v>
      </c>
      <c r="U34" s="293">
        <v>11.65</v>
      </c>
      <c r="V34" s="324">
        <f t="shared" ca="1" si="74"/>
        <v>0.47556958599922922</v>
      </c>
      <c r="W34" s="70" t="s">
        <v>170</v>
      </c>
      <c r="X34" s="325">
        <v>1.4999999999999999E-2</v>
      </c>
      <c r="Y34" s="113">
        <v>1</v>
      </c>
      <c r="Z34" s="293">
        <v>0.8</v>
      </c>
      <c r="AA34" s="324">
        <f t="shared" ca="1" si="75"/>
        <v>0.25935220316056101</v>
      </c>
      <c r="AB34" s="324">
        <f t="shared" ca="1" si="76"/>
        <v>0.56061201843928632</v>
      </c>
      <c r="AC34" s="324">
        <f t="shared" ca="1" si="77"/>
        <v>6.0224298796826083</v>
      </c>
      <c r="AD34" s="324">
        <f t="shared" ca="1" si="78"/>
        <v>17.686742648574963</v>
      </c>
      <c r="AF34" s="43">
        <f>'Dre-Dados'!B29</f>
        <v>24</v>
      </c>
      <c r="AG34" s="42">
        <f>'Dre-Dados'!H29</f>
        <v>0</v>
      </c>
      <c r="AH34" s="42">
        <f>'Dre-Dados'!I29</f>
        <v>23</v>
      </c>
      <c r="AI34" s="42">
        <f>'Dre-Dados'!J29</f>
        <v>0</v>
      </c>
      <c r="AJ34" s="42">
        <f>'Dre-Dados'!K29</f>
        <v>0</v>
      </c>
      <c r="AK34" s="40">
        <f t="shared" ca="1" si="79"/>
        <v>221.85119999999998</v>
      </c>
      <c r="AL34" s="40">
        <f t="shared" ca="1" si="80"/>
        <v>10000</v>
      </c>
      <c r="AM34" s="40">
        <f t="shared" ca="1" si="81"/>
        <v>10000</v>
      </c>
      <c r="AN34" s="40">
        <f t="shared" ca="1" si="82"/>
        <v>17.641937920462869</v>
      </c>
      <c r="AO34" s="40">
        <f t="shared" ca="1" si="83"/>
        <v>15</v>
      </c>
      <c r="AP34" s="40">
        <f t="shared" ca="1" si="84"/>
        <v>15</v>
      </c>
      <c r="AQ34" s="40">
        <f t="shared" ca="1" si="85"/>
        <v>0.24914119958983647</v>
      </c>
      <c r="AR34" s="40">
        <f t="shared" ca="1" si="86"/>
        <v>0.25935220316056101</v>
      </c>
      <c r="AS34" s="40">
        <f t="shared" ca="1" si="87"/>
        <v>1.2165197363454568E-2</v>
      </c>
      <c r="AT34" s="40">
        <f t="shared" ca="1" si="88"/>
        <v>220.58242310712711</v>
      </c>
      <c r="AU34" s="40">
        <f t="shared" ca="1" si="89"/>
        <v>0.55386778345437537</v>
      </c>
      <c r="AV34" s="40">
        <f t="shared" ca="1" si="90"/>
        <v>0.56061201843928632</v>
      </c>
      <c r="AW34" s="40">
        <f t="shared" ca="1" si="91"/>
        <v>0.63982893326506307</v>
      </c>
    </row>
    <row r="35" spans="2:49" ht="14.1" hidden="1" customHeight="1" x14ac:dyDescent="0.25">
      <c r="B35" s="113">
        <f>'Dre-Dados'!B30</f>
        <v>25</v>
      </c>
      <c r="C35" s="325">
        <f>'Dre-Dados'!C30</f>
        <v>0</v>
      </c>
      <c r="D35" s="119"/>
      <c r="E35" s="325">
        <f t="shared" ca="1" si="62"/>
        <v>-1.6</v>
      </c>
      <c r="F35" s="324">
        <f t="shared" ca="1" si="63"/>
        <v>1.6</v>
      </c>
      <c r="G35" s="325">
        <f t="shared" ca="1" si="33"/>
        <v>0</v>
      </c>
      <c r="H35" s="325">
        <f t="shared" ca="1" si="64"/>
        <v>-1.6</v>
      </c>
      <c r="I35" s="324">
        <f t="shared" ca="1" si="65"/>
        <v>1.6</v>
      </c>
      <c r="J35" s="324">
        <f>'Dre-Dados'!E30</f>
        <v>0</v>
      </c>
      <c r="K35" s="324">
        <f>'Dre-Dados'!F30</f>
        <v>0</v>
      </c>
      <c r="L35" s="324">
        <f>'Dre-Dados'!G30</f>
        <v>0</v>
      </c>
      <c r="M35" s="324">
        <f t="shared" ca="1" si="66"/>
        <v>0</v>
      </c>
      <c r="N35" s="324">
        <f t="shared" ca="1" si="67"/>
        <v>1</v>
      </c>
      <c r="O35" s="324">
        <f t="shared" ca="1" si="68"/>
        <v>15</v>
      </c>
      <c r="P35" s="324">
        <f t="shared" ca="1" si="69"/>
        <v>144.23288170648527</v>
      </c>
      <c r="Q35" s="324">
        <f t="shared" ca="1" si="70"/>
        <v>3.7675497675349293E-2</v>
      </c>
      <c r="R35" s="324">
        <f t="shared" ca="1" si="71"/>
        <v>0</v>
      </c>
      <c r="S35" s="324">
        <f t="shared" ca="1" si="72"/>
        <v>0</v>
      </c>
      <c r="T35" s="324" t="e">
        <f t="shared" ca="1" si="73"/>
        <v>#DIV/0!</v>
      </c>
      <c r="U35" s="293"/>
      <c r="V35" s="324">
        <f t="shared" ca="1" si="74"/>
        <v>0</v>
      </c>
      <c r="W35" s="70" t="s">
        <v>170</v>
      </c>
      <c r="X35" s="325">
        <v>1.4999999999999999E-2</v>
      </c>
      <c r="Y35" s="113">
        <v>1</v>
      </c>
      <c r="Z35" s="293">
        <v>0.8</v>
      </c>
      <c r="AA35" s="324" t="e">
        <f t="shared" ca="1" si="75"/>
        <v>#DIV/0!</v>
      </c>
      <c r="AB35" s="324">
        <f t="shared" ca="1" si="76"/>
        <v>0</v>
      </c>
      <c r="AC35" s="324" t="e">
        <f t="shared" ca="1" si="77"/>
        <v>#DIV/0!</v>
      </c>
      <c r="AD35" s="324" t="e">
        <f t="shared" ca="1" si="78"/>
        <v>#DIV/0!</v>
      </c>
      <c r="AF35" s="43">
        <f>'Dre-Dados'!B30</f>
        <v>25</v>
      </c>
      <c r="AG35" s="42">
        <f>'Dre-Dados'!H30</f>
        <v>0</v>
      </c>
      <c r="AH35" s="42">
        <f>'Dre-Dados'!I30</f>
        <v>0</v>
      </c>
      <c r="AI35" s="42">
        <f>'Dre-Dados'!J30</f>
        <v>0</v>
      </c>
      <c r="AJ35" s="42">
        <f>'Dre-Dados'!K30</f>
        <v>0</v>
      </c>
      <c r="AK35" s="40">
        <f t="shared" ca="1" si="79"/>
        <v>10000</v>
      </c>
      <c r="AL35" s="40">
        <f t="shared" ca="1" si="80"/>
        <v>10000</v>
      </c>
      <c r="AM35" s="40">
        <f t="shared" ca="1" si="81"/>
        <v>10000</v>
      </c>
      <c r="AN35" s="40">
        <f t="shared" ca="1" si="82"/>
        <v>15</v>
      </c>
      <c r="AO35" s="40">
        <f t="shared" ca="1" si="83"/>
        <v>15</v>
      </c>
      <c r="AP35" s="40">
        <f t="shared" ca="1" si="84"/>
        <v>15</v>
      </c>
      <c r="AQ35" s="40" t="e">
        <f t="shared" ca="1" si="85"/>
        <v>#DIV/0!</v>
      </c>
      <c r="AR35" s="40" t="e">
        <f t="shared" ca="1" si="86"/>
        <v>#DIV/0!</v>
      </c>
      <c r="AS35" s="40" t="e">
        <f t="shared" ca="1" si="87"/>
        <v>#DIV/0!</v>
      </c>
      <c r="AT35" s="40" t="e">
        <f t="shared" ca="1" si="88"/>
        <v>#DIV/0!</v>
      </c>
      <c r="AU35" s="40">
        <f t="shared" ca="1" si="89"/>
        <v>0</v>
      </c>
      <c r="AV35" s="40">
        <f t="shared" ca="1" si="90"/>
        <v>0</v>
      </c>
      <c r="AW35" s="40">
        <f t="shared" ca="1" si="91"/>
        <v>0</v>
      </c>
    </row>
    <row r="36" spans="2:49" ht="14.1" hidden="1" customHeight="1" x14ac:dyDescent="0.25">
      <c r="B36" s="113">
        <f>'Dre-Dados'!B31</f>
        <v>26</v>
      </c>
      <c r="C36" s="325">
        <f>'Dre-Dados'!C31</f>
        <v>0</v>
      </c>
      <c r="D36" s="119"/>
      <c r="E36" s="325">
        <f t="shared" ca="1" si="62"/>
        <v>-1.6</v>
      </c>
      <c r="F36" s="324">
        <f t="shared" ca="1" si="63"/>
        <v>1.6</v>
      </c>
      <c r="G36" s="325">
        <f t="shared" ca="1" si="33"/>
        <v>0</v>
      </c>
      <c r="H36" s="325">
        <f t="shared" ca="1" si="64"/>
        <v>-1.6</v>
      </c>
      <c r="I36" s="324">
        <f t="shared" ca="1" si="65"/>
        <v>1.6</v>
      </c>
      <c r="J36" s="324">
        <f>'Dre-Dados'!E31</f>
        <v>0</v>
      </c>
      <c r="K36" s="324">
        <f>'Dre-Dados'!F31</f>
        <v>0</v>
      </c>
      <c r="L36" s="324">
        <f>'Dre-Dados'!G31</f>
        <v>0</v>
      </c>
      <c r="M36" s="324">
        <f t="shared" ca="1" si="66"/>
        <v>0</v>
      </c>
      <c r="N36" s="324">
        <f t="shared" ca="1" si="67"/>
        <v>1</v>
      </c>
      <c r="O36" s="324">
        <f t="shared" ca="1" si="68"/>
        <v>15</v>
      </c>
      <c r="P36" s="324">
        <f t="shared" ca="1" si="69"/>
        <v>144.23288170648527</v>
      </c>
      <c r="Q36" s="324">
        <f t="shared" ca="1" si="70"/>
        <v>3.7675497675349293E-2</v>
      </c>
      <c r="R36" s="324">
        <f t="shared" ca="1" si="71"/>
        <v>0</v>
      </c>
      <c r="S36" s="324">
        <f t="shared" ca="1" si="72"/>
        <v>0</v>
      </c>
      <c r="T36" s="324" t="e">
        <f t="shared" ca="1" si="73"/>
        <v>#DIV/0!</v>
      </c>
      <c r="U36" s="293"/>
      <c r="V36" s="324">
        <f t="shared" ca="1" si="74"/>
        <v>0</v>
      </c>
      <c r="W36" s="70" t="s">
        <v>170</v>
      </c>
      <c r="X36" s="325">
        <v>1.4999999999999999E-2</v>
      </c>
      <c r="Y36" s="113">
        <v>1</v>
      </c>
      <c r="Z36" s="293">
        <v>0.8</v>
      </c>
      <c r="AA36" s="324" t="e">
        <f t="shared" ca="1" si="75"/>
        <v>#DIV/0!</v>
      </c>
      <c r="AB36" s="324">
        <f t="shared" ca="1" si="76"/>
        <v>0</v>
      </c>
      <c r="AC36" s="324" t="e">
        <f t="shared" ca="1" si="77"/>
        <v>#DIV/0!</v>
      </c>
      <c r="AD36" s="324" t="e">
        <f t="shared" ca="1" si="78"/>
        <v>#DIV/0!</v>
      </c>
      <c r="AF36" s="43">
        <f>'Dre-Dados'!B31</f>
        <v>26</v>
      </c>
      <c r="AG36" s="42">
        <f>'Dre-Dados'!H31</f>
        <v>0</v>
      </c>
      <c r="AH36" s="42">
        <f>'Dre-Dados'!I31</f>
        <v>0</v>
      </c>
      <c r="AI36" s="42">
        <f>'Dre-Dados'!J31</f>
        <v>0</v>
      </c>
      <c r="AJ36" s="42">
        <f>'Dre-Dados'!K31</f>
        <v>0</v>
      </c>
      <c r="AK36" s="40">
        <f t="shared" ca="1" si="79"/>
        <v>10000</v>
      </c>
      <c r="AL36" s="40">
        <f t="shared" ca="1" si="80"/>
        <v>10000</v>
      </c>
      <c r="AM36" s="40">
        <f t="shared" ca="1" si="81"/>
        <v>10000</v>
      </c>
      <c r="AN36" s="40">
        <f t="shared" ca="1" si="82"/>
        <v>15</v>
      </c>
      <c r="AO36" s="40">
        <f t="shared" ca="1" si="83"/>
        <v>15</v>
      </c>
      <c r="AP36" s="40">
        <f t="shared" ca="1" si="84"/>
        <v>15</v>
      </c>
      <c r="AQ36" s="40" t="e">
        <f t="shared" ca="1" si="85"/>
        <v>#DIV/0!</v>
      </c>
      <c r="AR36" s="40" t="e">
        <f t="shared" ca="1" si="86"/>
        <v>#DIV/0!</v>
      </c>
      <c r="AS36" s="40" t="e">
        <f t="shared" ca="1" si="87"/>
        <v>#DIV/0!</v>
      </c>
      <c r="AT36" s="40" t="e">
        <f t="shared" ca="1" si="88"/>
        <v>#DIV/0!</v>
      </c>
      <c r="AU36" s="40">
        <f t="shared" ca="1" si="89"/>
        <v>0</v>
      </c>
      <c r="AV36" s="40">
        <f t="shared" ca="1" si="90"/>
        <v>0</v>
      </c>
      <c r="AW36" s="40">
        <f t="shared" ca="1" si="91"/>
        <v>0</v>
      </c>
    </row>
    <row r="37" spans="2:49" ht="14.1" hidden="1" customHeight="1" x14ac:dyDescent="0.25">
      <c r="B37" s="113">
        <f>'Dre-Dados'!B32</f>
        <v>27</v>
      </c>
      <c r="C37" s="325">
        <f>'Dre-Dados'!C32</f>
        <v>0</v>
      </c>
      <c r="D37" s="119"/>
      <c r="E37" s="325">
        <f t="shared" ca="1" si="62"/>
        <v>-1.6</v>
      </c>
      <c r="F37" s="324">
        <f t="shared" ca="1" si="63"/>
        <v>1.6</v>
      </c>
      <c r="G37" s="325">
        <f t="shared" ca="1" si="33"/>
        <v>0</v>
      </c>
      <c r="H37" s="325">
        <f t="shared" ca="1" si="64"/>
        <v>-1.6</v>
      </c>
      <c r="I37" s="324">
        <f t="shared" ca="1" si="65"/>
        <v>1.6</v>
      </c>
      <c r="J37" s="324">
        <f>'Dre-Dados'!E32</f>
        <v>0</v>
      </c>
      <c r="K37" s="324">
        <f>'Dre-Dados'!F32</f>
        <v>0</v>
      </c>
      <c r="L37" s="324">
        <f>'Dre-Dados'!G32</f>
        <v>0</v>
      </c>
      <c r="M37" s="324">
        <f t="shared" ca="1" si="66"/>
        <v>0</v>
      </c>
      <c r="N37" s="324">
        <f t="shared" ca="1" si="67"/>
        <v>1</v>
      </c>
      <c r="O37" s="324">
        <f t="shared" ca="1" si="68"/>
        <v>15</v>
      </c>
      <c r="P37" s="324">
        <f t="shared" ca="1" si="69"/>
        <v>144.23288170648527</v>
      </c>
      <c r="Q37" s="324">
        <f t="shared" ca="1" si="70"/>
        <v>3.7675497675349293E-2</v>
      </c>
      <c r="R37" s="324">
        <f t="shared" ca="1" si="71"/>
        <v>0</v>
      </c>
      <c r="S37" s="324">
        <f t="shared" ca="1" si="72"/>
        <v>0</v>
      </c>
      <c r="T37" s="324" t="e">
        <f t="shared" ca="1" si="73"/>
        <v>#DIV/0!</v>
      </c>
      <c r="U37" s="293"/>
      <c r="V37" s="324">
        <f t="shared" ca="1" si="74"/>
        <v>0</v>
      </c>
      <c r="W37" s="70" t="s">
        <v>170</v>
      </c>
      <c r="X37" s="325">
        <v>1.4999999999999999E-2</v>
      </c>
      <c r="Y37" s="113">
        <v>1</v>
      </c>
      <c r="Z37" s="293">
        <v>0.8</v>
      </c>
      <c r="AA37" s="324" t="e">
        <f t="shared" ca="1" si="75"/>
        <v>#DIV/0!</v>
      </c>
      <c r="AB37" s="324">
        <f t="shared" ca="1" si="76"/>
        <v>0</v>
      </c>
      <c r="AC37" s="324" t="e">
        <f t="shared" ca="1" si="77"/>
        <v>#DIV/0!</v>
      </c>
      <c r="AD37" s="324" t="e">
        <f t="shared" ca="1" si="78"/>
        <v>#DIV/0!</v>
      </c>
      <c r="AF37" s="43">
        <f>'Dre-Dados'!B32</f>
        <v>27</v>
      </c>
      <c r="AG37" s="42">
        <f>'Dre-Dados'!H32</f>
        <v>0</v>
      </c>
      <c r="AH37" s="42">
        <f>'Dre-Dados'!I32</f>
        <v>0</v>
      </c>
      <c r="AI37" s="42">
        <f>'Dre-Dados'!J32</f>
        <v>0</v>
      </c>
      <c r="AJ37" s="42">
        <f>'Dre-Dados'!K32</f>
        <v>0</v>
      </c>
      <c r="AK37" s="40">
        <f t="shared" ca="1" si="79"/>
        <v>10000</v>
      </c>
      <c r="AL37" s="40">
        <f t="shared" ca="1" si="80"/>
        <v>10000</v>
      </c>
      <c r="AM37" s="40">
        <f t="shared" ca="1" si="81"/>
        <v>10000</v>
      </c>
      <c r="AN37" s="40">
        <f t="shared" ca="1" si="82"/>
        <v>15</v>
      </c>
      <c r="AO37" s="40">
        <f t="shared" ca="1" si="83"/>
        <v>15</v>
      </c>
      <c r="AP37" s="40">
        <f t="shared" ca="1" si="84"/>
        <v>15</v>
      </c>
      <c r="AQ37" s="40" t="e">
        <f t="shared" ca="1" si="85"/>
        <v>#DIV/0!</v>
      </c>
      <c r="AR37" s="40" t="e">
        <f t="shared" ca="1" si="86"/>
        <v>#DIV/0!</v>
      </c>
      <c r="AS37" s="40" t="e">
        <f t="shared" ca="1" si="87"/>
        <v>#DIV/0!</v>
      </c>
      <c r="AT37" s="40" t="e">
        <f t="shared" ca="1" si="88"/>
        <v>#DIV/0!</v>
      </c>
      <c r="AU37" s="40">
        <f t="shared" ca="1" si="89"/>
        <v>0</v>
      </c>
      <c r="AV37" s="40">
        <f t="shared" ca="1" si="90"/>
        <v>0</v>
      </c>
      <c r="AW37" s="40">
        <f t="shared" ca="1" si="91"/>
        <v>0</v>
      </c>
    </row>
    <row r="38" spans="2:49" ht="14.1" hidden="1" customHeight="1" x14ac:dyDescent="0.25">
      <c r="B38" s="113">
        <f>'Dre-Dados'!B33</f>
        <v>28</v>
      </c>
      <c r="C38" s="325">
        <f>'Dre-Dados'!C33</f>
        <v>0</v>
      </c>
      <c r="D38" s="119"/>
      <c r="E38" s="325">
        <f t="shared" ca="1" si="62"/>
        <v>-1.6</v>
      </c>
      <c r="F38" s="324">
        <f t="shared" ca="1" si="63"/>
        <v>1.6</v>
      </c>
      <c r="G38" s="325">
        <f t="shared" ca="1" si="33"/>
        <v>0</v>
      </c>
      <c r="H38" s="325">
        <f t="shared" ca="1" si="64"/>
        <v>-1.6</v>
      </c>
      <c r="I38" s="324">
        <f t="shared" ca="1" si="65"/>
        <v>1.6</v>
      </c>
      <c r="J38" s="324">
        <f>'Dre-Dados'!E33</f>
        <v>0</v>
      </c>
      <c r="K38" s="324">
        <f>'Dre-Dados'!F33</f>
        <v>0</v>
      </c>
      <c r="L38" s="324">
        <f>'Dre-Dados'!G33</f>
        <v>0</v>
      </c>
      <c r="M38" s="324">
        <f t="shared" ca="1" si="66"/>
        <v>0</v>
      </c>
      <c r="N38" s="324">
        <f t="shared" ca="1" si="67"/>
        <v>1</v>
      </c>
      <c r="O38" s="324">
        <f t="shared" ca="1" si="68"/>
        <v>15</v>
      </c>
      <c r="P38" s="324">
        <f t="shared" ca="1" si="69"/>
        <v>144.23288170648527</v>
      </c>
      <c r="Q38" s="324">
        <f t="shared" ca="1" si="70"/>
        <v>3.7675497675349293E-2</v>
      </c>
      <c r="R38" s="324">
        <f t="shared" ca="1" si="71"/>
        <v>0</v>
      </c>
      <c r="S38" s="324">
        <f t="shared" ca="1" si="72"/>
        <v>0</v>
      </c>
      <c r="T38" s="324" t="e">
        <f t="shared" ca="1" si="73"/>
        <v>#DIV/0!</v>
      </c>
      <c r="U38" s="293"/>
      <c r="V38" s="324">
        <f t="shared" ca="1" si="74"/>
        <v>0</v>
      </c>
      <c r="W38" s="70" t="s">
        <v>170</v>
      </c>
      <c r="X38" s="325">
        <v>1.4999999999999999E-2</v>
      </c>
      <c r="Y38" s="113">
        <v>1</v>
      </c>
      <c r="Z38" s="293">
        <v>0.8</v>
      </c>
      <c r="AA38" s="324" t="e">
        <f t="shared" ca="1" si="75"/>
        <v>#DIV/0!</v>
      </c>
      <c r="AB38" s="324">
        <f t="shared" ca="1" si="76"/>
        <v>0</v>
      </c>
      <c r="AC38" s="324" t="e">
        <f t="shared" ca="1" si="77"/>
        <v>#DIV/0!</v>
      </c>
      <c r="AD38" s="324" t="e">
        <f t="shared" ca="1" si="78"/>
        <v>#DIV/0!</v>
      </c>
      <c r="AF38" s="43">
        <f>'Dre-Dados'!B33</f>
        <v>28</v>
      </c>
      <c r="AG38" s="42">
        <f>'Dre-Dados'!H33</f>
        <v>0</v>
      </c>
      <c r="AH38" s="42">
        <f>'Dre-Dados'!I33</f>
        <v>0</v>
      </c>
      <c r="AI38" s="42">
        <f>'Dre-Dados'!J33</f>
        <v>0</v>
      </c>
      <c r="AJ38" s="42">
        <f>'Dre-Dados'!K33</f>
        <v>0</v>
      </c>
      <c r="AK38" s="40">
        <f t="shared" ca="1" si="79"/>
        <v>10000</v>
      </c>
      <c r="AL38" s="40">
        <f t="shared" ca="1" si="80"/>
        <v>10000</v>
      </c>
      <c r="AM38" s="40">
        <f t="shared" ca="1" si="81"/>
        <v>10000</v>
      </c>
      <c r="AN38" s="40">
        <f t="shared" ca="1" si="82"/>
        <v>15</v>
      </c>
      <c r="AO38" s="40">
        <f t="shared" ca="1" si="83"/>
        <v>15</v>
      </c>
      <c r="AP38" s="40">
        <f t="shared" ca="1" si="84"/>
        <v>15</v>
      </c>
      <c r="AQ38" s="40" t="e">
        <f t="shared" ca="1" si="85"/>
        <v>#DIV/0!</v>
      </c>
      <c r="AR38" s="40" t="e">
        <f t="shared" ca="1" si="86"/>
        <v>#DIV/0!</v>
      </c>
      <c r="AS38" s="40" t="e">
        <f t="shared" ca="1" si="87"/>
        <v>#DIV/0!</v>
      </c>
      <c r="AT38" s="40" t="e">
        <f t="shared" ca="1" si="88"/>
        <v>#DIV/0!</v>
      </c>
      <c r="AU38" s="40">
        <f t="shared" ca="1" si="89"/>
        <v>0</v>
      </c>
      <c r="AV38" s="40">
        <f t="shared" ca="1" si="90"/>
        <v>0</v>
      </c>
      <c r="AW38" s="40">
        <f t="shared" ca="1" si="91"/>
        <v>0</v>
      </c>
    </row>
    <row r="39" spans="2:49" ht="14.1" hidden="1" customHeight="1" x14ac:dyDescent="0.25">
      <c r="B39" s="113">
        <f>'Dre-Dados'!B34</f>
        <v>29</v>
      </c>
      <c r="C39" s="325">
        <f>'Dre-Dados'!C34</f>
        <v>0</v>
      </c>
      <c r="D39" s="119"/>
      <c r="E39" s="325">
        <f t="shared" ca="1" si="62"/>
        <v>-1.6</v>
      </c>
      <c r="F39" s="324">
        <f t="shared" ca="1" si="63"/>
        <v>1.6</v>
      </c>
      <c r="G39" s="325">
        <f t="shared" ca="1" si="33"/>
        <v>0</v>
      </c>
      <c r="H39" s="325">
        <f t="shared" ca="1" si="64"/>
        <v>-1.6</v>
      </c>
      <c r="I39" s="324">
        <f t="shared" ca="1" si="65"/>
        <v>1.6</v>
      </c>
      <c r="J39" s="324">
        <f>'Dre-Dados'!E34</f>
        <v>0</v>
      </c>
      <c r="K39" s="324">
        <f>'Dre-Dados'!F34</f>
        <v>0</v>
      </c>
      <c r="L39" s="324">
        <f>'Dre-Dados'!G34</f>
        <v>0</v>
      </c>
      <c r="M39" s="324">
        <f t="shared" ca="1" si="66"/>
        <v>0</v>
      </c>
      <c r="N39" s="324">
        <f t="shared" ca="1" si="67"/>
        <v>1</v>
      </c>
      <c r="O39" s="324">
        <f t="shared" ca="1" si="68"/>
        <v>15</v>
      </c>
      <c r="P39" s="324">
        <f t="shared" ca="1" si="69"/>
        <v>144.23288170648527</v>
      </c>
      <c r="Q39" s="324">
        <f t="shared" ca="1" si="70"/>
        <v>3.7675497675349293E-2</v>
      </c>
      <c r="R39" s="324">
        <f t="shared" ca="1" si="71"/>
        <v>0</v>
      </c>
      <c r="S39" s="324">
        <f t="shared" ca="1" si="72"/>
        <v>0</v>
      </c>
      <c r="T39" s="324" t="e">
        <f t="shared" ca="1" si="73"/>
        <v>#DIV/0!</v>
      </c>
      <c r="U39" s="293"/>
      <c r="V39" s="324">
        <f t="shared" ca="1" si="74"/>
        <v>0</v>
      </c>
      <c r="W39" s="70" t="s">
        <v>170</v>
      </c>
      <c r="X39" s="325">
        <v>1.4999999999999999E-2</v>
      </c>
      <c r="Y39" s="113">
        <v>1</v>
      </c>
      <c r="Z39" s="293">
        <v>0.8</v>
      </c>
      <c r="AA39" s="324" t="e">
        <f t="shared" ca="1" si="75"/>
        <v>#DIV/0!</v>
      </c>
      <c r="AB39" s="324">
        <f t="shared" ca="1" si="76"/>
        <v>0</v>
      </c>
      <c r="AC39" s="324" t="e">
        <f t="shared" ca="1" si="77"/>
        <v>#DIV/0!</v>
      </c>
      <c r="AD39" s="324" t="e">
        <f t="shared" ca="1" si="78"/>
        <v>#DIV/0!</v>
      </c>
      <c r="AF39" s="43">
        <f>'Dre-Dados'!B34</f>
        <v>29</v>
      </c>
      <c r="AG39" s="42">
        <f>'Dre-Dados'!H34</f>
        <v>0</v>
      </c>
      <c r="AH39" s="42">
        <f>'Dre-Dados'!I34</f>
        <v>0</v>
      </c>
      <c r="AI39" s="42">
        <f>'Dre-Dados'!J34</f>
        <v>0</v>
      </c>
      <c r="AJ39" s="42">
        <f>'Dre-Dados'!K34</f>
        <v>0</v>
      </c>
      <c r="AK39" s="40">
        <f t="shared" ca="1" si="79"/>
        <v>10000</v>
      </c>
      <c r="AL39" s="40">
        <f t="shared" ca="1" si="80"/>
        <v>10000</v>
      </c>
      <c r="AM39" s="40">
        <f t="shared" ca="1" si="81"/>
        <v>10000</v>
      </c>
      <c r="AN39" s="40">
        <f t="shared" ca="1" si="82"/>
        <v>15</v>
      </c>
      <c r="AO39" s="40">
        <f t="shared" ca="1" si="83"/>
        <v>15</v>
      </c>
      <c r="AP39" s="40">
        <f t="shared" ca="1" si="84"/>
        <v>15</v>
      </c>
      <c r="AQ39" s="40" t="e">
        <f t="shared" ca="1" si="85"/>
        <v>#DIV/0!</v>
      </c>
      <c r="AR39" s="40" t="e">
        <f t="shared" ca="1" si="86"/>
        <v>#DIV/0!</v>
      </c>
      <c r="AS39" s="40" t="e">
        <f t="shared" ca="1" si="87"/>
        <v>#DIV/0!</v>
      </c>
      <c r="AT39" s="40" t="e">
        <f t="shared" ca="1" si="88"/>
        <v>#DIV/0!</v>
      </c>
      <c r="AU39" s="40">
        <f t="shared" ca="1" si="89"/>
        <v>0</v>
      </c>
      <c r="AV39" s="40">
        <f t="shared" ca="1" si="90"/>
        <v>0</v>
      </c>
      <c r="AW39" s="40">
        <f t="shared" ca="1" si="91"/>
        <v>0</v>
      </c>
    </row>
    <row r="40" spans="2:49" ht="14.1" customHeight="1" x14ac:dyDescent="0.25">
      <c r="B40" s="113">
        <f>'Dre-Dados'!B35</f>
        <v>30</v>
      </c>
      <c r="C40" s="325">
        <f>'Dre-Dados'!C35</f>
        <v>227.33099999999999</v>
      </c>
      <c r="D40" s="119">
        <v>0.1</v>
      </c>
      <c r="E40" s="325">
        <f t="shared" ca="1" si="62"/>
        <v>225.63099999999997</v>
      </c>
      <c r="F40" s="324">
        <f t="shared" ca="1" si="63"/>
        <v>1.7000000000000171</v>
      </c>
      <c r="G40" s="325">
        <f t="shared" ca="1" si="33"/>
        <v>225.44</v>
      </c>
      <c r="H40" s="325">
        <f t="shared" ca="1" si="64"/>
        <v>223.71099999999998</v>
      </c>
      <c r="I40" s="324">
        <f t="shared" ca="1" si="65"/>
        <v>1.7290000000000134</v>
      </c>
      <c r="J40" s="324">
        <f>'Dre-Dados'!E35</f>
        <v>120</v>
      </c>
      <c r="K40" s="324">
        <f>'Dre-Dados'!F35</f>
        <v>1.2432000000000001</v>
      </c>
      <c r="L40" s="324">
        <f>'Dre-Dados'!G35</f>
        <v>0.6</v>
      </c>
      <c r="M40" s="324">
        <f t="shared" ca="1" si="66"/>
        <v>1.2432000000000001</v>
      </c>
      <c r="N40" s="324">
        <f t="shared" ca="1" si="67"/>
        <v>0.96199253452808176</v>
      </c>
      <c r="O40" s="324">
        <f t="shared" ca="1" si="68"/>
        <v>15</v>
      </c>
      <c r="P40" s="324">
        <f t="shared" ca="1" si="69"/>
        <v>144.23288170648527</v>
      </c>
      <c r="Q40" s="324">
        <f t="shared" ca="1" si="70"/>
        <v>0.53489118512182809</v>
      </c>
      <c r="R40" s="324">
        <f t="shared" ca="1" si="71"/>
        <v>256.31537978040643</v>
      </c>
      <c r="S40" s="324">
        <f t="shared" ca="1" si="72"/>
        <v>256.31537978040643</v>
      </c>
      <c r="T40" s="324">
        <f t="shared" ca="1" si="73"/>
        <v>1.5758333333333259</v>
      </c>
      <c r="U40" s="293">
        <v>1.6</v>
      </c>
      <c r="V40" s="324">
        <f t="shared" ca="1" si="74"/>
        <v>4.322332238695132E-2</v>
      </c>
      <c r="W40" s="70" t="s">
        <v>170</v>
      </c>
      <c r="X40" s="325">
        <v>1.4999999999999999E-2</v>
      </c>
      <c r="Y40" s="113">
        <v>1</v>
      </c>
      <c r="Z40" s="293">
        <v>0.8</v>
      </c>
      <c r="AA40" s="324">
        <f t="shared" ca="1" si="75"/>
        <v>0.22554679757156509</v>
      </c>
      <c r="AB40" s="324">
        <f t="shared" ca="1" si="76"/>
        <v>0.30200110343177827</v>
      </c>
      <c r="AC40" s="324">
        <f t="shared" ca="1" si="77"/>
        <v>2.203442550224056</v>
      </c>
      <c r="AD40" s="324">
        <f t="shared" ca="1" si="78"/>
        <v>15.907670590184724</v>
      </c>
      <c r="AF40" s="43">
        <f>'Dre-Dados'!B35</f>
        <v>30</v>
      </c>
      <c r="AG40" s="42">
        <f>'Dre-Dados'!H35</f>
        <v>31</v>
      </c>
      <c r="AH40" s="42">
        <f>'Dre-Dados'!I35</f>
        <v>0</v>
      </c>
      <c r="AI40" s="42">
        <f>'Dre-Dados'!J35</f>
        <v>0</v>
      </c>
      <c r="AJ40" s="42">
        <f>'Dre-Dados'!K35</f>
        <v>0</v>
      </c>
      <c r="AK40" s="40">
        <f t="shared" ca="1" si="79"/>
        <v>10000</v>
      </c>
      <c r="AL40" s="40">
        <f t="shared" ca="1" si="80"/>
        <v>10000</v>
      </c>
      <c r="AM40" s="40">
        <f t="shared" ca="1" si="81"/>
        <v>10000</v>
      </c>
      <c r="AN40" s="40">
        <f t="shared" ca="1" si="82"/>
        <v>15</v>
      </c>
      <c r="AO40" s="40">
        <f t="shared" ca="1" si="83"/>
        <v>15</v>
      </c>
      <c r="AP40" s="40">
        <f t="shared" ca="1" si="84"/>
        <v>15</v>
      </c>
      <c r="AQ40" s="40">
        <f t="shared" ca="1" si="85"/>
        <v>0.22554679757156509</v>
      </c>
      <c r="AR40" s="40">
        <f t="shared" ca="1" si="86"/>
        <v>0.23942897920341877</v>
      </c>
      <c r="AS40" s="40">
        <f t="shared" ca="1" si="87"/>
        <v>7.1484318671412124E-3</v>
      </c>
      <c r="AT40" s="40">
        <f t="shared" ca="1" si="88"/>
        <v>181.75775940523661</v>
      </c>
      <c r="AU40" s="40">
        <f t="shared" ca="1" si="89"/>
        <v>0.30023417098229416</v>
      </c>
      <c r="AV40" s="40">
        <f t="shared" ca="1" si="90"/>
        <v>0.30200110343177827</v>
      </c>
      <c r="AW40" s="40">
        <f t="shared" ca="1" si="91"/>
        <v>0.44029802257641182</v>
      </c>
    </row>
    <row r="41" spans="2:49" ht="14.1" customHeight="1" x14ac:dyDescent="0.25">
      <c r="B41" s="113">
        <f>'Dre-Dados'!B36</f>
        <v>31</v>
      </c>
      <c r="C41" s="325">
        <f>'Dre-Dados'!C36</f>
        <v>225.44</v>
      </c>
      <c r="D41" s="119"/>
      <c r="E41" s="325">
        <f t="shared" ca="1" si="62"/>
        <v>223.71099999999998</v>
      </c>
      <c r="F41" s="324">
        <f t="shared" ca="1" si="63"/>
        <v>1.7290000000000134</v>
      </c>
      <c r="G41" s="325">
        <f t="shared" ca="1" si="33"/>
        <v>223.60300000000001</v>
      </c>
      <c r="H41" s="325">
        <f t="shared" ca="1" si="64"/>
        <v>221.85099999999997</v>
      </c>
      <c r="I41" s="324">
        <f t="shared" ca="1" si="65"/>
        <v>1.752000000000038</v>
      </c>
      <c r="J41" s="324">
        <f>'Dre-Dados'!E36</f>
        <v>120</v>
      </c>
      <c r="K41" s="324">
        <f>'Dre-Dados'!F36</f>
        <v>0.94610000000000005</v>
      </c>
      <c r="L41" s="324">
        <f>'Dre-Dados'!G36</f>
        <v>0.6</v>
      </c>
      <c r="M41" s="324">
        <f t="shared" ca="1" si="66"/>
        <v>2.1893000000000002</v>
      </c>
      <c r="N41" s="324">
        <f t="shared" ca="1" si="67"/>
        <v>0.86981253224614163</v>
      </c>
      <c r="O41" s="324">
        <f t="shared" ca="1" si="68"/>
        <v>15.907670590184724</v>
      </c>
      <c r="P41" s="324">
        <f t="shared" ca="1" si="69"/>
        <v>140.31282507998762</v>
      </c>
      <c r="Q41" s="324">
        <f t="shared" ca="1" si="70"/>
        <v>0.5404824298520472</v>
      </c>
      <c r="R41" s="324">
        <f t="shared" ca="1" si="71"/>
        <v>173.369977887071</v>
      </c>
      <c r="S41" s="324">
        <f t="shared" ca="1" si="72"/>
        <v>429.68535766747743</v>
      </c>
      <c r="T41" s="324">
        <f t="shared" ca="1" si="73"/>
        <v>1.5308333333333242</v>
      </c>
      <c r="U41" s="293">
        <v>1.55</v>
      </c>
      <c r="V41" s="324">
        <f t="shared" ca="1" si="74"/>
        <v>0.12147024936326152</v>
      </c>
      <c r="W41" s="70" t="s">
        <v>170</v>
      </c>
      <c r="X41" s="325">
        <v>1.4999999999999999E-2</v>
      </c>
      <c r="Y41" s="113">
        <v>1</v>
      </c>
      <c r="Z41" s="293">
        <v>0.8</v>
      </c>
      <c r="AA41" s="324">
        <f t="shared" ca="1" si="75"/>
        <v>0.30053924128425152</v>
      </c>
      <c r="AB41" s="324">
        <f t="shared" ca="1" si="76"/>
        <v>0.39424305417169425</v>
      </c>
      <c r="AC41" s="324">
        <f t="shared" ca="1" si="77"/>
        <v>2.4896810535175793</v>
      </c>
      <c r="AD41" s="324">
        <f t="shared" ca="1" si="78"/>
        <v>16.71098633907323</v>
      </c>
      <c r="AF41" s="43">
        <f>'Dre-Dados'!B36</f>
        <v>31</v>
      </c>
      <c r="AG41" s="42">
        <f>'Dre-Dados'!H36</f>
        <v>32</v>
      </c>
      <c r="AH41" s="42">
        <f>'Dre-Dados'!I36</f>
        <v>30</v>
      </c>
      <c r="AI41" s="42">
        <f>'Dre-Dados'!J36</f>
        <v>0</v>
      </c>
      <c r="AJ41" s="42">
        <f>'Dre-Dados'!K36</f>
        <v>0</v>
      </c>
      <c r="AK41" s="40">
        <f t="shared" ca="1" si="79"/>
        <v>223.71099999999998</v>
      </c>
      <c r="AL41" s="40">
        <f t="shared" ca="1" si="80"/>
        <v>10000</v>
      </c>
      <c r="AM41" s="40">
        <f t="shared" ca="1" si="81"/>
        <v>10000</v>
      </c>
      <c r="AN41" s="40">
        <f t="shared" ca="1" si="82"/>
        <v>15.907670590184724</v>
      </c>
      <c r="AO41" s="40">
        <f t="shared" ca="1" si="83"/>
        <v>15</v>
      </c>
      <c r="AP41" s="40">
        <f t="shared" ca="1" si="84"/>
        <v>15</v>
      </c>
      <c r="AQ41" s="40">
        <f t="shared" ca="1" si="85"/>
        <v>0.29154716314208401</v>
      </c>
      <c r="AR41" s="40">
        <f t="shared" ca="1" si="86"/>
        <v>0.30053924128425152</v>
      </c>
      <c r="AS41" s="40">
        <f t="shared" ca="1" si="87"/>
        <v>2.8106006151180644E-2</v>
      </c>
      <c r="AT41" s="40">
        <f t="shared" ca="1" si="88"/>
        <v>269.66641787584012</v>
      </c>
      <c r="AU41" s="40">
        <f t="shared" ca="1" si="89"/>
        <v>0.39088489289116402</v>
      </c>
      <c r="AV41" s="40">
        <f t="shared" ca="1" si="90"/>
        <v>0.39424305417169425</v>
      </c>
      <c r="AW41" s="40">
        <f t="shared" ca="1" si="91"/>
        <v>0.51723118246387767</v>
      </c>
    </row>
    <row r="42" spans="2:49" ht="14.1" customHeight="1" x14ac:dyDescent="0.25">
      <c r="B42" s="338">
        <f>'Dre-Dados'!B37</f>
        <v>32</v>
      </c>
      <c r="C42" s="339">
        <f>'Dre-Dados'!C37</f>
        <v>223.60300000000001</v>
      </c>
      <c r="D42" s="340"/>
      <c r="E42" s="339">
        <f t="shared" ca="1" si="62"/>
        <v>221.85099999999997</v>
      </c>
      <c r="F42" s="322">
        <f t="shared" ca="1" si="63"/>
        <v>1.752000000000038</v>
      </c>
      <c r="G42" s="339">
        <f>'Dre-Dados'!D37</f>
        <v>221.35</v>
      </c>
      <c r="H42" s="339">
        <f t="shared" ca="1" si="64"/>
        <v>220.54799499999996</v>
      </c>
      <c r="I42" s="322">
        <f t="shared" ca="1" si="65"/>
        <v>-0.80200500000003672</v>
      </c>
      <c r="J42" s="322">
        <f>'Dre-Dados'!E37</f>
        <v>16.39</v>
      </c>
      <c r="K42" s="322">
        <f>'Dre-Dados'!F37</f>
        <v>1.0807</v>
      </c>
      <c r="L42" s="322">
        <f>'Dre-Dados'!G37</f>
        <v>0.6</v>
      </c>
      <c r="M42" s="322">
        <f t="shared" ca="1" si="66"/>
        <v>3.2700000000000005</v>
      </c>
      <c r="N42" s="322">
        <f t="shared" ca="1" si="67"/>
        <v>0.80986102726470433</v>
      </c>
      <c r="O42" s="322">
        <f t="shared" ca="1" si="68"/>
        <v>16.71098633907323</v>
      </c>
      <c r="P42" s="322">
        <f t="shared" ca="1" si="69"/>
        <v>137.03715560665725</v>
      </c>
      <c r="Q42" s="322">
        <f t="shared" ca="1" si="70"/>
        <v>0.54512203097027123</v>
      </c>
      <c r="R42" s="322">
        <f t="shared" ca="1" si="71"/>
        <v>181.62681316678115</v>
      </c>
      <c r="S42" s="322">
        <f t="shared" ca="1" si="72"/>
        <v>611.31217083425861</v>
      </c>
      <c r="T42" s="322">
        <f t="shared" si="73"/>
        <v>13.74618669920692</v>
      </c>
      <c r="U42" s="341">
        <v>7.95</v>
      </c>
      <c r="V42" s="322">
        <f t="shared" ca="1" si="74"/>
        <v>0.24586397498735074</v>
      </c>
      <c r="W42" s="97" t="s">
        <v>170</v>
      </c>
      <c r="X42" s="339">
        <v>1.4999999999999999E-2</v>
      </c>
      <c r="Y42" s="338">
        <v>1</v>
      </c>
      <c r="Z42" s="341">
        <v>0.8</v>
      </c>
      <c r="AA42" s="322">
        <f t="shared" ca="1" si="75"/>
        <v>0.24550798535339199</v>
      </c>
      <c r="AB42" s="322">
        <f t="shared" ca="1" si="76"/>
        <v>0.47288417765627611</v>
      </c>
      <c r="AC42" s="322">
        <f t="shared" ca="1" si="77"/>
        <v>4.6708076071529074</v>
      </c>
      <c r="AD42" s="322">
        <f t="shared" ca="1" si="78"/>
        <v>16.769470158070256</v>
      </c>
      <c r="AF42" s="43">
        <f>'Dre-Dados'!B37</f>
        <v>32</v>
      </c>
      <c r="AG42" s="42">
        <f>'Dre-Dados'!H37</f>
        <v>0</v>
      </c>
      <c r="AH42" s="42">
        <f>'Dre-Dados'!I37</f>
        <v>31</v>
      </c>
      <c r="AI42" s="42">
        <f>'Dre-Dados'!J37</f>
        <v>0</v>
      </c>
      <c r="AJ42" s="42">
        <f>'Dre-Dados'!K37</f>
        <v>0</v>
      </c>
      <c r="AK42" s="40">
        <f t="shared" ca="1" si="79"/>
        <v>221.85099999999997</v>
      </c>
      <c r="AL42" s="40">
        <f t="shared" ca="1" si="80"/>
        <v>10000</v>
      </c>
      <c r="AM42" s="40">
        <f t="shared" ca="1" si="81"/>
        <v>10000</v>
      </c>
      <c r="AN42" s="40">
        <f t="shared" ca="1" si="82"/>
        <v>16.71098633907323</v>
      </c>
      <c r="AO42" s="40">
        <f t="shared" ca="1" si="83"/>
        <v>15</v>
      </c>
      <c r="AP42" s="40">
        <f t="shared" ca="1" si="84"/>
        <v>15</v>
      </c>
      <c r="AQ42" s="40">
        <f t="shared" ca="1" si="85"/>
        <v>0.23301855262086349</v>
      </c>
      <c r="AR42" s="40">
        <f t="shared" ca="1" si="86"/>
        <v>0.24550798535339199</v>
      </c>
      <c r="AS42" s="40">
        <f t="shared" ca="1" si="87"/>
        <v>8.512474326387515E-3</v>
      </c>
      <c r="AT42" s="40">
        <f t="shared" ca="1" si="88"/>
        <v>204.49895334283664</v>
      </c>
      <c r="AU42" s="40">
        <f t="shared" ca="1" si="89"/>
        <v>0.46799739263331036</v>
      </c>
      <c r="AV42" s="40">
        <f t="shared" ca="1" si="90"/>
        <v>0.47288417765627611</v>
      </c>
      <c r="AW42" s="40">
        <f t="shared" ca="1" si="91"/>
        <v>0.57731103899938541</v>
      </c>
    </row>
    <row r="43" spans="2:49" x14ac:dyDescent="0.25">
      <c r="G43" s="48"/>
    </row>
  </sheetData>
  <mergeCells count="37">
    <mergeCell ref="K3:Z4"/>
    <mergeCell ref="AN7:AP8"/>
    <mergeCell ref="AQ7:AS7"/>
    <mergeCell ref="AU7:AW7"/>
    <mergeCell ref="AT7:AT8"/>
    <mergeCell ref="AG7:AJ7"/>
    <mergeCell ref="AG8:AG9"/>
    <mergeCell ref="AH8:AJ8"/>
    <mergeCell ref="AK7:AM8"/>
    <mergeCell ref="AC7:AC9"/>
    <mergeCell ref="AA7:AB8"/>
    <mergeCell ref="W7:Z7"/>
    <mergeCell ref="W8:W9"/>
    <mergeCell ref="X8:X9"/>
    <mergeCell ref="Y8:Y9"/>
    <mergeCell ref="Z8:Z9"/>
    <mergeCell ref="B7:B9"/>
    <mergeCell ref="C8:F8"/>
    <mergeCell ref="C7:I7"/>
    <mergeCell ref="G8:I8"/>
    <mergeCell ref="J7:J9"/>
    <mergeCell ref="AA1:AD1"/>
    <mergeCell ref="AA2:AD2"/>
    <mergeCell ref="K7:L7"/>
    <mergeCell ref="K8:K9"/>
    <mergeCell ref="L8:L9"/>
    <mergeCell ref="M7:M9"/>
    <mergeCell ref="N7:N9"/>
    <mergeCell ref="O7:O9"/>
    <mergeCell ref="P7:P9"/>
    <mergeCell ref="Q7:Q9"/>
    <mergeCell ref="R7:R9"/>
    <mergeCell ref="S7:S9"/>
    <mergeCell ref="T7:V7"/>
    <mergeCell ref="T8:T9"/>
    <mergeCell ref="U8:V8"/>
    <mergeCell ref="AD7:AD9"/>
  </mergeCells>
  <printOptions horizontalCentered="1"/>
  <pageMargins left="0.59055118110236227" right="0.39370078740157483" top="0.39370078740157483" bottom="0.78740157480314965" header="0.31496062992125984" footer="0.31496062992125984"/>
  <pageSetup paperSize="8" scale="72"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tabColor rgb="FF00B050"/>
  </sheetPr>
  <dimension ref="B1:V79"/>
  <sheetViews>
    <sheetView showGridLines="0" view="pageBreakPreview" zoomScaleSheetLayoutView="100" workbookViewId="0">
      <pane ySplit="8" topLeftCell="A9"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5.7109375" style="4" customWidth="1"/>
    <col min="4" max="4" width="25.7109375" style="4" customWidth="1"/>
    <col min="5" max="5" width="7.7109375" style="4" customWidth="1"/>
    <col min="6" max="6" width="1.7109375" style="4" customWidth="1"/>
    <col min="7" max="18" width="8.7109375" style="4" customWidth="1"/>
    <col min="19" max="19" width="1.7109375" style="4" customWidth="1"/>
    <col min="20" max="20" width="9.7109375" style="4" customWidth="1"/>
    <col min="21" max="21" width="1.7109375" style="4" customWidth="1"/>
    <col min="22" max="22" width="10.7109375" style="4" customWidth="1"/>
    <col min="23" max="16384" width="9.140625" style="4"/>
  </cols>
  <sheetData>
    <row r="1" spans="2:22" ht="5.0999999999999996" customHeight="1" x14ac:dyDescent="0.25"/>
    <row r="2" spans="2:22" ht="14.1" customHeight="1" x14ac:dyDescent="0.25">
      <c r="B2" s="100" t="str">
        <f>DADOS!$B$3</f>
        <v>CLIENTE:</v>
      </c>
      <c r="C2" s="81" t="str">
        <f>DADOS!$C$3</f>
        <v>PREFEITURA MUNICIPAL DE JARDIM / MS</v>
      </c>
      <c r="D2" s="34"/>
      <c r="E2" s="34"/>
      <c r="F2" s="34"/>
      <c r="G2" s="34"/>
      <c r="H2" s="34"/>
      <c r="I2" s="34"/>
      <c r="J2" s="34"/>
      <c r="K2" s="34"/>
      <c r="L2" s="34"/>
      <c r="M2" s="34"/>
      <c r="N2" s="34"/>
      <c r="O2" s="34"/>
      <c r="P2" s="34"/>
      <c r="Q2" s="34"/>
      <c r="R2" s="34"/>
      <c r="S2" s="34"/>
      <c r="T2" s="34"/>
      <c r="U2" s="34"/>
      <c r="V2" s="44"/>
    </row>
    <row r="3" spans="2:22" ht="14.1" customHeight="1" x14ac:dyDescent="0.25">
      <c r="B3" s="101" t="str">
        <f>DADOS!$B$4</f>
        <v>ENDEREÇO:</v>
      </c>
      <c r="C3" s="82" t="str">
        <f>DADOS!$C$4</f>
        <v>RUA CEL. JUVÊNCIO, Nº 547 - CENTRO</v>
      </c>
      <c r="V3" s="45"/>
    </row>
    <row r="4" spans="2:22" ht="14.1" customHeight="1" x14ac:dyDescent="0.2">
      <c r="B4" s="83"/>
      <c r="C4" s="82"/>
      <c r="V4" s="45"/>
    </row>
    <row r="5" spans="2:22" ht="14.1" customHeight="1" x14ac:dyDescent="0.25">
      <c r="B5" s="101" t="str">
        <f>DADOS!$B$7</f>
        <v>OBRA:</v>
      </c>
      <c r="C5" s="82" t="str">
        <f>DADOS!$C$7</f>
        <v>PAVIMENTAÇÃO ASFÁLTICA E DRENAGEM DE ÁGUAS PLUVIAIS</v>
      </c>
      <c r="V5" s="45"/>
    </row>
    <row r="6" spans="2:22" ht="14.1" customHeight="1" x14ac:dyDescent="0.25">
      <c r="B6" s="84" t="str">
        <f>DADOS!$B$8</f>
        <v>LOCAL:</v>
      </c>
      <c r="C6" s="85" t="str">
        <f>DADOS!$C$8</f>
        <v>JARDIM PREVISUL, JARDIM / MS</v>
      </c>
      <c r="D6" s="46"/>
      <c r="E6" s="46"/>
      <c r="F6" s="46"/>
      <c r="G6" s="46"/>
      <c r="H6" s="46"/>
      <c r="I6" s="46"/>
      <c r="J6" s="46"/>
      <c r="K6" s="46"/>
      <c r="L6" s="46"/>
      <c r="M6" s="46"/>
      <c r="N6" s="46"/>
      <c r="O6" s="46"/>
      <c r="P6" s="46"/>
      <c r="Q6" s="46"/>
      <c r="R6" s="46"/>
      <c r="S6" s="46"/>
      <c r="T6" s="46"/>
      <c r="U6" s="46"/>
      <c r="V6" s="47"/>
    </row>
    <row r="7" spans="2:22" ht="5.0999999999999996" customHeight="1" x14ac:dyDescent="0.25"/>
    <row r="8" spans="2:22" ht="30" customHeight="1" x14ac:dyDescent="0.25">
      <c r="B8" s="470" t="s">
        <v>63</v>
      </c>
      <c r="C8" s="471"/>
      <c r="D8" s="471"/>
      <c r="E8" s="459"/>
      <c r="F8" s="9"/>
      <c r="G8" s="13">
        <f>'Dre-Dim'!B16</f>
        <v>6</v>
      </c>
      <c r="H8" s="13">
        <f>'Dre-Dim'!B17</f>
        <v>7</v>
      </c>
      <c r="I8" s="13">
        <f>'Dre-Dim'!B18</f>
        <v>8</v>
      </c>
      <c r="J8" s="13">
        <f>'Dre-Dim'!B19</f>
        <v>9</v>
      </c>
      <c r="K8" s="13">
        <f>'Dre-Dim'!B30</f>
        <v>20</v>
      </c>
      <c r="L8" s="13">
        <f>'Dre-Dim'!B31</f>
        <v>21</v>
      </c>
      <c r="M8" s="13">
        <f>'Dre-Dim'!B32</f>
        <v>22</v>
      </c>
      <c r="N8" s="297">
        <f>'Dre-Dim'!B33</f>
        <v>23</v>
      </c>
      <c r="O8" s="297">
        <f>'Dre-Dim'!B34</f>
        <v>24</v>
      </c>
      <c r="P8" s="297">
        <f>'Dre-Dim'!B40</f>
        <v>30</v>
      </c>
      <c r="Q8" s="297">
        <f>'Dre-Dim'!B41</f>
        <v>31</v>
      </c>
      <c r="R8" s="297">
        <f>'Dre-Dim'!B42</f>
        <v>32</v>
      </c>
      <c r="S8" s="9"/>
      <c r="T8" s="11" t="s">
        <v>62</v>
      </c>
      <c r="U8" s="9"/>
      <c r="V8" s="10" t="s">
        <v>5</v>
      </c>
    </row>
    <row r="9" spans="2:22" ht="5.0999999999999996" customHeight="1" x14ac:dyDescent="0.25">
      <c r="C9" s="8"/>
      <c r="D9" s="8"/>
      <c r="E9" s="8"/>
      <c r="F9" s="8"/>
      <c r="G9" s="8"/>
      <c r="H9" s="8"/>
      <c r="I9" s="8"/>
      <c r="J9" s="8"/>
      <c r="K9" s="8"/>
      <c r="L9" s="8"/>
      <c r="M9" s="8"/>
      <c r="N9" s="8"/>
      <c r="O9" s="8"/>
      <c r="P9" s="8"/>
      <c r="Q9" s="8"/>
      <c r="R9" s="8"/>
      <c r="S9" s="8"/>
      <c r="T9" s="8"/>
      <c r="U9" s="8"/>
      <c r="V9" s="8"/>
    </row>
    <row r="10" spans="2:22" ht="14.1" customHeight="1" x14ac:dyDescent="0.25">
      <c r="B10" s="467" t="s">
        <v>117</v>
      </c>
      <c r="C10" s="459" t="s">
        <v>64</v>
      </c>
      <c r="D10" s="450"/>
      <c r="E10" s="450"/>
      <c r="F10" s="8"/>
      <c r="G10" s="254">
        <f>'Dre-Dim'!J16</f>
        <v>68.510000000000005</v>
      </c>
      <c r="H10" s="254">
        <f>'Dre-Dim'!J17</f>
        <v>68.510000000000005</v>
      </c>
      <c r="I10" s="254">
        <f>'Dre-Dim'!J18</f>
        <v>69.290000000000006</v>
      </c>
      <c r="J10" s="254">
        <f>'Dre-Dim'!J19</f>
        <v>69.290000000000006</v>
      </c>
      <c r="K10" s="254">
        <f>'Dre-Dim'!J30</f>
        <v>88.65</v>
      </c>
      <c r="L10" s="254">
        <f>'Dre-Dim'!J31</f>
        <v>84.58</v>
      </c>
      <c r="M10" s="254">
        <f>'Dre-Dim'!J32</f>
        <v>80.400000000000006</v>
      </c>
      <c r="N10" s="302">
        <f>'Dre-Dim'!J33</f>
        <v>39.29</v>
      </c>
      <c r="O10" s="302">
        <f>'Dre-Dim'!J34</f>
        <v>16.190000000000001</v>
      </c>
      <c r="P10" s="302">
        <f>'Dre-Dim'!J40</f>
        <v>120</v>
      </c>
      <c r="Q10" s="302">
        <f>'Dre-Dim'!J41</f>
        <v>120</v>
      </c>
      <c r="R10" s="302">
        <f>'Dre-Dim'!J42</f>
        <v>16.39</v>
      </c>
      <c r="S10" s="8"/>
      <c r="T10" s="23">
        <f>'Dre-Disp. Estruturais'!$X$23</f>
        <v>544</v>
      </c>
      <c r="U10" s="8"/>
      <c r="V10" s="15">
        <f>SUM(F10:U10)</f>
        <v>1385.1</v>
      </c>
    </row>
    <row r="11" spans="2:22" ht="14.1" customHeight="1" x14ac:dyDescent="0.25">
      <c r="B11" s="468"/>
      <c r="C11" s="459" t="s">
        <v>65</v>
      </c>
      <c r="D11" s="450"/>
      <c r="E11" s="450"/>
      <c r="F11" s="8"/>
      <c r="G11" s="254">
        <f>'Dre-Dim'!Z16</f>
        <v>0.8</v>
      </c>
      <c r="H11" s="254">
        <f>'Dre-Dim'!Z17</f>
        <v>0.8</v>
      </c>
      <c r="I11" s="254">
        <f>'Dre-Dim'!Z18</f>
        <v>0.8</v>
      </c>
      <c r="J11" s="254">
        <f>'Dre-Dim'!Z19</f>
        <v>0.8</v>
      </c>
      <c r="K11" s="254">
        <f>'Dre-Dim'!Z30</f>
        <v>0.8</v>
      </c>
      <c r="L11" s="254">
        <f>'Dre-Dim'!Z31</f>
        <v>0.8</v>
      </c>
      <c r="M11" s="254">
        <f>'Dre-Dim'!Z32</f>
        <v>0.8</v>
      </c>
      <c r="N11" s="302">
        <f>'Dre-Dim'!Z33</f>
        <v>0.8</v>
      </c>
      <c r="O11" s="302">
        <f>'Dre-Dim'!Z34</f>
        <v>0.8</v>
      </c>
      <c r="P11" s="302">
        <f>'Dre-Dim'!Z40</f>
        <v>0.8</v>
      </c>
      <c r="Q11" s="302">
        <f>'Dre-Dim'!Z41</f>
        <v>0.8</v>
      </c>
      <c r="R11" s="302">
        <f>'Dre-Dim'!Z42</f>
        <v>0.8</v>
      </c>
      <c r="S11" s="8"/>
      <c r="T11" s="23">
        <v>0.4</v>
      </c>
      <c r="U11" s="8"/>
      <c r="V11" s="18"/>
    </row>
    <row r="12" spans="2:22" ht="14.1" customHeight="1" x14ac:dyDescent="0.25">
      <c r="B12" s="468"/>
      <c r="C12" s="459" t="s">
        <v>66</v>
      </c>
      <c r="D12" s="450"/>
      <c r="E12" s="450"/>
      <c r="F12" s="8"/>
      <c r="G12" s="255">
        <f>'Dre-Dim'!Y16</f>
        <v>1</v>
      </c>
      <c r="H12" s="255">
        <f>'Dre-Dim'!Y17</f>
        <v>1</v>
      </c>
      <c r="I12" s="255">
        <f>'Dre-Dim'!Y18</f>
        <v>1</v>
      </c>
      <c r="J12" s="255">
        <f>'Dre-Dim'!Y19</f>
        <v>1</v>
      </c>
      <c r="K12" s="255">
        <f>'Dre-Dim'!Y30</f>
        <v>1</v>
      </c>
      <c r="L12" s="255">
        <f>'Dre-Dim'!Y31</f>
        <v>1</v>
      </c>
      <c r="M12" s="255">
        <f>'Dre-Dim'!Y32</f>
        <v>1</v>
      </c>
      <c r="N12" s="255">
        <f>'Dre-Dim'!Y33</f>
        <v>1</v>
      </c>
      <c r="O12" s="255">
        <f>'Dre-Dim'!Y34</f>
        <v>1</v>
      </c>
      <c r="P12" s="255">
        <f>'Dre-Dim'!Y40</f>
        <v>1</v>
      </c>
      <c r="Q12" s="255">
        <f>'Dre-Dim'!Y41</f>
        <v>1</v>
      </c>
      <c r="R12" s="255">
        <f>'Dre-Dim'!Y42</f>
        <v>1</v>
      </c>
      <c r="S12" s="8"/>
      <c r="T12" s="21">
        <v>1</v>
      </c>
      <c r="U12" s="8"/>
      <c r="V12" s="19"/>
    </row>
    <row r="13" spans="2:22" ht="14.1" customHeight="1" x14ac:dyDescent="0.25">
      <c r="B13" s="468"/>
      <c r="C13" s="459" t="s">
        <v>511</v>
      </c>
      <c r="D13" s="450"/>
      <c r="E13" s="450"/>
      <c r="F13" s="8"/>
      <c r="G13" s="255" t="str">
        <f>'Dre-Dim'!W16</f>
        <v>C</v>
      </c>
      <c r="H13" s="255" t="str">
        <f>'Dre-Dim'!W17</f>
        <v>C</v>
      </c>
      <c r="I13" s="255" t="str">
        <f>'Dre-Dim'!W18</f>
        <v>C</v>
      </c>
      <c r="J13" s="255" t="str">
        <f>'Dre-Dim'!W19</f>
        <v>C</v>
      </c>
      <c r="K13" s="255" t="str">
        <f>'Dre-Dim'!W30</f>
        <v>C</v>
      </c>
      <c r="L13" s="255" t="str">
        <f>'Dre-Dim'!W31</f>
        <v>C</v>
      </c>
      <c r="M13" s="255" t="str">
        <f>'Dre-Dim'!W32</f>
        <v>C</v>
      </c>
      <c r="N13" s="255" t="str">
        <f>'Dre-Dim'!W33</f>
        <v>C</v>
      </c>
      <c r="O13" s="255" t="str">
        <f>'Dre-Dim'!W34</f>
        <v>C</v>
      </c>
      <c r="P13" s="255" t="str">
        <f>'Dre-Dim'!W40</f>
        <v>C</v>
      </c>
      <c r="Q13" s="255" t="str">
        <f>'Dre-Dim'!W41</f>
        <v>C</v>
      </c>
      <c r="R13" s="255" t="str">
        <f>'Dre-Dim'!W42</f>
        <v>C</v>
      </c>
      <c r="S13" s="8"/>
      <c r="T13" s="21" t="s">
        <v>170</v>
      </c>
      <c r="U13" s="8"/>
      <c r="V13" s="19"/>
    </row>
    <row r="14" spans="2:22" ht="14.1" customHeight="1" x14ac:dyDescent="0.25">
      <c r="B14" s="468"/>
      <c r="C14" s="459" t="s">
        <v>67</v>
      </c>
      <c r="D14" s="450"/>
      <c r="E14" s="450"/>
      <c r="F14" s="8"/>
      <c r="G14" s="261" t="str">
        <f t="shared" ref="G14:J14" si="0">IF(G11&gt;0.7,"PA-1","PS-1")</f>
        <v>PA-1</v>
      </c>
      <c r="H14" s="261" t="str">
        <f t="shared" si="0"/>
        <v>PA-1</v>
      </c>
      <c r="I14" s="261" t="str">
        <f t="shared" si="0"/>
        <v>PA-1</v>
      </c>
      <c r="J14" s="261" t="str">
        <f t="shared" si="0"/>
        <v>PA-1</v>
      </c>
      <c r="K14" s="261" t="str">
        <f t="shared" ref="K14:M14" si="1">IF(K11&gt;0.7,"PA-1","PS-1")</f>
        <v>PA-1</v>
      </c>
      <c r="L14" s="261" t="str">
        <f t="shared" si="1"/>
        <v>PA-1</v>
      </c>
      <c r="M14" s="261" t="str">
        <f t="shared" si="1"/>
        <v>PA-1</v>
      </c>
      <c r="N14" s="261" t="str">
        <f t="shared" ref="N14:O14" si="2">IF(N11&gt;0.7,"PA-1","PS-1")</f>
        <v>PA-1</v>
      </c>
      <c r="O14" s="261" t="str">
        <f t="shared" si="2"/>
        <v>PA-1</v>
      </c>
      <c r="P14" s="261" t="str">
        <f t="shared" ref="P14:R14" si="3">IF(P11&gt;0.7,"PA-1","PS-1")</f>
        <v>PA-1</v>
      </c>
      <c r="Q14" s="261" t="str">
        <f t="shared" si="3"/>
        <v>PA-1</v>
      </c>
      <c r="R14" s="261" t="str">
        <f t="shared" si="3"/>
        <v>PA-1</v>
      </c>
      <c r="S14" s="8"/>
      <c r="T14" s="12" t="str">
        <f t="shared" ref="T14" si="4">IF(T11&gt;0.7,"PA-1","PS-1")</f>
        <v>PS-1</v>
      </c>
      <c r="U14" s="8"/>
      <c r="V14" s="19"/>
    </row>
    <row r="15" spans="2:22" ht="14.1" customHeight="1" x14ac:dyDescent="0.25">
      <c r="B15" s="468"/>
      <c r="C15" s="459" t="s">
        <v>68</v>
      </c>
      <c r="D15" s="450" t="s">
        <v>69</v>
      </c>
      <c r="E15" s="450"/>
      <c r="F15" s="8"/>
      <c r="G15" s="254">
        <f ca="1">ABS('Dre-Dim'!F16)</f>
        <v>1.7000000000000171</v>
      </c>
      <c r="H15" s="254">
        <f ca="1">ABS('Dre-Dim'!F17)</f>
        <v>1.7309649999999976</v>
      </c>
      <c r="I15" s="254">
        <f ca="1">ABS('Dre-Dim'!F18)</f>
        <v>1.7233400000000074</v>
      </c>
      <c r="J15" s="254">
        <f ca="1">ABS('Dre-Dim'!F19)</f>
        <v>1.7005300000000148</v>
      </c>
      <c r="K15" s="254">
        <f ca="1">ABS('Dre-Dim'!F30)</f>
        <v>1.7000000000000171</v>
      </c>
      <c r="L15" s="254">
        <f ca="1">ABS('Dre-Dim'!F31)</f>
        <v>1.7374499999999955</v>
      </c>
      <c r="M15" s="254">
        <f ca="1">ABS('Dre-Dim'!F32)</f>
        <v>1.7226400000000126</v>
      </c>
      <c r="N15" s="302">
        <f ca="1">ABS('Dre-Dim'!F33)</f>
        <v>1.7336400000000083</v>
      </c>
      <c r="O15" s="302">
        <f ca="1">ABS('Dre-Dim'!F34)</f>
        <v>1.7338000000000306</v>
      </c>
      <c r="P15" s="302">
        <f ca="1">ABS('Dre-Dim'!F40)</f>
        <v>1.7000000000000171</v>
      </c>
      <c r="Q15" s="302">
        <f ca="1">ABS('Dre-Dim'!F41)</f>
        <v>1.7290000000000134</v>
      </c>
      <c r="R15" s="302">
        <f ca="1">ABS('Dre-Dim'!F42)</f>
        <v>1.752000000000038</v>
      </c>
      <c r="S15" s="8"/>
      <c r="T15" s="23">
        <v>1.5</v>
      </c>
      <c r="U15" s="8"/>
      <c r="V15" s="19"/>
    </row>
    <row r="16" spans="2:22" ht="14.1" customHeight="1" x14ac:dyDescent="0.25">
      <c r="B16" s="468"/>
      <c r="C16" s="459"/>
      <c r="D16" s="450" t="s">
        <v>74</v>
      </c>
      <c r="E16" s="450"/>
      <c r="F16" s="8"/>
      <c r="G16" s="254">
        <f ca="1">ABS('Dre-Dim'!I16)</f>
        <v>1.7309649999999976</v>
      </c>
      <c r="H16" s="254">
        <f ca="1">ABS('Dre-Dim'!I17)</f>
        <v>1.7233400000000074</v>
      </c>
      <c r="I16" s="254">
        <f ca="1">ABS('Dre-Dim'!I18)</f>
        <v>1.7005300000000148</v>
      </c>
      <c r="J16" s="254">
        <f ca="1">ABS('Dre-Dim'!I19)</f>
        <v>1.707525000000004</v>
      </c>
      <c r="K16" s="254">
        <f ca="1">ABS('Dre-Dim'!I30)</f>
        <v>1.7374499999999955</v>
      </c>
      <c r="L16" s="254">
        <f ca="1">ABS('Dre-Dim'!I31)</f>
        <v>1.7226400000000126</v>
      </c>
      <c r="M16" s="254">
        <f ca="1">ABS('Dre-Dim'!I32)</f>
        <v>1.7336400000000083</v>
      </c>
      <c r="N16" s="302">
        <f ca="1">ABS('Dre-Dim'!I33)</f>
        <v>1.7338000000000306</v>
      </c>
      <c r="O16" s="302">
        <f ca="1">ABS('Dre-Dim'!I34)</f>
        <v>0.79893500000002859</v>
      </c>
      <c r="P16" s="302">
        <f ca="1">ABS('Dre-Dim'!I40)</f>
        <v>1.7290000000000134</v>
      </c>
      <c r="Q16" s="302">
        <f ca="1">ABS('Dre-Dim'!I41)</f>
        <v>1.752000000000038</v>
      </c>
      <c r="R16" s="302">
        <f ca="1">ABS('Dre-Dim'!I42)</f>
        <v>0.80200500000003672</v>
      </c>
      <c r="S16" s="8"/>
      <c r="T16" s="23">
        <v>1.5</v>
      </c>
      <c r="U16" s="8"/>
      <c r="V16" s="19"/>
    </row>
    <row r="17" spans="2:22" ht="14.1" customHeight="1" x14ac:dyDescent="0.25">
      <c r="B17" s="468"/>
      <c r="C17" s="459"/>
      <c r="D17" s="450" t="s">
        <v>70</v>
      </c>
      <c r="E17" s="450"/>
      <c r="F17" s="8"/>
      <c r="G17" s="23">
        <f t="shared" ref="G17:M17" ca="1" si="5">ROUND(((G15+G16)/2),2)</f>
        <v>1.72</v>
      </c>
      <c r="H17" s="23">
        <f t="shared" ca="1" si="5"/>
        <v>1.73</v>
      </c>
      <c r="I17" s="23">
        <f t="shared" ca="1" si="5"/>
        <v>1.71</v>
      </c>
      <c r="J17" s="23">
        <f t="shared" ca="1" si="5"/>
        <v>1.7</v>
      </c>
      <c r="K17" s="23">
        <f t="shared" ca="1" si="5"/>
        <v>1.72</v>
      </c>
      <c r="L17" s="23">
        <f t="shared" ca="1" si="5"/>
        <v>1.73</v>
      </c>
      <c r="M17" s="23">
        <f t="shared" ca="1" si="5"/>
        <v>1.73</v>
      </c>
      <c r="N17" s="301">
        <f t="shared" ref="N17:O17" ca="1" si="6">ROUND(((N15+N16)/2),2)</f>
        <v>1.73</v>
      </c>
      <c r="O17" s="301">
        <f t="shared" ca="1" si="6"/>
        <v>1.27</v>
      </c>
      <c r="P17" s="301">
        <f t="shared" ref="P17:R17" ca="1" si="7">ROUND(((P15+P16)/2),2)</f>
        <v>1.71</v>
      </c>
      <c r="Q17" s="301">
        <f t="shared" ca="1" si="7"/>
        <v>1.74</v>
      </c>
      <c r="R17" s="301">
        <f t="shared" ca="1" si="7"/>
        <v>1.28</v>
      </c>
      <c r="S17" s="8"/>
      <c r="T17" s="23">
        <f>ROUND(((T15+T16)/2),2)</f>
        <v>1.5</v>
      </c>
      <c r="U17" s="8"/>
      <c r="V17" s="19"/>
    </row>
    <row r="18" spans="2:22" ht="14.1" customHeight="1" x14ac:dyDescent="0.25">
      <c r="B18" s="468"/>
      <c r="C18" s="459"/>
      <c r="D18" s="450" t="s">
        <v>71</v>
      </c>
      <c r="E18" s="450"/>
      <c r="F18" s="8"/>
      <c r="G18" s="23">
        <f t="shared" ref="G18:K18" si="8">IF(G11=0,0,IF(G14="PVC",0,G11*0.21))</f>
        <v>0.16800000000000001</v>
      </c>
      <c r="H18" s="23">
        <f t="shared" si="8"/>
        <v>0.16800000000000001</v>
      </c>
      <c r="I18" s="23">
        <f t="shared" si="8"/>
        <v>0.16800000000000001</v>
      </c>
      <c r="J18" s="23">
        <f t="shared" si="8"/>
        <v>0.16800000000000001</v>
      </c>
      <c r="K18" s="23">
        <f t="shared" si="8"/>
        <v>0.16800000000000001</v>
      </c>
      <c r="L18" s="23">
        <f t="shared" ref="L18:M18" si="9">IF(L11=0,0,IF(L14="PVC",0,L11*0.21))</f>
        <v>0.16800000000000001</v>
      </c>
      <c r="M18" s="23">
        <f t="shared" si="9"/>
        <v>0.16800000000000001</v>
      </c>
      <c r="N18" s="301">
        <f t="shared" ref="N18:O18" si="10">IF(N11=0,0,IF(N14="PVC",0,N11*0.21))</f>
        <v>0.16800000000000001</v>
      </c>
      <c r="O18" s="301">
        <f t="shared" si="10"/>
        <v>0.16800000000000001</v>
      </c>
      <c r="P18" s="301">
        <f t="shared" ref="P18:R18" si="11">IF(P11=0,0,IF(P14="PVC",0,P11*0.21))</f>
        <v>0.16800000000000001</v>
      </c>
      <c r="Q18" s="301">
        <f t="shared" si="11"/>
        <v>0.16800000000000001</v>
      </c>
      <c r="R18" s="301">
        <f t="shared" si="11"/>
        <v>0.16800000000000001</v>
      </c>
      <c r="S18" s="8"/>
      <c r="T18" s="23">
        <f>IF(T11=0,0,IF(T14="PVC",0,T11*0.21))</f>
        <v>8.4000000000000005E-2</v>
      </c>
      <c r="U18" s="8"/>
      <c r="V18" s="19"/>
    </row>
    <row r="19" spans="2:22" ht="14.1" customHeight="1" x14ac:dyDescent="0.25">
      <c r="B19" s="468"/>
      <c r="C19" s="459"/>
      <c r="D19" s="450" t="s">
        <v>56</v>
      </c>
      <c r="E19" s="450"/>
      <c r="F19" s="8"/>
      <c r="G19" s="23">
        <f t="shared" ref="G19:J19" si="12">G52+G54</f>
        <v>0</v>
      </c>
      <c r="H19" s="23">
        <f t="shared" si="12"/>
        <v>0</v>
      </c>
      <c r="I19" s="23">
        <f t="shared" si="12"/>
        <v>0</v>
      </c>
      <c r="J19" s="23">
        <f t="shared" si="12"/>
        <v>0</v>
      </c>
      <c r="K19" s="23">
        <f t="shared" ref="K19" si="13">K52+K54</f>
        <v>0</v>
      </c>
      <c r="L19" s="23">
        <f t="shared" ref="L19:M19" si="14">L52+L54</f>
        <v>0</v>
      </c>
      <c r="M19" s="23">
        <f t="shared" si="14"/>
        <v>0</v>
      </c>
      <c r="N19" s="301">
        <f t="shared" ref="N19:O19" si="15">N52+N54</f>
        <v>0</v>
      </c>
      <c r="O19" s="301">
        <f t="shared" si="15"/>
        <v>0.6</v>
      </c>
      <c r="P19" s="301">
        <f t="shared" ref="P19:R19" si="16">P52+P54</f>
        <v>0</v>
      </c>
      <c r="Q19" s="301">
        <f t="shared" si="16"/>
        <v>0</v>
      </c>
      <c r="R19" s="301">
        <f t="shared" si="16"/>
        <v>0.6</v>
      </c>
      <c r="S19" s="8"/>
      <c r="T19" s="23">
        <f t="shared" ref="T19" si="17">T52+T54</f>
        <v>0</v>
      </c>
      <c r="U19" s="8"/>
      <c r="V19" s="19"/>
    </row>
    <row r="20" spans="2:22" ht="14.1" customHeight="1" x14ac:dyDescent="0.25">
      <c r="B20" s="468"/>
      <c r="C20" s="459"/>
      <c r="D20" s="450" t="s">
        <v>72</v>
      </c>
      <c r="E20" s="450"/>
      <c r="G20" s="23">
        <f t="shared" ref="G20:M20" ca="1" si="18">G17+G18+G19</f>
        <v>1.8879999999999999</v>
      </c>
      <c r="H20" s="23">
        <f t="shared" ca="1" si="18"/>
        <v>1.8979999999999999</v>
      </c>
      <c r="I20" s="23">
        <f t="shared" ca="1" si="18"/>
        <v>1.8779999999999999</v>
      </c>
      <c r="J20" s="23">
        <f t="shared" ca="1" si="18"/>
        <v>1.8679999999999999</v>
      </c>
      <c r="K20" s="23">
        <f t="shared" ca="1" si="18"/>
        <v>1.8879999999999999</v>
      </c>
      <c r="L20" s="23">
        <f t="shared" ca="1" si="18"/>
        <v>1.8979999999999999</v>
      </c>
      <c r="M20" s="23">
        <f t="shared" ca="1" si="18"/>
        <v>1.8979999999999999</v>
      </c>
      <c r="N20" s="301">
        <f t="shared" ref="N20:O20" ca="1" si="19">N17+N18+N19</f>
        <v>1.8979999999999999</v>
      </c>
      <c r="O20" s="301">
        <f t="shared" ca="1" si="19"/>
        <v>2.0379999999999998</v>
      </c>
      <c r="P20" s="301">
        <f t="shared" ref="P20:R20" ca="1" si="20">P17+P18+P19</f>
        <v>1.8779999999999999</v>
      </c>
      <c r="Q20" s="301">
        <f t="shared" ca="1" si="20"/>
        <v>1.9079999999999999</v>
      </c>
      <c r="R20" s="301">
        <f t="shared" ca="1" si="20"/>
        <v>2.048</v>
      </c>
      <c r="T20" s="23">
        <f>T17+T18</f>
        <v>1.5840000000000001</v>
      </c>
      <c r="V20" s="19"/>
    </row>
    <row r="21" spans="2:22" ht="14.1" customHeight="1" x14ac:dyDescent="0.25">
      <c r="B21" s="468"/>
      <c r="C21" s="459" t="s">
        <v>73</v>
      </c>
      <c r="D21" s="450"/>
      <c r="E21" s="450"/>
      <c r="G21" s="21">
        <v>3</v>
      </c>
      <c r="H21" s="21">
        <v>3</v>
      </c>
      <c r="I21" s="21">
        <v>3</v>
      </c>
      <c r="J21" s="21">
        <v>3</v>
      </c>
      <c r="K21" s="21">
        <v>3</v>
      </c>
      <c r="L21" s="21">
        <v>3</v>
      </c>
      <c r="M21" s="21">
        <v>3</v>
      </c>
      <c r="N21" s="305">
        <v>3</v>
      </c>
      <c r="O21" s="305">
        <v>3</v>
      </c>
      <c r="P21" s="305">
        <v>3</v>
      </c>
      <c r="Q21" s="305">
        <v>3</v>
      </c>
      <c r="R21" s="305">
        <v>3</v>
      </c>
      <c r="T21" s="21">
        <v>3</v>
      </c>
      <c r="V21" s="20"/>
    </row>
    <row r="22" spans="2:22" ht="5.0999999999999996" customHeight="1" x14ac:dyDescent="0.25">
      <c r="B22" s="468"/>
      <c r="C22" s="208"/>
      <c r="D22" s="204"/>
      <c r="E22" s="204"/>
    </row>
    <row r="23" spans="2:22" ht="14.1" customHeight="1" x14ac:dyDescent="0.25">
      <c r="B23" s="468"/>
      <c r="C23" s="459" t="s">
        <v>75</v>
      </c>
      <c r="D23" s="450" t="s">
        <v>78</v>
      </c>
      <c r="E23" s="450"/>
      <c r="F23" s="8"/>
      <c r="G23" s="23">
        <f t="shared" ref="G23:M23" ca="1" si="21">IF(G16&lt;=4.5,IF(G14="PVC",0.4*2+G11*IF(G12=1,1,IF(G12=2,3,5)),G11*IF(G12=1,2,IF(G12=2,3.5,5))),0)</f>
        <v>1.6</v>
      </c>
      <c r="H23" s="23">
        <f t="shared" ca="1" si="21"/>
        <v>1.6</v>
      </c>
      <c r="I23" s="23">
        <f t="shared" ca="1" si="21"/>
        <v>1.6</v>
      </c>
      <c r="J23" s="23">
        <f t="shared" ca="1" si="21"/>
        <v>1.6</v>
      </c>
      <c r="K23" s="23">
        <f t="shared" ca="1" si="21"/>
        <v>1.6</v>
      </c>
      <c r="L23" s="23">
        <f t="shared" ca="1" si="21"/>
        <v>1.6</v>
      </c>
      <c r="M23" s="23">
        <f t="shared" ca="1" si="21"/>
        <v>1.6</v>
      </c>
      <c r="N23" s="301">
        <f t="shared" ref="N23:O23" ca="1" si="22">IF(N16&lt;=4.5,IF(N14="PVC",0.4*2+N11*IF(N12=1,1,IF(N12=2,3,5)),N11*IF(N12=1,2,IF(N12=2,3.5,5))),0)</f>
        <v>1.6</v>
      </c>
      <c r="O23" s="301">
        <f t="shared" ca="1" si="22"/>
        <v>1.6</v>
      </c>
      <c r="P23" s="301">
        <f t="shared" ref="P23:R23" ca="1" si="23">IF(P16&lt;=4.5,IF(P14="PVC",0.4*2+P11*IF(P12=1,1,IF(P12=2,3,5)),P11*IF(P12=1,2,IF(P12=2,3.5,5))),0)</f>
        <v>1.6</v>
      </c>
      <c r="Q23" s="301">
        <f t="shared" ca="1" si="23"/>
        <v>1.6</v>
      </c>
      <c r="R23" s="301">
        <f t="shared" ca="1" si="23"/>
        <v>1.6</v>
      </c>
      <c r="S23" s="8"/>
      <c r="T23" s="23">
        <f t="shared" ref="T23" si="24">IF(T16&lt;=4.5,IF(T14="PVC",0.4*2+T11*IF(T12=1,1,IF(T12=2,3,5)),T11*IF(T12=1,2,IF(T12=2,3.5,5))),0)</f>
        <v>0.8</v>
      </c>
      <c r="U23" s="8"/>
      <c r="V23" s="18"/>
    </row>
    <row r="24" spans="2:22" ht="14.1" customHeight="1" x14ac:dyDescent="0.25">
      <c r="B24" s="468"/>
      <c r="C24" s="459"/>
      <c r="D24" s="450" t="s">
        <v>79</v>
      </c>
      <c r="E24" s="450"/>
      <c r="F24" s="8"/>
      <c r="G24" s="23">
        <f t="shared" ref="G24:M24" ca="1" si="25">IF(G23=0,IF(G14="PVC",0.8*2+G11*IF(G12=1,1,IF(G12=2,3,5)),G11*IF(G12=1,3,IF(G12=2,4.5,6))),0)</f>
        <v>0</v>
      </c>
      <c r="H24" s="23">
        <f t="shared" ca="1" si="25"/>
        <v>0</v>
      </c>
      <c r="I24" s="23">
        <f t="shared" ca="1" si="25"/>
        <v>0</v>
      </c>
      <c r="J24" s="23">
        <f t="shared" ca="1" si="25"/>
        <v>0</v>
      </c>
      <c r="K24" s="23">
        <f t="shared" ca="1" si="25"/>
        <v>0</v>
      </c>
      <c r="L24" s="23">
        <f t="shared" ca="1" si="25"/>
        <v>0</v>
      </c>
      <c r="M24" s="23">
        <f t="shared" ca="1" si="25"/>
        <v>0</v>
      </c>
      <c r="N24" s="301">
        <f t="shared" ref="N24:O24" ca="1" si="26">IF(N23=0,IF(N14="PVC",0.8*2+N11*IF(N12=1,1,IF(N12=2,3,5)),N11*IF(N12=1,3,IF(N12=2,4.5,6))),0)</f>
        <v>0</v>
      </c>
      <c r="O24" s="301">
        <f t="shared" ca="1" si="26"/>
        <v>0</v>
      </c>
      <c r="P24" s="301">
        <f t="shared" ref="P24:R24" ca="1" si="27">IF(P23=0,IF(P14="PVC",0.8*2+P11*IF(P12=1,1,IF(P12=2,3,5)),P11*IF(P12=1,3,IF(P12=2,4.5,6))),0)</f>
        <v>0</v>
      </c>
      <c r="Q24" s="301">
        <f t="shared" ca="1" si="27"/>
        <v>0</v>
      </c>
      <c r="R24" s="301">
        <f t="shared" ca="1" si="27"/>
        <v>0</v>
      </c>
      <c r="S24" s="8"/>
      <c r="T24" s="23">
        <f t="shared" ref="T24" si="28">IF(T23=0,IF(T14="PVC",0.8*2+T11*IF(T12=1,1,IF(T12=2,3,5)),T11*IF(T12=1,3,IF(T12=2,4.5,6))),0)</f>
        <v>0</v>
      </c>
      <c r="U24" s="8"/>
      <c r="V24" s="19"/>
    </row>
    <row r="25" spans="2:22" ht="14.1" customHeight="1" x14ac:dyDescent="0.25">
      <c r="B25" s="468"/>
      <c r="C25" s="459"/>
      <c r="D25" s="450" t="s">
        <v>80</v>
      </c>
      <c r="E25" s="450"/>
      <c r="F25" s="8"/>
      <c r="G25" s="23">
        <f t="shared" ref="G25:M25" ca="1" si="29">IF(G21="V",G23+G24,G23+G24+G29/G21*2)</f>
        <v>2.8586666666666667</v>
      </c>
      <c r="H25" s="23">
        <f t="shared" ca="1" si="29"/>
        <v>2.8653333333333331</v>
      </c>
      <c r="I25" s="23">
        <f t="shared" ca="1" si="29"/>
        <v>2.8520000000000003</v>
      </c>
      <c r="J25" s="23">
        <f t="shared" ca="1" si="29"/>
        <v>2.8453333333333335</v>
      </c>
      <c r="K25" s="23">
        <f t="shared" ca="1" si="29"/>
        <v>2.8586666666666667</v>
      </c>
      <c r="L25" s="23">
        <f t="shared" ca="1" si="29"/>
        <v>2.8653333333333331</v>
      </c>
      <c r="M25" s="23">
        <f t="shared" ca="1" si="29"/>
        <v>2.8653333333333331</v>
      </c>
      <c r="N25" s="301">
        <f t="shared" ref="N25:O25" ca="1" si="30">IF(N21="V",N23+N24,N23+N24+N29/N21*2)</f>
        <v>2.8653333333333331</v>
      </c>
      <c r="O25" s="301">
        <f t="shared" ca="1" si="30"/>
        <v>2.9586666666666668</v>
      </c>
      <c r="P25" s="301">
        <f t="shared" ref="P25:R25" ca="1" si="31">IF(P21="V",P23+P24,P23+P24+P29/P21*2)</f>
        <v>2.8520000000000003</v>
      </c>
      <c r="Q25" s="301">
        <f t="shared" ca="1" si="31"/>
        <v>2.8719999999999999</v>
      </c>
      <c r="R25" s="301">
        <f t="shared" ca="1" si="31"/>
        <v>2.9653333333333336</v>
      </c>
      <c r="S25" s="8"/>
      <c r="T25" s="23">
        <f t="shared" ref="T25" si="32">IF(T21="V",T23+T24,T23+T24+T29/T21*2)</f>
        <v>1.8560000000000001</v>
      </c>
      <c r="U25" s="8"/>
      <c r="V25" s="19"/>
    </row>
    <row r="26" spans="2:22" ht="14.1" customHeight="1" x14ac:dyDescent="0.25">
      <c r="B26" s="468"/>
      <c r="C26" s="459"/>
      <c r="D26" s="450" t="s">
        <v>77</v>
      </c>
      <c r="E26" s="450"/>
      <c r="G26" s="23">
        <f t="shared" ref="G26:M26" ca="1" si="33">IF(G21="V",G23+G24,G20/G21*2+G23+G24)</f>
        <v>2.8586666666666667</v>
      </c>
      <c r="H26" s="23">
        <f t="shared" ca="1" si="33"/>
        <v>2.8653333333333331</v>
      </c>
      <c r="I26" s="23">
        <f t="shared" ca="1" si="33"/>
        <v>2.8520000000000003</v>
      </c>
      <c r="J26" s="23">
        <f t="shared" ca="1" si="33"/>
        <v>2.8453333333333335</v>
      </c>
      <c r="K26" s="23">
        <f t="shared" ca="1" si="33"/>
        <v>2.8586666666666667</v>
      </c>
      <c r="L26" s="23">
        <f t="shared" ca="1" si="33"/>
        <v>2.8653333333333331</v>
      </c>
      <c r="M26" s="23">
        <f t="shared" ca="1" si="33"/>
        <v>2.8653333333333331</v>
      </c>
      <c r="N26" s="301">
        <f t="shared" ref="N26:O26" ca="1" si="34">IF(N21="V",N23+N24,N20/N21*2+N23+N24)</f>
        <v>2.8653333333333331</v>
      </c>
      <c r="O26" s="301">
        <f t="shared" ca="1" si="34"/>
        <v>2.9586666666666668</v>
      </c>
      <c r="P26" s="301">
        <f t="shared" ref="P26:R26" ca="1" si="35">IF(P21="V",P23+P24,P20/P21*2+P23+P24)</f>
        <v>2.8520000000000003</v>
      </c>
      <c r="Q26" s="301">
        <f t="shared" ca="1" si="35"/>
        <v>2.8719999999999999</v>
      </c>
      <c r="R26" s="301">
        <f t="shared" ca="1" si="35"/>
        <v>2.9653333333333336</v>
      </c>
      <c r="T26" s="23">
        <f t="shared" ref="T26" si="36">IF(T21="V",T23+T24,T20/T21*2+T23+T24)</f>
        <v>1.8560000000000001</v>
      </c>
      <c r="V26" s="19"/>
    </row>
    <row r="27" spans="2:22" ht="14.1" customHeight="1" x14ac:dyDescent="0.25">
      <c r="B27" s="468"/>
      <c r="C27" s="459" t="s">
        <v>76</v>
      </c>
      <c r="D27" s="450"/>
      <c r="E27" s="450"/>
      <c r="G27" s="23">
        <f t="shared" ref="G27:M27" si="37">ROUND(((PI()*(G11*1.2)^2/4)*G12),2)</f>
        <v>0.72</v>
      </c>
      <c r="H27" s="23">
        <f t="shared" si="37"/>
        <v>0.72</v>
      </c>
      <c r="I27" s="23">
        <f t="shared" si="37"/>
        <v>0.72</v>
      </c>
      <c r="J27" s="23">
        <f t="shared" si="37"/>
        <v>0.72</v>
      </c>
      <c r="K27" s="23">
        <f t="shared" si="37"/>
        <v>0.72</v>
      </c>
      <c r="L27" s="23">
        <f t="shared" si="37"/>
        <v>0.72</v>
      </c>
      <c r="M27" s="23">
        <f t="shared" si="37"/>
        <v>0.72</v>
      </c>
      <c r="N27" s="301">
        <f t="shared" ref="N27:O27" si="38">ROUND(((PI()*(N11*1.2)^2/4)*N12),2)</f>
        <v>0.72</v>
      </c>
      <c r="O27" s="301">
        <f t="shared" si="38"/>
        <v>0.72</v>
      </c>
      <c r="P27" s="301">
        <f t="shared" ref="P27:R27" si="39">ROUND(((PI()*(P11*1.2)^2/4)*P12),2)</f>
        <v>0.72</v>
      </c>
      <c r="Q27" s="301">
        <f t="shared" si="39"/>
        <v>0.72</v>
      </c>
      <c r="R27" s="301">
        <f t="shared" si="39"/>
        <v>0.72</v>
      </c>
      <c r="T27" s="23">
        <f t="shared" ref="T27" si="40">ROUND(((PI()*(T11*1.2)^2/4)*T12),2)</f>
        <v>0.18</v>
      </c>
      <c r="V27" s="20"/>
    </row>
    <row r="28" spans="2:22" ht="5.0999999999999996" hidden="1" customHeight="1" x14ac:dyDescent="0.25">
      <c r="B28" s="468"/>
    </row>
    <row r="29" spans="2:22" ht="15" hidden="1" customHeight="1" x14ac:dyDescent="0.25">
      <c r="B29" s="468"/>
      <c r="C29" s="211" t="s">
        <v>508</v>
      </c>
      <c r="D29" s="466" t="s">
        <v>80</v>
      </c>
      <c r="E29" s="466"/>
      <c r="F29" s="8"/>
      <c r="G29" s="24">
        <f t="shared" ref="G29:M29" ca="1" si="41">G20</f>
        <v>1.8879999999999999</v>
      </c>
      <c r="H29" s="24">
        <f t="shared" ca="1" si="41"/>
        <v>1.8979999999999999</v>
      </c>
      <c r="I29" s="24">
        <f t="shared" ca="1" si="41"/>
        <v>1.8779999999999999</v>
      </c>
      <c r="J29" s="24">
        <f t="shared" ca="1" si="41"/>
        <v>1.8679999999999999</v>
      </c>
      <c r="K29" s="24">
        <f t="shared" ca="1" si="41"/>
        <v>1.8879999999999999</v>
      </c>
      <c r="L29" s="24">
        <f t="shared" ca="1" si="41"/>
        <v>1.8979999999999999</v>
      </c>
      <c r="M29" s="24">
        <f t="shared" ca="1" si="41"/>
        <v>1.8979999999999999</v>
      </c>
      <c r="N29" s="24">
        <f t="shared" ref="N29:O29" ca="1" si="42">N20</f>
        <v>1.8979999999999999</v>
      </c>
      <c r="O29" s="24">
        <f t="shared" ca="1" si="42"/>
        <v>2.0379999999999998</v>
      </c>
      <c r="P29" s="24">
        <f t="shared" ref="P29:R29" ca="1" si="43">P20</f>
        <v>1.8779999999999999</v>
      </c>
      <c r="Q29" s="24">
        <f t="shared" ca="1" si="43"/>
        <v>1.9079999999999999</v>
      </c>
      <c r="R29" s="24">
        <f t="shared" ca="1" si="43"/>
        <v>2.048</v>
      </c>
      <c r="S29" s="8"/>
      <c r="T29" s="24">
        <f>T20</f>
        <v>1.5840000000000001</v>
      </c>
      <c r="U29" s="8"/>
      <c r="V29" s="16"/>
    </row>
    <row r="30" spans="2:22" ht="15" hidden="1" customHeight="1" x14ac:dyDescent="0.25">
      <c r="B30" s="468"/>
      <c r="C30" s="472" t="s">
        <v>85</v>
      </c>
      <c r="D30" s="466" t="s">
        <v>82</v>
      </c>
      <c r="E30" s="466"/>
      <c r="F30" s="8"/>
      <c r="G30" s="24">
        <f t="shared" ref="G30:M30" ca="1" si="44">IF(G33+G32+G31&gt;0,0,IF(G20&gt;0,G20,0))</f>
        <v>0</v>
      </c>
      <c r="H30" s="24">
        <f t="shared" ca="1" si="44"/>
        <v>0</v>
      </c>
      <c r="I30" s="24">
        <f t="shared" ca="1" si="44"/>
        <v>0</v>
      </c>
      <c r="J30" s="24">
        <f t="shared" ca="1" si="44"/>
        <v>0</v>
      </c>
      <c r="K30" s="24">
        <f t="shared" ca="1" si="44"/>
        <v>0</v>
      </c>
      <c r="L30" s="24">
        <f t="shared" ca="1" si="44"/>
        <v>0</v>
      </c>
      <c r="M30" s="24">
        <f t="shared" ca="1" si="44"/>
        <v>0</v>
      </c>
      <c r="N30" s="24">
        <f t="shared" ref="N30:O30" ca="1" si="45">IF(N33+N32+N31&gt;0,0,IF(N20&gt;0,N20,0))</f>
        <v>0</v>
      </c>
      <c r="O30" s="24">
        <f t="shared" ca="1" si="45"/>
        <v>0</v>
      </c>
      <c r="P30" s="24">
        <f t="shared" ref="P30:R30" ca="1" si="46">IF(P33+P32+P31&gt;0,0,IF(P20&gt;0,P20,0))</f>
        <v>0</v>
      </c>
      <c r="Q30" s="24">
        <f t="shared" ca="1" si="46"/>
        <v>0</v>
      </c>
      <c r="R30" s="24">
        <f t="shared" ca="1" si="46"/>
        <v>0</v>
      </c>
      <c r="S30" s="8"/>
      <c r="T30" s="24">
        <f>IF(T33+T32+T31&gt;0,0,IF(T20&gt;0,T20,0))</f>
        <v>0</v>
      </c>
      <c r="U30" s="8"/>
      <c r="V30" s="16"/>
    </row>
    <row r="31" spans="2:22" ht="15" hidden="1" customHeight="1" x14ac:dyDescent="0.25">
      <c r="B31" s="468"/>
      <c r="C31" s="472"/>
      <c r="D31" s="466" t="s">
        <v>81</v>
      </c>
      <c r="E31" s="466"/>
      <c r="F31" s="8"/>
      <c r="G31" s="24">
        <f t="shared" ref="G31:M31" ca="1" si="47">IF(G33+G32&gt;0,0,IF(G20&gt;1.5,G20,0))</f>
        <v>1.8879999999999999</v>
      </c>
      <c r="H31" s="24">
        <f t="shared" ca="1" si="47"/>
        <v>1.8979999999999999</v>
      </c>
      <c r="I31" s="24">
        <f t="shared" ca="1" si="47"/>
        <v>1.8779999999999999</v>
      </c>
      <c r="J31" s="24">
        <f t="shared" ca="1" si="47"/>
        <v>1.8679999999999999</v>
      </c>
      <c r="K31" s="24">
        <f t="shared" ca="1" si="47"/>
        <v>1.8879999999999999</v>
      </c>
      <c r="L31" s="24">
        <f t="shared" ca="1" si="47"/>
        <v>1.8979999999999999</v>
      </c>
      <c r="M31" s="24">
        <f t="shared" ca="1" si="47"/>
        <v>1.8979999999999999</v>
      </c>
      <c r="N31" s="24">
        <f t="shared" ref="N31:O31" ca="1" si="48">IF(N33+N32&gt;0,0,IF(N20&gt;1.5,N20,0))</f>
        <v>1.8979999999999999</v>
      </c>
      <c r="O31" s="24">
        <f t="shared" ca="1" si="48"/>
        <v>2.0379999999999998</v>
      </c>
      <c r="P31" s="24">
        <f t="shared" ref="P31:R31" ca="1" si="49">IF(P33+P32&gt;0,0,IF(P20&gt;1.5,P20,0))</f>
        <v>1.8779999999999999</v>
      </c>
      <c r="Q31" s="24">
        <f t="shared" ca="1" si="49"/>
        <v>1.9079999999999999</v>
      </c>
      <c r="R31" s="24">
        <f t="shared" ca="1" si="49"/>
        <v>2.048</v>
      </c>
      <c r="S31" s="8"/>
      <c r="T31" s="24">
        <f>IF(T33+T32&gt;0,0,IF(T20&gt;1.5,T20,0))</f>
        <v>1.5840000000000001</v>
      </c>
      <c r="U31" s="8"/>
      <c r="V31" s="16"/>
    </row>
    <row r="32" spans="2:22" ht="15" hidden="1" customHeight="1" x14ac:dyDescent="0.25">
      <c r="B32" s="468"/>
      <c r="C32" s="472"/>
      <c r="D32" s="466" t="s">
        <v>83</v>
      </c>
      <c r="E32" s="466"/>
      <c r="F32" s="8"/>
      <c r="G32" s="24">
        <f t="shared" ref="G32:M32" ca="1" si="50">IF(G33&gt;0,0,IF(G20&gt;3,G20,0))</f>
        <v>0</v>
      </c>
      <c r="H32" s="24">
        <f t="shared" ca="1" si="50"/>
        <v>0</v>
      </c>
      <c r="I32" s="24">
        <f t="shared" ca="1" si="50"/>
        <v>0</v>
      </c>
      <c r="J32" s="24">
        <f t="shared" ca="1" si="50"/>
        <v>0</v>
      </c>
      <c r="K32" s="24">
        <f t="shared" ca="1" si="50"/>
        <v>0</v>
      </c>
      <c r="L32" s="24">
        <f t="shared" ca="1" si="50"/>
        <v>0</v>
      </c>
      <c r="M32" s="24">
        <f t="shared" ca="1" si="50"/>
        <v>0</v>
      </c>
      <c r="N32" s="24">
        <f t="shared" ref="N32:O32" ca="1" si="51">IF(N33&gt;0,0,IF(N20&gt;3,N20,0))</f>
        <v>0</v>
      </c>
      <c r="O32" s="24">
        <f t="shared" ca="1" si="51"/>
        <v>0</v>
      </c>
      <c r="P32" s="24">
        <f t="shared" ref="P32:R32" ca="1" si="52">IF(P33&gt;0,0,IF(P20&gt;3,P20,0))</f>
        <v>0</v>
      </c>
      <c r="Q32" s="24">
        <f t="shared" ca="1" si="52"/>
        <v>0</v>
      </c>
      <c r="R32" s="24">
        <f t="shared" ca="1" si="52"/>
        <v>0</v>
      </c>
      <c r="S32" s="8"/>
      <c r="T32" s="24">
        <f>IF(T33&gt;0,0,IF(T20&gt;3,T20,0))</f>
        <v>0</v>
      </c>
      <c r="U32" s="8"/>
      <c r="V32" s="16"/>
    </row>
    <row r="33" spans="2:22" ht="15" hidden="1" customHeight="1" x14ac:dyDescent="0.25">
      <c r="B33" s="468"/>
      <c r="C33" s="472"/>
      <c r="D33" s="466" t="s">
        <v>84</v>
      </c>
      <c r="E33" s="466"/>
      <c r="G33" s="24">
        <f t="shared" ref="G33:M33" ca="1" si="53">IF(G20&gt;4.5,G20,0)</f>
        <v>0</v>
      </c>
      <c r="H33" s="24">
        <f t="shared" ca="1" si="53"/>
        <v>0</v>
      </c>
      <c r="I33" s="24">
        <f t="shared" ca="1" si="53"/>
        <v>0</v>
      </c>
      <c r="J33" s="24">
        <f t="shared" ca="1" si="53"/>
        <v>0</v>
      </c>
      <c r="K33" s="24">
        <f t="shared" ca="1" si="53"/>
        <v>0</v>
      </c>
      <c r="L33" s="24">
        <f t="shared" ca="1" si="53"/>
        <v>0</v>
      </c>
      <c r="M33" s="24">
        <f t="shared" ca="1" si="53"/>
        <v>0</v>
      </c>
      <c r="N33" s="24">
        <f t="shared" ref="N33:O33" ca="1" si="54">IF(N20&gt;4.5,N20,0)</f>
        <v>0</v>
      </c>
      <c r="O33" s="24">
        <f t="shared" ca="1" si="54"/>
        <v>0</v>
      </c>
      <c r="P33" s="24">
        <f t="shared" ref="P33:R33" ca="1" si="55">IF(P20&gt;4.5,P20,0)</f>
        <v>0</v>
      </c>
      <c r="Q33" s="24">
        <f t="shared" ca="1" si="55"/>
        <v>0</v>
      </c>
      <c r="R33" s="24">
        <f t="shared" ca="1" si="55"/>
        <v>0</v>
      </c>
      <c r="T33" s="24">
        <f>IF(T20&gt;4.5,T20,0)</f>
        <v>0</v>
      </c>
      <c r="V33" s="16"/>
    </row>
    <row r="34" spans="2:22" ht="15" hidden="1" customHeight="1" x14ac:dyDescent="0.25">
      <c r="B34" s="468"/>
      <c r="C34" s="472" t="s">
        <v>86</v>
      </c>
      <c r="D34" s="466" t="s">
        <v>84</v>
      </c>
      <c r="E34" s="466"/>
      <c r="G34" s="24">
        <f t="shared" ref="G34:M34" ca="1" si="56">IF(G33=0,0,TRUNC(((G23+G24+G26)/2*G20*G10),2))</f>
        <v>0</v>
      </c>
      <c r="H34" s="24">
        <f t="shared" ca="1" si="56"/>
        <v>0</v>
      </c>
      <c r="I34" s="24">
        <f t="shared" ca="1" si="56"/>
        <v>0</v>
      </c>
      <c r="J34" s="24">
        <f t="shared" ca="1" si="56"/>
        <v>0</v>
      </c>
      <c r="K34" s="24">
        <f t="shared" ca="1" si="56"/>
        <v>0</v>
      </c>
      <c r="L34" s="24">
        <f t="shared" ca="1" si="56"/>
        <v>0</v>
      </c>
      <c r="M34" s="24">
        <f t="shared" ca="1" si="56"/>
        <v>0</v>
      </c>
      <c r="N34" s="24">
        <f t="shared" ref="N34:O34" ca="1" si="57">IF(N33=0,0,TRUNC(((N23+N24+N26)/2*N20*N10),2))</f>
        <v>0</v>
      </c>
      <c r="O34" s="24">
        <f t="shared" ca="1" si="57"/>
        <v>0</v>
      </c>
      <c r="P34" s="24">
        <f t="shared" ref="P34:R34" ca="1" si="58">IF(P33=0,0,TRUNC(((P23+P24+P26)/2*P20*P10),2))</f>
        <v>0</v>
      </c>
      <c r="Q34" s="24">
        <f t="shared" ca="1" si="58"/>
        <v>0</v>
      </c>
      <c r="R34" s="24">
        <f t="shared" ca="1" si="58"/>
        <v>0</v>
      </c>
      <c r="T34" s="24">
        <f>IF(T33=0,0,TRUNC(((T23+T24+T26)/2*T20*T10),2))</f>
        <v>0</v>
      </c>
      <c r="V34" s="16"/>
    </row>
    <row r="35" spans="2:22" ht="15" hidden="1" customHeight="1" x14ac:dyDescent="0.25">
      <c r="B35" s="468"/>
      <c r="C35" s="472"/>
      <c r="D35" s="466" t="s">
        <v>83</v>
      </c>
      <c r="E35" s="466"/>
      <c r="G35" s="24">
        <f t="shared" ref="G35:M35" ca="1" si="59">IF(G32=0,0,TRUNC(((G23+G24+G26)/2*G20*G10),2))</f>
        <v>0</v>
      </c>
      <c r="H35" s="24">
        <f t="shared" ca="1" si="59"/>
        <v>0</v>
      </c>
      <c r="I35" s="24">
        <f t="shared" ca="1" si="59"/>
        <v>0</v>
      </c>
      <c r="J35" s="24">
        <f t="shared" ca="1" si="59"/>
        <v>0</v>
      </c>
      <c r="K35" s="24">
        <f t="shared" ca="1" si="59"/>
        <v>0</v>
      </c>
      <c r="L35" s="24">
        <f t="shared" ca="1" si="59"/>
        <v>0</v>
      </c>
      <c r="M35" s="24">
        <f t="shared" ca="1" si="59"/>
        <v>0</v>
      </c>
      <c r="N35" s="24">
        <f t="shared" ref="N35:O35" ca="1" si="60">IF(N32=0,0,TRUNC(((N23+N24+N26)/2*N20*N10),2))</f>
        <v>0</v>
      </c>
      <c r="O35" s="24">
        <f t="shared" ca="1" si="60"/>
        <v>0</v>
      </c>
      <c r="P35" s="24">
        <f t="shared" ref="P35:R35" ca="1" si="61">IF(P32=0,0,TRUNC(((P23+P24+P26)/2*P20*P10),2))</f>
        <v>0</v>
      </c>
      <c r="Q35" s="24">
        <f t="shared" ca="1" si="61"/>
        <v>0</v>
      </c>
      <c r="R35" s="24">
        <f t="shared" ca="1" si="61"/>
        <v>0</v>
      </c>
      <c r="T35" s="24">
        <f>IF(T32=0,0,TRUNC(((T23+T24+T26)/2*T20*T10),2))</f>
        <v>0</v>
      </c>
      <c r="V35" s="16"/>
    </row>
    <row r="36" spans="2:22" ht="15" hidden="1" customHeight="1" x14ac:dyDescent="0.25">
      <c r="B36" s="468"/>
      <c r="C36" s="472"/>
      <c r="D36" s="466" t="s">
        <v>81</v>
      </c>
      <c r="E36" s="466"/>
      <c r="G36" s="24">
        <f t="shared" ref="G36:M36" ca="1" si="62">IF(G31=0,0,TRUNC(((G23+G24+G26)/2*G20*G10),2))</f>
        <v>288.35000000000002</v>
      </c>
      <c r="H36" s="24">
        <f t="shared" ca="1" si="62"/>
        <v>290.31</v>
      </c>
      <c r="I36" s="24">
        <f t="shared" ca="1" si="62"/>
        <v>289.66000000000003</v>
      </c>
      <c r="J36" s="24">
        <f t="shared" ca="1" si="62"/>
        <v>287.68</v>
      </c>
      <c r="K36" s="24">
        <f t="shared" ca="1" si="62"/>
        <v>373.12</v>
      </c>
      <c r="L36" s="24">
        <f t="shared" ca="1" si="62"/>
        <v>358.41</v>
      </c>
      <c r="M36" s="24">
        <f t="shared" ca="1" si="62"/>
        <v>340.7</v>
      </c>
      <c r="N36" s="24">
        <f t="shared" ref="N36:O36" ca="1" si="63">IF(N31=0,0,TRUNC(((N23+N24+N26)/2*N20*N10),2))</f>
        <v>166.49</v>
      </c>
      <c r="O36" s="24">
        <f t="shared" ca="1" si="63"/>
        <v>75.2</v>
      </c>
      <c r="P36" s="24">
        <f t="shared" ref="P36:R36" ca="1" si="64">IF(P31=0,0,TRUNC(((P23+P24+P26)/2*P20*P10),2))</f>
        <v>501.65</v>
      </c>
      <c r="Q36" s="24">
        <f t="shared" ca="1" si="64"/>
        <v>511.95</v>
      </c>
      <c r="R36" s="24">
        <f t="shared" ca="1" si="64"/>
        <v>76.62</v>
      </c>
      <c r="T36" s="24">
        <f>IF(T31=0,0,TRUNC(((T23+T24+T26)/2*T20*T10),2))</f>
        <v>1144.33</v>
      </c>
      <c r="V36" s="16"/>
    </row>
    <row r="37" spans="2:22" ht="15" hidden="1" customHeight="1" x14ac:dyDescent="0.25">
      <c r="B37" s="468"/>
      <c r="C37" s="472"/>
      <c r="D37" s="466" t="s">
        <v>82</v>
      </c>
      <c r="E37" s="466"/>
      <c r="G37" s="24">
        <f t="shared" ref="G37:M37" ca="1" si="65">IF(G30=0,0,TRUNC(((G23+G24+G26)/2*G20*G10),2))</f>
        <v>0</v>
      </c>
      <c r="H37" s="24">
        <f t="shared" ca="1" si="65"/>
        <v>0</v>
      </c>
      <c r="I37" s="24">
        <f t="shared" ca="1" si="65"/>
        <v>0</v>
      </c>
      <c r="J37" s="24">
        <f t="shared" ca="1" si="65"/>
        <v>0</v>
      </c>
      <c r="K37" s="24">
        <f t="shared" ca="1" si="65"/>
        <v>0</v>
      </c>
      <c r="L37" s="24">
        <f t="shared" ca="1" si="65"/>
        <v>0</v>
      </c>
      <c r="M37" s="24">
        <f t="shared" ca="1" si="65"/>
        <v>0</v>
      </c>
      <c r="N37" s="24">
        <f t="shared" ref="N37:O37" ca="1" si="66">IF(N30=0,0,TRUNC(((N23+N24+N26)/2*N20*N10),2))</f>
        <v>0</v>
      </c>
      <c r="O37" s="24">
        <f t="shared" ca="1" si="66"/>
        <v>0</v>
      </c>
      <c r="P37" s="24">
        <f t="shared" ref="P37:R37" ca="1" si="67">IF(P30=0,0,TRUNC(((P23+P24+P26)/2*P20*P10),2))</f>
        <v>0</v>
      </c>
      <c r="Q37" s="24">
        <f t="shared" ca="1" si="67"/>
        <v>0</v>
      </c>
      <c r="R37" s="24">
        <f t="shared" ca="1" si="67"/>
        <v>0</v>
      </c>
      <c r="T37" s="24">
        <f>IF(T30=0,0,TRUNC(((T23+T24+T26)/2*T20*T10),2))</f>
        <v>0</v>
      </c>
      <c r="V37" s="17"/>
    </row>
    <row r="38" spans="2:22" ht="5.0999999999999996" customHeight="1" x14ac:dyDescent="0.25">
      <c r="B38" s="468"/>
      <c r="C38" s="208"/>
      <c r="D38" s="204"/>
      <c r="E38" s="204"/>
    </row>
    <row r="39" spans="2:22" ht="14.1" customHeight="1" x14ac:dyDescent="0.25">
      <c r="B39" s="468"/>
      <c r="C39" s="459" t="s">
        <v>87</v>
      </c>
      <c r="D39" s="450"/>
      <c r="E39" s="450"/>
      <c r="G39" s="23">
        <f t="shared" ref="G39:M39" ca="1" si="68">SUM(G40:G50)</f>
        <v>288.34000000000003</v>
      </c>
      <c r="H39" s="23">
        <f t="shared" ca="1" si="68"/>
        <v>290.3</v>
      </c>
      <c r="I39" s="23">
        <f t="shared" ca="1" si="68"/>
        <v>289.65000000000003</v>
      </c>
      <c r="J39" s="23">
        <f t="shared" ca="1" si="68"/>
        <v>287.67</v>
      </c>
      <c r="K39" s="23">
        <f t="shared" ca="1" si="68"/>
        <v>373.10999999999996</v>
      </c>
      <c r="L39" s="23">
        <f t="shared" ca="1" si="68"/>
        <v>358.40000000000003</v>
      </c>
      <c r="M39" s="23">
        <f t="shared" ca="1" si="68"/>
        <v>340.69000000000005</v>
      </c>
      <c r="N39" s="301">
        <f t="shared" ref="N39:O39" ca="1" si="69">SUM(N40:N50)</f>
        <v>166.48</v>
      </c>
      <c r="O39" s="301">
        <f t="shared" ca="1" si="69"/>
        <v>75.2</v>
      </c>
      <c r="P39" s="301">
        <f t="shared" ref="P39:R39" ca="1" si="70">SUM(P40:P50)</f>
        <v>501.64</v>
      </c>
      <c r="Q39" s="301">
        <f t="shared" ca="1" si="70"/>
        <v>511.94</v>
      </c>
      <c r="R39" s="301">
        <f t="shared" ca="1" si="70"/>
        <v>76.61</v>
      </c>
      <c r="T39" s="23">
        <f>SUM(T40:T50)</f>
        <v>1144.32</v>
      </c>
      <c r="V39" s="15">
        <f t="shared" ref="V39:V50" ca="1" si="71">SUM(F39:U39)</f>
        <v>4704.3500000000004</v>
      </c>
    </row>
    <row r="40" spans="2:22" ht="14.1" hidden="1" customHeight="1" x14ac:dyDescent="0.25">
      <c r="B40" s="468"/>
      <c r="C40" s="459" t="s">
        <v>89</v>
      </c>
      <c r="D40" s="450" t="s">
        <v>90</v>
      </c>
      <c r="E40" s="450"/>
      <c r="G40" s="23">
        <f t="shared" ref="G40:M40" ca="1" si="72">IF(G30=0,0,IF(G26&lt;=0.8,TRUNC((G37*95%),2),0))</f>
        <v>0</v>
      </c>
      <c r="H40" s="23">
        <f t="shared" ca="1" si="72"/>
        <v>0</v>
      </c>
      <c r="I40" s="23">
        <f t="shared" ca="1" si="72"/>
        <v>0</v>
      </c>
      <c r="J40" s="23">
        <f t="shared" ca="1" si="72"/>
        <v>0</v>
      </c>
      <c r="K40" s="23">
        <f t="shared" ca="1" si="72"/>
        <v>0</v>
      </c>
      <c r="L40" s="23">
        <f t="shared" ca="1" si="72"/>
        <v>0</v>
      </c>
      <c r="M40" s="23">
        <f t="shared" ca="1" si="72"/>
        <v>0</v>
      </c>
      <c r="N40" s="301">
        <f t="shared" ref="N40:O40" ca="1" si="73">IF(N30=0,0,IF(N26&lt;=0.8,TRUNC((N37*95%),2),0))</f>
        <v>0</v>
      </c>
      <c r="O40" s="301">
        <f t="shared" ca="1" si="73"/>
        <v>0</v>
      </c>
      <c r="P40" s="301">
        <f t="shared" ref="P40:R40" ca="1" si="74">IF(P30=0,0,IF(P26&lt;=0.8,TRUNC((P37*95%),2),0))</f>
        <v>0</v>
      </c>
      <c r="Q40" s="301">
        <f t="shared" ca="1" si="74"/>
        <v>0</v>
      </c>
      <c r="R40" s="301">
        <f t="shared" ca="1" si="74"/>
        <v>0</v>
      </c>
      <c r="T40" s="23">
        <f>IF(T30=0,0,IF(T26&lt;=0.8,TRUNC((T37*95%),2),0))</f>
        <v>0</v>
      </c>
      <c r="V40" s="15">
        <f t="shared" ca="1" si="71"/>
        <v>0</v>
      </c>
    </row>
    <row r="41" spans="2:22" ht="14.1" hidden="1" customHeight="1" x14ac:dyDescent="0.25">
      <c r="B41" s="468"/>
      <c r="C41" s="459"/>
      <c r="D41" s="450" t="s">
        <v>91</v>
      </c>
      <c r="E41" s="450"/>
      <c r="G41" s="23">
        <f t="shared" ref="G41:M41" ca="1" si="75">IF(G30=0,0,IF(G40+G42=0,TRUNC((G37*95%),2),0))</f>
        <v>0</v>
      </c>
      <c r="H41" s="23">
        <f t="shared" ca="1" si="75"/>
        <v>0</v>
      </c>
      <c r="I41" s="23">
        <f t="shared" ca="1" si="75"/>
        <v>0</v>
      </c>
      <c r="J41" s="23">
        <f t="shared" ca="1" si="75"/>
        <v>0</v>
      </c>
      <c r="K41" s="23">
        <f t="shared" ca="1" si="75"/>
        <v>0</v>
      </c>
      <c r="L41" s="23">
        <f t="shared" ca="1" si="75"/>
        <v>0</v>
      </c>
      <c r="M41" s="23">
        <f t="shared" ca="1" si="75"/>
        <v>0</v>
      </c>
      <c r="N41" s="301">
        <f t="shared" ref="N41:O41" ca="1" si="76">IF(N30=0,0,IF(N40+N42=0,TRUNC((N37*95%),2),0))</f>
        <v>0</v>
      </c>
      <c r="O41" s="301">
        <f t="shared" ca="1" si="76"/>
        <v>0</v>
      </c>
      <c r="P41" s="301">
        <f t="shared" ref="P41:R41" ca="1" si="77">IF(P30=0,0,IF(P40+P42=0,TRUNC((P37*95%),2),0))</f>
        <v>0</v>
      </c>
      <c r="Q41" s="301">
        <f t="shared" ca="1" si="77"/>
        <v>0</v>
      </c>
      <c r="R41" s="301">
        <f t="shared" ca="1" si="77"/>
        <v>0</v>
      </c>
      <c r="T41" s="23">
        <f>IF(T30=0,0,IF(T40+T42=0,TRUNC((T37*95%),2),0))</f>
        <v>0</v>
      </c>
      <c r="V41" s="15">
        <f t="shared" ca="1" si="71"/>
        <v>0</v>
      </c>
    </row>
    <row r="42" spans="2:22" ht="14.1" hidden="1" customHeight="1" x14ac:dyDescent="0.25">
      <c r="B42" s="468"/>
      <c r="C42" s="459"/>
      <c r="D42" s="450" t="s">
        <v>92</v>
      </c>
      <c r="E42" s="450"/>
      <c r="G42" s="23">
        <f t="shared" ref="G42:M42" ca="1" si="78">IF(G30=0,0,IF(G26&gt;1.5,TRUNC((G37*95%),2),0))</f>
        <v>0</v>
      </c>
      <c r="H42" s="23">
        <f t="shared" ca="1" si="78"/>
        <v>0</v>
      </c>
      <c r="I42" s="23">
        <f t="shared" ca="1" si="78"/>
        <v>0</v>
      </c>
      <c r="J42" s="23">
        <f t="shared" ca="1" si="78"/>
        <v>0</v>
      </c>
      <c r="K42" s="23">
        <f t="shared" ca="1" si="78"/>
        <v>0</v>
      </c>
      <c r="L42" s="23">
        <f t="shared" ca="1" si="78"/>
        <v>0</v>
      </c>
      <c r="M42" s="23">
        <f t="shared" ca="1" si="78"/>
        <v>0</v>
      </c>
      <c r="N42" s="301">
        <f t="shared" ref="N42:O42" ca="1" si="79">IF(N30=0,0,IF(N26&gt;1.5,TRUNC((N37*95%),2),0))</f>
        <v>0</v>
      </c>
      <c r="O42" s="301">
        <f t="shared" ca="1" si="79"/>
        <v>0</v>
      </c>
      <c r="P42" s="301">
        <f t="shared" ref="P42:R42" ca="1" si="80">IF(P30=0,0,IF(P26&gt;1.5,TRUNC((P37*95%),2),0))</f>
        <v>0</v>
      </c>
      <c r="Q42" s="301">
        <f t="shared" ca="1" si="80"/>
        <v>0</v>
      </c>
      <c r="R42" s="301">
        <f t="shared" ca="1" si="80"/>
        <v>0</v>
      </c>
      <c r="T42" s="23">
        <f>IF(T30=0,0,IF(T26&gt;1.5,TRUNC((T37*95%),2),0))</f>
        <v>0</v>
      </c>
      <c r="V42" s="15">
        <f t="shared" ca="1" si="71"/>
        <v>0</v>
      </c>
    </row>
    <row r="43" spans="2:22" ht="14.1" hidden="1" customHeight="1" x14ac:dyDescent="0.25">
      <c r="B43" s="468"/>
      <c r="C43" s="459"/>
      <c r="D43" s="450" t="s">
        <v>93</v>
      </c>
      <c r="E43" s="450"/>
      <c r="G43" s="23">
        <f t="shared" ref="G43:M43" ca="1" si="81">IF(G31=0,0,IF(G26&lt;=0.8,TRUNC((G37*95%),2),0))</f>
        <v>0</v>
      </c>
      <c r="H43" s="23">
        <f t="shared" ca="1" si="81"/>
        <v>0</v>
      </c>
      <c r="I43" s="23">
        <f t="shared" ca="1" si="81"/>
        <v>0</v>
      </c>
      <c r="J43" s="23">
        <f t="shared" ca="1" si="81"/>
        <v>0</v>
      </c>
      <c r="K43" s="23">
        <f t="shared" ca="1" si="81"/>
        <v>0</v>
      </c>
      <c r="L43" s="23">
        <f t="shared" ca="1" si="81"/>
        <v>0</v>
      </c>
      <c r="M43" s="23">
        <f t="shared" ca="1" si="81"/>
        <v>0</v>
      </c>
      <c r="N43" s="301">
        <f t="shared" ref="N43:O43" ca="1" si="82">IF(N31=0,0,IF(N26&lt;=0.8,TRUNC((N37*95%),2),0))</f>
        <v>0</v>
      </c>
      <c r="O43" s="301">
        <f t="shared" ca="1" si="82"/>
        <v>0</v>
      </c>
      <c r="P43" s="301">
        <f t="shared" ref="P43:R43" ca="1" si="83">IF(P31=0,0,IF(P26&lt;=0.8,TRUNC((P37*95%),2),0))</f>
        <v>0</v>
      </c>
      <c r="Q43" s="301">
        <f t="shared" ca="1" si="83"/>
        <v>0</v>
      </c>
      <c r="R43" s="301">
        <f t="shared" ca="1" si="83"/>
        <v>0</v>
      </c>
      <c r="T43" s="23">
        <f>IF(T31=0,0,IF(T26&lt;=0.8,TRUNC((T37*95%),2),0))</f>
        <v>0</v>
      </c>
      <c r="V43" s="15">
        <f t="shared" ca="1" si="71"/>
        <v>0</v>
      </c>
    </row>
    <row r="44" spans="2:22" ht="14.1" hidden="1" customHeight="1" x14ac:dyDescent="0.25">
      <c r="B44" s="468"/>
      <c r="C44" s="459"/>
      <c r="D44" s="450" t="s">
        <v>94</v>
      </c>
      <c r="E44" s="450"/>
      <c r="G44" s="23">
        <f t="shared" ref="G44:M44" ca="1" si="84">IF(G31=0,0,IF(G43+G45=0,TRUNC((G36*95%),2),0))</f>
        <v>0</v>
      </c>
      <c r="H44" s="23">
        <f t="shared" ca="1" si="84"/>
        <v>0</v>
      </c>
      <c r="I44" s="23">
        <f t="shared" ca="1" si="84"/>
        <v>0</v>
      </c>
      <c r="J44" s="23">
        <f t="shared" ca="1" si="84"/>
        <v>0</v>
      </c>
      <c r="K44" s="23">
        <f t="shared" ca="1" si="84"/>
        <v>0</v>
      </c>
      <c r="L44" s="23">
        <f t="shared" ca="1" si="84"/>
        <v>0</v>
      </c>
      <c r="M44" s="23">
        <f t="shared" ca="1" si="84"/>
        <v>0</v>
      </c>
      <c r="N44" s="301">
        <f t="shared" ref="N44:O44" ca="1" si="85">IF(N31=0,0,IF(N43+N45=0,TRUNC((N36*95%),2),0))</f>
        <v>0</v>
      </c>
      <c r="O44" s="301">
        <f t="shared" ca="1" si="85"/>
        <v>0</v>
      </c>
      <c r="P44" s="301">
        <f t="shared" ref="P44:R44" ca="1" si="86">IF(P31=0,0,IF(P43+P45=0,TRUNC((P36*95%),2),0))</f>
        <v>0</v>
      </c>
      <c r="Q44" s="301">
        <f t="shared" ca="1" si="86"/>
        <v>0</v>
      </c>
      <c r="R44" s="301">
        <f t="shared" ca="1" si="86"/>
        <v>0</v>
      </c>
      <c r="T44" s="23">
        <f>IF(T31=0,0,IF(T43+T45=0,TRUNC((T36*95%),2),0))</f>
        <v>0</v>
      </c>
      <c r="V44" s="15">
        <f t="shared" ca="1" si="71"/>
        <v>0</v>
      </c>
    </row>
    <row r="45" spans="2:22" ht="27.95" customHeight="1" x14ac:dyDescent="0.25">
      <c r="B45" s="468"/>
      <c r="C45" s="459"/>
      <c r="D45" s="450" t="s">
        <v>95</v>
      </c>
      <c r="E45" s="450"/>
      <c r="G45" s="23">
        <f t="shared" ref="G45:M45" ca="1" si="87">IF(G31=0,0,IF(G26&gt;1.5,TRUNC((G36*95%),2),0))</f>
        <v>273.93</v>
      </c>
      <c r="H45" s="23">
        <f t="shared" ca="1" si="87"/>
        <v>275.79000000000002</v>
      </c>
      <c r="I45" s="23">
        <f t="shared" ca="1" si="87"/>
        <v>275.17</v>
      </c>
      <c r="J45" s="23">
        <f t="shared" ca="1" si="87"/>
        <v>273.29000000000002</v>
      </c>
      <c r="K45" s="23">
        <f t="shared" ca="1" si="87"/>
        <v>354.46</v>
      </c>
      <c r="L45" s="23">
        <f t="shared" ca="1" si="87"/>
        <v>340.48</v>
      </c>
      <c r="M45" s="23">
        <f t="shared" ca="1" si="87"/>
        <v>323.66000000000003</v>
      </c>
      <c r="N45" s="301">
        <f t="shared" ref="N45:O45" ca="1" si="88">IF(N31=0,0,IF(N26&gt;1.5,TRUNC((N36*95%),2),0))</f>
        <v>158.16</v>
      </c>
      <c r="O45" s="301">
        <f t="shared" ca="1" si="88"/>
        <v>71.44</v>
      </c>
      <c r="P45" s="301">
        <f t="shared" ref="P45:R45" ca="1" si="89">IF(P31=0,0,IF(P26&gt;1.5,TRUNC((P36*95%),2),0))</f>
        <v>476.56</v>
      </c>
      <c r="Q45" s="301">
        <f t="shared" ca="1" si="89"/>
        <v>486.35</v>
      </c>
      <c r="R45" s="301">
        <f t="shared" ca="1" si="89"/>
        <v>72.78</v>
      </c>
      <c r="T45" s="23">
        <f>IF(T31=0,0,IF(T26&gt;1.5,TRUNC((T36*95%),2),0))</f>
        <v>1087.1099999999999</v>
      </c>
      <c r="V45" s="15">
        <f t="shared" ca="1" si="71"/>
        <v>4469.18</v>
      </c>
    </row>
    <row r="46" spans="2:22" ht="14.1" hidden="1" customHeight="1" x14ac:dyDescent="0.25">
      <c r="B46" s="468"/>
      <c r="C46" s="459"/>
      <c r="D46" s="450" t="s">
        <v>97</v>
      </c>
      <c r="E46" s="450"/>
      <c r="G46" s="23">
        <f t="shared" ref="G46:M46" ca="1" si="90">IF(G32=0,0,IF(G47=0,TRUNC((G35*95%),2),0))</f>
        <v>0</v>
      </c>
      <c r="H46" s="23">
        <f t="shared" ca="1" si="90"/>
        <v>0</v>
      </c>
      <c r="I46" s="23">
        <f t="shared" ca="1" si="90"/>
        <v>0</v>
      </c>
      <c r="J46" s="23">
        <f t="shared" ca="1" si="90"/>
        <v>0</v>
      </c>
      <c r="K46" s="23">
        <f t="shared" ca="1" si="90"/>
        <v>0</v>
      </c>
      <c r="L46" s="23">
        <f t="shared" ca="1" si="90"/>
        <v>0</v>
      </c>
      <c r="M46" s="23">
        <f t="shared" ca="1" si="90"/>
        <v>0</v>
      </c>
      <c r="N46" s="301">
        <f t="shared" ref="N46:O46" ca="1" si="91">IF(N32=0,0,IF(N47=0,TRUNC((N35*95%),2),0))</f>
        <v>0</v>
      </c>
      <c r="O46" s="301">
        <f t="shared" ca="1" si="91"/>
        <v>0</v>
      </c>
      <c r="P46" s="301">
        <f t="shared" ref="P46:R46" ca="1" si="92">IF(P32=0,0,IF(P47=0,TRUNC((P35*95%),2),0))</f>
        <v>0</v>
      </c>
      <c r="Q46" s="301">
        <f t="shared" ca="1" si="92"/>
        <v>0</v>
      </c>
      <c r="R46" s="301">
        <f t="shared" ca="1" si="92"/>
        <v>0</v>
      </c>
      <c r="T46" s="23">
        <f>IF(T32=0,0,IF(T47=0,TRUNC((T35*95%),2),0))</f>
        <v>0</v>
      </c>
      <c r="V46" s="15">
        <f t="shared" ca="1" si="71"/>
        <v>0</v>
      </c>
    </row>
    <row r="47" spans="2:22" ht="14.1" hidden="1" customHeight="1" x14ac:dyDescent="0.25">
      <c r="B47" s="468"/>
      <c r="C47" s="459"/>
      <c r="D47" s="450" t="s">
        <v>96</v>
      </c>
      <c r="E47" s="450"/>
      <c r="G47" s="23">
        <f t="shared" ref="G47:M47" ca="1" si="93">IF(G32=0,0,IF(G26&gt;1.5,TRUNC((G35*95%),2),0))</f>
        <v>0</v>
      </c>
      <c r="H47" s="23">
        <f t="shared" ca="1" si="93"/>
        <v>0</v>
      </c>
      <c r="I47" s="23">
        <f t="shared" ca="1" si="93"/>
        <v>0</v>
      </c>
      <c r="J47" s="23">
        <f t="shared" ca="1" si="93"/>
        <v>0</v>
      </c>
      <c r="K47" s="23">
        <f t="shared" ca="1" si="93"/>
        <v>0</v>
      </c>
      <c r="L47" s="23">
        <f t="shared" ca="1" si="93"/>
        <v>0</v>
      </c>
      <c r="M47" s="23">
        <f t="shared" ca="1" si="93"/>
        <v>0</v>
      </c>
      <c r="N47" s="301">
        <f t="shared" ref="N47:O47" ca="1" si="94">IF(N32=0,0,IF(N26&gt;1.5,TRUNC((N35*95%),2),0))</f>
        <v>0</v>
      </c>
      <c r="O47" s="301">
        <f t="shared" ca="1" si="94"/>
        <v>0</v>
      </c>
      <c r="P47" s="301">
        <f t="shared" ref="P47:R47" ca="1" si="95">IF(P32=0,0,IF(P26&gt;1.5,TRUNC((P35*95%),2),0))</f>
        <v>0</v>
      </c>
      <c r="Q47" s="301">
        <f t="shared" ca="1" si="95"/>
        <v>0</v>
      </c>
      <c r="R47" s="301">
        <f t="shared" ca="1" si="95"/>
        <v>0</v>
      </c>
      <c r="T47" s="23">
        <f>IF(T32=0,0,IF(T26&gt;1.5,TRUNC((T35*95%),2),0))</f>
        <v>0</v>
      </c>
      <c r="V47" s="15">
        <f t="shared" ca="1" si="71"/>
        <v>0</v>
      </c>
    </row>
    <row r="48" spans="2:22" ht="14.1" hidden="1" customHeight="1" x14ac:dyDescent="0.25">
      <c r="B48" s="468"/>
      <c r="C48" s="459"/>
      <c r="D48" s="450" t="s">
        <v>98</v>
      </c>
      <c r="E48" s="450"/>
      <c r="G48" s="23">
        <f t="shared" ref="G48:M48" ca="1" si="96">IF(G33=0,0,IF(G49=0,TRUNC((G34*95%),2),0))</f>
        <v>0</v>
      </c>
      <c r="H48" s="23">
        <f t="shared" ca="1" si="96"/>
        <v>0</v>
      </c>
      <c r="I48" s="23">
        <f t="shared" ca="1" si="96"/>
        <v>0</v>
      </c>
      <c r="J48" s="23">
        <f t="shared" ca="1" si="96"/>
        <v>0</v>
      </c>
      <c r="K48" s="23">
        <f t="shared" ca="1" si="96"/>
        <v>0</v>
      </c>
      <c r="L48" s="23">
        <f t="shared" ca="1" si="96"/>
        <v>0</v>
      </c>
      <c r="M48" s="23">
        <f t="shared" ca="1" si="96"/>
        <v>0</v>
      </c>
      <c r="N48" s="301">
        <f t="shared" ref="N48:O48" ca="1" si="97">IF(N33=0,0,IF(N49=0,TRUNC((N34*95%),2),0))</f>
        <v>0</v>
      </c>
      <c r="O48" s="301">
        <f t="shared" ca="1" si="97"/>
        <v>0</v>
      </c>
      <c r="P48" s="301">
        <f t="shared" ref="P48:R48" ca="1" si="98">IF(P33=0,0,IF(P49=0,TRUNC((P34*95%),2),0))</f>
        <v>0</v>
      </c>
      <c r="Q48" s="301">
        <f t="shared" ca="1" si="98"/>
        <v>0</v>
      </c>
      <c r="R48" s="301">
        <f t="shared" ca="1" si="98"/>
        <v>0</v>
      </c>
      <c r="T48" s="23">
        <f>IF(T33=0,0,IF(T49=0,TRUNC((T34*95%),2),0))</f>
        <v>0</v>
      </c>
      <c r="V48" s="15">
        <f t="shared" ca="1" si="71"/>
        <v>0</v>
      </c>
    </row>
    <row r="49" spans="2:22" ht="14.1" hidden="1" customHeight="1" x14ac:dyDescent="0.25">
      <c r="B49" s="468"/>
      <c r="C49" s="459"/>
      <c r="D49" s="450" t="s">
        <v>99</v>
      </c>
      <c r="E49" s="450"/>
      <c r="G49" s="23">
        <f t="shared" ref="G49:M49" ca="1" si="99">IF(G33=0,0,IF(G26&gt;1.5,TRUNC((G34*95%),2),0))</f>
        <v>0</v>
      </c>
      <c r="H49" s="23">
        <f t="shared" ca="1" si="99"/>
        <v>0</v>
      </c>
      <c r="I49" s="23">
        <f t="shared" ca="1" si="99"/>
        <v>0</v>
      </c>
      <c r="J49" s="23">
        <f t="shared" ca="1" si="99"/>
        <v>0</v>
      </c>
      <c r="K49" s="23">
        <f t="shared" ca="1" si="99"/>
        <v>0</v>
      </c>
      <c r="L49" s="23">
        <f t="shared" ca="1" si="99"/>
        <v>0</v>
      </c>
      <c r="M49" s="23">
        <f t="shared" ca="1" si="99"/>
        <v>0</v>
      </c>
      <c r="N49" s="301">
        <f t="shared" ref="N49:O49" ca="1" si="100">IF(N33=0,0,IF(N26&gt;1.5,TRUNC((N34*95%),2),0))</f>
        <v>0</v>
      </c>
      <c r="O49" s="301">
        <f t="shared" ca="1" si="100"/>
        <v>0</v>
      </c>
      <c r="P49" s="301">
        <f t="shared" ref="P49:R49" ca="1" si="101">IF(P33=0,0,IF(P26&gt;1.5,TRUNC((P34*95%),2),0))</f>
        <v>0</v>
      </c>
      <c r="Q49" s="301">
        <f t="shared" ca="1" si="101"/>
        <v>0</v>
      </c>
      <c r="R49" s="301">
        <f t="shared" ca="1" si="101"/>
        <v>0</v>
      </c>
      <c r="T49" s="23">
        <f>IF(T33=0,0,IF(T26&gt;1.5,TRUNC((T34*95%),2),0))</f>
        <v>0</v>
      </c>
      <c r="V49" s="15">
        <f t="shared" ca="1" si="71"/>
        <v>0</v>
      </c>
    </row>
    <row r="50" spans="2:22" ht="14.1" customHeight="1" x14ac:dyDescent="0.25">
      <c r="B50" s="468"/>
      <c r="C50" s="459" t="s">
        <v>88</v>
      </c>
      <c r="D50" s="450"/>
      <c r="E50" s="450"/>
      <c r="G50" s="23">
        <f t="shared" ref="G50:M50" ca="1" si="102">TRUNC((SUM(G34:G37)*5%),2)</f>
        <v>14.41</v>
      </c>
      <c r="H50" s="23">
        <f t="shared" ca="1" si="102"/>
        <v>14.51</v>
      </c>
      <c r="I50" s="23">
        <f t="shared" ca="1" si="102"/>
        <v>14.48</v>
      </c>
      <c r="J50" s="23">
        <f t="shared" ca="1" si="102"/>
        <v>14.38</v>
      </c>
      <c r="K50" s="23">
        <f t="shared" ca="1" si="102"/>
        <v>18.649999999999999</v>
      </c>
      <c r="L50" s="23">
        <f t="shared" ca="1" si="102"/>
        <v>17.920000000000002</v>
      </c>
      <c r="M50" s="23">
        <f t="shared" ca="1" si="102"/>
        <v>17.03</v>
      </c>
      <c r="N50" s="301">
        <f t="shared" ref="N50:O50" ca="1" si="103">TRUNC((SUM(N34:N37)*5%),2)</f>
        <v>8.32</v>
      </c>
      <c r="O50" s="301">
        <f t="shared" ca="1" si="103"/>
        <v>3.76</v>
      </c>
      <c r="P50" s="301">
        <f t="shared" ref="P50:R50" ca="1" si="104">TRUNC((SUM(P34:P37)*5%),2)</f>
        <v>25.08</v>
      </c>
      <c r="Q50" s="301">
        <f t="shared" ca="1" si="104"/>
        <v>25.59</v>
      </c>
      <c r="R50" s="301">
        <f t="shared" ca="1" si="104"/>
        <v>3.83</v>
      </c>
      <c r="T50" s="23">
        <f>TRUNC((SUM(T34:T37)*5%),2)</f>
        <v>57.21</v>
      </c>
      <c r="V50" s="15">
        <f t="shared" ca="1" si="71"/>
        <v>235.17000000000004</v>
      </c>
    </row>
    <row r="51" spans="2:22" ht="5.0999999999999996" customHeight="1" x14ac:dyDescent="0.25">
      <c r="B51" s="468"/>
      <c r="C51" s="208"/>
      <c r="D51" s="204"/>
      <c r="E51" s="204"/>
    </row>
    <row r="52" spans="2:22" ht="14.1" customHeight="1" x14ac:dyDescent="0.25">
      <c r="B52" s="468"/>
      <c r="C52" s="459" t="s">
        <v>100</v>
      </c>
      <c r="D52" s="450" t="s">
        <v>101</v>
      </c>
      <c r="E52" s="450"/>
      <c r="G52" s="302">
        <v>0</v>
      </c>
      <c r="H52" s="302">
        <v>0</v>
      </c>
      <c r="I52" s="302">
        <v>0</v>
      </c>
      <c r="J52" s="302">
        <v>0</v>
      </c>
      <c r="K52" s="302">
        <v>0</v>
      </c>
      <c r="L52" s="302">
        <v>0</v>
      </c>
      <c r="M52" s="302">
        <v>0</v>
      </c>
      <c r="N52" s="302">
        <v>0</v>
      </c>
      <c r="O52" s="302">
        <v>0.1</v>
      </c>
      <c r="P52" s="302">
        <v>0</v>
      </c>
      <c r="Q52" s="302">
        <v>0</v>
      </c>
      <c r="R52" s="302">
        <v>0.1</v>
      </c>
      <c r="T52" s="302">
        <v>0</v>
      </c>
      <c r="V52" s="36"/>
    </row>
    <row r="53" spans="2:22" ht="14.1" customHeight="1" x14ac:dyDescent="0.25">
      <c r="B53" s="468"/>
      <c r="C53" s="459"/>
      <c r="D53" s="450" t="s">
        <v>102</v>
      </c>
      <c r="E53" s="450"/>
      <c r="G53" s="23">
        <f t="shared" ref="G53:M53" ca="1" si="105">TRUNC(((G52*G10*G23)*1.1),2)</f>
        <v>0</v>
      </c>
      <c r="H53" s="23">
        <f t="shared" ca="1" si="105"/>
        <v>0</v>
      </c>
      <c r="I53" s="23">
        <f t="shared" ca="1" si="105"/>
        <v>0</v>
      </c>
      <c r="J53" s="23">
        <f t="shared" ca="1" si="105"/>
        <v>0</v>
      </c>
      <c r="K53" s="23">
        <f t="shared" ca="1" si="105"/>
        <v>0</v>
      </c>
      <c r="L53" s="23">
        <f t="shared" ca="1" si="105"/>
        <v>0</v>
      </c>
      <c r="M53" s="23">
        <f t="shared" ca="1" si="105"/>
        <v>0</v>
      </c>
      <c r="N53" s="301">
        <f t="shared" ref="N53:O53" ca="1" si="106">TRUNC(((N52*N10*N23)*1.1),2)</f>
        <v>0</v>
      </c>
      <c r="O53" s="301">
        <f t="shared" ca="1" si="106"/>
        <v>2.84</v>
      </c>
      <c r="P53" s="301">
        <f t="shared" ref="P53:R53" ca="1" si="107">TRUNC(((P52*P10*P23)*1.1),2)</f>
        <v>0</v>
      </c>
      <c r="Q53" s="301">
        <f t="shared" ca="1" si="107"/>
        <v>0</v>
      </c>
      <c r="R53" s="301">
        <f t="shared" ca="1" si="107"/>
        <v>2.88</v>
      </c>
      <c r="T53" s="23">
        <f>TRUNC(((T52*T10*T23)*1.1),2)</f>
        <v>0</v>
      </c>
      <c r="V53" s="15">
        <f ca="1">SUM(F53:U53)</f>
        <v>5.72</v>
      </c>
    </row>
    <row r="54" spans="2:22" ht="14.1" customHeight="1" x14ac:dyDescent="0.25">
      <c r="B54" s="468"/>
      <c r="C54" s="459" t="s">
        <v>103</v>
      </c>
      <c r="D54" s="450" t="s">
        <v>101</v>
      </c>
      <c r="E54" s="450"/>
      <c r="G54" s="302">
        <v>0</v>
      </c>
      <c r="H54" s="302">
        <v>0</v>
      </c>
      <c r="I54" s="302">
        <v>0</v>
      </c>
      <c r="J54" s="302">
        <v>0</v>
      </c>
      <c r="K54" s="302">
        <v>0</v>
      </c>
      <c r="L54" s="302">
        <v>0</v>
      </c>
      <c r="M54" s="302">
        <v>0</v>
      </c>
      <c r="N54" s="302">
        <v>0</v>
      </c>
      <c r="O54" s="302">
        <v>0.5</v>
      </c>
      <c r="P54" s="302">
        <v>0</v>
      </c>
      <c r="Q54" s="302">
        <v>0</v>
      </c>
      <c r="R54" s="302">
        <v>0.5</v>
      </c>
      <c r="T54" s="302">
        <v>0</v>
      </c>
      <c r="V54" s="36"/>
    </row>
    <row r="55" spans="2:22" ht="14.1" customHeight="1" x14ac:dyDescent="0.25">
      <c r="B55" s="468"/>
      <c r="C55" s="459"/>
      <c r="D55" s="450" t="s">
        <v>102</v>
      </c>
      <c r="E55" s="450"/>
      <c r="G55" s="23">
        <f t="shared" ref="G55:M55" ca="1" si="108">TRUNC(((G54*G10*G23)*1.1),2)</f>
        <v>0</v>
      </c>
      <c r="H55" s="23">
        <f t="shared" ca="1" si="108"/>
        <v>0</v>
      </c>
      <c r="I55" s="23">
        <f t="shared" ca="1" si="108"/>
        <v>0</v>
      </c>
      <c r="J55" s="23">
        <f t="shared" ca="1" si="108"/>
        <v>0</v>
      </c>
      <c r="K55" s="23">
        <f t="shared" ca="1" si="108"/>
        <v>0</v>
      </c>
      <c r="L55" s="23">
        <f t="shared" ca="1" si="108"/>
        <v>0</v>
      </c>
      <c r="M55" s="23">
        <f t="shared" ca="1" si="108"/>
        <v>0</v>
      </c>
      <c r="N55" s="301">
        <f t="shared" ref="N55:O55" ca="1" si="109">TRUNC(((N54*N10*N23)*1.1),2)</f>
        <v>0</v>
      </c>
      <c r="O55" s="301">
        <f t="shared" ca="1" si="109"/>
        <v>14.24</v>
      </c>
      <c r="P55" s="301">
        <f t="shared" ref="P55:R55" ca="1" si="110">TRUNC(((P54*P10*P23)*1.1),2)</f>
        <v>0</v>
      </c>
      <c r="Q55" s="301">
        <f t="shared" ca="1" si="110"/>
        <v>0</v>
      </c>
      <c r="R55" s="301">
        <f t="shared" ca="1" si="110"/>
        <v>14.42</v>
      </c>
      <c r="T55" s="23">
        <f>TRUNC(((T54*T10*T23)*1.1),2)</f>
        <v>0</v>
      </c>
      <c r="V55" s="15">
        <f ca="1">SUM(F55:U55)</f>
        <v>28.66</v>
      </c>
    </row>
    <row r="56" spans="2:22" ht="14.1" customHeight="1" x14ac:dyDescent="0.25">
      <c r="B56" s="468"/>
      <c r="C56" s="459" t="s">
        <v>105</v>
      </c>
      <c r="D56" s="450"/>
      <c r="E56" s="14">
        <f>IF('Resumo DMT''s'!$E$15&gt;30,30,'Resumo DMT''s'!$E$15)</f>
        <v>30</v>
      </c>
      <c r="G56" s="23">
        <f t="shared" ref="G56:M56" ca="1" si="111">TRUNC(((G53+G55)*$E$56),2)</f>
        <v>0</v>
      </c>
      <c r="H56" s="23">
        <f t="shared" ca="1" si="111"/>
        <v>0</v>
      </c>
      <c r="I56" s="23">
        <f t="shared" ca="1" si="111"/>
        <v>0</v>
      </c>
      <c r="J56" s="23">
        <f t="shared" ca="1" si="111"/>
        <v>0</v>
      </c>
      <c r="K56" s="23">
        <f t="shared" ca="1" si="111"/>
        <v>0</v>
      </c>
      <c r="L56" s="23">
        <f t="shared" ca="1" si="111"/>
        <v>0</v>
      </c>
      <c r="M56" s="23">
        <f t="shared" ca="1" si="111"/>
        <v>0</v>
      </c>
      <c r="N56" s="301">
        <f t="shared" ref="N56:O56" ca="1" si="112">TRUNC(((N53+N55)*$E$56),2)</f>
        <v>0</v>
      </c>
      <c r="O56" s="301">
        <f t="shared" ca="1" si="112"/>
        <v>512.4</v>
      </c>
      <c r="P56" s="301">
        <f t="shared" ref="P56:R56" ca="1" si="113">TRUNC(((P53+P55)*$E$56),2)</f>
        <v>0</v>
      </c>
      <c r="Q56" s="301">
        <f t="shared" ca="1" si="113"/>
        <v>0</v>
      </c>
      <c r="R56" s="301">
        <f t="shared" ca="1" si="113"/>
        <v>519</v>
      </c>
      <c r="T56" s="23">
        <f>TRUNC(((T53+T55)*$E$56),2)</f>
        <v>0</v>
      </c>
      <c r="V56" s="15">
        <f ca="1">SUM(F56:U56)</f>
        <v>1031.4000000000001</v>
      </c>
    </row>
    <row r="57" spans="2:22" ht="14.1" customHeight="1" x14ac:dyDescent="0.25">
      <c r="B57" s="468"/>
      <c r="C57" s="459" t="s">
        <v>105</v>
      </c>
      <c r="D57" s="450"/>
      <c r="E57" s="14">
        <f>IF('Resumo DMT''s'!$E$15&gt;30,'Resumo DMT''s'!$E$15-30,0)</f>
        <v>25</v>
      </c>
      <c r="G57" s="23">
        <f t="shared" ref="G57:M57" ca="1" si="114">TRUNC(((G53+G55)*$E$57),2)</f>
        <v>0</v>
      </c>
      <c r="H57" s="23">
        <f t="shared" ca="1" si="114"/>
        <v>0</v>
      </c>
      <c r="I57" s="23">
        <f t="shared" ca="1" si="114"/>
        <v>0</v>
      </c>
      <c r="J57" s="23">
        <f t="shared" ca="1" si="114"/>
        <v>0</v>
      </c>
      <c r="K57" s="23">
        <f t="shared" ca="1" si="114"/>
        <v>0</v>
      </c>
      <c r="L57" s="23">
        <f t="shared" ca="1" si="114"/>
        <v>0</v>
      </c>
      <c r="M57" s="23">
        <f t="shared" ca="1" si="114"/>
        <v>0</v>
      </c>
      <c r="N57" s="301">
        <f t="shared" ref="N57:O57" ca="1" si="115">TRUNC(((N53+N55)*$E$57),2)</f>
        <v>0</v>
      </c>
      <c r="O57" s="301">
        <f t="shared" ca="1" si="115"/>
        <v>427</v>
      </c>
      <c r="P57" s="301">
        <f t="shared" ref="P57:R57" ca="1" si="116">TRUNC(((P53+P55)*$E$57),2)</f>
        <v>0</v>
      </c>
      <c r="Q57" s="301">
        <f t="shared" ca="1" si="116"/>
        <v>0</v>
      </c>
      <c r="R57" s="301">
        <f t="shared" ca="1" si="116"/>
        <v>432.5</v>
      </c>
      <c r="T57" s="23">
        <f>TRUNC(((T53+T55)*$E$57),2)</f>
        <v>0</v>
      </c>
      <c r="V57" s="15">
        <f ca="1">SUM(F57:U57)</f>
        <v>859.5</v>
      </c>
    </row>
    <row r="58" spans="2:22" ht="14.1" customHeight="1" x14ac:dyDescent="0.25">
      <c r="B58" s="468"/>
      <c r="C58" s="459" t="s">
        <v>104</v>
      </c>
      <c r="D58" s="450"/>
      <c r="E58" s="450"/>
      <c r="G58" s="23">
        <f t="shared" ref="G58:M58" ca="1" si="117">TRUNC((IF(G53+G55&gt;0,G67/14,0)),2)</f>
        <v>0</v>
      </c>
      <c r="H58" s="23">
        <f t="shared" ca="1" si="117"/>
        <v>0</v>
      </c>
      <c r="I58" s="23">
        <f t="shared" ca="1" si="117"/>
        <v>0</v>
      </c>
      <c r="J58" s="23">
        <f t="shared" ca="1" si="117"/>
        <v>0</v>
      </c>
      <c r="K58" s="23">
        <f t="shared" ca="1" si="117"/>
        <v>0</v>
      </c>
      <c r="L58" s="23">
        <f t="shared" ca="1" si="117"/>
        <v>0</v>
      </c>
      <c r="M58" s="23">
        <f t="shared" ca="1" si="117"/>
        <v>0</v>
      </c>
      <c r="N58" s="301">
        <f t="shared" ref="N58:O58" ca="1" si="118">TRUNC((IF(N53+N55&gt;0,N67/14,0)),2)</f>
        <v>0</v>
      </c>
      <c r="O58" s="301">
        <f t="shared" ca="1" si="118"/>
        <v>3.31</v>
      </c>
      <c r="P58" s="301">
        <f t="shared" ref="P58:R58" ca="1" si="119">TRUNC((IF(P53+P55&gt;0,P67/14,0)),2)</f>
        <v>0</v>
      </c>
      <c r="Q58" s="301">
        <f t="shared" ca="1" si="119"/>
        <v>0</v>
      </c>
      <c r="R58" s="301">
        <f t="shared" ca="1" si="119"/>
        <v>3.39</v>
      </c>
      <c r="T58" s="23">
        <f>TRUNC((IF(T53+T55&gt;0,T67/14,0)),2)</f>
        <v>0</v>
      </c>
      <c r="V58" s="15">
        <f ca="1">SUM(F58:U58)</f>
        <v>6.7</v>
      </c>
    </row>
    <row r="59" spans="2:22" ht="5.0999999999999996" customHeight="1" x14ac:dyDescent="0.25">
      <c r="B59" s="468"/>
      <c r="C59" s="208"/>
      <c r="D59" s="204"/>
      <c r="E59" s="204"/>
    </row>
    <row r="60" spans="2:22" ht="14.1" customHeight="1" x14ac:dyDescent="0.25">
      <c r="B60" s="468"/>
      <c r="C60" s="459" t="s">
        <v>106</v>
      </c>
      <c r="D60" s="450" t="s">
        <v>107</v>
      </c>
      <c r="E60" s="450"/>
      <c r="G60" s="23">
        <f t="shared" ref="G60:M60" ca="1" si="120">IF(G52+G54&gt;0,0,IF((G23+G24)&lt;=1.5,TRUNC((G10*(G23+G24)),2),0))</f>
        <v>0</v>
      </c>
      <c r="H60" s="23">
        <f t="shared" ca="1" si="120"/>
        <v>0</v>
      </c>
      <c r="I60" s="23">
        <f t="shared" ca="1" si="120"/>
        <v>0</v>
      </c>
      <c r="J60" s="23">
        <f t="shared" ca="1" si="120"/>
        <v>0</v>
      </c>
      <c r="K60" s="23">
        <f t="shared" ca="1" si="120"/>
        <v>0</v>
      </c>
      <c r="L60" s="23">
        <f t="shared" ca="1" si="120"/>
        <v>0</v>
      </c>
      <c r="M60" s="23">
        <f t="shared" ca="1" si="120"/>
        <v>0</v>
      </c>
      <c r="N60" s="301">
        <f t="shared" ref="N60:O60" ca="1" si="121">IF(N52+N54&gt;0,0,IF((N23+N24)&lt;=1.5,TRUNC((N10*(N23+N24)),2),0))</f>
        <v>0</v>
      </c>
      <c r="O60" s="301">
        <f t="shared" si="121"/>
        <v>0</v>
      </c>
      <c r="P60" s="301">
        <f t="shared" ref="P60:R60" ca="1" si="122">IF(P52+P54&gt;0,0,IF((P23+P24)&lt;=1.5,TRUNC((P10*(P23+P24)),2),0))</f>
        <v>0</v>
      </c>
      <c r="Q60" s="301">
        <f t="shared" ca="1" si="122"/>
        <v>0</v>
      </c>
      <c r="R60" s="301">
        <f t="shared" si="122"/>
        <v>0</v>
      </c>
      <c r="T60" s="23">
        <f>IF(T52+T54&gt;0,0,IF((T23+T24)&lt;=1.5,TRUNC((T10*(T23+T24)),2),0))</f>
        <v>435.2</v>
      </c>
      <c r="V60" s="15">
        <f ca="1">SUM(F60:U60)</f>
        <v>435.2</v>
      </c>
    </row>
    <row r="61" spans="2:22" ht="14.1" customHeight="1" x14ac:dyDescent="0.25">
      <c r="B61" s="468"/>
      <c r="C61" s="459"/>
      <c r="D61" s="450" t="s">
        <v>108</v>
      </c>
      <c r="E61" s="450"/>
      <c r="G61" s="23">
        <f t="shared" ref="G61:M61" ca="1" si="123">IF(G52+G54&gt;0,0,IF((G23+G24)&gt;1.5,TRUNC((G10*(G23+G24)),2),0))</f>
        <v>109.61</v>
      </c>
      <c r="H61" s="23">
        <f t="shared" ca="1" si="123"/>
        <v>109.61</v>
      </c>
      <c r="I61" s="23">
        <f t="shared" ca="1" si="123"/>
        <v>110.86</v>
      </c>
      <c r="J61" s="23">
        <f t="shared" ca="1" si="123"/>
        <v>110.86</v>
      </c>
      <c r="K61" s="23">
        <f t="shared" ca="1" si="123"/>
        <v>141.84</v>
      </c>
      <c r="L61" s="23">
        <f t="shared" ca="1" si="123"/>
        <v>135.32</v>
      </c>
      <c r="M61" s="23">
        <f t="shared" ca="1" si="123"/>
        <v>128.63999999999999</v>
      </c>
      <c r="N61" s="301">
        <f t="shared" ref="N61:O61" ca="1" si="124">IF(N52+N54&gt;0,0,IF((N23+N24)&gt;1.5,TRUNC((N10*(N23+N24)),2),0))</f>
        <v>62.86</v>
      </c>
      <c r="O61" s="301">
        <f t="shared" si="124"/>
        <v>0</v>
      </c>
      <c r="P61" s="301">
        <f t="shared" ref="P61:R61" ca="1" si="125">IF(P52+P54&gt;0,0,IF((P23+P24)&gt;1.5,TRUNC((P10*(P23+P24)),2),0))</f>
        <v>192</v>
      </c>
      <c r="Q61" s="301">
        <f t="shared" ca="1" si="125"/>
        <v>192</v>
      </c>
      <c r="R61" s="301">
        <f t="shared" si="125"/>
        <v>0</v>
      </c>
      <c r="T61" s="23">
        <f>IF(T52+T54&gt;0,0,IF((T23+T24)&gt;1.5,TRUNC((T10*(T23+T24)),2),0))</f>
        <v>0</v>
      </c>
      <c r="V61" s="15">
        <f ca="1">SUM(F61:U61)</f>
        <v>1293.5999999999999</v>
      </c>
    </row>
    <row r="62" spans="2:22" ht="5.0999999999999996" customHeight="1" x14ac:dyDescent="0.25">
      <c r="B62" s="468"/>
      <c r="C62" s="208"/>
      <c r="D62" s="204"/>
      <c r="E62" s="204"/>
    </row>
    <row r="63" spans="2:22" ht="14.1" hidden="1" customHeight="1" x14ac:dyDescent="0.25">
      <c r="B63" s="468"/>
      <c r="C63" s="459" t="s">
        <v>110</v>
      </c>
      <c r="D63" s="450" t="s">
        <v>532</v>
      </c>
      <c r="E63" s="450"/>
      <c r="G63" s="213">
        <f t="shared" ref="G63:M63" ca="1" si="126">IF(AND(G20&gt;1.5,G20&lt;=3,G26&lt;=1.5),TRUNC((G20*2*G10),2),0)</f>
        <v>0</v>
      </c>
      <c r="H63" s="213">
        <f t="shared" ca="1" si="126"/>
        <v>0</v>
      </c>
      <c r="I63" s="213">
        <f t="shared" ca="1" si="126"/>
        <v>0</v>
      </c>
      <c r="J63" s="213">
        <f t="shared" ca="1" si="126"/>
        <v>0</v>
      </c>
      <c r="K63" s="213">
        <f t="shared" ca="1" si="126"/>
        <v>0</v>
      </c>
      <c r="L63" s="213">
        <f t="shared" ca="1" si="126"/>
        <v>0</v>
      </c>
      <c r="M63" s="213">
        <f t="shared" ca="1" si="126"/>
        <v>0</v>
      </c>
      <c r="N63" s="301">
        <f t="shared" ref="N63:O63" ca="1" si="127">IF(AND(N20&gt;1.5,N20&lt;=3,N26&lt;=1.5),TRUNC((N20*2*N10),2),0)</f>
        <v>0</v>
      </c>
      <c r="O63" s="301">
        <f t="shared" ca="1" si="127"/>
        <v>0</v>
      </c>
      <c r="P63" s="301">
        <f t="shared" ref="P63:R63" ca="1" si="128">IF(AND(P20&gt;1.5,P20&lt;=3,P26&lt;=1.5),TRUNC((P20*2*P10),2),0)</f>
        <v>0</v>
      </c>
      <c r="Q63" s="301">
        <f t="shared" ca="1" si="128"/>
        <v>0</v>
      </c>
      <c r="R63" s="301">
        <f t="shared" ca="1" si="128"/>
        <v>0</v>
      </c>
      <c r="T63" s="23">
        <v>0</v>
      </c>
      <c r="V63" s="15">
        <f ca="1">SUM(F63:U63)</f>
        <v>0</v>
      </c>
    </row>
    <row r="64" spans="2:22" ht="27.95" customHeight="1" x14ac:dyDescent="0.25">
      <c r="B64" s="468"/>
      <c r="C64" s="459"/>
      <c r="D64" s="450" t="s">
        <v>95</v>
      </c>
      <c r="E64" s="450"/>
      <c r="G64" s="213">
        <f t="shared" ref="G64:M64" ca="1" si="129">IF(AND(G20&gt;1.5,G20&lt;=3,G26&gt;1.5),TRUNC((G20*2*G10),2),0)</f>
        <v>258.69</v>
      </c>
      <c r="H64" s="213">
        <f t="shared" ca="1" si="129"/>
        <v>260.06</v>
      </c>
      <c r="I64" s="213">
        <f t="shared" ca="1" si="129"/>
        <v>260.25</v>
      </c>
      <c r="J64" s="213">
        <f t="shared" ca="1" si="129"/>
        <v>258.86</v>
      </c>
      <c r="K64" s="213">
        <f t="shared" ca="1" si="129"/>
        <v>334.74</v>
      </c>
      <c r="L64" s="213">
        <f t="shared" ca="1" si="129"/>
        <v>321.06</v>
      </c>
      <c r="M64" s="213">
        <f t="shared" ca="1" si="129"/>
        <v>305.19</v>
      </c>
      <c r="N64" s="301">
        <f t="shared" ref="N64:O64" ca="1" si="130">IF(AND(N20&gt;1.5,N20&lt;=3,N26&gt;1.5),TRUNC((N20*2*N10),2),0)</f>
        <v>149.13999999999999</v>
      </c>
      <c r="O64" s="301">
        <f t="shared" ca="1" si="130"/>
        <v>65.989999999999995</v>
      </c>
      <c r="P64" s="301">
        <f t="shared" ref="P64:R64" ca="1" si="131">IF(AND(P20&gt;1.5,P20&lt;=3,P26&gt;1.5),TRUNC((P20*2*P10),2),0)</f>
        <v>450.72</v>
      </c>
      <c r="Q64" s="301">
        <f t="shared" ca="1" si="131"/>
        <v>457.92</v>
      </c>
      <c r="R64" s="301">
        <f t="shared" ca="1" si="131"/>
        <v>67.13</v>
      </c>
      <c r="T64" s="23">
        <v>0</v>
      </c>
      <c r="V64" s="15">
        <f ca="1">SUM(F64:U64)</f>
        <v>3189.75</v>
      </c>
    </row>
    <row r="65" spans="2:22" ht="27.95" hidden="1" customHeight="1" x14ac:dyDescent="0.25">
      <c r="B65" s="468"/>
      <c r="C65" s="207" t="s">
        <v>109</v>
      </c>
      <c r="D65" s="450" t="s">
        <v>111</v>
      </c>
      <c r="E65" s="450"/>
      <c r="G65" s="23">
        <f t="shared" ref="G65:M65" ca="1" si="132">IF(G20&gt;3,TRUNC((G20*2*G10),2),0)</f>
        <v>0</v>
      </c>
      <c r="H65" s="23">
        <f t="shared" ca="1" si="132"/>
        <v>0</v>
      </c>
      <c r="I65" s="23">
        <f t="shared" ca="1" si="132"/>
        <v>0</v>
      </c>
      <c r="J65" s="23">
        <f t="shared" ca="1" si="132"/>
        <v>0</v>
      </c>
      <c r="K65" s="23">
        <f t="shared" ca="1" si="132"/>
        <v>0</v>
      </c>
      <c r="L65" s="23">
        <f t="shared" ca="1" si="132"/>
        <v>0</v>
      </c>
      <c r="M65" s="23">
        <f t="shared" ca="1" si="132"/>
        <v>0</v>
      </c>
      <c r="N65" s="301">
        <f t="shared" ref="N65:O65" ca="1" si="133">IF(N20&gt;3,TRUNC((N20*2*N10),2),0)</f>
        <v>0</v>
      </c>
      <c r="O65" s="301">
        <f t="shared" ca="1" si="133"/>
        <v>0</v>
      </c>
      <c r="P65" s="301">
        <f t="shared" ref="P65:R65" ca="1" si="134">IF(P20&gt;3,TRUNC((P20*2*P10),2),0)</f>
        <v>0</v>
      </c>
      <c r="Q65" s="301">
        <f t="shared" ca="1" si="134"/>
        <v>0</v>
      </c>
      <c r="R65" s="301">
        <f t="shared" ca="1" si="134"/>
        <v>0</v>
      </c>
      <c r="T65" s="23">
        <v>0</v>
      </c>
      <c r="V65" s="15">
        <f ca="1">SUM(F65:U65)</f>
        <v>0</v>
      </c>
    </row>
    <row r="66" spans="2:22" ht="5.0999999999999996" customHeight="1" x14ac:dyDescent="0.25">
      <c r="B66" s="468"/>
      <c r="C66" s="208"/>
      <c r="D66" s="204"/>
      <c r="E66" s="204"/>
    </row>
    <row r="67" spans="2:22" ht="15" customHeight="1" x14ac:dyDescent="0.25">
      <c r="B67" s="468"/>
      <c r="C67" s="459" t="s">
        <v>112</v>
      </c>
      <c r="D67" s="450"/>
      <c r="E67" s="450"/>
      <c r="G67" s="23">
        <f t="shared" ref="G67:M67" ca="1" si="135">TRUNC((G39-G53-G55-(G27*G10)),2)</f>
        <v>239.01</v>
      </c>
      <c r="H67" s="23">
        <f t="shared" ca="1" si="135"/>
        <v>240.97</v>
      </c>
      <c r="I67" s="23">
        <f t="shared" ca="1" si="135"/>
        <v>239.76</v>
      </c>
      <c r="J67" s="23">
        <f t="shared" ca="1" si="135"/>
        <v>237.78</v>
      </c>
      <c r="K67" s="23">
        <f t="shared" ca="1" si="135"/>
        <v>309.27999999999997</v>
      </c>
      <c r="L67" s="23">
        <f t="shared" ca="1" si="135"/>
        <v>297.5</v>
      </c>
      <c r="M67" s="23">
        <f t="shared" ca="1" si="135"/>
        <v>282.8</v>
      </c>
      <c r="N67" s="301">
        <f t="shared" ref="N67:O67" ca="1" si="136">TRUNC((N39-N53-N55-(N27*N10)),2)</f>
        <v>138.19</v>
      </c>
      <c r="O67" s="301">
        <f t="shared" ca="1" si="136"/>
        <v>46.46</v>
      </c>
      <c r="P67" s="301">
        <f t="shared" ref="P67:R67" ca="1" si="137">TRUNC((P39-P53-P55-(P27*P10)),2)</f>
        <v>415.24</v>
      </c>
      <c r="Q67" s="301">
        <f t="shared" ca="1" si="137"/>
        <v>425.54</v>
      </c>
      <c r="R67" s="301">
        <f t="shared" ca="1" si="137"/>
        <v>47.5</v>
      </c>
      <c r="T67" s="23">
        <f>TRUNC((T39-T53-T55-(T27*T10)),2)</f>
        <v>1046.4000000000001</v>
      </c>
      <c r="V67" s="15">
        <f t="shared" ref="V67:V75" ca="1" si="138">SUM(F67:U67)</f>
        <v>3966.43</v>
      </c>
    </row>
    <row r="68" spans="2:22" ht="14.1" hidden="1" customHeight="1" x14ac:dyDescent="0.25">
      <c r="B68" s="468"/>
      <c r="C68" s="459" t="s">
        <v>113</v>
      </c>
      <c r="D68" s="450" t="s">
        <v>90</v>
      </c>
      <c r="E68" s="450"/>
      <c r="G68" s="23">
        <f t="shared" ref="G68:M68" ca="1" si="139">IF(G20&lt;=1.5,IF(G26&lt;=0.8,G67,0),0)</f>
        <v>0</v>
      </c>
      <c r="H68" s="23">
        <f t="shared" ca="1" si="139"/>
        <v>0</v>
      </c>
      <c r="I68" s="23">
        <f t="shared" ca="1" si="139"/>
        <v>0</v>
      </c>
      <c r="J68" s="23">
        <f t="shared" ca="1" si="139"/>
        <v>0</v>
      </c>
      <c r="K68" s="23">
        <f t="shared" ca="1" si="139"/>
        <v>0</v>
      </c>
      <c r="L68" s="23">
        <f t="shared" ca="1" si="139"/>
        <v>0</v>
      </c>
      <c r="M68" s="23">
        <f t="shared" ca="1" si="139"/>
        <v>0</v>
      </c>
      <c r="N68" s="301">
        <f t="shared" ref="N68:O68" ca="1" si="140">IF(N20&lt;=1.5,IF(N26&lt;=0.8,N67,0),0)</f>
        <v>0</v>
      </c>
      <c r="O68" s="301">
        <f t="shared" ca="1" si="140"/>
        <v>0</v>
      </c>
      <c r="P68" s="301">
        <f t="shared" ref="P68:R68" ca="1" si="141">IF(P20&lt;=1.5,IF(P26&lt;=0.8,P67,0),0)</f>
        <v>0</v>
      </c>
      <c r="Q68" s="301">
        <f t="shared" ca="1" si="141"/>
        <v>0</v>
      </c>
      <c r="R68" s="301">
        <f t="shared" ca="1" si="141"/>
        <v>0</v>
      </c>
      <c r="T68" s="23">
        <f>IF(T20&lt;=1.5,IF(T26&lt;=0.8,T67,0),0)</f>
        <v>0</v>
      </c>
      <c r="V68" s="15">
        <f t="shared" ca="1" si="138"/>
        <v>0</v>
      </c>
    </row>
    <row r="69" spans="2:22" ht="14.1" hidden="1" customHeight="1" x14ac:dyDescent="0.25">
      <c r="B69" s="468"/>
      <c r="C69" s="459"/>
      <c r="D69" s="450" t="s">
        <v>91</v>
      </c>
      <c r="E69" s="450"/>
      <c r="G69" s="23">
        <f t="shared" ref="G69:M69" ca="1" si="142">IF(G20&lt;=1.5,IF(AND(G26&gt;0.8,G26&lt;=1.5),IF(G26&gt;0.8,G67,0),0),0)</f>
        <v>0</v>
      </c>
      <c r="H69" s="23">
        <f t="shared" ca="1" si="142"/>
        <v>0</v>
      </c>
      <c r="I69" s="23">
        <f t="shared" ca="1" si="142"/>
        <v>0</v>
      </c>
      <c r="J69" s="23">
        <f t="shared" ca="1" si="142"/>
        <v>0</v>
      </c>
      <c r="K69" s="23">
        <f t="shared" ca="1" si="142"/>
        <v>0</v>
      </c>
      <c r="L69" s="23">
        <f t="shared" ca="1" si="142"/>
        <v>0</v>
      </c>
      <c r="M69" s="23">
        <f t="shared" ca="1" si="142"/>
        <v>0</v>
      </c>
      <c r="N69" s="301">
        <f t="shared" ref="N69:O69" ca="1" si="143">IF(N20&lt;=1.5,IF(AND(N26&gt;0.8,N26&lt;=1.5),IF(N26&gt;0.8,N67,0),0),0)</f>
        <v>0</v>
      </c>
      <c r="O69" s="301">
        <f t="shared" ca="1" si="143"/>
        <v>0</v>
      </c>
      <c r="P69" s="301">
        <f t="shared" ref="P69:R69" ca="1" si="144">IF(P20&lt;=1.5,IF(AND(P26&gt;0.8,P26&lt;=1.5),IF(P26&gt;0.8,P67,0),0),0)</f>
        <v>0</v>
      </c>
      <c r="Q69" s="301">
        <f t="shared" ca="1" si="144"/>
        <v>0</v>
      </c>
      <c r="R69" s="301">
        <f t="shared" ca="1" si="144"/>
        <v>0</v>
      </c>
      <c r="T69" s="23">
        <f>IF(T20&lt;=1.5,IF(AND(T26&gt;0.8,T26&lt;=1.5),IF(T26&gt;0.8,T67,0),0),0)</f>
        <v>0</v>
      </c>
      <c r="V69" s="15">
        <f t="shared" ca="1" si="138"/>
        <v>0</v>
      </c>
    </row>
    <row r="70" spans="2:22" ht="14.1" hidden="1" customHeight="1" x14ac:dyDescent="0.25">
      <c r="B70" s="468"/>
      <c r="C70" s="459"/>
      <c r="D70" s="450" t="s">
        <v>92</v>
      </c>
      <c r="E70" s="450"/>
      <c r="G70" s="23">
        <f t="shared" ref="G70:M70" ca="1" si="145">IF(G20&lt;=1.5,IF(G26&gt;1.5,G67,0),0)</f>
        <v>0</v>
      </c>
      <c r="H70" s="23">
        <f t="shared" ca="1" si="145"/>
        <v>0</v>
      </c>
      <c r="I70" s="23">
        <f t="shared" ca="1" si="145"/>
        <v>0</v>
      </c>
      <c r="J70" s="23">
        <f t="shared" ca="1" si="145"/>
        <v>0</v>
      </c>
      <c r="K70" s="23">
        <f t="shared" ca="1" si="145"/>
        <v>0</v>
      </c>
      <c r="L70" s="23">
        <f t="shared" ca="1" si="145"/>
        <v>0</v>
      </c>
      <c r="M70" s="23">
        <f t="shared" ca="1" si="145"/>
        <v>0</v>
      </c>
      <c r="N70" s="301">
        <f t="shared" ref="N70:O70" ca="1" si="146">IF(N20&lt;=1.5,IF(N26&gt;1.5,N67,0),0)</f>
        <v>0</v>
      </c>
      <c r="O70" s="301">
        <f t="shared" ca="1" si="146"/>
        <v>0</v>
      </c>
      <c r="P70" s="301">
        <f t="shared" ref="P70:R70" ca="1" si="147">IF(P20&lt;=1.5,IF(P26&gt;1.5,P67,0),0)</f>
        <v>0</v>
      </c>
      <c r="Q70" s="301">
        <f t="shared" ca="1" si="147"/>
        <v>0</v>
      </c>
      <c r="R70" s="301">
        <f t="shared" ca="1" si="147"/>
        <v>0</v>
      </c>
      <c r="T70" s="23">
        <f>IF(T20&lt;=1.5,IF(T26&gt;1.5,T67,0),0)</f>
        <v>0</v>
      </c>
      <c r="V70" s="15">
        <f t="shared" ca="1" si="138"/>
        <v>0</v>
      </c>
    </row>
    <row r="71" spans="2:22" ht="14.1" hidden="1" customHeight="1" x14ac:dyDescent="0.25">
      <c r="B71" s="468"/>
      <c r="C71" s="459"/>
      <c r="D71" s="450" t="s">
        <v>93</v>
      </c>
      <c r="E71" s="450"/>
      <c r="G71" s="23">
        <f t="shared" ref="G71:M71" ca="1" si="148">IF(SUM(G68:G70)&gt;0,0,IF(G20&lt;3,IF(G26&lt;=0.8,G67,0),0))</f>
        <v>0</v>
      </c>
      <c r="H71" s="23">
        <f t="shared" ca="1" si="148"/>
        <v>0</v>
      </c>
      <c r="I71" s="23">
        <f t="shared" ca="1" si="148"/>
        <v>0</v>
      </c>
      <c r="J71" s="23">
        <f t="shared" ca="1" si="148"/>
        <v>0</v>
      </c>
      <c r="K71" s="23">
        <f t="shared" ca="1" si="148"/>
        <v>0</v>
      </c>
      <c r="L71" s="23">
        <f t="shared" ca="1" si="148"/>
        <v>0</v>
      </c>
      <c r="M71" s="23">
        <f t="shared" ca="1" si="148"/>
        <v>0</v>
      </c>
      <c r="N71" s="301">
        <f t="shared" ref="N71:O71" ca="1" si="149">IF(SUM(N68:N70)&gt;0,0,IF(N20&lt;3,IF(N26&lt;=0.8,N67,0),0))</f>
        <v>0</v>
      </c>
      <c r="O71" s="301">
        <f t="shared" ca="1" si="149"/>
        <v>0</v>
      </c>
      <c r="P71" s="301">
        <f t="shared" ref="P71:R71" ca="1" si="150">IF(SUM(P68:P70)&gt;0,0,IF(P20&lt;3,IF(P26&lt;=0.8,P67,0),0))</f>
        <v>0</v>
      </c>
      <c r="Q71" s="301">
        <f t="shared" ca="1" si="150"/>
        <v>0</v>
      </c>
      <c r="R71" s="301">
        <f t="shared" ca="1" si="150"/>
        <v>0</v>
      </c>
      <c r="T71" s="23">
        <f>IF(SUM(T68:T70)&gt;0,0,IF(T20&lt;3,IF(T26&lt;=0.8,T67,0),0))</f>
        <v>0</v>
      </c>
      <c r="V71" s="15">
        <f t="shared" ca="1" si="138"/>
        <v>0</v>
      </c>
    </row>
    <row r="72" spans="2:22" ht="14.1" hidden="1" customHeight="1" x14ac:dyDescent="0.25">
      <c r="B72" s="468"/>
      <c r="C72" s="459"/>
      <c r="D72" s="450" t="s">
        <v>94</v>
      </c>
      <c r="E72" s="450"/>
      <c r="G72" s="23">
        <f t="shared" ref="G72:M72" ca="1" si="151">IF(SUM(G68:G71)&gt;0,0,IF(G20&lt;3,IF(AND(G26&gt;0.8,G26&lt;=1.5),G67,0),0))</f>
        <v>0</v>
      </c>
      <c r="H72" s="23">
        <f t="shared" ca="1" si="151"/>
        <v>0</v>
      </c>
      <c r="I72" s="23">
        <f t="shared" ca="1" si="151"/>
        <v>0</v>
      </c>
      <c r="J72" s="23">
        <f t="shared" ca="1" si="151"/>
        <v>0</v>
      </c>
      <c r="K72" s="23">
        <f t="shared" ca="1" si="151"/>
        <v>0</v>
      </c>
      <c r="L72" s="23">
        <f t="shared" ca="1" si="151"/>
        <v>0</v>
      </c>
      <c r="M72" s="23">
        <f t="shared" ca="1" si="151"/>
        <v>0</v>
      </c>
      <c r="N72" s="301">
        <f t="shared" ref="N72:O72" ca="1" si="152">IF(SUM(N68:N71)&gt;0,0,IF(N20&lt;3,IF(AND(N26&gt;0.8,N26&lt;=1.5),N67,0),0))</f>
        <v>0</v>
      </c>
      <c r="O72" s="301">
        <f t="shared" ca="1" si="152"/>
        <v>0</v>
      </c>
      <c r="P72" s="301">
        <f t="shared" ref="P72:R72" ca="1" si="153">IF(SUM(P68:P71)&gt;0,0,IF(P20&lt;3,IF(AND(P26&gt;0.8,P26&lt;=1.5),P67,0),0))</f>
        <v>0</v>
      </c>
      <c r="Q72" s="301">
        <f t="shared" ca="1" si="153"/>
        <v>0</v>
      </c>
      <c r="R72" s="301">
        <f t="shared" ca="1" si="153"/>
        <v>0</v>
      </c>
      <c r="T72" s="23">
        <f>IF(SUM(T68:T71)&gt;0,0,IF(T20&lt;3,IF(AND(T26&gt;0.8,T26&lt;=1.5),T67,0),0))</f>
        <v>0</v>
      </c>
      <c r="V72" s="15">
        <f t="shared" ca="1" si="138"/>
        <v>0</v>
      </c>
    </row>
    <row r="73" spans="2:22" ht="27.95" customHeight="1" x14ac:dyDescent="0.25">
      <c r="B73" s="468"/>
      <c r="C73" s="459"/>
      <c r="D73" s="450" t="s">
        <v>95</v>
      </c>
      <c r="E73" s="450"/>
      <c r="G73" s="23">
        <f t="shared" ref="G73:M73" ca="1" si="154">IF(SUM(G68:G72)&gt;0,0,IF(G20&lt;=3,IF(G26&gt;1.5,G67,0),0))</f>
        <v>239.01</v>
      </c>
      <c r="H73" s="23">
        <f t="shared" ca="1" si="154"/>
        <v>240.97</v>
      </c>
      <c r="I73" s="23">
        <f t="shared" ca="1" si="154"/>
        <v>239.76</v>
      </c>
      <c r="J73" s="23">
        <f t="shared" ca="1" si="154"/>
        <v>237.78</v>
      </c>
      <c r="K73" s="23">
        <f t="shared" ca="1" si="154"/>
        <v>309.27999999999997</v>
      </c>
      <c r="L73" s="23">
        <f t="shared" ca="1" si="154"/>
        <v>297.5</v>
      </c>
      <c r="M73" s="23">
        <f t="shared" ca="1" si="154"/>
        <v>282.8</v>
      </c>
      <c r="N73" s="301">
        <f t="shared" ref="N73:O73" ca="1" si="155">IF(SUM(N68:N72)&gt;0,0,IF(N20&lt;=3,IF(N26&gt;1.5,N67,0),0))</f>
        <v>138.19</v>
      </c>
      <c r="O73" s="301">
        <f t="shared" ca="1" si="155"/>
        <v>46.46</v>
      </c>
      <c r="P73" s="301">
        <f t="shared" ref="P73:R73" ca="1" si="156">IF(SUM(P68:P72)&gt;0,0,IF(P20&lt;=3,IF(P26&gt;1.5,P67,0),0))</f>
        <v>415.24</v>
      </c>
      <c r="Q73" s="301">
        <f t="shared" ca="1" si="156"/>
        <v>425.54</v>
      </c>
      <c r="R73" s="301">
        <f t="shared" ca="1" si="156"/>
        <v>47.5</v>
      </c>
      <c r="T73" s="23">
        <f>IF(SUM(T68:T72)&gt;0,0,IF(T20&lt;=3,IF(T26&gt;1.5,T67,0),0))</f>
        <v>1046.4000000000001</v>
      </c>
      <c r="V73" s="15">
        <f t="shared" ca="1" si="138"/>
        <v>3966.43</v>
      </c>
    </row>
    <row r="74" spans="2:22" ht="14.1" hidden="1" customHeight="1" x14ac:dyDescent="0.25">
      <c r="B74" s="468"/>
      <c r="C74" s="459"/>
      <c r="D74" s="450" t="s">
        <v>510</v>
      </c>
      <c r="E74" s="450"/>
      <c r="G74" s="23">
        <f t="shared" ref="G74:M74" ca="1" si="157">IF(SUM(G68:G73)&gt;0,0,IF(AND(G20&gt;3,G20&lt;=6),IF(G26&lt;=1.5,G67,0),0))</f>
        <v>0</v>
      </c>
      <c r="H74" s="23">
        <f t="shared" ca="1" si="157"/>
        <v>0</v>
      </c>
      <c r="I74" s="23">
        <f t="shared" ca="1" si="157"/>
        <v>0</v>
      </c>
      <c r="J74" s="23">
        <f t="shared" ca="1" si="157"/>
        <v>0</v>
      </c>
      <c r="K74" s="23">
        <f t="shared" ca="1" si="157"/>
        <v>0</v>
      </c>
      <c r="L74" s="23">
        <f t="shared" ca="1" si="157"/>
        <v>0</v>
      </c>
      <c r="M74" s="23">
        <f t="shared" ca="1" si="157"/>
        <v>0</v>
      </c>
      <c r="N74" s="301">
        <f t="shared" ref="N74:O74" ca="1" si="158">IF(SUM(N68:N73)&gt;0,0,IF(AND(N20&gt;3,N20&lt;=6),IF(N26&lt;=1.5,N67,0),0))</f>
        <v>0</v>
      </c>
      <c r="O74" s="301">
        <f t="shared" ca="1" si="158"/>
        <v>0</v>
      </c>
      <c r="P74" s="301">
        <f t="shared" ref="P74:R74" ca="1" si="159">IF(SUM(P68:P73)&gt;0,0,IF(AND(P20&gt;3,P20&lt;=6),IF(P26&lt;=1.5,P67,0),0))</f>
        <v>0</v>
      </c>
      <c r="Q74" s="301">
        <f t="shared" ca="1" si="159"/>
        <v>0</v>
      </c>
      <c r="R74" s="301">
        <f t="shared" ca="1" si="159"/>
        <v>0</v>
      </c>
      <c r="T74" s="23">
        <f>IF(SUM(T68:T73)&gt;0,0,IF(AND(T20&gt;3,T20&lt;=6),IF(T26&lt;=1.5,T67,0),0))</f>
        <v>0</v>
      </c>
      <c r="V74" s="15">
        <f t="shared" ca="1" si="138"/>
        <v>0</v>
      </c>
    </row>
    <row r="75" spans="2:22" ht="14.1" hidden="1" customHeight="1" x14ac:dyDescent="0.25">
      <c r="B75" s="468"/>
      <c r="C75" s="459"/>
      <c r="D75" s="450" t="s">
        <v>509</v>
      </c>
      <c r="E75" s="450"/>
      <c r="G75" s="23">
        <f t="shared" ref="G75:M75" ca="1" si="160">IF(SUM(G68:G74)&gt;0,0,IF(AND(G20&gt;3,G20&lt;=6),IF(G26&gt;1.5,G67,0),0))</f>
        <v>0</v>
      </c>
      <c r="H75" s="23">
        <f t="shared" ca="1" si="160"/>
        <v>0</v>
      </c>
      <c r="I75" s="23">
        <f t="shared" ca="1" si="160"/>
        <v>0</v>
      </c>
      <c r="J75" s="23">
        <f t="shared" ca="1" si="160"/>
        <v>0</v>
      </c>
      <c r="K75" s="23">
        <f t="shared" ca="1" si="160"/>
        <v>0</v>
      </c>
      <c r="L75" s="23">
        <f t="shared" ca="1" si="160"/>
        <v>0</v>
      </c>
      <c r="M75" s="23">
        <f t="shared" ca="1" si="160"/>
        <v>0</v>
      </c>
      <c r="N75" s="301">
        <f t="shared" ref="N75:O75" ca="1" si="161">IF(SUM(N68:N74)&gt;0,0,IF(AND(N20&gt;3,N20&lt;=6),IF(N26&gt;1.5,N67,0),0))</f>
        <v>0</v>
      </c>
      <c r="O75" s="301">
        <f t="shared" ca="1" si="161"/>
        <v>0</v>
      </c>
      <c r="P75" s="301">
        <f t="shared" ref="P75:R75" ca="1" si="162">IF(SUM(P68:P74)&gt;0,0,IF(AND(P20&gt;3,P20&lt;=6),IF(P26&gt;1.5,P67,0),0))</f>
        <v>0</v>
      </c>
      <c r="Q75" s="301">
        <f t="shared" ca="1" si="162"/>
        <v>0</v>
      </c>
      <c r="R75" s="301">
        <f t="shared" ca="1" si="162"/>
        <v>0</v>
      </c>
      <c r="T75" s="23">
        <f>IF(SUM(T68:T74)&gt;0,0,IF(AND(T20&gt;3,T20&lt;=6),IF(T26&gt;1.5,T67,0),0))</f>
        <v>0</v>
      </c>
      <c r="V75" s="15">
        <f t="shared" ca="1" si="138"/>
        <v>0</v>
      </c>
    </row>
    <row r="76" spans="2:22" ht="5.0999999999999996" customHeight="1" x14ac:dyDescent="0.25">
      <c r="B76" s="468"/>
      <c r="C76" s="208"/>
      <c r="D76" s="204"/>
      <c r="E76" s="204"/>
    </row>
    <row r="77" spans="2:22" ht="14.1" customHeight="1" x14ac:dyDescent="0.25">
      <c r="B77" s="468"/>
      <c r="C77" s="459" t="s">
        <v>116</v>
      </c>
      <c r="D77" s="450"/>
      <c r="E77" s="450"/>
      <c r="G77" s="23">
        <f t="shared" ref="G77:M77" ca="1" si="163">TRUNC((((G27*G10)+(G53+G55))*1.3),2)</f>
        <v>64.12</v>
      </c>
      <c r="H77" s="23">
        <f t="shared" ca="1" si="163"/>
        <v>64.12</v>
      </c>
      <c r="I77" s="23">
        <f t="shared" ca="1" si="163"/>
        <v>64.849999999999994</v>
      </c>
      <c r="J77" s="23">
        <f t="shared" ca="1" si="163"/>
        <v>64.849999999999994</v>
      </c>
      <c r="K77" s="23">
        <f t="shared" ca="1" si="163"/>
        <v>82.97</v>
      </c>
      <c r="L77" s="23">
        <f t="shared" ca="1" si="163"/>
        <v>79.16</v>
      </c>
      <c r="M77" s="23">
        <f t="shared" ca="1" si="163"/>
        <v>75.25</v>
      </c>
      <c r="N77" s="301">
        <f t="shared" ref="N77:O77" ca="1" si="164">TRUNC((((N27*N10)+(N53+N55))*1.3),2)</f>
        <v>36.770000000000003</v>
      </c>
      <c r="O77" s="301">
        <f t="shared" ca="1" si="164"/>
        <v>37.35</v>
      </c>
      <c r="P77" s="301">
        <f t="shared" ref="P77:R77" ca="1" si="165">TRUNC((((P27*P10)+(P53+P55))*1.3),2)</f>
        <v>112.32</v>
      </c>
      <c r="Q77" s="301">
        <f t="shared" ca="1" si="165"/>
        <v>112.32</v>
      </c>
      <c r="R77" s="301">
        <f t="shared" ca="1" si="165"/>
        <v>37.83</v>
      </c>
      <c r="T77" s="23">
        <f>TRUNC((((T27*T10)+(T53+T55))*1.3),2)</f>
        <v>127.29</v>
      </c>
      <c r="V77" s="15">
        <f ca="1">SUM(F77:U77)</f>
        <v>959.19999999999993</v>
      </c>
    </row>
    <row r="78" spans="2:22" ht="14.1" customHeight="1" x14ac:dyDescent="0.25">
      <c r="B78" s="468"/>
      <c r="C78" s="459" t="s">
        <v>115</v>
      </c>
      <c r="D78" s="450"/>
      <c r="E78" s="14">
        <f>'Resumo DMT''s'!$E$13</f>
        <v>4.3</v>
      </c>
      <c r="G78" s="23">
        <f t="shared" ref="G78:M78" ca="1" si="166">TRUNC((G77*$E$78),2)</f>
        <v>275.70999999999998</v>
      </c>
      <c r="H78" s="23">
        <f t="shared" ca="1" si="166"/>
        <v>275.70999999999998</v>
      </c>
      <c r="I78" s="23">
        <f t="shared" ca="1" si="166"/>
        <v>278.85000000000002</v>
      </c>
      <c r="J78" s="23">
        <f t="shared" ca="1" si="166"/>
        <v>278.85000000000002</v>
      </c>
      <c r="K78" s="23">
        <f t="shared" ca="1" si="166"/>
        <v>356.77</v>
      </c>
      <c r="L78" s="23">
        <f t="shared" ca="1" si="166"/>
        <v>340.38</v>
      </c>
      <c r="M78" s="23">
        <f t="shared" ca="1" si="166"/>
        <v>323.57</v>
      </c>
      <c r="N78" s="301">
        <f t="shared" ref="N78:O78" ca="1" si="167">TRUNC((N77*$E$78),2)</f>
        <v>158.11000000000001</v>
      </c>
      <c r="O78" s="301">
        <f t="shared" ca="1" si="167"/>
        <v>160.6</v>
      </c>
      <c r="P78" s="301">
        <f t="shared" ref="P78:R78" ca="1" si="168">TRUNC((P77*$E$78),2)</f>
        <v>482.97</v>
      </c>
      <c r="Q78" s="301">
        <f t="shared" ca="1" si="168"/>
        <v>482.97</v>
      </c>
      <c r="R78" s="301">
        <f t="shared" ca="1" si="168"/>
        <v>162.66</v>
      </c>
      <c r="T78" s="23">
        <f>TRUNC((T77*$E$78),2)</f>
        <v>547.34</v>
      </c>
      <c r="V78" s="15">
        <f ca="1">SUM(F78:U78)</f>
        <v>4124.4900000000007</v>
      </c>
    </row>
    <row r="79" spans="2:22" ht="14.1" customHeight="1" x14ac:dyDescent="0.25">
      <c r="B79" s="469"/>
      <c r="C79" s="459" t="s">
        <v>114</v>
      </c>
      <c r="D79" s="450"/>
      <c r="E79" s="450"/>
      <c r="G79" s="23">
        <f t="shared" ref="G79:M79" ca="1" si="169">G77</f>
        <v>64.12</v>
      </c>
      <c r="H79" s="23">
        <f t="shared" ca="1" si="169"/>
        <v>64.12</v>
      </c>
      <c r="I79" s="23">
        <f t="shared" ca="1" si="169"/>
        <v>64.849999999999994</v>
      </c>
      <c r="J79" s="23">
        <f t="shared" ca="1" si="169"/>
        <v>64.849999999999994</v>
      </c>
      <c r="K79" s="23">
        <f t="shared" ca="1" si="169"/>
        <v>82.97</v>
      </c>
      <c r="L79" s="23">
        <f t="shared" ca="1" si="169"/>
        <v>79.16</v>
      </c>
      <c r="M79" s="23">
        <f t="shared" ca="1" si="169"/>
        <v>75.25</v>
      </c>
      <c r="N79" s="301">
        <f t="shared" ref="N79:O79" ca="1" si="170">N77</f>
        <v>36.770000000000003</v>
      </c>
      <c r="O79" s="301">
        <f t="shared" ca="1" si="170"/>
        <v>37.35</v>
      </c>
      <c r="P79" s="301">
        <f t="shared" ref="P79:R79" ca="1" si="171">P77</f>
        <v>112.32</v>
      </c>
      <c r="Q79" s="301">
        <f t="shared" ca="1" si="171"/>
        <v>112.32</v>
      </c>
      <c r="R79" s="301">
        <f t="shared" ca="1" si="171"/>
        <v>37.83</v>
      </c>
      <c r="T79" s="23">
        <f t="shared" ref="T79" si="172">T77</f>
        <v>127.29</v>
      </c>
      <c r="V79" s="15">
        <f ca="1">SUM(F79:U79)</f>
        <v>959.19999999999993</v>
      </c>
    </row>
  </sheetData>
  <mergeCells count="74">
    <mergeCell ref="C77:E77"/>
    <mergeCell ref="C78:D78"/>
    <mergeCell ref="C79:E79"/>
    <mergeCell ref="C67:E67"/>
    <mergeCell ref="C68:C75"/>
    <mergeCell ref="D68:E68"/>
    <mergeCell ref="D69:E69"/>
    <mergeCell ref="D70:E70"/>
    <mergeCell ref="D71:E71"/>
    <mergeCell ref="D72:E72"/>
    <mergeCell ref="D73:E73"/>
    <mergeCell ref="D74:E74"/>
    <mergeCell ref="D75:E75"/>
    <mergeCell ref="D65:E65"/>
    <mergeCell ref="C60:C61"/>
    <mergeCell ref="D60:E60"/>
    <mergeCell ref="D61:E61"/>
    <mergeCell ref="C63:C64"/>
    <mergeCell ref="D63:E63"/>
    <mergeCell ref="D64:E64"/>
    <mergeCell ref="C54:C55"/>
    <mergeCell ref="D54:E54"/>
    <mergeCell ref="D55:E55"/>
    <mergeCell ref="C56:D56"/>
    <mergeCell ref="C58:E58"/>
    <mergeCell ref="C57:D57"/>
    <mergeCell ref="C52:C53"/>
    <mergeCell ref="D52:E52"/>
    <mergeCell ref="D53:E53"/>
    <mergeCell ref="C50:E50"/>
    <mergeCell ref="D45:E45"/>
    <mergeCell ref="C39:E39"/>
    <mergeCell ref="C40:C49"/>
    <mergeCell ref="D40:E40"/>
    <mergeCell ref="D41:E41"/>
    <mergeCell ref="D48:E48"/>
    <mergeCell ref="D49:E49"/>
    <mergeCell ref="D44:E44"/>
    <mergeCell ref="D43:E43"/>
    <mergeCell ref="D42:E42"/>
    <mergeCell ref="D47:E47"/>
    <mergeCell ref="D46:E46"/>
    <mergeCell ref="C34:C37"/>
    <mergeCell ref="D37:E37"/>
    <mergeCell ref="D36:E36"/>
    <mergeCell ref="D35:E35"/>
    <mergeCell ref="D34:E34"/>
    <mergeCell ref="C30:C33"/>
    <mergeCell ref="D30:E30"/>
    <mergeCell ref="D31:E31"/>
    <mergeCell ref="D32:E32"/>
    <mergeCell ref="D33:E33"/>
    <mergeCell ref="C27:E27"/>
    <mergeCell ref="C23:C26"/>
    <mergeCell ref="D23:E23"/>
    <mergeCell ref="D24:E24"/>
    <mergeCell ref="D25:E25"/>
    <mergeCell ref="D26:E26"/>
    <mergeCell ref="D29:E29"/>
    <mergeCell ref="C13:E13"/>
    <mergeCell ref="B10:B79"/>
    <mergeCell ref="B8:E8"/>
    <mergeCell ref="C21:E21"/>
    <mergeCell ref="C14:E14"/>
    <mergeCell ref="D15:E15"/>
    <mergeCell ref="C15:C20"/>
    <mergeCell ref="D16:E16"/>
    <mergeCell ref="D17:E17"/>
    <mergeCell ref="D18:E18"/>
    <mergeCell ref="D20:E20"/>
    <mergeCell ref="D19:E19"/>
    <mergeCell ref="C10:E10"/>
    <mergeCell ref="C11:E11"/>
    <mergeCell ref="C12:E12"/>
  </mergeCells>
  <printOptions horizontalCentered="1"/>
  <pageMargins left="0.59055118110236227" right="0.39370078740157483" top="0.39370078740157483" bottom="0.98425196850393704" header="0.31496062992125984" footer="0.31496062992125984"/>
  <pageSetup paperSize="9" scale="7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tabColor rgb="FF00B050"/>
  </sheetPr>
  <dimension ref="B1:Z66"/>
  <sheetViews>
    <sheetView showGridLines="0" view="pageBreakPreview" zoomScaleSheetLayoutView="100" workbookViewId="0">
      <pane ySplit="8" topLeftCell="A21"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6.7109375" style="4" customWidth="1"/>
    <col min="4" max="4" width="40.7109375" style="4" customWidth="1"/>
    <col min="5" max="5" width="7.7109375" style="4" customWidth="1"/>
    <col min="6" max="6" width="1.7109375" style="4" customWidth="1"/>
    <col min="7" max="22" width="8.7109375" style="4" customWidth="1"/>
    <col min="23" max="23" width="1.7109375" style="4" customWidth="1"/>
    <col min="24" max="16384" width="9.140625" style="4"/>
  </cols>
  <sheetData>
    <row r="1" spans="2:24" ht="5.0999999999999996" customHeight="1" x14ac:dyDescent="0.25"/>
    <row r="2" spans="2:24" ht="14.1" customHeight="1" x14ac:dyDescent="0.25">
      <c r="B2" s="320" t="str">
        <f>DADOS!$B$3</f>
        <v>CLIENTE:</v>
      </c>
      <c r="C2" s="81" t="str">
        <f>DADOS!$C$3</f>
        <v>PREFEITURA MUNICIPAL DE JARDIM / MS</v>
      </c>
      <c r="D2" s="34"/>
      <c r="E2" s="34"/>
      <c r="F2" s="34"/>
      <c r="G2" s="34"/>
      <c r="H2" s="34"/>
      <c r="I2" s="34"/>
      <c r="J2" s="34"/>
      <c r="K2" s="34"/>
      <c r="L2" s="34"/>
      <c r="M2" s="34"/>
      <c r="N2" s="34"/>
      <c r="O2" s="34"/>
      <c r="P2" s="34"/>
      <c r="Q2" s="34"/>
      <c r="R2" s="34"/>
      <c r="S2" s="44"/>
      <c r="T2" s="34"/>
      <c r="U2" s="34"/>
      <c r="V2" s="34"/>
      <c r="W2" s="34"/>
      <c r="X2" s="44"/>
    </row>
    <row r="3" spans="2:24" ht="14.1" customHeight="1" x14ac:dyDescent="0.25">
      <c r="B3" s="101" t="str">
        <f>DADOS!$B$4</f>
        <v>ENDEREÇO:</v>
      </c>
      <c r="C3" s="252" t="str">
        <f>DADOS!$C$4</f>
        <v>RUA CEL. JUVÊNCIO, Nº 547 - CENTRO</v>
      </c>
      <c r="D3" s="253"/>
      <c r="E3" s="253"/>
      <c r="F3" s="253"/>
      <c r="G3" s="253"/>
      <c r="H3" s="253"/>
      <c r="I3" s="253"/>
      <c r="J3" s="253"/>
      <c r="K3" s="253"/>
      <c r="L3" s="253"/>
      <c r="M3" s="253"/>
      <c r="N3" s="253"/>
      <c r="O3" s="253"/>
      <c r="P3" s="253"/>
      <c r="Q3" s="253"/>
      <c r="R3" s="253"/>
      <c r="S3" s="45"/>
      <c r="T3" s="253"/>
      <c r="U3" s="253"/>
      <c r="V3" s="253"/>
      <c r="W3" s="253"/>
      <c r="X3" s="45"/>
    </row>
    <row r="4" spans="2:24" ht="14.1" customHeight="1" x14ac:dyDescent="0.2">
      <c r="B4" s="83"/>
      <c r="C4" s="252"/>
      <c r="D4" s="253"/>
      <c r="E4" s="253"/>
      <c r="F4" s="253"/>
      <c r="G4" s="253"/>
      <c r="H4" s="253"/>
      <c r="I4" s="253"/>
      <c r="J4" s="253"/>
      <c r="K4" s="253"/>
      <c r="L4" s="253"/>
      <c r="M4" s="253"/>
      <c r="N4" s="253"/>
      <c r="O4" s="253"/>
      <c r="P4" s="253"/>
      <c r="Q4" s="253"/>
      <c r="R4" s="253"/>
      <c r="S4" s="45"/>
      <c r="T4" s="253"/>
      <c r="U4" s="253"/>
      <c r="V4" s="253"/>
      <c r="W4" s="253"/>
      <c r="X4" s="45"/>
    </row>
    <row r="5" spans="2:24" ht="14.1" customHeight="1" x14ac:dyDescent="0.25">
      <c r="B5" s="101" t="str">
        <f>DADOS!$B$7</f>
        <v>OBRA:</v>
      </c>
      <c r="C5" s="252" t="str">
        <f>DADOS!$C$7</f>
        <v>PAVIMENTAÇÃO ASFÁLTICA E DRENAGEM DE ÁGUAS PLUVIAIS</v>
      </c>
      <c r="D5" s="253"/>
      <c r="E5" s="253"/>
      <c r="F5" s="253"/>
      <c r="G5" s="253"/>
      <c r="H5" s="253"/>
      <c r="I5" s="253"/>
      <c r="J5" s="253"/>
      <c r="K5" s="253"/>
      <c r="L5" s="253"/>
      <c r="M5" s="253"/>
      <c r="N5" s="253"/>
      <c r="O5" s="253"/>
      <c r="P5" s="253"/>
      <c r="Q5" s="253"/>
      <c r="R5" s="253"/>
      <c r="S5" s="45"/>
      <c r="T5" s="253"/>
      <c r="U5" s="253"/>
      <c r="V5" s="253"/>
      <c r="W5" s="253"/>
      <c r="X5" s="45"/>
    </row>
    <row r="6" spans="2:24" ht="14.1" customHeight="1" x14ac:dyDescent="0.25">
      <c r="B6" s="321" t="str">
        <f>DADOS!$B$8</f>
        <v>LOCAL:</v>
      </c>
      <c r="C6" s="85" t="str">
        <f>DADOS!$C$8</f>
        <v>JARDIM PREVISUL, JARDIM / MS</v>
      </c>
      <c r="D6" s="46"/>
      <c r="E6" s="46"/>
      <c r="F6" s="46"/>
      <c r="G6" s="46"/>
      <c r="H6" s="46"/>
      <c r="I6" s="46"/>
      <c r="J6" s="46"/>
      <c r="K6" s="46"/>
      <c r="L6" s="46"/>
      <c r="M6" s="46"/>
      <c r="N6" s="46"/>
      <c r="O6" s="46"/>
      <c r="P6" s="46"/>
      <c r="Q6" s="46"/>
      <c r="R6" s="46"/>
      <c r="S6" s="47"/>
      <c r="T6" s="46"/>
      <c r="U6" s="46"/>
      <c r="V6" s="46"/>
      <c r="W6" s="46"/>
      <c r="X6" s="47"/>
    </row>
    <row r="7" spans="2:24" ht="5.0999999999999996" customHeight="1" x14ac:dyDescent="0.25"/>
    <row r="8" spans="2:24" ht="30" customHeight="1" x14ac:dyDescent="0.25">
      <c r="B8" s="470" t="s">
        <v>63</v>
      </c>
      <c r="C8" s="471"/>
      <c r="D8" s="471"/>
      <c r="E8" s="459"/>
      <c r="F8" s="9"/>
      <c r="G8" s="13">
        <v>4</v>
      </c>
      <c r="H8" s="13">
        <v>5</v>
      </c>
      <c r="I8" s="13">
        <f>'Dre-Terraplenagem'!G8</f>
        <v>6</v>
      </c>
      <c r="J8" s="13">
        <f>'Dre-Terraplenagem'!H8</f>
        <v>7</v>
      </c>
      <c r="K8" s="13">
        <f>'Dre-Terraplenagem'!I8</f>
        <v>8</v>
      </c>
      <c r="L8" s="13">
        <f>'Dre-Terraplenagem'!J8</f>
        <v>9</v>
      </c>
      <c r="M8" s="297">
        <v>10</v>
      </c>
      <c r="N8" s="297">
        <v>11</v>
      </c>
      <c r="O8" s="13">
        <f>'Dre-Terraplenagem'!K8</f>
        <v>20</v>
      </c>
      <c r="P8" s="13">
        <f>'Dre-Terraplenagem'!L8</f>
        <v>21</v>
      </c>
      <c r="Q8" s="13">
        <f>'Dre-Terraplenagem'!M8</f>
        <v>22</v>
      </c>
      <c r="R8" s="297">
        <f>'Dre-Terraplenagem'!N8</f>
        <v>23</v>
      </c>
      <c r="S8" s="297">
        <f>'Dre-Terraplenagem'!O8</f>
        <v>24</v>
      </c>
      <c r="T8" s="297">
        <f>'Dre-Terraplenagem'!P8</f>
        <v>30</v>
      </c>
      <c r="U8" s="297">
        <f>'Dre-Terraplenagem'!Q8</f>
        <v>31</v>
      </c>
      <c r="V8" s="297">
        <f>'Dre-Terraplenagem'!R8</f>
        <v>32</v>
      </c>
      <c r="W8" s="9"/>
      <c r="X8" s="10" t="s">
        <v>5</v>
      </c>
    </row>
    <row r="9" spans="2:24" ht="5.0999999999999996" customHeight="1" x14ac:dyDescent="0.25"/>
    <row r="10" spans="2:24" ht="14.1" customHeight="1" x14ac:dyDescent="0.25">
      <c r="B10" s="467" t="s">
        <v>118</v>
      </c>
      <c r="C10" s="459" t="s">
        <v>64</v>
      </c>
      <c r="D10" s="450"/>
      <c r="E10" s="450"/>
      <c r="G10" s="214"/>
      <c r="H10" s="214"/>
      <c r="I10" s="23">
        <f>'Dre-Terraplenagem'!G10</f>
        <v>68.510000000000005</v>
      </c>
      <c r="J10" s="23">
        <f>'Dre-Terraplenagem'!H10</f>
        <v>68.510000000000005</v>
      </c>
      <c r="K10" s="23">
        <f>'Dre-Terraplenagem'!I10</f>
        <v>69.290000000000006</v>
      </c>
      <c r="L10" s="23">
        <f>'Dre-Terraplenagem'!J10</f>
        <v>69.290000000000006</v>
      </c>
      <c r="M10" s="214"/>
      <c r="N10" s="214"/>
      <c r="O10" s="23">
        <f>'Dre-Terraplenagem'!K10</f>
        <v>88.65</v>
      </c>
      <c r="P10" s="23">
        <f>'Dre-Terraplenagem'!L10</f>
        <v>84.58</v>
      </c>
      <c r="Q10" s="23">
        <f>'Dre-Terraplenagem'!M10</f>
        <v>80.400000000000006</v>
      </c>
      <c r="R10" s="301">
        <f>'Dre-Terraplenagem'!N10</f>
        <v>39.29</v>
      </c>
      <c r="S10" s="301">
        <f>'Dre-Terraplenagem'!O10</f>
        <v>16.190000000000001</v>
      </c>
      <c r="T10" s="301">
        <f>'Dre-Terraplenagem'!P10</f>
        <v>120</v>
      </c>
      <c r="U10" s="301">
        <f>'Dre-Terraplenagem'!Q10</f>
        <v>120</v>
      </c>
      <c r="V10" s="301">
        <f>'Dre-Terraplenagem'!R10</f>
        <v>16.39</v>
      </c>
      <c r="X10" s="15">
        <f>SUM(F10:W10)</f>
        <v>841.1</v>
      </c>
    </row>
    <row r="11" spans="2:24" ht="14.1" customHeight="1" x14ac:dyDescent="0.25">
      <c r="B11" s="468"/>
      <c r="C11" s="459" t="s">
        <v>65</v>
      </c>
      <c r="D11" s="450"/>
      <c r="E11" s="450"/>
      <c r="G11" s="214"/>
      <c r="H11" s="214"/>
      <c r="I11" s="23">
        <f>'Dre-Terraplenagem'!G11</f>
        <v>0.8</v>
      </c>
      <c r="J11" s="23">
        <f>'Dre-Terraplenagem'!H11</f>
        <v>0.8</v>
      </c>
      <c r="K11" s="23">
        <f>'Dre-Terraplenagem'!I11</f>
        <v>0.8</v>
      </c>
      <c r="L11" s="23">
        <f>'Dre-Terraplenagem'!J11</f>
        <v>0.8</v>
      </c>
      <c r="M11" s="214"/>
      <c r="N11" s="214"/>
      <c r="O11" s="23">
        <f>'Dre-Terraplenagem'!K11</f>
        <v>0.8</v>
      </c>
      <c r="P11" s="23">
        <f>'Dre-Terraplenagem'!L11</f>
        <v>0.8</v>
      </c>
      <c r="Q11" s="23">
        <f>'Dre-Terraplenagem'!M11</f>
        <v>0.8</v>
      </c>
      <c r="R11" s="301">
        <f>'Dre-Terraplenagem'!N11</f>
        <v>0.8</v>
      </c>
      <c r="S11" s="301">
        <f>'Dre-Terraplenagem'!O11</f>
        <v>0.8</v>
      </c>
      <c r="T11" s="301">
        <f>'Dre-Terraplenagem'!P11</f>
        <v>0.8</v>
      </c>
      <c r="U11" s="301">
        <f>'Dre-Terraplenagem'!Q11</f>
        <v>0.8</v>
      </c>
      <c r="V11" s="301">
        <f>'Dre-Terraplenagem'!R11</f>
        <v>0.8</v>
      </c>
      <c r="X11" s="18"/>
    </row>
    <row r="12" spans="2:24" ht="14.1" customHeight="1" x14ac:dyDescent="0.25">
      <c r="B12" s="468"/>
      <c r="C12" s="459" t="s">
        <v>66</v>
      </c>
      <c r="D12" s="450"/>
      <c r="E12" s="450"/>
      <c r="G12" s="28"/>
      <c r="H12" s="28"/>
      <c r="I12" s="21">
        <f>'Dre-Terraplenagem'!G12</f>
        <v>1</v>
      </c>
      <c r="J12" s="21">
        <f>'Dre-Terraplenagem'!H12</f>
        <v>1</v>
      </c>
      <c r="K12" s="21">
        <f>'Dre-Terraplenagem'!I12</f>
        <v>1</v>
      </c>
      <c r="L12" s="21">
        <f>'Dre-Terraplenagem'!J12</f>
        <v>1</v>
      </c>
      <c r="M12" s="28"/>
      <c r="N12" s="28"/>
      <c r="O12" s="21">
        <f>'Dre-Terraplenagem'!K12</f>
        <v>1</v>
      </c>
      <c r="P12" s="21">
        <f>'Dre-Terraplenagem'!L12</f>
        <v>1</v>
      </c>
      <c r="Q12" s="21">
        <f>'Dre-Terraplenagem'!M12</f>
        <v>1</v>
      </c>
      <c r="R12" s="305">
        <f>'Dre-Terraplenagem'!N12</f>
        <v>1</v>
      </c>
      <c r="S12" s="305">
        <f>'Dre-Terraplenagem'!O12</f>
        <v>1</v>
      </c>
      <c r="T12" s="305">
        <f>'Dre-Terraplenagem'!P12</f>
        <v>1</v>
      </c>
      <c r="U12" s="305">
        <f>'Dre-Terraplenagem'!Q12</f>
        <v>1</v>
      </c>
      <c r="V12" s="305">
        <f>'Dre-Terraplenagem'!R12</f>
        <v>1</v>
      </c>
      <c r="X12" s="19"/>
    </row>
    <row r="13" spans="2:24" ht="14.1" customHeight="1" x14ac:dyDescent="0.25">
      <c r="B13" s="468"/>
      <c r="C13" s="459" t="s">
        <v>511</v>
      </c>
      <c r="D13" s="450"/>
      <c r="E13" s="450"/>
      <c r="G13" s="28"/>
      <c r="H13" s="28"/>
      <c r="I13" s="21" t="str">
        <f>'Dre-Terraplenagem'!G13</f>
        <v>C</v>
      </c>
      <c r="J13" s="21" t="str">
        <f>'Dre-Terraplenagem'!H13</f>
        <v>C</v>
      </c>
      <c r="K13" s="21" t="str">
        <f>'Dre-Terraplenagem'!I13</f>
        <v>C</v>
      </c>
      <c r="L13" s="21" t="str">
        <f>'Dre-Terraplenagem'!J13</f>
        <v>C</v>
      </c>
      <c r="M13" s="28"/>
      <c r="N13" s="28"/>
      <c r="O13" s="21" t="str">
        <f>'Dre-Terraplenagem'!K13</f>
        <v>C</v>
      </c>
      <c r="P13" s="21" t="str">
        <f>'Dre-Terraplenagem'!L13</f>
        <v>C</v>
      </c>
      <c r="Q13" s="21" t="str">
        <f>'Dre-Terraplenagem'!M13</f>
        <v>C</v>
      </c>
      <c r="R13" s="305" t="str">
        <f>'Dre-Terraplenagem'!N13</f>
        <v>C</v>
      </c>
      <c r="S13" s="305" t="str">
        <f>'Dre-Terraplenagem'!O13</f>
        <v>C</v>
      </c>
      <c r="T13" s="305" t="str">
        <f>'Dre-Terraplenagem'!P13</f>
        <v>C</v>
      </c>
      <c r="U13" s="305" t="str">
        <f>'Dre-Terraplenagem'!Q13</f>
        <v>C</v>
      </c>
      <c r="V13" s="305" t="str">
        <f>'Dre-Terraplenagem'!R13</f>
        <v>C</v>
      </c>
      <c r="X13" s="19"/>
    </row>
    <row r="14" spans="2:24" ht="14.1" customHeight="1" x14ac:dyDescent="0.25">
      <c r="B14" s="468"/>
      <c r="C14" s="459" t="s">
        <v>67</v>
      </c>
      <c r="D14" s="450"/>
      <c r="E14" s="450"/>
      <c r="G14" s="311"/>
      <c r="H14" s="311"/>
      <c r="I14" s="12" t="str">
        <f>'Dre-Terraplenagem'!G14</f>
        <v>PA-1</v>
      </c>
      <c r="J14" s="12" t="str">
        <f>'Dre-Terraplenagem'!H14</f>
        <v>PA-1</v>
      </c>
      <c r="K14" s="12" t="str">
        <f>'Dre-Terraplenagem'!I14</f>
        <v>PA-1</v>
      </c>
      <c r="L14" s="12" t="str">
        <f>'Dre-Terraplenagem'!J14</f>
        <v>PA-1</v>
      </c>
      <c r="M14" s="311"/>
      <c r="N14" s="311"/>
      <c r="O14" s="12" t="str">
        <f>'Dre-Terraplenagem'!K14</f>
        <v>PA-1</v>
      </c>
      <c r="P14" s="12" t="str">
        <f>'Dre-Terraplenagem'!L14</f>
        <v>PA-1</v>
      </c>
      <c r="Q14" s="12" t="str">
        <f>'Dre-Terraplenagem'!M14</f>
        <v>PA-1</v>
      </c>
      <c r="R14" s="304" t="str">
        <f>'Dre-Terraplenagem'!N14</f>
        <v>PA-1</v>
      </c>
      <c r="S14" s="304" t="str">
        <f>'Dre-Terraplenagem'!O14</f>
        <v>PA-1</v>
      </c>
      <c r="T14" s="304" t="str">
        <f>'Dre-Terraplenagem'!P14</f>
        <v>PA-1</v>
      </c>
      <c r="U14" s="304" t="str">
        <f>'Dre-Terraplenagem'!Q14</f>
        <v>PA-1</v>
      </c>
      <c r="V14" s="304" t="str">
        <f>'Dre-Terraplenagem'!R14</f>
        <v>PA-1</v>
      </c>
      <c r="X14" s="19"/>
    </row>
    <row r="15" spans="2:24" ht="14.1" customHeight="1" x14ac:dyDescent="0.25">
      <c r="B15" s="468"/>
      <c r="C15" s="459" t="s">
        <v>68</v>
      </c>
      <c r="D15" s="450" t="s">
        <v>69</v>
      </c>
      <c r="E15" s="450"/>
      <c r="G15" s="214"/>
      <c r="H15" s="214"/>
      <c r="I15" s="23">
        <f ca="1">'Dre-Terraplenagem'!G15</f>
        <v>1.7000000000000171</v>
      </c>
      <c r="J15" s="23">
        <f ca="1">'Dre-Terraplenagem'!H15</f>
        <v>1.7309649999999976</v>
      </c>
      <c r="K15" s="23">
        <f ca="1">'Dre-Terraplenagem'!I15</f>
        <v>1.7233400000000074</v>
      </c>
      <c r="L15" s="23">
        <f ca="1">'Dre-Terraplenagem'!J15</f>
        <v>1.7005300000000148</v>
      </c>
      <c r="M15" s="214"/>
      <c r="N15" s="214"/>
      <c r="O15" s="23">
        <f ca="1">'Dre-Terraplenagem'!K15</f>
        <v>1.7000000000000171</v>
      </c>
      <c r="P15" s="23">
        <f ca="1">'Dre-Terraplenagem'!L15</f>
        <v>1.7374499999999955</v>
      </c>
      <c r="Q15" s="23">
        <f ca="1">'Dre-Terraplenagem'!M15</f>
        <v>1.7226400000000126</v>
      </c>
      <c r="R15" s="301">
        <f ca="1">'Dre-Terraplenagem'!N15</f>
        <v>1.7336400000000083</v>
      </c>
      <c r="S15" s="301">
        <f ca="1">'Dre-Terraplenagem'!O15</f>
        <v>1.7338000000000306</v>
      </c>
      <c r="T15" s="301">
        <f ca="1">'Dre-Terraplenagem'!P15</f>
        <v>1.7000000000000171</v>
      </c>
      <c r="U15" s="301">
        <f ca="1">'Dre-Terraplenagem'!Q15</f>
        <v>1.7290000000000134</v>
      </c>
      <c r="V15" s="301">
        <f ca="1">'Dre-Terraplenagem'!R15</f>
        <v>1.752000000000038</v>
      </c>
      <c r="X15" s="19"/>
    </row>
    <row r="16" spans="2:24" ht="14.1" customHeight="1" x14ac:dyDescent="0.25">
      <c r="B16" s="468"/>
      <c r="C16" s="459"/>
      <c r="D16" s="450" t="s">
        <v>74</v>
      </c>
      <c r="E16" s="450"/>
      <c r="G16" s="214"/>
      <c r="H16" s="214"/>
      <c r="I16" s="23">
        <f ca="1">'Dre-Terraplenagem'!G16</f>
        <v>1.7309649999999976</v>
      </c>
      <c r="J16" s="23">
        <f ca="1">'Dre-Terraplenagem'!H16</f>
        <v>1.7233400000000074</v>
      </c>
      <c r="K16" s="23">
        <f ca="1">'Dre-Terraplenagem'!I16</f>
        <v>1.7005300000000148</v>
      </c>
      <c r="L16" s="23">
        <f ca="1">'Dre-Terraplenagem'!J16</f>
        <v>1.707525000000004</v>
      </c>
      <c r="M16" s="214"/>
      <c r="N16" s="214"/>
      <c r="O16" s="23">
        <f ca="1">'Dre-Terraplenagem'!K16</f>
        <v>1.7374499999999955</v>
      </c>
      <c r="P16" s="23">
        <f ca="1">'Dre-Terraplenagem'!L16</f>
        <v>1.7226400000000126</v>
      </c>
      <c r="Q16" s="23">
        <f ca="1">'Dre-Terraplenagem'!M16</f>
        <v>1.7336400000000083</v>
      </c>
      <c r="R16" s="301">
        <f ca="1">'Dre-Terraplenagem'!N16</f>
        <v>1.7338000000000306</v>
      </c>
      <c r="S16" s="301">
        <f ca="1">'Dre-Terraplenagem'!O16</f>
        <v>0.79893500000002859</v>
      </c>
      <c r="T16" s="301">
        <f ca="1">'Dre-Terraplenagem'!P16</f>
        <v>1.7290000000000134</v>
      </c>
      <c r="U16" s="301">
        <f ca="1">'Dre-Terraplenagem'!Q16</f>
        <v>1.752000000000038</v>
      </c>
      <c r="V16" s="301">
        <f ca="1">'Dre-Terraplenagem'!R16</f>
        <v>0.80200500000003672</v>
      </c>
      <c r="X16" s="19"/>
    </row>
    <row r="17" spans="2:26" ht="14.1" customHeight="1" x14ac:dyDescent="0.25">
      <c r="B17" s="468"/>
      <c r="C17" s="459"/>
      <c r="D17" s="450" t="s">
        <v>70</v>
      </c>
      <c r="E17" s="450"/>
      <c r="G17" s="214"/>
      <c r="H17" s="214"/>
      <c r="I17" s="23">
        <f ca="1">'Dre-Terraplenagem'!G17</f>
        <v>1.72</v>
      </c>
      <c r="J17" s="23">
        <f ca="1">'Dre-Terraplenagem'!H17</f>
        <v>1.73</v>
      </c>
      <c r="K17" s="23">
        <f ca="1">'Dre-Terraplenagem'!I17</f>
        <v>1.71</v>
      </c>
      <c r="L17" s="23">
        <f ca="1">'Dre-Terraplenagem'!J17</f>
        <v>1.7</v>
      </c>
      <c r="M17" s="214"/>
      <c r="N17" s="214"/>
      <c r="O17" s="23">
        <f ca="1">'Dre-Terraplenagem'!K17</f>
        <v>1.72</v>
      </c>
      <c r="P17" s="23">
        <f ca="1">'Dre-Terraplenagem'!L17</f>
        <v>1.73</v>
      </c>
      <c r="Q17" s="23">
        <f ca="1">'Dre-Terraplenagem'!M17</f>
        <v>1.73</v>
      </c>
      <c r="R17" s="301">
        <f ca="1">'Dre-Terraplenagem'!N17</f>
        <v>1.73</v>
      </c>
      <c r="S17" s="301">
        <f ca="1">'Dre-Terraplenagem'!O17</f>
        <v>1.27</v>
      </c>
      <c r="T17" s="301">
        <f ca="1">'Dre-Terraplenagem'!P17</f>
        <v>1.71</v>
      </c>
      <c r="U17" s="301">
        <f ca="1">'Dre-Terraplenagem'!Q17</f>
        <v>1.74</v>
      </c>
      <c r="V17" s="301">
        <f ca="1">'Dre-Terraplenagem'!R17</f>
        <v>1.28</v>
      </c>
      <c r="X17" s="19"/>
    </row>
    <row r="18" spans="2:26" ht="14.1" customHeight="1" x14ac:dyDescent="0.25">
      <c r="B18" s="468"/>
      <c r="C18" s="459"/>
      <c r="D18" s="450" t="s">
        <v>71</v>
      </c>
      <c r="E18" s="450"/>
      <c r="G18" s="214"/>
      <c r="H18" s="214"/>
      <c r="I18" s="23">
        <f>'Dre-Terraplenagem'!G18</f>
        <v>0.16800000000000001</v>
      </c>
      <c r="J18" s="23">
        <f>'Dre-Terraplenagem'!H18</f>
        <v>0.16800000000000001</v>
      </c>
      <c r="K18" s="23">
        <f>'Dre-Terraplenagem'!I18</f>
        <v>0.16800000000000001</v>
      </c>
      <c r="L18" s="23">
        <f>'Dre-Terraplenagem'!J18</f>
        <v>0.16800000000000001</v>
      </c>
      <c r="M18" s="214"/>
      <c r="N18" s="214"/>
      <c r="O18" s="23">
        <f>'Dre-Terraplenagem'!K18</f>
        <v>0.16800000000000001</v>
      </c>
      <c r="P18" s="23">
        <f>'Dre-Terraplenagem'!L18</f>
        <v>0.16800000000000001</v>
      </c>
      <c r="Q18" s="23">
        <f>'Dre-Terraplenagem'!M18</f>
        <v>0.16800000000000001</v>
      </c>
      <c r="R18" s="301">
        <f>'Dre-Terraplenagem'!N18</f>
        <v>0.16800000000000001</v>
      </c>
      <c r="S18" s="301">
        <f>'Dre-Terraplenagem'!O18</f>
        <v>0.16800000000000001</v>
      </c>
      <c r="T18" s="301">
        <f>'Dre-Terraplenagem'!P18</f>
        <v>0.16800000000000001</v>
      </c>
      <c r="U18" s="301">
        <f>'Dre-Terraplenagem'!Q18</f>
        <v>0.16800000000000001</v>
      </c>
      <c r="V18" s="301">
        <f>'Dre-Terraplenagem'!R18</f>
        <v>0.16800000000000001</v>
      </c>
      <c r="X18" s="19"/>
    </row>
    <row r="19" spans="2:26" ht="14.1" customHeight="1" x14ac:dyDescent="0.25">
      <c r="B19" s="468"/>
      <c r="C19" s="459"/>
      <c r="D19" s="450" t="s">
        <v>56</v>
      </c>
      <c r="E19" s="450"/>
      <c r="G19" s="214"/>
      <c r="H19" s="214"/>
      <c r="I19" s="23">
        <f>'Dre-Terraplenagem'!G19</f>
        <v>0</v>
      </c>
      <c r="J19" s="23">
        <f>'Dre-Terraplenagem'!H19</f>
        <v>0</v>
      </c>
      <c r="K19" s="23">
        <f>'Dre-Terraplenagem'!I19</f>
        <v>0</v>
      </c>
      <c r="L19" s="23">
        <f>'Dre-Terraplenagem'!J19</f>
        <v>0</v>
      </c>
      <c r="M19" s="214"/>
      <c r="N19" s="214"/>
      <c r="O19" s="23">
        <f>'Dre-Terraplenagem'!K19</f>
        <v>0</v>
      </c>
      <c r="P19" s="23">
        <f>'Dre-Terraplenagem'!L19</f>
        <v>0</v>
      </c>
      <c r="Q19" s="23">
        <f>'Dre-Terraplenagem'!M19</f>
        <v>0</v>
      </c>
      <c r="R19" s="301">
        <f>'Dre-Terraplenagem'!N19</f>
        <v>0</v>
      </c>
      <c r="S19" s="301">
        <f>'Dre-Terraplenagem'!O19</f>
        <v>0.6</v>
      </c>
      <c r="T19" s="301">
        <f>'Dre-Terraplenagem'!P19</f>
        <v>0</v>
      </c>
      <c r="U19" s="301">
        <f>'Dre-Terraplenagem'!Q19</f>
        <v>0</v>
      </c>
      <c r="V19" s="301">
        <f>'Dre-Terraplenagem'!R19</f>
        <v>0.6</v>
      </c>
      <c r="X19" s="19"/>
    </row>
    <row r="20" spans="2:26" ht="14.1" customHeight="1" x14ac:dyDescent="0.25">
      <c r="B20" s="468"/>
      <c r="C20" s="459"/>
      <c r="D20" s="450" t="s">
        <v>72</v>
      </c>
      <c r="E20" s="450"/>
      <c r="G20" s="214"/>
      <c r="H20" s="214"/>
      <c r="I20" s="23">
        <f ca="1">'Dre-Terraplenagem'!G20</f>
        <v>1.8879999999999999</v>
      </c>
      <c r="J20" s="23">
        <f ca="1">'Dre-Terraplenagem'!H20</f>
        <v>1.8979999999999999</v>
      </c>
      <c r="K20" s="23">
        <f ca="1">'Dre-Terraplenagem'!I20</f>
        <v>1.8779999999999999</v>
      </c>
      <c r="L20" s="23">
        <f ca="1">'Dre-Terraplenagem'!J20</f>
        <v>1.8679999999999999</v>
      </c>
      <c r="M20" s="214"/>
      <c r="N20" s="214"/>
      <c r="O20" s="23">
        <f ca="1">'Dre-Terraplenagem'!K20</f>
        <v>1.8879999999999999</v>
      </c>
      <c r="P20" s="23">
        <f ca="1">'Dre-Terraplenagem'!L20</f>
        <v>1.8979999999999999</v>
      </c>
      <c r="Q20" s="23">
        <f ca="1">'Dre-Terraplenagem'!M20</f>
        <v>1.8979999999999999</v>
      </c>
      <c r="R20" s="301">
        <f ca="1">'Dre-Terraplenagem'!N20</f>
        <v>1.8979999999999999</v>
      </c>
      <c r="S20" s="301">
        <f ca="1">'Dre-Terraplenagem'!O20</f>
        <v>2.0379999999999998</v>
      </c>
      <c r="T20" s="301">
        <f ca="1">'Dre-Terraplenagem'!P20</f>
        <v>1.8779999999999999</v>
      </c>
      <c r="U20" s="301">
        <f ca="1">'Dre-Terraplenagem'!Q20</f>
        <v>1.9079999999999999</v>
      </c>
      <c r="V20" s="301">
        <f ca="1">'Dre-Terraplenagem'!R20</f>
        <v>2.048</v>
      </c>
      <c r="X20" s="19"/>
    </row>
    <row r="21" spans="2:26" ht="14.1" customHeight="1" x14ac:dyDescent="0.25">
      <c r="B21" s="468"/>
      <c r="C21" s="459" t="s">
        <v>73</v>
      </c>
      <c r="D21" s="450"/>
      <c r="E21" s="450"/>
      <c r="G21" s="28"/>
      <c r="H21" s="28"/>
      <c r="I21" s="21">
        <f>'Dre-Terraplenagem'!G21</f>
        <v>3</v>
      </c>
      <c r="J21" s="21">
        <f>'Dre-Terraplenagem'!H21</f>
        <v>3</v>
      </c>
      <c r="K21" s="21">
        <f>'Dre-Terraplenagem'!I21</f>
        <v>3</v>
      </c>
      <c r="L21" s="21">
        <f>'Dre-Terraplenagem'!J21</f>
        <v>3</v>
      </c>
      <c r="M21" s="28"/>
      <c r="N21" s="28"/>
      <c r="O21" s="21">
        <f>'Dre-Terraplenagem'!K21</f>
        <v>3</v>
      </c>
      <c r="P21" s="21">
        <f>'Dre-Terraplenagem'!L21</f>
        <v>3</v>
      </c>
      <c r="Q21" s="21">
        <f>'Dre-Terraplenagem'!M21</f>
        <v>3</v>
      </c>
      <c r="R21" s="305">
        <f>'Dre-Terraplenagem'!N21</f>
        <v>3</v>
      </c>
      <c r="S21" s="305">
        <f>'Dre-Terraplenagem'!O21</f>
        <v>3</v>
      </c>
      <c r="T21" s="305">
        <f>'Dre-Terraplenagem'!P21</f>
        <v>3</v>
      </c>
      <c r="U21" s="305">
        <f>'Dre-Terraplenagem'!Q21</f>
        <v>3</v>
      </c>
      <c r="V21" s="305">
        <f>'Dre-Terraplenagem'!R21</f>
        <v>3</v>
      </c>
      <c r="X21" s="20"/>
    </row>
    <row r="22" spans="2:26" ht="5.0999999999999996" customHeight="1" x14ac:dyDescent="0.25">
      <c r="B22" s="468"/>
      <c r="C22" s="208"/>
      <c r="D22" s="204"/>
      <c r="E22" s="204"/>
    </row>
    <row r="23" spans="2:26" ht="14.1" customHeight="1" x14ac:dyDescent="0.25">
      <c r="B23" s="468"/>
      <c r="C23" s="298" t="s">
        <v>119</v>
      </c>
      <c r="D23" s="450" t="s">
        <v>120</v>
      </c>
      <c r="E23" s="450"/>
      <c r="G23" s="313">
        <v>26</v>
      </c>
      <c r="H23" s="313">
        <f>15+14+13+13</f>
        <v>55</v>
      </c>
      <c r="I23" s="313">
        <v>30</v>
      </c>
      <c r="J23" s="313">
        <v>10</v>
      </c>
      <c r="K23" s="313">
        <v>58</v>
      </c>
      <c r="L23" s="313">
        <v>10</v>
      </c>
      <c r="M23" s="313">
        <v>56</v>
      </c>
      <c r="N23" s="313">
        <f>28+17+6</f>
        <v>51</v>
      </c>
      <c r="O23" s="313">
        <f>62</f>
        <v>62</v>
      </c>
      <c r="P23" s="313">
        <v>30</v>
      </c>
      <c r="Q23" s="313">
        <v>58</v>
      </c>
      <c r="R23" s="313">
        <v>60</v>
      </c>
      <c r="S23" s="313">
        <v>8</v>
      </c>
      <c r="T23" s="313">
        <v>10</v>
      </c>
      <c r="U23" s="313">
        <v>10</v>
      </c>
      <c r="V23" s="313">
        <v>10</v>
      </c>
      <c r="X23" s="15">
        <f>SUM(F23:W23)</f>
        <v>544</v>
      </c>
    </row>
    <row r="24" spans="2:26" ht="5.0999999999999996" customHeight="1" x14ac:dyDescent="0.25">
      <c r="B24" s="468"/>
      <c r="C24" s="208"/>
      <c r="D24" s="204"/>
      <c r="E24" s="204"/>
    </row>
    <row r="25" spans="2:26" ht="14.1" customHeight="1" x14ac:dyDescent="0.25">
      <c r="B25" s="468"/>
      <c r="C25" s="303" t="s">
        <v>121</v>
      </c>
      <c r="D25" s="450" t="s">
        <v>122</v>
      </c>
      <c r="E25" s="450"/>
      <c r="G25" s="228">
        <f t="shared" ref="G25:V25" si="0">IF(AND(G11&gt;0,G11=0.8,G13="C"),G10*G12,0)</f>
        <v>0</v>
      </c>
      <c r="H25" s="228">
        <f t="shared" si="0"/>
        <v>0</v>
      </c>
      <c r="I25" s="228">
        <f t="shared" si="0"/>
        <v>68.510000000000005</v>
      </c>
      <c r="J25" s="228">
        <f t="shared" si="0"/>
        <v>68.510000000000005</v>
      </c>
      <c r="K25" s="228">
        <f t="shared" si="0"/>
        <v>69.290000000000006</v>
      </c>
      <c r="L25" s="228">
        <f t="shared" si="0"/>
        <v>69.290000000000006</v>
      </c>
      <c r="M25" s="301">
        <f t="shared" si="0"/>
        <v>0</v>
      </c>
      <c r="N25" s="301">
        <f t="shared" si="0"/>
        <v>0</v>
      </c>
      <c r="O25" s="228">
        <f t="shared" si="0"/>
        <v>88.65</v>
      </c>
      <c r="P25" s="228">
        <f t="shared" si="0"/>
        <v>84.58</v>
      </c>
      <c r="Q25" s="228">
        <f t="shared" si="0"/>
        <v>80.400000000000006</v>
      </c>
      <c r="R25" s="301">
        <f t="shared" si="0"/>
        <v>39.29</v>
      </c>
      <c r="S25" s="301">
        <f t="shared" si="0"/>
        <v>16.190000000000001</v>
      </c>
      <c r="T25" s="301">
        <f t="shared" si="0"/>
        <v>120</v>
      </c>
      <c r="U25" s="301">
        <f t="shared" si="0"/>
        <v>120</v>
      </c>
      <c r="V25" s="301">
        <f t="shared" si="0"/>
        <v>16.39</v>
      </c>
      <c r="X25" s="15">
        <f>SUM(F25:W25)</f>
        <v>841.1</v>
      </c>
    </row>
    <row r="26" spans="2:26" ht="5.0999999999999996" customHeight="1" x14ac:dyDescent="0.25">
      <c r="B26" s="468"/>
      <c r="C26" s="208"/>
      <c r="D26" s="204"/>
      <c r="E26" s="204"/>
    </row>
    <row r="27" spans="2:26" ht="14.1" customHeight="1" x14ac:dyDescent="0.25">
      <c r="B27" s="468"/>
      <c r="C27" s="450" t="s">
        <v>123</v>
      </c>
      <c r="D27" s="450" t="s">
        <v>120</v>
      </c>
      <c r="E27" s="450"/>
      <c r="G27" s="228">
        <f t="shared" ref="G27:V27" si="1">G23</f>
        <v>26</v>
      </c>
      <c r="H27" s="228">
        <f t="shared" si="1"/>
        <v>55</v>
      </c>
      <c r="I27" s="228">
        <f t="shared" si="1"/>
        <v>30</v>
      </c>
      <c r="J27" s="228">
        <f t="shared" si="1"/>
        <v>10</v>
      </c>
      <c r="K27" s="228">
        <f t="shared" si="1"/>
        <v>58</v>
      </c>
      <c r="L27" s="228">
        <f t="shared" si="1"/>
        <v>10</v>
      </c>
      <c r="M27" s="301">
        <f t="shared" si="1"/>
        <v>56</v>
      </c>
      <c r="N27" s="301">
        <f t="shared" si="1"/>
        <v>51</v>
      </c>
      <c r="O27" s="228">
        <f t="shared" si="1"/>
        <v>62</v>
      </c>
      <c r="P27" s="228">
        <f t="shared" si="1"/>
        <v>30</v>
      </c>
      <c r="Q27" s="228">
        <f t="shared" si="1"/>
        <v>58</v>
      </c>
      <c r="R27" s="301">
        <f t="shared" si="1"/>
        <v>60</v>
      </c>
      <c r="S27" s="301">
        <f t="shared" si="1"/>
        <v>8</v>
      </c>
      <c r="T27" s="301">
        <f t="shared" si="1"/>
        <v>10</v>
      </c>
      <c r="U27" s="301">
        <f t="shared" si="1"/>
        <v>10</v>
      </c>
      <c r="V27" s="301">
        <f t="shared" si="1"/>
        <v>10</v>
      </c>
      <c r="X27" s="15">
        <f>SUM(F27:W27)</f>
        <v>544</v>
      </c>
    </row>
    <row r="28" spans="2:26" ht="14.1" customHeight="1" x14ac:dyDescent="0.25">
      <c r="B28" s="468"/>
      <c r="C28" s="450"/>
      <c r="D28" s="450" t="s">
        <v>122</v>
      </c>
      <c r="E28" s="450"/>
      <c r="G28" s="228">
        <f t="shared" ref="G28:V28" si="2">G25</f>
        <v>0</v>
      </c>
      <c r="H28" s="228">
        <f t="shared" si="2"/>
        <v>0</v>
      </c>
      <c r="I28" s="228">
        <f t="shared" si="2"/>
        <v>68.510000000000005</v>
      </c>
      <c r="J28" s="228">
        <f t="shared" si="2"/>
        <v>68.510000000000005</v>
      </c>
      <c r="K28" s="228">
        <f t="shared" si="2"/>
        <v>69.290000000000006</v>
      </c>
      <c r="L28" s="228">
        <f t="shared" si="2"/>
        <v>69.290000000000006</v>
      </c>
      <c r="M28" s="301">
        <f t="shared" si="2"/>
        <v>0</v>
      </c>
      <c r="N28" s="301">
        <f t="shared" si="2"/>
        <v>0</v>
      </c>
      <c r="O28" s="228">
        <f t="shared" si="2"/>
        <v>88.65</v>
      </c>
      <c r="P28" s="228">
        <f t="shared" si="2"/>
        <v>84.58</v>
      </c>
      <c r="Q28" s="228">
        <f t="shared" si="2"/>
        <v>80.400000000000006</v>
      </c>
      <c r="R28" s="301">
        <f t="shared" si="2"/>
        <v>39.29</v>
      </c>
      <c r="S28" s="301">
        <f t="shared" si="2"/>
        <v>16.190000000000001</v>
      </c>
      <c r="T28" s="301">
        <f t="shared" si="2"/>
        <v>120</v>
      </c>
      <c r="U28" s="301">
        <f t="shared" si="2"/>
        <v>120</v>
      </c>
      <c r="V28" s="301">
        <f t="shared" si="2"/>
        <v>16.39</v>
      </c>
      <c r="X28" s="215">
        <f>SUM(F28:W28)</f>
        <v>841.1</v>
      </c>
    </row>
    <row r="29" spans="2:26" ht="5.0999999999999996" customHeight="1" x14ac:dyDescent="0.25">
      <c r="B29" s="468"/>
      <c r="C29" s="208"/>
      <c r="D29" s="204"/>
      <c r="E29" s="204"/>
    </row>
    <row r="30" spans="2:26" ht="14.1" hidden="1" customHeight="1" x14ac:dyDescent="0.25">
      <c r="B30" s="468"/>
      <c r="C30" s="459" t="s">
        <v>124</v>
      </c>
      <c r="D30" s="473" t="s">
        <v>539</v>
      </c>
      <c r="E30" s="473"/>
      <c r="G30" s="117">
        <f t="shared" ref="G30:V30" si="3">180/1000</f>
        <v>0.18</v>
      </c>
      <c r="H30" s="117">
        <f t="shared" si="3"/>
        <v>0.18</v>
      </c>
      <c r="I30" s="117">
        <f t="shared" si="3"/>
        <v>0.18</v>
      </c>
      <c r="J30" s="117">
        <f t="shared" si="3"/>
        <v>0.18</v>
      </c>
      <c r="K30" s="117">
        <f t="shared" si="3"/>
        <v>0.18</v>
      </c>
      <c r="L30" s="117">
        <f t="shared" si="3"/>
        <v>0.18</v>
      </c>
      <c r="M30" s="117">
        <f t="shared" si="3"/>
        <v>0.18</v>
      </c>
      <c r="N30" s="117">
        <f t="shared" si="3"/>
        <v>0.18</v>
      </c>
      <c r="O30" s="117">
        <f t="shared" si="3"/>
        <v>0.18</v>
      </c>
      <c r="P30" s="117">
        <f t="shared" si="3"/>
        <v>0.18</v>
      </c>
      <c r="Q30" s="117">
        <f t="shared" si="3"/>
        <v>0.18</v>
      </c>
      <c r="R30" s="117">
        <f t="shared" si="3"/>
        <v>0.18</v>
      </c>
      <c r="S30" s="117">
        <f t="shared" si="3"/>
        <v>0.18</v>
      </c>
      <c r="T30" s="117">
        <f t="shared" si="3"/>
        <v>0.18</v>
      </c>
      <c r="U30" s="117">
        <f t="shared" si="3"/>
        <v>0.18</v>
      </c>
      <c r="V30" s="117">
        <f t="shared" si="3"/>
        <v>0.18</v>
      </c>
      <c r="X30" s="18"/>
      <c r="Z30" s="115"/>
    </row>
    <row r="31" spans="2:26" ht="14.1" hidden="1" customHeight="1" x14ac:dyDescent="0.25">
      <c r="B31" s="468"/>
      <c r="C31" s="459"/>
      <c r="D31" s="473" t="s">
        <v>565</v>
      </c>
      <c r="E31" s="473"/>
      <c r="G31" s="117">
        <f t="shared" ref="G31:V31" si="4">533.33/1000</f>
        <v>0.53333000000000008</v>
      </c>
      <c r="H31" s="117">
        <f t="shared" si="4"/>
        <v>0.53333000000000008</v>
      </c>
      <c r="I31" s="117">
        <f t="shared" si="4"/>
        <v>0.53333000000000008</v>
      </c>
      <c r="J31" s="117">
        <f t="shared" si="4"/>
        <v>0.53333000000000008</v>
      </c>
      <c r="K31" s="117">
        <f t="shared" si="4"/>
        <v>0.53333000000000008</v>
      </c>
      <c r="L31" s="117">
        <f t="shared" si="4"/>
        <v>0.53333000000000008</v>
      </c>
      <c r="M31" s="117">
        <f t="shared" si="4"/>
        <v>0.53333000000000008</v>
      </c>
      <c r="N31" s="117">
        <f t="shared" si="4"/>
        <v>0.53333000000000008</v>
      </c>
      <c r="O31" s="117">
        <f t="shared" si="4"/>
        <v>0.53333000000000008</v>
      </c>
      <c r="P31" s="117">
        <f t="shared" si="4"/>
        <v>0.53333000000000008</v>
      </c>
      <c r="Q31" s="117">
        <f t="shared" si="4"/>
        <v>0.53333000000000008</v>
      </c>
      <c r="R31" s="117">
        <f t="shared" si="4"/>
        <v>0.53333000000000008</v>
      </c>
      <c r="S31" s="117">
        <f t="shared" si="4"/>
        <v>0.53333000000000008</v>
      </c>
      <c r="T31" s="117">
        <f t="shared" si="4"/>
        <v>0.53333000000000008</v>
      </c>
      <c r="U31" s="117">
        <f t="shared" si="4"/>
        <v>0.53333000000000008</v>
      </c>
      <c r="V31" s="117">
        <f t="shared" si="4"/>
        <v>0.53333000000000008</v>
      </c>
      <c r="X31" s="19"/>
      <c r="Z31" s="115"/>
    </row>
    <row r="32" spans="2:26" ht="14.1" customHeight="1" x14ac:dyDescent="0.25">
      <c r="B32" s="468"/>
      <c r="C32" s="459"/>
      <c r="D32" s="450" t="s">
        <v>363</v>
      </c>
      <c r="E32" s="450"/>
      <c r="G32" s="235">
        <f>TRUNC(((G23*G30)+(G25*G31)),2)</f>
        <v>4.68</v>
      </c>
      <c r="H32" s="301">
        <f t="shared" ref="H32:V32" si="5">TRUNC(((H23*H30)+(H25*H31)),2)</f>
        <v>9.9</v>
      </c>
      <c r="I32" s="301">
        <f t="shared" si="5"/>
        <v>41.93</v>
      </c>
      <c r="J32" s="301">
        <f t="shared" si="5"/>
        <v>38.33</v>
      </c>
      <c r="K32" s="301">
        <f t="shared" si="5"/>
        <v>47.39</v>
      </c>
      <c r="L32" s="301">
        <f t="shared" si="5"/>
        <v>38.75</v>
      </c>
      <c r="M32" s="301">
        <f t="shared" si="5"/>
        <v>10.08</v>
      </c>
      <c r="N32" s="301">
        <f t="shared" si="5"/>
        <v>9.18</v>
      </c>
      <c r="O32" s="301">
        <f t="shared" si="5"/>
        <v>58.43</v>
      </c>
      <c r="P32" s="301">
        <f t="shared" si="5"/>
        <v>50.5</v>
      </c>
      <c r="Q32" s="301">
        <f t="shared" si="5"/>
        <v>53.31</v>
      </c>
      <c r="R32" s="301">
        <f t="shared" si="5"/>
        <v>31.75</v>
      </c>
      <c r="S32" s="301">
        <f t="shared" si="5"/>
        <v>10.07</v>
      </c>
      <c r="T32" s="301">
        <f t="shared" si="5"/>
        <v>65.790000000000006</v>
      </c>
      <c r="U32" s="301">
        <f t="shared" si="5"/>
        <v>65.790000000000006</v>
      </c>
      <c r="V32" s="301">
        <f t="shared" si="5"/>
        <v>10.54</v>
      </c>
      <c r="X32" s="15">
        <f>SUM(F32:W32)</f>
        <v>546.41999999999996</v>
      </c>
    </row>
    <row r="33" spans="2:24" ht="14.1" customHeight="1" x14ac:dyDescent="0.25">
      <c r="B33" s="468"/>
      <c r="C33" s="459" t="s">
        <v>325</v>
      </c>
      <c r="D33" s="450"/>
      <c r="E33" s="14">
        <f>IF('Resumo DMT''s'!$E$16&gt;30,30,'Resumo DMT''s'!$E$16)</f>
        <v>5</v>
      </c>
      <c r="G33" s="23">
        <f t="shared" ref="G33:V33" si="6">TRUNC((G32*$E$33),2)</f>
        <v>23.4</v>
      </c>
      <c r="H33" s="23">
        <f t="shared" si="6"/>
        <v>49.5</v>
      </c>
      <c r="I33" s="23">
        <f t="shared" si="6"/>
        <v>209.65</v>
      </c>
      <c r="J33" s="23">
        <f t="shared" si="6"/>
        <v>191.65</v>
      </c>
      <c r="K33" s="23">
        <f t="shared" si="6"/>
        <v>236.95</v>
      </c>
      <c r="L33" s="23">
        <f t="shared" si="6"/>
        <v>193.75</v>
      </c>
      <c r="M33" s="301">
        <f t="shared" si="6"/>
        <v>50.4</v>
      </c>
      <c r="N33" s="301">
        <f t="shared" si="6"/>
        <v>45.9</v>
      </c>
      <c r="O33" s="23">
        <f t="shared" si="6"/>
        <v>292.14999999999998</v>
      </c>
      <c r="P33" s="23">
        <f t="shared" si="6"/>
        <v>252.5</v>
      </c>
      <c r="Q33" s="23">
        <f t="shared" si="6"/>
        <v>266.55</v>
      </c>
      <c r="R33" s="301">
        <f t="shared" si="6"/>
        <v>158.75</v>
      </c>
      <c r="S33" s="301">
        <f t="shared" si="6"/>
        <v>50.35</v>
      </c>
      <c r="T33" s="301">
        <f t="shared" si="6"/>
        <v>328.95</v>
      </c>
      <c r="U33" s="301">
        <f t="shared" si="6"/>
        <v>328.95</v>
      </c>
      <c r="V33" s="301">
        <f t="shared" si="6"/>
        <v>52.7</v>
      </c>
      <c r="X33" s="15">
        <f>SUM(F33:W33)</f>
        <v>2732.0999999999995</v>
      </c>
    </row>
    <row r="34" spans="2:24" ht="14.1" customHeight="1" x14ac:dyDescent="0.25">
      <c r="B34" s="468"/>
      <c r="C34" s="459" t="s">
        <v>322</v>
      </c>
      <c r="D34" s="450"/>
      <c r="E34" s="14">
        <f>IF('Resumo DMT''s'!$E$16&gt;30,'Resumo DMT''s'!$E$16-30,0)</f>
        <v>0</v>
      </c>
      <c r="G34" s="23">
        <f t="shared" ref="G34:V34" si="7">TRUNC((G32*$E$34),2)</f>
        <v>0</v>
      </c>
      <c r="H34" s="23">
        <f t="shared" si="7"/>
        <v>0</v>
      </c>
      <c r="I34" s="23">
        <f t="shared" si="7"/>
        <v>0</v>
      </c>
      <c r="J34" s="23">
        <f t="shared" si="7"/>
        <v>0</v>
      </c>
      <c r="K34" s="23">
        <f t="shared" si="7"/>
        <v>0</v>
      </c>
      <c r="L34" s="23">
        <f t="shared" si="7"/>
        <v>0</v>
      </c>
      <c r="M34" s="301">
        <f t="shared" si="7"/>
        <v>0</v>
      </c>
      <c r="N34" s="301">
        <f t="shared" si="7"/>
        <v>0</v>
      </c>
      <c r="O34" s="23">
        <f t="shared" si="7"/>
        <v>0</v>
      </c>
      <c r="P34" s="23">
        <f t="shared" si="7"/>
        <v>0</v>
      </c>
      <c r="Q34" s="23">
        <f t="shared" si="7"/>
        <v>0</v>
      </c>
      <c r="R34" s="301">
        <f t="shared" si="7"/>
        <v>0</v>
      </c>
      <c r="S34" s="301">
        <f t="shared" si="7"/>
        <v>0</v>
      </c>
      <c r="T34" s="301">
        <f t="shared" si="7"/>
        <v>0</v>
      </c>
      <c r="U34" s="301">
        <f t="shared" si="7"/>
        <v>0</v>
      </c>
      <c r="V34" s="301">
        <f t="shared" si="7"/>
        <v>0</v>
      </c>
      <c r="X34" s="15">
        <f>SUM(F34:W34)</f>
        <v>0</v>
      </c>
    </row>
    <row r="35" spans="2:24" ht="5.0999999999999996" customHeight="1" x14ac:dyDescent="0.25">
      <c r="B35" s="468"/>
      <c r="C35" s="208"/>
      <c r="D35" s="204"/>
      <c r="E35" s="204"/>
    </row>
    <row r="36" spans="2:24" ht="14.1" hidden="1" customHeight="1" x14ac:dyDescent="0.25">
      <c r="B36" s="468"/>
      <c r="C36" s="474" t="s">
        <v>125</v>
      </c>
      <c r="D36" s="473"/>
      <c r="E36" s="473"/>
      <c r="G36" s="26">
        <v>0</v>
      </c>
      <c r="H36" s="26">
        <v>0</v>
      </c>
      <c r="I36" s="26">
        <v>1</v>
      </c>
      <c r="J36" s="26">
        <v>1</v>
      </c>
      <c r="K36" s="26">
        <v>1</v>
      </c>
      <c r="L36" s="26">
        <v>1</v>
      </c>
      <c r="M36" s="26">
        <v>0</v>
      </c>
      <c r="N36" s="26">
        <v>0</v>
      </c>
      <c r="O36" s="26">
        <v>1</v>
      </c>
      <c r="P36" s="26">
        <v>1</v>
      </c>
      <c r="Q36" s="26">
        <v>1</v>
      </c>
      <c r="R36" s="26">
        <v>1</v>
      </c>
      <c r="S36" s="26">
        <v>1</v>
      </c>
      <c r="T36" s="26">
        <v>1</v>
      </c>
      <c r="U36" s="26">
        <v>1</v>
      </c>
      <c r="V36" s="26">
        <v>1</v>
      </c>
      <c r="X36" s="18"/>
    </row>
    <row r="37" spans="2:24" ht="14.1" hidden="1" customHeight="1" x14ac:dyDescent="0.25">
      <c r="B37" s="468"/>
      <c r="C37" s="459" t="s">
        <v>126</v>
      </c>
      <c r="D37" s="473" t="s">
        <v>367</v>
      </c>
      <c r="E37" s="473"/>
      <c r="G37" s="35">
        <v>1.1000000000000001</v>
      </c>
      <c r="H37" s="35">
        <v>1.1000000000000001</v>
      </c>
      <c r="I37" s="35">
        <v>1.1000000000000001</v>
      </c>
      <c r="J37" s="35">
        <v>1.1000000000000001</v>
      </c>
      <c r="K37" s="35">
        <v>1.1000000000000001</v>
      </c>
      <c r="L37" s="35">
        <v>1.1000000000000001</v>
      </c>
      <c r="M37" s="35">
        <v>1.1000000000000001</v>
      </c>
      <c r="N37" s="35">
        <v>1.1000000000000001</v>
      </c>
      <c r="O37" s="35">
        <v>1.1000000000000001</v>
      </c>
      <c r="P37" s="35">
        <v>1.1000000000000001</v>
      </c>
      <c r="Q37" s="35">
        <v>1.1000000000000001</v>
      </c>
      <c r="R37" s="35">
        <v>1.1000000000000001</v>
      </c>
      <c r="S37" s="35">
        <v>1.1000000000000001</v>
      </c>
      <c r="T37" s="35">
        <v>1.1000000000000001</v>
      </c>
      <c r="U37" s="35">
        <v>1.1000000000000001</v>
      </c>
      <c r="V37" s="35">
        <v>1.1000000000000001</v>
      </c>
      <c r="X37" s="19"/>
    </row>
    <row r="38" spans="2:24" ht="14.1" hidden="1" customHeight="1" x14ac:dyDescent="0.25">
      <c r="B38" s="468"/>
      <c r="C38" s="459"/>
      <c r="D38" s="473" t="s">
        <v>364</v>
      </c>
      <c r="E38" s="473"/>
      <c r="G38" s="117">
        <v>0.57920000000000005</v>
      </c>
      <c r="H38" s="117">
        <v>0.57920000000000005</v>
      </c>
      <c r="I38" s="117">
        <v>0.57920000000000005</v>
      </c>
      <c r="J38" s="117">
        <v>0.57920000000000005</v>
      </c>
      <c r="K38" s="117">
        <v>0.57920000000000005</v>
      </c>
      <c r="L38" s="117">
        <v>0.57920000000000005</v>
      </c>
      <c r="M38" s="117">
        <v>0.57920000000000005</v>
      </c>
      <c r="N38" s="117">
        <v>0.57920000000000005</v>
      </c>
      <c r="O38" s="117">
        <v>0.57920000000000005</v>
      </c>
      <c r="P38" s="117">
        <v>0.57920000000000005</v>
      </c>
      <c r="Q38" s="117">
        <v>0.57920000000000005</v>
      </c>
      <c r="R38" s="117">
        <v>0.57920000000000005</v>
      </c>
      <c r="S38" s="117">
        <v>0.57920000000000005</v>
      </c>
      <c r="T38" s="117">
        <v>0.57920000000000005</v>
      </c>
      <c r="U38" s="117">
        <v>0.57920000000000005</v>
      </c>
      <c r="V38" s="117">
        <v>0.57920000000000005</v>
      </c>
      <c r="X38" s="19"/>
    </row>
    <row r="39" spans="2:24" ht="14.1" hidden="1" customHeight="1" x14ac:dyDescent="0.25">
      <c r="B39" s="468"/>
      <c r="C39" s="459"/>
      <c r="D39" s="473" t="s">
        <v>365</v>
      </c>
      <c r="E39" s="473"/>
      <c r="G39" s="117">
        <v>0.58720000000000006</v>
      </c>
      <c r="H39" s="117">
        <v>0.58720000000000006</v>
      </c>
      <c r="I39" s="117">
        <v>0.58720000000000006</v>
      </c>
      <c r="J39" s="117">
        <v>0.58720000000000006</v>
      </c>
      <c r="K39" s="117">
        <v>0.58720000000000006</v>
      </c>
      <c r="L39" s="117">
        <v>0.58720000000000006</v>
      </c>
      <c r="M39" s="117">
        <v>0.58720000000000006</v>
      </c>
      <c r="N39" s="117">
        <v>0.58720000000000006</v>
      </c>
      <c r="O39" s="117">
        <v>0.58720000000000006</v>
      </c>
      <c r="P39" s="117">
        <v>0.58720000000000006</v>
      </c>
      <c r="Q39" s="117">
        <v>0.58720000000000006</v>
      </c>
      <c r="R39" s="117">
        <v>0.58720000000000006</v>
      </c>
      <c r="S39" s="117">
        <v>0.58720000000000006</v>
      </c>
      <c r="T39" s="117">
        <v>0.58720000000000006</v>
      </c>
      <c r="U39" s="117">
        <v>0.58720000000000006</v>
      </c>
      <c r="V39" s="117">
        <v>0.58720000000000006</v>
      </c>
      <c r="X39" s="20"/>
    </row>
    <row r="40" spans="2:24" ht="14.1" customHeight="1" x14ac:dyDescent="0.25">
      <c r="B40" s="468"/>
      <c r="C40" s="459"/>
      <c r="D40" s="450">
        <v>1</v>
      </c>
      <c r="E40" s="450"/>
      <c r="G40" s="21">
        <f t="shared" ref="G40:Q40" si="8">IF(G36=1,1,0)</f>
        <v>0</v>
      </c>
      <c r="H40" s="21">
        <f t="shared" si="8"/>
        <v>0</v>
      </c>
      <c r="I40" s="21">
        <f t="shared" si="8"/>
        <v>1</v>
      </c>
      <c r="J40" s="21">
        <f t="shared" si="8"/>
        <v>1</v>
      </c>
      <c r="K40" s="21">
        <f t="shared" si="8"/>
        <v>1</v>
      </c>
      <c r="L40" s="21">
        <f t="shared" si="8"/>
        <v>1</v>
      </c>
      <c r="M40" s="305">
        <f t="shared" ref="M40:N40" si="9">IF(M36=1,1,0)</f>
        <v>0</v>
      </c>
      <c r="N40" s="305">
        <f t="shared" si="9"/>
        <v>0</v>
      </c>
      <c r="O40" s="21">
        <f t="shared" si="8"/>
        <v>1</v>
      </c>
      <c r="P40" s="21">
        <f t="shared" si="8"/>
        <v>1</v>
      </c>
      <c r="Q40" s="21">
        <f t="shared" si="8"/>
        <v>1</v>
      </c>
      <c r="R40" s="305">
        <f t="shared" ref="R40:T40" si="10">IF(R36=1,1,0)</f>
        <v>1</v>
      </c>
      <c r="S40" s="305">
        <f t="shared" si="10"/>
        <v>1</v>
      </c>
      <c r="T40" s="305">
        <f t="shared" si="10"/>
        <v>1</v>
      </c>
      <c r="U40" s="305">
        <f t="shared" ref="U40:V40" si="11">IF(U36=1,1,0)</f>
        <v>1</v>
      </c>
      <c r="V40" s="305">
        <f t="shared" si="11"/>
        <v>1</v>
      </c>
      <c r="X40" s="27">
        <f>SUM(F40:W40)</f>
        <v>12</v>
      </c>
    </row>
    <row r="41" spans="2:24" ht="14.1" hidden="1" customHeight="1" x14ac:dyDescent="0.25">
      <c r="B41" s="468"/>
      <c r="C41" s="459"/>
      <c r="D41" s="473" t="s">
        <v>369</v>
      </c>
      <c r="E41" s="473"/>
      <c r="G41" s="116">
        <v>1.0229999999999999</v>
      </c>
      <c r="H41" s="116">
        <v>1.0229999999999999</v>
      </c>
      <c r="I41" s="116">
        <v>1.0229999999999999</v>
      </c>
      <c r="J41" s="116">
        <v>1.0229999999999999</v>
      </c>
      <c r="K41" s="116">
        <v>1.0229999999999999</v>
      </c>
      <c r="L41" s="116">
        <v>1.0229999999999999</v>
      </c>
      <c r="M41" s="116">
        <v>1.0229999999999999</v>
      </c>
      <c r="N41" s="116">
        <v>1.0229999999999999</v>
      </c>
      <c r="O41" s="116">
        <v>1.0229999999999999</v>
      </c>
      <c r="P41" s="116">
        <v>1.0229999999999999</v>
      </c>
      <c r="Q41" s="116">
        <v>1.0229999999999999</v>
      </c>
      <c r="R41" s="116">
        <v>1.0229999999999999</v>
      </c>
      <c r="S41" s="116">
        <v>1.0229999999999999</v>
      </c>
      <c r="T41" s="116">
        <v>1.0229999999999999</v>
      </c>
      <c r="U41" s="116">
        <v>1.0229999999999999</v>
      </c>
      <c r="V41" s="116">
        <v>1.0229999999999999</v>
      </c>
      <c r="X41" s="19"/>
    </row>
    <row r="42" spans="2:24" ht="14.1" hidden="1" customHeight="1" x14ac:dyDescent="0.25">
      <c r="B42" s="468"/>
      <c r="C42" s="459"/>
      <c r="D42" s="473" t="s">
        <v>366</v>
      </c>
      <c r="E42" s="473"/>
      <c r="G42" s="35">
        <v>1.74</v>
      </c>
      <c r="H42" s="35">
        <v>1.74</v>
      </c>
      <c r="I42" s="35">
        <v>1.74</v>
      </c>
      <c r="J42" s="35">
        <v>1.74</v>
      </c>
      <c r="K42" s="35">
        <v>1.74</v>
      </c>
      <c r="L42" s="35">
        <v>1.74</v>
      </c>
      <c r="M42" s="35">
        <v>1.74</v>
      </c>
      <c r="N42" s="35">
        <v>1.74</v>
      </c>
      <c r="O42" s="35">
        <v>1.74</v>
      </c>
      <c r="P42" s="35">
        <v>1.74</v>
      </c>
      <c r="Q42" s="35">
        <v>1.74</v>
      </c>
      <c r="R42" s="35">
        <v>1.74</v>
      </c>
      <c r="S42" s="35">
        <v>1.74</v>
      </c>
      <c r="T42" s="35">
        <v>1.74</v>
      </c>
      <c r="U42" s="35">
        <v>1.74</v>
      </c>
      <c r="V42" s="35">
        <v>1.74</v>
      </c>
      <c r="X42" s="19"/>
    </row>
    <row r="43" spans="2:24" ht="14.1" hidden="1" customHeight="1" x14ac:dyDescent="0.25">
      <c r="B43" s="468"/>
      <c r="C43" s="459"/>
      <c r="D43" s="473" t="s">
        <v>368</v>
      </c>
      <c r="E43" s="473"/>
      <c r="G43" s="35">
        <v>0.64</v>
      </c>
      <c r="H43" s="35">
        <v>0.64</v>
      </c>
      <c r="I43" s="35">
        <v>0.64</v>
      </c>
      <c r="J43" s="35">
        <v>0.64</v>
      </c>
      <c r="K43" s="35">
        <v>0.64</v>
      </c>
      <c r="L43" s="35">
        <v>0.64</v>
      </c>
      <c r="M43" s="35">
        <v>0.64</v>
      </c>
      <c r="N43" s="35">
        <v>0.64</v>
      </c>
      <c r="O43" s="35">
        <v>0.64</v>
      </c>
      <c r="P43" s="35">
        <v>0.64</v>
      </c>
      <c r="Q43" s="35">
        <v>0.64</v>
      </c>
      <c r="R43" s="35">
        <v>0.64</v>
      </c>
      <c r="S43" s="35">
        <v>0.64</v>
      </c>
      <c r="T43" s="35">
        <v>0.64</v>
      </c>
      <c r="U43" s="35">
        <v>0.64</v>
      </c>
      <c r="V43" s="35">
        <v>0.64</v>
      </c>
      <c r="X43" s="19"/>
    </row>
    <row r="44" spans="2:24" ht="14.1" customHeight="1" x14ac:dyDescent="0.25">
      <c r="B44" s="468"/>
      <c r="C44" s="459"/>
      <c r="D44" s="450" t="s">
        <v>130</v>
      </c>
      <c r="E44" s="450"/>
      <c r="G44" s="23">
        <f>TRUNC((G40*(G41*G37+G42*G38+G43*G39)),2)</f>
        <v>0</v>
      </c>
      <c r="H44" s="301">
        <f t="shared" ref="H44:V44" si="12">TRUNC((H40*(H41*H37+H42*H38+H43*H39)),2)</f>
        <v>0</v>
      </c>
      <c r="I44" s="301">
        <f t="shared" si="12"/>
        <v>2.5</v>
      </c>
      <c r="J44" s="301">
        <f t="shared" si="12"/>
        <v>2.5</v>
      </c>
      <c r="K44" s="301">
        <f t="shared" si="12"/>
        <v>2.5</v>
      </c>
      <c r="L44" s="301">
        <f t="shared" si="12"/>
        <v>2.5</v>
      </c>
      <c r="M44" s="301">
        <f t="shared" si="12"/>
        <v>0</v>
      </c>
      <c r="N44" s="301">
        <f t="shared" si="12"/>
        <v>0</v>
      </c>
      <c r="O44" s="301">
        <f t="shared" si="12"/>
        <v>2.5</v>
      </c>
      <c r="P44" s="301">
        <f t="shared" si="12"/>
        <v>2.5</v>
      </c>
      <c r="Q44" s="301">
        <f t="shared" si="12"/>
        <v>2.5</v>
      </c>
      <c r="R44" s="301">
        <f t="shared" si="12"/>
        <v>2.5</v>
      </c>
      <c r="S44" s="301">
        <f t="shared" si="12"/>
        <v>2.5</v>
      </c>
      <c r="T44" s="301">
        <f t="shared" si="12"/>
        <v>2.5</v>
      </c>
      <c r="U44" s="301">
        <f t="shared" si="12"/>
        <v>2.5</v>
      </c>
      <c r="V44" s="301">
        <f t="shared" si="12"/>
        <v>2.5</v>
      </c>
      <c r="X44" s="15">
        <f>SUM(F44:W44)</f>
        <v>30</v>
      </c>
    </row>
    <row r="45" spans="2:24" ht="14.1" customHeight="1" x14ac:dyDescent="0.25">
      <c r="B45" s="468"/>
      <c r="C45" s="459"/>
      <c r="D45" s="11" t="s">
        <v>129</v>
      </c>
      <c r="E45" s="14">
        <f>IF('Resumo DMT''s'!$E$15&gt;30,30,'Resumo DMT''s'!$E$15)</f>
        <v>30</v>
      </c>
      <c r="G45" s="23">
        <f t="shared" ref="G45:V45" si="13">TRUNC((G44*$E$45),2)</f>
        <v>0</v>
      </c>
      <c r="H45" s="23">
        <f t="shared" si="13"/>
        <v>0</v>
      </c>
      <c r="I45" s="23">
        <f t="shared" si="13"/>
        <v>75</v>
      </c>
      <c r="J45" s="23">
        <f t="shared" si="13"/>
        <v>75</v>
      </c>
      <c r="K45" s="23">
        <f t="shared" si="13"/>
        <v>75</v>
      </c>
      <c r="L45" s="23">
        <f t="shared" si="13"/>
        <v>75</v>
      </c>
      <c r="M45" s="301">
        <f t="shared" si="13"/>
        <v>0</v>
      </c>
      <c r="N45" s="301">
        <f t="shared" si="13"/>
        <v>0</v>
      </c>
      <c r="O45" s="23">
        <f t="shared" si="13"/>
        <v>75</v>
      </c>
      <c r="P45" s="23">
        <f t="shared" si="13"/>
        <v>75</v>
      </c>
      <c r="Q45" s="23">
        <f t="shared" si="13"/>
        <v>75</v>
      </c>
      <c r="R45" s="301">
        <f t="shared" si="13"/>
        <v>75</v>
      </c>
      <c r="S45" s="301">
        <f t="shared" si="13"/>
        <v>75</v>
      </c>
      <c r="T45" s="301">
        <f t="shared" si="13"/>
        <v>75</v>
      </c>
      <c r="U45" s="301">
        <f t="shared" si="13"/>
        <v>75</v>
      </c>
      <c r="V45" s="301">
        <f t="shared" si="13"/>
        <v>75</v>
      </c>
      <c r="X45" s="15">
        <f>SUM(F45:W45)</f>
        <v>900</v>
      </c>
    </row>
    <row r="46" spans="2:24" ht="14.1" customHeight="1" x14ac:dyDescent="0.25">
      <c r="B46" s="468"/>
      <c r="C46" s="459"/>
      <c r="D46" s="11" t="s">
        <v>129</v>
      </c>
      <c r="E46" s="14">
        <f>IF('Resumo DMT''s'!$E$15&gt;30,'Resumo DMT''s'!$E$15-30,0)</f>
        <v>25</v>
      </c>
      <c r="G46" s="23">
        <f t="shared" ref="G46:V46" si="14">TRUNC((G44*$E$46),2)</f>
        <v>0</v>
      </c>
      <c r="H46" s="23">
        <f t="shared" si="14"/>
        <v>0</v>
      </c>
      <c r="I46" s="23">
        <f t="shared" si="14"/>
        <v>62.5</v>
      </c>
      <c r="J46" s="23">
        <f t="shared" si="14"/>
        <v>62.5</v>
      </c>
      <c r="K46" s="23">
        <f t="shared" si="14"/>
        <v>62.5</v>
      </c>
      <c r="L46" s="23">
        <f t="shared" si="14"/>
        <v>62.5</v>
      </c>
      <c r="M46" s="301">
        <f t="shared" si="14"/>
        <v>0</v>
      </c>
      <c r="N46" s="301">
        <f t="shared" si="14"/>
        <v>0</v>
      </c>
      <c r="O46" s="23">
        <f t="shared" si="14"/>
        <v>62.5</v>
      </c>
      <c r="P46" s="23">
        <f t="shared" si="14"/>
        <v>62.5</v>
      </c>
      <c r="Q46" s="23">
        <f t="shared" si="14"/>
        <v>62.5</v>
      </c>
      <c r="R46" s="301">
        <f t="shared" si="14"/>
        <v>62.5</v>
      </c>
      <c r="S46" s="301">
        <f t="shared" si="14"/>
        <v>62.5</v>
      </c>
      <c r="T46" s="301">
        <f t="shared" si="14"/>
        <v>62.5</v>
      </c>
      <c r="U46" s="301">
        <f t="shared" si="14"/>
        <v>62.5</v>
      </c>
      <c r="V46" s="301">
        <f t="shared" si="14"/>
        <v>62.5</v>
      </c>
      <c r="X46" s="15">
        <f>SUM(F46:W46)</f>
        <v>750</v>
      </c>
    </row>
    <row r="47" spans="2:24" ht="14.1" customHeight="1" x14ac:dyDescent="0.25">
      <c r="B47" s="468"/>
      <c r="C47" s="459" t="s">
        <v>128</v>
      </c>
      <c r="D47" s="450"/>
      <c r="E47" s="450"/>
      <c r="G47" s="23">
        <f>G40</f>
        <v>0</v>
      </c>
      <c r="H47" s="301">
        <f t="shared" ref="H47:Q47" si="15">H40</f>
        <v>0</v>
      </c>
      <c r="I47" s="301">
        <f t="shared" si="15"/>
        <v>1</v>
      </c>
      <c r="J47" s="301">
        <f t="shared" si="15"/>
        <v>1</v>
      </c>
      <c r="K47" s="301">
        <f t="shared" si="15"/>
        <v>1</v>
      </c>
      <c r="L47" s="301">
        <f t="shared" si="15"/>
        <v>1</v>
      </c>
      <c r="M47" s="301">
        <f t="shared" ref="M47:N47" si="16">M40</f>
        <v>0</v>
      </c>
      <c r="N47" s="301">
        <f t="shared" si="16"/>
        <v>0</v>
      </c>
      <c r="O47" s="301">
        <f t="shared" si="15"/>
        <v>1</v>
      </c>
      <c r="P47" s="301">
        <f t="shared" si="15"/>
        <v>1</v>
      </c>
      <c r="Q47" s="301">
        <f t="shared" si="15"/>
        <v>1</v>
      </c>
      <c r="R47" s="301">
        <f t="shared" ref="R47:T47" si="17">R40</f>
        <v>1</v>
      </c>
      <c r="S47" s="301">
        <f t="shared" si="17"/>
        <v>1</v>
      </c>
      <c r="T47" s="301">
        <f t="shared" si="17"/>
        <v>1</v>
      </c>
      <c r="U47" s="301">
        <f t="shared" ref="U47:V47" si="18">U40</f>
        <v>1</v>
      </c>
      <c r="V47" s="301">
        <f t="shared" si="18"/>
        <v>1</v>
      </c>
      <c r="X47" s="15">
        <f>SUM(F47:W47)</f>
        <v>12</v>
      </c>
    </row>
    <row r="48" spans="2:24" ht="14.1" customHeight="1" x14ac:dyDescent="0.25">
      <c r="B48" s="468"/>
      <c r="C48" s="459" t="s">
        <v>127</v>
      </c>
      <c r="D48" s="450"/>
      <c r="E48" s="450"/>
      <c r="G48" s="21">
        <f t="shared" ref="G48:Q48" si="19">G47</f>
        <v>0</v>
      </c>
      <c r="H48" s="21">
        <f t="shared" si="19"/>
        <v>0</v>
      </c>
      <c r="I48" s="21">
        <f t="shared" si="19"/>
        <v>1</v>
      </c>
      <c r="J48" s="21">
        <f t="shared" si="19"/>
        <v>1</v>
      </c>
      <c r="K48" s="21">
        <f t="shared" si="19"/>
        <v>1</v>
      </c>
      <c r="L48" s="21">
        <f t="shared" si="19"/>
        <v>1</v>
      </c>
      <c r="M48" s="305">
        <f t="shared" ref="M48:N48" si="20">M47</f>
        <v>0</v>
      </c>
      <c r="N48" s="305">
        <f t="shared" si="20"/>
        <v>0</v>
      </c>
      <c r="O48" s="21">
        <f t="shared" si="19"/>
        <v>1</v>
      </c>
      <c r="P48" s="21">
        <f t="shared" si="19"/>
        <v>1</v>
      </c>
      <c r="Q48" s="21">
        <f t="shared" si="19"/>
        <v>1</v>
      </c>
      <c r="R48" s="305">
        <f t="shared" ref="R48:T48" si="21">R47</f>
        <v>1</v>
      </c>
      <c r="S48" s="305">
        <f t="shared" si="21"/>
        <v>1</v>
      </c>
      <c r="T48" s="305">
        <f t="shared" si="21"/>
        <v>1</v>
      </c>
      <c r="U48" s="305">
        <f t="shared" ref="U48:V48" si="22">U47</f>
        <v>1</v>
      </c>
      <c r="V48" s="305">
        <f t="shared" si="22"/>
        <v>1</v>
      </c>
      <c r="X48" s="27">
        <f>SUM(F48:W48)</f>
        <v>12</v>
      </c>
    </row>
    <row r="49" spans="2:24" ht="5.0999999999999996" customHeight="1" x14ac:dyDescent="0.25">
      <c r="B49" s="468"/>
      <c r="C49" s="208"/>
      <c r="D49" s="204"/>
      <c r="E49" s="204"/>
    </row>
    <row r="50" spans="2:24" ht="14.1" hidden="1" customHeight="1" x14ac:dyDescent="0.25">
      <c r="B50" s="468"/>
      <c r="C50" s="459" t="s">
        <v>131</v>
      </c>
      <c r="D50" s="473" t="s">
        <v>365</v>
      </c>
      <c r="E50" s="473"/>
      <c r="G50" s="117">
        <v>0.58720000000000006</v>
      </c>
      <c r="H50" s="117">
        <v>0.58720000000000006</v>
      </c>
      <c r="I50" s="117">
        <v>0.58720000000000006</v>
      </c>
      <c r="J50" s="117">
        <v>0.58720000000000006</v>
      </c>
      <c r="K50" s="117">
        <v>0.58720000000000006</v>
      </c>
      <c r="L50" s="117">
        <v>0.58720000000000006</v>
      </c>
      <c r="M50" s="117">
        <v>0.58720000000000006</v>
      </c>
      <c r="N50" s="117">
        <v>0.58720000000000006</v>
      </c>
      <c r="O50" s="117">
        <v>0.58720000000000006</v>
      </c>
      <c r="P50" s="117">
        <v>0.58720000000000006</v>
      </c>
      <c r="Q50" s="117">
        <v>0.58720000000000006</v>
      </c>
      <c r="R50" s="117">
        <v>0.58720000000000006</v>
      </c>
      <c r="S50" s="117">
        <v>0.58720000000000006</v>
      </c>
      <c r="T50" s="117">
        <v>0.58720000000000006</v>
      </c>
      <c r="U50" s="117">
        <v>0.58720000000000006</v>
      </c>
      <c r="V50" s="117">
        <v>0.58720000000000006</v>
      </c>
      <c r="X50" s="36"/>
    </row>
    <row r="51" spans="2:24" ht="14.1" customHeight="1" x14ac:dyDescent="0.25">
      <c r="B51" s="468"/>
      <c r="C51" s="459"/>
      <c r="D51" s="450" t="s">
        <v>132</v>
      </c>
      <c r="E51" s="450"/>
      <c r="G51" s="255">
        <v>0</v>
      </c>
      <c r="H51" s="255">
        <v>4</v>
      </c>
      <c r="I51" s="255">
        <v>0</v>
      </c>
      <c r="J51" s="255">
        <v>2</v>
      </c>
      <c r="K51" s="255">
        <v>2</v>
      </c>
      <c r="L51" s="255">
        <v>2</v>
      </c>
      <c r="M51" s="255">
        <v>4</v>
      </c>
      <c r="N51" s="255">
        <v>4</v>
      </c>
      <c r="O51" s="255">
        <v>2</v>
      </c>
      <c r="P51" s="255">
        <v>2</v>
      </c>
      <c r="Q51" s="255">
        <v>2</v>
      </c>
      <c r="R51" s="255">
        <v>2</v>
      </c>
      <c r="S51" s="255">
        <v>2</v>
      </c>
      <c r="T51" s="255">
        <v>0</v>
      </c>
      <c r="U51" s="255">
        <v>0</v>
      </c>
      <c r="V51" s="255">
        <v>0</v>
      </c>
      <c r="X51" s="27">
        <f>SUM(F51:W51)</f>
        <v>28</v>
      </c>
    </row>
    <row r="52" spans="2:24" ht="14.1" hidden="1" customHeight="1" x14ac:dyDescent="0.25">
      <c r="B52" s="468"/>
      <c r="C52" s="459"/>
      <c r="D52" s="473" t="s">
        <v>370</v>
      </c>
      <c r="E52" s="473"/>
      <c r="G52" s="116">
        <v>0.72899999999999998</v>
      </c>
      <c r="H52" s="116">
        <v>0.72899999999999998</v>
      </c>
      <c r="I52" s="116">
        <v>0.72899999999999998</v>
      </c>
      <c r="J52" s="116">
        <v>0.72899999999999998</v>
      </c>
      <c r="K52" s="116">
        <v>0.72899999999999998</v>
      </c>
      <c r="L52" s="116">
        <v>0.72899999999999998</v>
      </c>
      <c r="M52" s="116">
        <v>0.72899999999999998</v>
      </c>
      <c r="N52" s="116">
        <v>0.72899999999999998</v>
      </c>
      <c r="O52" s="116">
        <v>0.72899999999999998</v>
      </c>
      <c r="P52" s="116">
        <v>0.72899999999999998</v>
      </c>
      <c r="Q52" s="116">
        <v>0.72899999999999998</v>
      </c>
      <c r="R52" s="116">
        <v>0.72899999999999998</v>
      </c>
      <c r="S52" s="116">
        <v>0.72899999999999998</v>
      </c>
      <c r="T52" s="116">
        <v>0.72899999999999998</v>
      </c>
      <c r="U52" s="116">
        <v>0.72899999999999998</v>
      </c>
      <c r="V52" s="116">
        <v>0.72899999999999998</v>
      </c>
      <c r="X52" s="36"/>
    </row>
    <row r="53" spans="2:24" ht="14.1" customHeight="1" x14ac:dyDescent="0.25">
      <c r="B53" s="468"/>
      <c r="C53" s="459"/>
      <c r="D53" s="450" t="s">
        <v>133</v>
      </c>
      <c r="E53" s="450"/>
      <c r="G53" s="255">
        <v>2</v>
      </c>
      <c r="H53" s="255">
        <v>0</v>
      </c>
      <c r="I53" s="255">
        <v>2</v>
      </c>
      <c r="J53" s="255">
        <v>0</v>
      </c>
      <c r="K53" s="255">
        <v>0</v>
      </c>
      <c r="L53" s="255">
        <v>0</v>
      </c>
      <c r="M53" s="255">
        <v>0</v>
      </c>
      <c r="N53" s="255">
        <v>0</v>
      </c>
      <c r="O53" s="255">
        <v>2</v>
      </c>
      <c r="P53" s="255">
        <v>0</v>
      </c>
      <c r="Q53" s="255">
        <v>2</v>
      </c>
      <c r="R53" s="255">
        <v>2</v>
      </c>
      <c r="S53" s="255">
        <v>0</v>
      </c>
      <c r="T53" s="255">
        <v>0</v>
      </c>
      <c r="U53" s="255">
        <v>2</v>
      </c>
      <c r="V53" s="255">
        <v>2</v>
      </c>
      <c r="X53" s="27">
        <f>SUM(F53:W53)</f>
        <v>14</v>
      </c>
    </row>
    <row r="54" spans="2:24" ht="14.1" hidden="1" customHeight="1" x14ac:dyDescent="0.25">
      <c r="B54" s="468"/>
      <c r="C54" s="459"/>
      <c r="D54" s="473" t="s">
        <v>371</v>
      </c>
      <c r="E54" s="473"/>
      <c r="G54" s="116">
        <v>1.272</v>
      </c>
      <c r="H54" s="116">
        <v>1.272</v>
      </c>
      <c r="I54" s="116">
        <v>1.272</v>
      </c>
      <c r="J54" s="116">
        <v>1.272</v>
      </c>
      <c r="K54" s="116">
        <v>1.272</v>
      </c>
      <c r="L54" s="116">
        <v>1.272</v>
      </c>
      <c r="M54" s="116">
        <v>1.272</v>
      </c>
      <c r="N54" s="116">
        <v>1.272</v>
      </c>
      <c r="O54" s="116">
        <v>1.272</v>
      </c>
      <c r="P54" s="116">
        <v>1.272</v>
      </c>
      <c r="Q54" s="116">
        <v>1.272</v>
      </c>
      <c r="R54" s="116">
        <v>1.272</v>
      </c>
      <c r="S54" s="116">
        <v>1.272</v>
      </c>
      <c r="T54" s="116">
        <v>1.272</v>
      </c>
      <c r="U54" s="116">
        <v>1.272</v>
      </c>
      <c r="V54" s="116">
        <v>1.272</v>
      </c>
      <c r="X54" s="36"/>
    </row>
    <row r="55" spans="2:24" ht="14.1" customHeight="1" x14ac:dyDescent="0.25">
      <c r="B55" s="468"/>
      <c r="C55" s="459"/>
      <c r="D55" s="450" t="s">
        <v>134</v>
      </c>
      <c r="E55" s="450"/>
      <c r="G55" s="255">
        <v>0</v>
      </c>
      <c r="H55" s="255">
        <v>0</v>
      </c>
      <c r="I55" s="255">
        <v>0</v>
      </c>
      <c r="J55" s="255">
        <v>0</v>
      </c>
      <c r="K55" s="255">
        <v>2</v>
      </c>
      <c r="L55" s="255">
        <v>0</v>
      </c>
      <c r="M55" s="255">
        <v>0</v>
      </c>
      <c r="N55" s="255">
        <v>0</v>
      </c>
      <c r="O55" s="255">
        <v>0</v>
      </c>
      <c r="P55" s="255">
        <v>0</v>
      </c>
      <c r="Q55" s="255">
        <v>0</v>
      </c>
      <c r="R55" s="255">
        <v>0</v>
      </c>
      <c r="S55" s="255">
        <v>0</v>
      </c>
      <c r="T55" s="255">
        <v>2</v>
      </c>
      <c r="U55" s="255">
        <v>0</v>
      </c>
      <c r="V55" s="255">
        <v>0</v>
      </c>
      <c r="X55" s="27">
        <f>SUM(F55:W55)</f>
        <v>4</v>
      </c>
    </row>
    <row r="56" spans="2:24" ht="14.1" hidden="1" customHeight="1" x14ac:dyDescent="0.25">
      <c r="B56" s="468"/>
      <c r="C56" s="459"/>
      <c r="D56" s="473" t="s">
        <v>372</v>
      </c>
      <c r="E56" s="473"/>
      <c r="G56" s="116">
        <v>1.8149999999999999</v>
      </c>
      <c r="H56" s="116">
        <v>1.8149999999999999</v>
      </c>
      <c r="I56" s="116">
        <v>1.8149999999999999</v>
      </c>
      <c r="J56" s="116">
        <v>1.8149999999999999</v>
      </c>
      <c r="K56" s="116">
        <v>1.8149999999999999</v>
      </c>
      <c r="L56" s="116">
        <v>1.8149999999999999</v>
      </c>
      <c r="M56" s="116">
        <v>1.8149999999999999</v>
      </c>
      <c r="N56" s="116">
        <v>1.8149999999999999</v>
      </c>
      <c r="O56" s="116">
        <v>1.8149999999999999</v>
      </c>
      <c r="P56" s="116">
        <v>1.8149999999999999</v>
      </c>
      <c r="Q56" s="116">
        <v>1.8149999999999999</v>
      </c>
      <c r="R56" s="116">
        <v>1.8149999999999999</v>
      </c>
      <c r="S56" s="116">
        <v>1.8149999999999999</v>
      </c>
      <c r="T56" s="116">
        <v>1.8149999999999999</v>
      </c>
      <c r="U56" s="116">
        <v>1.8149999999999999</v>
      </c>
      <c r="V56" s="116">
        <v>1.8149999999999999</v>
      </c>
      <c r="X56" s="36"/>
    </row>
    <row r="57" spans="2:24" ht="14.1" customHeight="1" x14ac:dyDescent="0.25">
      <c r="B57" s="468"/>
      <c r="C57" s="459"/>
      <c r="D57" s="450" t="s">
        <v>135</v>
      </c>
      <c r="E57" s="450"/>
      <c r="G57" s="23">
        <f t="shared" ref="G57:Q57" si="23">TRUNC(((G51*G50*G52)+(G53*G50*G54)+(G55*G50*G56)),2)</f>
        <v>1.49</v>
      </c>
      <c r="H57" s="23">
        <f t="shared" si="23"/>
        <v>1.71</v>
      </c>
      <c r="I57" s="23">
        <f t="shared" si="23"/>
        <v>1.49</v>
      </c>
      <c r="J57" s="23">
        <f t="shared" si="23"/>
        <v>0.85</v>
      </c>
      <c r="K57" s="23">
        <f t="shared" si="23"/>
        <v>2.98</v>
      </c>
      <c r="L57" s="23">
        <f t="shared" si="23"/>
        <v>0.85</v>
      </c>
      <c r="M57" s="301">
        <f t="shared" ref="M57:N57" si="24">TRUNC(((M51*M50*M52)+(M53*M50*M54)+(M55*M50*M56)),2)</f>
        <v>1.71</v>
      </c>
      <c r="N57" s="301">
        <f t="shared" si="24"/>
        <v>1.71</v>
      </c>
      <c r="O57" s="23">
        <f t="shared" si="23"/>
        <v>2.34</v>
      </c>
      <c r="P57" s="23">
        <f t="shared" si="23"/>
        <v>0.85</v>
      </c>
      <c r="Q57" s="23">
        <f t="shared" si="23"/>
        <v>2.34</v>
      </c>
      <c r="R57" s="301">
        <f t="shared" ref="R57:T57" si="25">TRUNC(((R51*R50*R52)+(R53*R50*R54)+(R55*R50*R56)),2)</f>
        <v>2.34</v>
      </c>
      <c r="S57" s="301">
        <f t="shared" si="25"/>
        <v>0.85</v>
      </c>
      <c r="T57" s="301">
        <f t="shared" si="25"/>
        <v>2.13</v>
      </c>
      <c r="U57" s="301">
        <f t="shared" ref="U57:V57" si="26">TRUNC(((U51*U50*U52)+(U53*U50*U54)+(U55*U50*U56)),2)</f>
        <v>1.49</v>
      </c>
      <c r="V57" s="301">
        <f t="shared" si="26"/>
        <v>1.49</v>
      </c>
      <c r="X57" s="15">
        <f>SUM(F57:W57)</f>
        <v>26.619999999999997</v>
      </c>
    </row>
    <row r="58" spans="2:24" ht="14.1" customHeight="1" x14ac:dyDescent="0.25">
      <c r="B58" s="468"/>
      <c r="C58" s="459"/>
      <c r="D58" s="11" t="s">
        <v>129</v>
      </c>
      <c r="E58" s="14">
        <f>IF('Resumo DMT''s'!$E$15&gt;30,30,'Resumo DMT''s'!$E$15)</f>
        <v>30</v>
      </c>
      <c r="G58" s="23">
        <f t="shared" ref="G58:V58" si="27">TRUNC((G57*$E$58),2)</f>
        <v>44.7</v>
      </c>
      <c r="H58" s="23">
        <f t="shared" si="27"/>
        <v>51.3</v>
      </c>
      <c r="I58" s="23">
        <f t="shared" si="27"/>
        <v>44.7</v>
      </c>
      <c r="J58" s="23">
        <f t="shared" si="27"/>
        <v>25.5</v>
      </c>
      <c r="K58" s="23">
        <f t="shared" si="27"/>
        <v>89.4</v>
      </c>
      <c r="L58" s="23">
        <f t="shared" si="27"/>
        <v>25.5</v>
      </c>
      <c r="M58" s="301">
        <f t="shared" si="27"/>
        <v>51.3</v>
      </c>
      <c r="N58" s="301">
        <f t="shared" si="27"/>
        <v>51.3</v>
      </c>
      <c r="O58" s="23">
        <f t="shared" si="27"/>
        <v>70.2</v>
      </c>
      <c r="P58" s="23">
        <f t="shared" si="27"/>
        <v>25.5</v>
      </c>
      <c r="Q58" s="23">
        <f t="shared" si="27"/>
        <v>70.2</v>
      </c>
      <c r="R58" s="301">
        <f t="shared" si="27"/>
        <v>70.2</v>
      </c>
      <c r="S58" s="301">
        <f t="shared" si="27"/>
        <v>25.5</v>
      </c>
      <c r="T58" s="301">
        <f t="shared" si="27"/>
        <v>63.9</v>
      </c>
      <c r="U58" s="301">
        <f t="shared" si="27"/>
        <v>44.7</v>
      </c>
      <c r="V58" s="301">
        <f t="shared" si="27"/>
        <v>44.7</v>
      </c>
      <c r="X58" s="15">
        <f>SUM(F58:W58)</f>
        <v>798.60000000000014</v>
      </c>
    </row>
    <row r="59" spans="2:24" ht="14.1" customHeight="1" x14ac:dyDescent="0.25">
      <c r="B59" s="468"/>
      <c r="C59" s="459"/>
      <c r="D59" s="11" t="s">
        <v>129</v>
      </c>
      <c r="E59" s="14">
        <f>IF('Resumo DMT''s'!$E$15&gt;30,'Resumo DMT''s'!$E$15-30,0)</f>
        <v>25</v>
      </c>
      <c r="G59" s="23">
        <f t="shared" ref="G59:V59" si="28">TRUNC((G57*$E$59),2)</f>
        <v>37.25</v>
      </c>
      <c r="H59" s="23">
        <f t="shared" si="28"/>
        <v>42.75</v>
      </c>
      <c r="I59" s="23">
        <f t="shared" si="28"/>
        <v>37.25</v>
      </c>
      <c r="J59" s="23">
        <f t="shared" si="28"/>
        <v>21.25</v>
      </c>
      <c r="K59" s="23">
        <f t="shared" si="28"/>
        <v>74.5</v>
      </c>
      <c r="L59" s="23">
        <f t="shared" si="28"/>
        <v>21.25</v>
      </c>
      <c r="M59" s="301">
        <f t="shared" si="28"/>
        <v>42.75</v>
      </c>
      <c r="N59" s="301">
        <f t="shared" si="28"/>
        <v>42.75</v>
      </c>
      <c r="O59" s="23">
        <f t="shared" si="28"/>
        <v>58.5</v>
      </c>
      <c r="P59" s="23">
        <f t="shared" si="28"/>
        <v>21.25</v>
      </c>
      <c r="Q59" s="23">
        <f t="shared" si="28"/>
        <v>58.5</v>
      </c>
      <c r="R59" s="301">
        <f t="shared" si="28"/>
        <v>58.5</v>
      </c>
      <c r="S59" s="301">
        <f t="shared" si="28"/>
        <v>21.25</v>
      </c>
      <c r="T59" s="301">
        <f t="shared" si="28"/>
        <v>53.25</v>
      </c>
      <c r="U59" s="301">
        <f t="shared" si="28"/>
        <v>37.25</v>
      </c>
      <c r="V59" s="301">
        <f t="shared" si="28"/>
        <v>37.25</v>
      </c>
      <c r="X59" s="15">
        <f>SUM(F59:W59)</f>
        <v>665.5</v>
      </c>
    </row>
    <row r="60" spans="2:24" ht="5.0999999999999996" customHeight="1" x14ac:dyDescent="0.25">
      <c r="B60" s="468"/>
      <c r="C60" s="208"/>
      <c r="D60" s="204"/>
      <c r="E60" s="204"/>
    </row>
    <row r="61" spans="2:24" ht="14.1" customHeight="1" x14ac:dyDescent="0.25">
      <c r="B61" s="468"/>
      <c r="C61" s="459" t="s">
        <v>136</v>
      </c>
      <c r="D61" s="450">
        <v>1</v>
      </c>
      <c r="E61" s="450"/>
      <c r="G61" s="255">
        <v>0</v>
      </c>
      <c r="H61" s="255">
        <v>0</v>
      </c>
      <c r="I61" s="255">
        <v>0</v>
      </c>
      <c r="J61" s="255">
        <v>0</v>
      </c>
      <c r="K61" s="255">
        <v>0</v>
      </c>
      <c r="L61" s="255">
        <v>0</v>
      </c>
      <c r="M61" s="255">
        <v>0</v>
      </c>
      <c r="N61" s="255">
        <v>0</v>
      </c>
      <c r="O61" s="255">
        <v>0</v>
      </c>
      <c r="P61" s="255">
        <v>0</v>
      </c>
      <c r="Q61" s="255">
        <v>0</v>
      </c>
      <c r="R61" s="255">
        <v>0</v>
      </c>
      <c r="S61" s="255">
        <v>1</v>
      </c>
      <c r="T61" s="255">
        <v>0</v>
      </c>
      <c r="U61" s="255">
        <v>0</v>
      </c>
      <c r="V61" s="255">
        <v>1</v>
      </c>
      <c r="X61" s="27">
        <f>SUM(F61:W61)</f>
        <v>2</v>
      </c>
    </row>
    <row r="62" spans="2:24" ht="14.1" hidden="1" customHeight="1" x14ac:dyDescent="0.25">
      <c r="B62" s="468"/>
      <c r="C62" s="459"/>
      <c r="D62" s="473" t="s">
        <v>456</v>
      </c>
      <c r="E62" s="473"/>
      <c r="G62" s="35">
        <v>8.76</v>
      </c>
      <c r="H62" s="35">
        <v>8.76</v>
      </c>
      <c r="I62" s="35">
        <v>8.76</v>
      </c>
      <c r="J62" s="35">
        <v>8.76</v>
      </c>
      <c r="K62" s="35">
        <v>8.76</v>
      </c>
      <c r="L62" s="35">
        <v>8.76</v>
      </c>
      <c r="M62" s="35">
        <v>8.76</v>
      </c>
      <c r="N62" s="35">
        <v>8.76</v>
      </c>
      <c r="O62" s="35">
        <v>8.76</v>
      </c>
      <c r="P62" s="35">
        <v>8.76</v>
      </c>
      <c r="Q62" s="35">
        <v>8.76</v>
      </c>
      <c r="R62" s="35">
        <v>8.76</v>
      </c>
      <c r="S62" s="35">
        <v>8.76</v>
      </c>
      <c r="T62" s="35">
        <v>8.76</v>
      </c>
      <c r="U62" s="35">
        <v>8.76</v>
      </c>
      <c r="V62" s="35">
        <v>8.76</v>
      </c>
      <c r="X62" s="20"/>
    </row>
    <row r="63" spans="2:24" ht="14.1" customHeight="1" x14ac:dyDescent="0.25">
      <c r="B63" s="468"/>
      <c r="C63" s="459"/>
      <c r="D63" s="450" t="s">
        <v>100</v>
      </c>
      <c r="E63" s="450"/>
      <c r="G63" s="23">
        <f>TRUNC(((G61*G62)),2)</f>
        <v>0</v>
      </c>
      <c r="H63" s="301">
        <f t="shared" ref="H63:V63" si="29">TRUNC(((H61*H62)),2)</f>
        <v>0</v>
      </c>
      <c r="I63" s="301">
        <f t="shared" si="29"/>
        <v>0</v>
      </c>
      <c r="J63" s="301">
        <f t="shared" si="29"/>
        <v>0</v>
      </c>
      <c r="K63" s="301">
        <f t="shared" si="29"/>
        <v>0</v>
      </c>
      <c r="L63" s="301">
        <f t="shared" si="29"/>
        <v>0</v>
      </c>
      <c r="M63" s="301">
        <f t="shared" si="29"/>
        <v>0</v>
      </c>
      <c r="N63" s="301">
        <f t="shared" si="29"/>
        <v>0</v>
      </c>
      <c r="O63" s="301">
        <f t="shared" si="29"/>
        <v>0</v>
      </c>
      <c r="P63" s="301">
        <f t="shared" si="29"/>
        <v>0</v>
      </c>
      <c r="Q63" s="301">
        <f t="shared" si="29"/>
        <v>0</v>
      </c>
      <c r="R63" s="301">
        <f t="shared" si="29"/>
        <v>0</v>
      </c>
      <c r="S63" s="301">
        <f t="shared" si="29"/>
        <v>8.76</v>
      </c>
      <c r="T63" s="301">
        <f t="shared" si="29"/>
        <v>0</v>
      </c>
      <c r="U63" s="301">
        <f t="shared" si="29"/>
        <v>0</v>
      </c>
      <c r="V63" s="301">
        <f t="shared" si="29"/>
        <v>8.76</v>
      </c>
      <c r="X63" s="15">
        <f>SUM(F63:W63)</f>
        <v>17.52</v>
      </c>
    </row>
    <row r="64" spans="2:24" ht="14.1" customHeight="1" x14ac:dyDescent="0.25">
      <c r="B64" s="468"/>
      <c r="C64" s="459"/>
      <c r="D64" s="450" t="s">
        <v>457</v>
      </c>
      <c r="E64" s="450"/>
      <c r="G64" s="23">
        <f t="shared" ref="G64:Q64" si="30">G63</f>
        <v>0</v>
      </c>
      <c r="H64" s="23">
        <f t="shared" si="30"/>
        <v>0</v>
      </c>
      <c r="I64" s="23">
        <f t="shared" si="30"/>
        <v>0</v>
      </c>
      <c r="J64" s="23">
        <f t="shared" si="30"/>
        <v>0</v>
      </c>
      <c r="K64" s="23">
        <f t="shared" si="30"/>
        <v>0</v>
      </c>
      <c r="L64" s="23">
        <f t="shared" si="30"/>
        <v>0</v>
      </c>
      <c r="M64" s="301">
        <f t="shared" ref="M64:N64" si="31">M63</f>
        <v>0</v>
      </c>
      <c r="N64" s="301">
        <f t="shared" si="31"/>
        <v>0</v>
      </c>
      <c r="O64" s="23">
        <f t="shared" si="30"/>
        <v>0</v>
      </c>
      <c r="P64" s="23">
        <f t="shared" si="30"/>
        <v>0</v>
      </c>
      <c r="Q64" s="23">
        <f t="shared" si="30"/>
        <v>0</v>
      </c>
      <c r="R64" s="301">
        <f t="shared" ref="R64:T64" si="32">R63</f>
        <v>0</v>
      </c>
      <c r="S64" s="301">
        <f t="shared" si="32"/>
        <v>8.76</v>
      </c>
      <c r="T64" s="301">
        <f t="shared" si="32"/>
        <v>0</v>
      </c>
      <c r="U64" s="301">
        <f t="shared" ref="U64:V64" si="33">U63</f>
        <v>0</v>
      </c>
      <c r="V64" s="301">
        <f t="shared" si="33"/>
        <v>8.76</v>
      </c>
      <c r="X64" s="15">
        <f>SUM(F64:W64)</f>
        <v>17.52</v>
      </c>
    </row>
    <row r="65" spans="2:24" ht="14.1" customHeight="1" x14ac:dyDescent="0.25">
      <c r="B65" s="468"/>
      <c r="C65" s="459"/>
      <c r="D65" s="11" t="s">
        <v>458</v>
      </c>
      <c r="E65" s="14">
        <f>IF('Resumo DMT''s'!$E$15&gt;30,30,'Resumo DMT''s'!$E$15)</f>
        <v>30</v>
      </c>
      <c r="G65" s="23">
        <f t="shared" ref="G65:V65" si="34">TRUNC((G64*$E$65),2)</f>
        <v>0</v>
      </c>
      <c r="H65" s="23">
        <f t="shared" si="34"/>
        <v>0</v>
      </c>
      <c r="I65" s="23">
        <f t="shared" si="34"/>
        <v>0</v>
      </c>
      <c r="J65" s="23">
        <f t="shared" si="34"/>
        <v>0</v>
      </c>
      <c r="K65" s="23">
        <f t="shared" si="34"/>
        <v>0</v>
      </c>
      <c r="L65" s="23">
        <f t="shared" si="34"/>
        <v>0</v>
      </c>
      <c r="M65" s="301">
        <f t="shared" si="34"/>
        <v>0</v>
      </c>
      <c r="N65" s="301">
        <f t="shared" si="34"/>
        <v>0</v>
      </c>
      <c r="O65" s="23">
        <f t="shared" si="34"/>
        <v>0</v>
      </c>
      <c r="P65" s="23">
        <f t="shared" si="34"/>
        <v>0</v>
      </c>
      <c r="Q65" s="23">
        <f t="shared" si="34"/>
        <v>0</v>
      </c>
      <c r="R65" s="301">
        <f t="shared" si="34"/>
        <v>0</v>
      </c>
      <c r="S65" s="301">
        <f t="shared" si="34"/>
        <v>262.8</v>
      </c>
      <c r="T65" s="301">
        <f t="shared" si="34"/>
        <v>0</v>
      </c>
      <c r="U65" s="301">
        <f t="shared" si="34"/>
        <v>0</v>
      </c>
      <c r="V65" s="301">
        <f t="shared" si="34"/>
        <v>262.8</v>
      </c>
      <c r="X65" s="15">
        <f>SUM(F65:W65)</f>
        <v>525.6</v>
      </c>
    </row>
    <row r="66" spans="2:24" ht="14.1" customHeight="1" x14ac:dyDescent="0.25">
      <c r="B66" s="469"/>
      <c r="C66" s="459"/>
      <c r="D66" s="11" t="s">
        <v>458</v>
      </c>
      <c r="E66" s="14">
        <f>IF('Resumo DMT''s'!$E$15&gt;30,'Resumo DMT''s'!$E$15-30,0)</f>
        <v>25</v>
      </c>
      <c r="G66" s="23">
        <f t="shared" ref="G66:V66" si="35">TRUNC((G64*$E$66),2)</f>
        <v>0</v>
      </c>
      <c r="H66" s="23">
        <f t="shared" si="35"/>
        <v>0</v>
      </c>
      <c r="I66" s="23">
        <f t="shared" si="35"/>
        <v>0</v>
      </c>
      <c r="J66" s="23">
        <f t="shared" si="35"/>
        <v>0</v>
      </c>
      <c r="K66" s="23">
        <f t="shared" si="35"/>
        <v>0</v>
      </c>
      <c r="L66" s="23">
        <f t="shared" si="35"/>
        <v>0</v>
      </c>
      <c r="M66" s="301">
        <f t="shared" si="35"/>
        <v>0</v>
      </c>
      <c r="N66" s="301">
        <f t="shared" si="35"/>
        <v>0</v>
      </c>
      <c r="O66" s="23">
        <f t="shared" si="35"/>
        <v>0</v>
      </c>
      <c r="P66" s="23">
        <f t="shared" si="35"/>
        <v>0</v>
      </c>
      <c r="Q66" s="23">
        <f t="shared" si="35"/>
        <v>0</v>
      </c>
      <c r="R66" s="301">
        <f t="shared" si="35"/>
        <v>0</v>
      </c>
      <c r="S66" s="301">
        <f t="shared" si="35"/>
        <v>219</v>
      </c>
      <c r="T66" s="301">
        <f t="shared" si="35"/>
        <v>0</v>
      </c>
      <c r="U66" s="301">
        <f t="shared" si="35"/>
        <v>0</v>
      </c>
      <c r="V66" s="301">
        <f t="shared" si="35"/>
        <v>219</v>
      </c>
      <c r="X66" s="15">
        <f>SUM(F66:W66)</f>
        <v>438</v>
      </c>
    </row>
  </sheetData>
  <mergeCells count="52">
    <mergeCell ref="B8:E8"/>
    <mergeCell ref="B10:B66"/>
    <mergeCell ref="C10:E10"/>
    <mergeCell ref="C11:E11"/>
    <mergeCell ref="C12:E12"/>
    <mergeCell ref="C21:E21"/>
    <mergeCell ref="D23:E23"/>
    <mergeCell ref="C14:E14"/>
    <mergeCell ref="C15:C20"/>
    <mergeCell ref="D15:E15"/>
    <mergeCell ref="D16:E16"/>
    <mergeCell ref="D17:E17"/>
    <mergeCell ref="D18:E18"/>
    <mergeCell ref="D20:E20"/>
    <mergeCell ref="D27:E27"/>
    <mergeCell ref="D28:E28"/>
    <mergeCell ref="D63:E63"/>
    <mergeCell ref="C61:C66"/>
    <mergeCell ref="D61:E61"/>
    <mergeCell ref="D64:E64"/>
    <mergeCell ref="D62:E62"/>
    <mergeCell ref="D51:E51"/>
    <mergeCell ref="D53:E53"/>
    <mergeCell ref="C36:E36"/>
    <mergeCell ref="D44:E44"/>
    <mergeCell ref="D52:E52"/>
    <mergeCell ref="D50:E50"/>
    <mergeCell ref="C37:C46"/>
    <mergeCell ref="C50:C59"/>
    <mergeCell ref="D55:E55"/>
    <mergeCell ref="D54:E54"/>
    <mergeCell ref="D56:E56"/>
    <mergeCell ref="D57:E57"/>
    <mergeCell ref="D37:E37"/>
    <mergeCell ref="D41:E41"/>
    <mergeCell ref="D42:E42"/>
    <mergeCell ref="D43:E43"/>
    <mergeCell ref="C47:E47"/>
    <mergeCell ref="C48:E48"/>
    <mergeCell ref="C34:D34"/>
    <mergeCell ref="C27:C28"/>
    <mergeCell ref="C13:E13"/>
    <mergeCell ref="D19:E19"/>
    <mergeCell ref="D25:E25"/>
    <mergeCell ref="C30:C32"/>
    <mergeCell ref="D30:E30"/>
    <mergeCell ref="D32:E32"/>
    <mergeCell ref="D31:E31"/>
    <mergeCell ref="C33:D33"/>
    <mergeCell ref="D38:E38"/>
    <mergeCell ref="D39:E39"/>
    <mergeCell ref="D40:E40"/>
  </mergeCells>
  <printOptions horizontalCentered="1"/>
  <pageMargins left="0.59055118110236227" right="0.39370078740157483" top="0.39370078740157483" bottom="0.98425196850393704" header="0.31496062992125984" footer="0.31496062992125984"/>
  <pageSetup paperSize="9" scale="68"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8">
    <tabColor rgb="FF00B050"/>
  </sheetPr>
  <dimension ref="B1:T37"/>
  <sheetViews>
    <sheetView showGridLines="0" view="pageBreakPreview" zoomScaleSheetLayoutView="100" workbookViewId="0">
      <pane ySplit="8" topLeftCell="A9"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2.7109375" style="4" customWidth="1"/>
    <col min="8" max="16" width="10.7109375" style="4" customWidth="1"/>
    <col min="17" max="17" width="1.7109375" style="4" customWidth="1"/>
    <col min="18" max="18" width="10.7109375" style="4" customWidth="1"/>
    <col min="19" max="16384" width="9.140625" style="4"/>
  </cols>
  <sheetData>
    <row r="1" spans="2:18" ht="5.0999999999999996" customHeight="1" x14ac:dyDescent="0.25"/>
    <row r="2" spans="2:18" ht="14.1" customHeight="1" x14ac:dyDescent="0.25">
      <c r="B2" s="100" t="str">
        <f>DADOS!$B$3</f>
        <v>CLIENTE:</v>
      </c>
      <c r="C2" s="81" t="str">
        <f>DADOS!$C$3</f>
        <v>PREFEITURA MUNICIPAL DE JARDIM / MS</v>
      </c>
      <c r="D2" s="34"/>
      <c r="E2" s="34"/>
      <c r="F2" s="34"/>
      <c r="G2" s="34"/>
      <c r="H2" s="34"/>
      <c r="I2" s="34"/>
      <c r="J2" s="34"/>
      <c r="K2" s="34"/>
      <c r="L2" s="34"/>
      <c r="M2" s="34"/>
      <c r="N2" s="44"/>
      <c r="O2" s="34"/>
      <c r="P2" s="34"/>
      <c r="Q2" s="34"/>
      <c r="R2" s="44"/>
    </row>
    <row r="3" spans="2:18" ht="14.1" customHeight="1" x14ac:dyDescent="0.25">
      <c r="B3" s="101" t="str">
        <f>DADOS!$B$4</f>
        <v>ENDEREÇO:</v>
      </c>
      <c r="C3" s="252" t="str">
        <f>DADOS!$C$4</f>
        <v>RUA CEL. JUVÊNCIO, Nº 547 - CENTRO</v>
      </c>
      <c r="D3" s="253"/>
      <c r="E3" s="253"/>
      <c r="F3" s="253"/>
      <c r="G3" s="253"/>
      <c r="H3" s="253"/>
      <c r="I3" s="253"/>
      <c r="J3" s="253"/>
      <c r="K3" s="253"/>
      <c r="L3" s="253"/>
      <c r="M3" s="253"/>
      <c r="N3" s="45"/>
      <c r="O3" s="253"/>
      <c r="P3" s="253"/>
      <c r="Q3" s="253"/>
      <c r="R3" s="45"/>
    </row>
    <row r="4" spans="2:18" ht="14.1" customHeight="1" x14ac:dyDescent="0.2">
      <c r="B4" s="83"/>
      <c r="C4" s="252"/>
      <c r="D4" s="253"/>
      <c r="E4" s="253"/>
      <c r="F4" s="253"/>
      <c r="G4" s="253"/>
      <c r="H4" s="253"/>
      <c r="I4" s="253"/>
      <c r="J4" s="253"/>
      <c r="K4" s="253"/>
      <c r="L4" s="253"/>
      <c r="M4" s="253"/>
      <c r="N4" s="45"/>
      <c r="O4" s="253"/>
      <c r="P4" s="253"/>
      <c r="Q4" s="253"/>
      <c r="R4" s="45"/>
    </row>
    <row r="5" spans="2:18" ht="14.1" customHeight="1" x14ac:dyDescent="0.25">
      <c r="B5" s="101" t="str">
        <f>DADOS!$B$7</f>
        <v>OBRA:</v>
      </c>
      <c r="C5" s="252" t="str">
        <f>DADOS!$C$7</f>
        <v>PAVIMENTAÇÃO ASFÁLTICA E DRENAGEM DE ÁGUAS PLUVIAIS</v>
      </c>
      <c r="D5" s="253"/>
      <c r="E5" s="253"/>
      <c r="F5" s="253"/>
      <c r="G5" s="253"/>
      <c r="H5" s="253"/>
      <c r="I5" s="253"/>
      <c r="J5" s="253"/>
      <c r="K5" s="253"/>
      <c r="L5" s="253"/>
      <c r="M5" s="253"/>
      <c r="N5" s="45"/>
      <c r="O5" s="253"/>
      <c r="P5" s="253"/>
      <c r="Q5" s="253"/>
      <c r="R5" s="45"/>
    </row>
    <row r="6" spans="2:18" ht="14.1" customHeight="1" x14ac:dyDescent="0.25">
      <c r="B6" s="84" t="str">
        <f>DADOS!$B$8</f>
        <v>LOCAL:</v>
      </c>
      <c r="C6" s="85" t="str">
        <f>DADOS!$C$8</f>
        <v>JARDIM PREVISUL, JARDIM / MS</v>
      </c>
      <c r="D6" s="46"/>
      <c r="E6" s="46"/>
      <c r="F6" s="46"/>
      <c r="G6" s="46"/>
      <c r="H6" s="46"/>
      <c r="I6" s="46"/>
      <c r="J6" s="46"/>
      <c r="K6" s="46"/>
      <c r="L6" s="46"/>
      <c r="M6" s="46"/>
      <c r="N6" s="47"/>
      <c r="O6" s="46"/>
      <c r="P6" s="46"/>
      <c r="Q6" s="46"/>
      <c r="R6" s="47"/>
    </row>
    <row r="7" spans="2:18" ht="5.0999999999999996" customHeight="1" x14ac:dyDescent="0.25"/>
    <row r="8" spans="2:18" ht="39.950000000000003" customHeight="1" x14ac:dyDescent="0.25">
      <c r="B8" s="470" t="s">
        <v>147</v>
      </c>
      <c r="C8" s="471"/>
      <c r="D8" s="471"/>
      <c r="E8" s="459"/>
      <c r="G8" s="13" t="s">
        <v>575</v>
      </c>
      <c r="H8" s="13" t="s">
        <v>576</v>
      </c>
      <c r="I8" s="13" t="s">
        <v>577</v>
      </c>
      <c r="J8" s="13" t="s">
        <v>578</v>
      </c>
      <c r="K8" s="13" t="s">
        <v>579</v>
      </c>
      <c r="L8" s="13" t="s">
        <v>580</v>
      </c>
      <c r="M8" s="13" t="s">
        <v>581</v>
      </c>
      <c r="N8" s="13" t="s">
        <v>582</v>
      </c>
      <c r="O8" s="13" t="s">
        <v>583</v>
      </c>
      <c r="P8" s="13" t="s">
        <v>584</v>
      </c>
      <c r="R8" s="13" t="s">
        <v>5</v>
      </c>
    </row>
    <row r="9" spans="2:18" ht="5.0999999999999996" customHeight="1" x14ac:dyDescent="0.25"/>
    <row r="10" spans="2:18" ht="14.1" customHeight="1" x14ac:dyDescent="0.25">
      <c r="B10" s="467" t="s">
        <v>154</v>
      </c>
      <c r="C10" s="459" t="s">
        <v>64</v>
      </c>
      <c r="D10" s="450"/>
      <c r="E10" s="450"/>
      <c r="G10" s="254">
        <v>183.26</v>
      </c>
      <c r="H10" s="254">
        <v>408.11</v>
      </c>
      <c r="I10" s="254">
        <v>407.32</v>
      </c>
      <c r="J10" s="254">
        <v>134.37</v>
      </c>
      <c r="K10" s="254">
        <v>170.06</v>
      </c>
      <c r="L10" s="254">
        <v>248.85</v>
      </c>
      <c r="M10" s="254">
        <v>14.02</v>
      </c>
      <c r="N10" s="254">
        <v>258.33</v>
      </c>
      <c r="O10" s="254">
        <v>14.08</v>
      </c>
      <c r="P10" s="254">
        <v>682.43</v>
      </c>
      <c r="R10" s="15">
        <f>SUM(F10:Q10)</f>
        <v>2520.8299999999995</v>
      </c>
    </row>
    <row r="11" spans="2:18" ht="14.1" customHeight="1" x14ac:dyDescent="0.25">
      <c r="B11" s="468"/>
      <c r="C11" s="450" t="s">
        <v>156</v>
      </c>
      <c r="D11" s="450"/>
      <c r="E11" s="450"/>
      <c r="G11" s="254" t="s">
        <v>157</v>
      </c>
      <c r="H11" s="254" t="s">
        <v>157</v>
      </c>
      <c r="I11" s="254" t="s">
        <v>157</v>
      </c>
      <c r="J11" s="254" t="s">
        <v>157</v>
      </c>
      <c r="K11" s="254" t="s">
        <v>157</v>
      </c>
      <c r="L11" s="254" t="s">
        <v>157</v>
      </c>
      <c r="M11" s="254" t="s">
        <v>157</v>
      </c>
      <c r="N11" s="254" t="s">
        <v>157</v>
      </c>
      <c r="O11" s="254" t="s">
        <v>157</v>
      </c>
      <c r="P11" s="254" t="s">
        <v>157</v>
      </c>
      <c r="R11" s="18"/>
    </row>
    <row r="12" spans="2:18" ht="14.1" customHeight="1" x14ac:dyDescent="0.25">
      <c r="B12" s="468"/>
      <c r="C12" s="450" t="s">
        <v>155</v>
      </c>
      <c r="D12" s="450"/>
      <c r="E12" s="450"/>
      <c r="G12" s="254">
        <v>8</v>
      </c>
      <c r="H12" s="254">
        <v>6</v>
      </c>
      <c r="I12" s="254">
        <v>6.4</v>
      </c>
      <c r="J12" s="254">
        <v>6</v>
      </c>
      <c r="K12" s="254">
        <v>6</v>
      </c>
      <c r="L12" s="254">
        <v>6</v>
      </c>
      <c r="M12" s="254">
        <v>7.4</v>
      </c>
      <c r="N12" s="254">
        <v>6.4</v>
      </c>
      <c r="O12" s="254">
        <v>7.4</v>
      </c>
      <c r="P12" s="254">
        <v>7.4</v>
      </c>
      <c r="R12" s="19"/>
    </row>
    <row r="13" spans="2:18" ht="14.1" customHeight="1" x14ac:dyDescent="0.25">
      <c r="B13" s="468"/>
      <c r="C13" s="450" t="s">
        <v>163</v>
      </c>
      <c r="D13" s="450"/>
      <c r="E13" s="450"/>
      <c r="G13" s="23">
        <v>0.42</v>
      </c>
      <c r="H13" s="23">
        <v>0.42</v>
      </c>
      <c r="I13" s="23">
        <v>0.42</v>
      </c>
      <c r="J13" s="23">
        <v>0.42</v>
      </c>
      <c r="K13" s="23">
        <v>0.42</v>
      </c>
      <c r="L13" s="23">
        <v>0.42</v>
      </c>
      <c r="M13" s="23">
        <v>0.42</v>
      </c>
      <c r="N13" s="23">
        <v>0.42</v>
      </c>
      <c r="O13" s="23">
        <v>0.42</v>
      </c>
      <c r="P13" s="23">
        <v>0.42</v>
      </c>
      <c r="R13" s="19"/>
    </row>
    <row r="14" spans="2:18" ht="14.1" customHeight="1" x14ac:dyDescent="0.25">
      <c r="B14" s="468"/>
      <c r="C14" s="450" t="s">
        <v>164</v>
      </c>
      <c r="D14" s="450"/>
      <c r="E14" s="450"/>
      <c r="G14" s="23">
        <v>0.12</v>
      </c>
      <c r="H14" s="23">
        <v>0.12</v>
      </c>
      <c r="I14" s="23">
        <v>0.12</v>
      </c>
      <c r="J14" s="23">
        <v>0.12</v>
      </c>
      <c r="K14" s="23">
        <v>0.12</v>
      </c>
      <c r="L14" s="23">
        <v>0.12</v>
      </c>
      <c r="M14" s="23">
        <v>0.12</v>
      </c>
      <c r="N14" s="23">
        <v>0.12</v>
      </c>
      <c r="O14" s="23">
        <v>0.12</v>
      </c>
      <c r="P14" s="23">
        <v>0.12</v>
      </c>
      <c r="R14" s="20"/>
    </row>
    <row r="15" spans="2:18" ht="14.1" customHeight="1" x14ac:dyDescent="0.25">
      <c r="B15" s="468"/>
      <c r="C15" s="450" t="s">
        <v>158</v>
      </c>
      <c r="D15" s="450" t="s">
        <v>573</v>
      </c>
      <c r="E15" s="450"/>
      <c r="G15" s="255">
        <v>2</v>
      </c>
      <c r="H15" s="255">
        <v>12</v>
      </c>
      <c r="I15" s="255">
        <v>12</v>
      </c>
      <c r="J15" s="255">
        <v>4</v>
      </c>
      <c r="K15" s="255">
        <v>0</v>
      </c>
      <c r="L15" s="255">
        <v>0</v>
      </c>
      <c r="M15" s="255">
        <v>2</v>
      </c>
      <c r="N15" s="255">
        <v>2</v>
      </c>
      <c r="O15" s="255">
        <v>2</v>
      </c>
      <c r="P15" s="255">
        <v>0</v>
      </c>
      <c r="R15" s="27">
        <f>SUM(F15:Q15)</f>
        <v>36</v>
      </c>
    </row>
    <row r="16" spans="2:18" ht="14.1" customHeight="1" x14ac:dyDescent="0.25">
      <c r="B16" s="468"/>
      <c r="C16" s="450"/>
      <c r="D16" s="450" t="s">
        <v>574</v>
      </c>
      <c r="E16" s="450"/>
      <c r="G16" s="254">
        <v>3.43</v>
      </c>
      <c r="H16" s="254">
        <v>3.43</v>
      </c>
      <c r="I16" s="254">
        <v>3.43</v>
      </c>
      <c r="J16" s="254">
        <v>3.43</v>
      </c>
      <c r="K16" s="254">
        <v>3.43</v>
      </c>
      <c r="L16" s="254">
        <v>3.43</v>
      </c>
      <c r="M16" s="254">
        <v>3.43</v>
      </c>
      <c r="N16" s="254">
        <v>3.43</v>
      </c>
      <c r="O16" s="254">
        <v>3.43</v>
      </c>
      <c r="P16" s="254">
        <v>3.43</v>
      </c>
      <c r="R16" s="36"/>
    </row>
    <row r="17" spans="2:20" ht="14.1" customHeight="1" x14ac:dyDescent="0.25">
      <c r="B17" s="468"/>
      <c r="C17" s="450"/>
      <c r="D17" s="450" t="s">
        <v>161</v>
      </c>
      <c r="E17" s="450"/>
      <c r="G17" s="254">
        <v>0</v>
      </c>
      <c r="H17" s="254">
        <v>7.0000000000000007E-2</v>
      </c>
      <c r="I17" s="254">
        <v>0.06</v>
      </c>
      <c r="J17" s="254">
        <v>0.01</v>
      </c>
      <c r="K17" s="254">
        <v>2.7</v>
      </c>
      <c r="L17" s="254">
        <v>0</v>
      </c>
      <c r="M17" s="254">
        <v>0</v>
      </c>
      <c r="N17" s="254">
        <v>0</v>
      </c>
      <c r="O17" s="254">
        <v>0.04</v>
      </c>
      <c r="P17" s="254">
        <v>-29.85</v>
      </c>
      <c r="R17" s="15">
        <f>SUM(F17:Q17)</f>
        <v>-26.970000000000002</v>
      </c>
    </row>
    <row r="18" spans="2:20" ht="14.1" customHeight="1" x14ac:dyDescent="0.25">
      <c r="B18" s="468"/>
      <c r="C18" s="450"/>
      <c r="D18" s="450" t="s">
        <v>162</v>
      </c>
      <c r="E18" s="450"/>
      <c r="G18" s="254">
        <f>TRUNC(((G15*G16)+G17),2)</f>
        <v>6.86</v>
      </c>
      <c r="H18" s="254">
        <f t="shared" ref="H18:P18" si="0">ROUND(((H15*H16)+H17),2)</f>
        <v>41.23</v>
      </c>
      <c r="I18" s="254">
        <f t="shared" si="0"/>
        <v>41.22</v>
      </c>
      <c r="J18" s="254">
        <f t="shared" si="0"/>
        <v>13.73</v>
      </c>
      <c r="K18" s="254">
        <f t="shared" si="0"/>
        <v>2.7</v>
      </c>
      <c r="L18" s="254">
        <f t="shared" si="0"/>
        <v>0</v>
      </c>
      <c r="M18" s="254">
        <f t="shared" si="0"/>
        <v>6.86</v>
      </c>
      <c r="N18" s="254">
        <f t="shared" si="0"/>
        <v>6.86</v>
      </c>
      <c r="O18" s="254">
        <f t="shared" si="0"/>
        <v>6.9</v>
      </c>
      <c r="P18" s="254">
        <f t="shared" si="0"/>
        <v>-29.85</v>
      </c>
      <c r="R18" s="15">
        <f>SUM(F18:Q18)</f>
        <v>96.510000000000019</v>
      </c>
    </row>
    <row r="19" spans="2:20" ht="5.0999999999999996" customHeight="1" x14ac:dyDescent="0.25">
      <c r="B19" s="468"/>
      <c r="C19" s="208"/>
      <c r="D19" s="204"/>
      <c r="E19" s="204"/>
    </row>
    <row r="20" spans="2:20" ht="14.1" customHeight="1" x14ac:dyDescent="0.25">
      <c r="B20" s="468"/>
      <c r="C20" s="450" t="s">
        <v>753</v>
      </c>
      <c r="D20" s="450" t="s">
        <v>148</v>
      </c>
      <c r="E20" s="450"/>
      <c r="G20" s="301">
        <v>355.55500000000001</v>
      </c>
      <c r="H20" s="301">
        <v>797.74300000000005</v>
      </c>
      <c r="I20" s="301">
        <v>821.80700000000002</v>
      </c>
      <c r="J20" s="301">
        <v>299.11</v>
      </c>
      <c r="K20" s="301">
        <v>305.73500000000001</v>
      </c>
      <c r="L20" s="301">
        <v>424.32900000000001</v>
      </c>
      <c r="M20" s="301">
        <v>42.576999999999998</v>
      </c>
      <c r="N20" s="301">
        <v>601.95600000000002</v>
      </c>
      <c r="O20" s="301">
        <v>50.106000000000002</v>
      </c>
      <c r="P20" s="301">
        <v>1128.973</v>
      </c>
      <c r="R20" s="300">
        <f t="shared" ref="R20:R21" si="1">SUM(F20:Q20)</f>
        <v>4827.8910000000014</v>
      </c>
    </row>
    <row r="21" spans="2:20" ht="14.1" customHeight="1" x14ac:dyDescent="0.25">
      <c r="B21" s="468"/>
      <c r="C21" s="450"/>
      <c r="D21" s="450" t="s">
        <v>149</v>
      </c>
      <c r="E21" s="450"/>
      <c r="G21" s="301">
        <v>27.823</v>
      </c>
      <c r="H21" s="301">
        <v>12.292</v>
      </c>
      <c r="I21" s="301">
        <v>50.767000000000003</v>
      </c>
      <c r="J21" s="301">
        <v>0</v>
      </c>
      <c r="K21" s="301">
        <v>9.8960000000000008</v>
      </c>
      <c r="L21" s="301">
        <v>0</v>
      </c>
      <c r="M21" s="301">
        <v>0</v>
      </c>
      <c r="N21" s="301">
        <v>0</v>
      </c>
      <c r="O21" s="301">
        <v>0</v>
      </c>
      <c r="P21" s="301">
        <v>1105.902</v>
      </c>
      <c r="R21" s="300">
        <f t="shared" si="1"/>
        <v>1206.68</v>
      </c>
    </row>
    <row r="22" spans="2:20" ht="14.1" customHeight="1" x14ac:dyDescent="0.25">
      <c r="B22" s="468"/>
      <c r="C22" s="450"/>
      <c r="D22" s="450" t="s">
        <v>754</v>
      </c>
      <c r="E22" s="450"/>
      <c r="G22" s="301">
        <f>TRUNC((G20-(G21*1.3)),2)</f>
        <v>319.38</v>
      </c>
      <c r="H22" s="301">
        <f t="shared" ref="H22:P22" si="2">TRUNC((H20-(H21*1.3)),2)</f>
        <v>781.76</v>
      </c>
      <c r="I22" s="301">
        <f t="shared" si="2"/>
        <v>755.8</v>
      </c>
      <c r="J22" s="301">
        <f t="shared" si="2"/>
        <v>299.11</v>
      </c>
      <c r="K22" s="301">
        <f t="shared" si="2"/>
        <v>292.87</v>
      </c>
      <c r="L22" s="301">
        <f t="shared" si="2"/>
        <v>424.32</v>
      </c>
      <c r="M22" s="301">
        <f t="shared" si="2"/>
        <v>42.57</v>
      </c>
      <c r="N22" s="301">
        <f t="shared" si="2"/>
        <v>601.95000000000005</v>
      </c>
      <c r="O22" s="301">
        <f t="shared" si="2"/>
        <v>50.1</v>
      </c>
      <c r="P22" s="301">
        <f t="shared" si="2"/>
        <v>-308.69</v>
      </c>
      <c r="R22" s="300">
        <f>SUM(F22:Q22)</f>
        <v>3259.17</v>
      </c>
    </row>
    <row r="23" spans="2:20" ht="5.0999999999999996" customHeight="1" x14ac:dyDescent="0.25">
      <c r="B23" s="468"/>
      <c r="C23" s="208"/>
      <c r="D23" s="204"/>
      <c r="E23" s="204"/>
    </row>
    <row r="24" spans="2:20" ht="14.1" customHeight="1" x14ac:dyDescent="0.25">
      <c r="B24" s="468"/>
      <c r="C24" s="450" t="s">
        <v>35</v>
      </c>
      <c r="D24" s="450" t="s">
        <v>150</v>
      </c>
      <c r="E24" s="450"/>
      <c r="G24" s="23">
        <f>G22</f>
        <v>319.38</v>
      </c>
      <c r="H24" s="301">
        <f t="shared" ref="H24:P24" si="3">H22</f>
        <v>781.76</v>
      </c>
      <c r="I24" s="301">
        <f t="shared" si="3"/>
        <v>755.8</v>
      </c>
      <c r="J24" s="301">
        <f t="shared" si="3"/>
        <v>299.11</v>
      </c>
      <c r="K24" s="301">
        <f t="shared" si="3"/>
        <v>292.87</v>
      </c>
      <c r="L24" s="301">
        <f t="shared" si="3"/>
        <v>424.32</v>
      </c>
      <c r="M24" s="301">
        <f t="shared" si="3"/>
        <v>42.57</v>
      </c>
      <c r="N24" s="301">
        <f t="shared" si="3"/>
        <v>601.95000000000005</v>
      </c>
      <c r="O24" s="301">
        <f t="shared" si="3"/>
        <v>50.1</v>
      </c>
      <c r="P24" s="301">
        <f t="shared" si="3"/>
        <v>-308.69</v>
      </c>
      <c r="R24" s="15">
        <f>SUM(F24:Q24)</f>
        <v>3259.17</v>
      </c>
      <c r="T24" s="115"/>
    </row>
    <row r="25" spans="2:20" ht="14.1" customHeight="1" x14ac:dyDescent="0.25">
      <c r="B25" s="468"/>
      <c r="C25" s="450"/>
      <c r="D25" s="450" t="s">
        <v>151</v>
      </c>
      <c r="E25" s="450"/>
      <c r="G25" s="23">
        <f t="shared" ref="G25:P25" si="4">TRUNC((G24*1.3),2)</f>
        <v>415.19</v>
      </c>
      <c r="H25" s="230">
        <f t="shared" si="4"/>
        <v>1016.28</v>
      </c>
      <c r="I25" s="230">
        <f t="shared" si="4"/>
        <v>982.54</v>
      </c>
      <c r="J25" s="230">
        <f t="shared" si="4"/>
        <v>388.84</v>
      </c>
      <c r="K25" s="230">
        <f t="shared" si="4"/>
        <v>380.73</v>
      </c>
      <c r="L25" s="230">
        <f t="shared" si="4"/>
        <v>551.61</v>
      </c>
      <c r="M25" s="230">
        <f t="shared" si="4"/>
        <v>55.34</v>
      </c>
      <c r="N25" s="230">
        <f t="shared" si="4"/>
        <v>782.53</v>
      </c>
      <c r="O25" s="230">
        <f t="shared" si="4"/>
        <v>65.13</v>
      </c>
      <c r="P25" s="230">
        <f t="shared" si="4"/>
        <v>-401.29</v>
      </c>
      <c r="R25" s="15">
        <f>SUM(F25:Q25)</f>
        <v>4236.9000000000005</v>
      </c>
      <c r="T25" s="115"/>
    </row>
    <row r="26" spans="2:20" ht="14.1" customHeight="1" x14ac:dyDescent="0.25">
      <c r="B26" s="468"/>
      <c r="C26" s="450"/>
      <c r="D26" s="299" t="s">
        <v>115</v>
      </c>
      <c r="E26" s="14">
        <f>'Resumo DMT''s'!$E$13</f>
        <v>4.3</v>
      </c>
      <c r="G26" s="23">
        <f>TRUNC((G25*$E$26),2)</f>
        <v>1785.31</v>
      </c>
      <c r="H26" s="230">
        <f t="shared" ref="H26:P26" si="5">TRUNC((H25*$E$26),2)</f>
        <v>4370</v>
      </c>
      <c r="I26" s="230">
        <f t="shared" si="5"/>
        <v>4224.92</v>
      </c>
      <c r="J26" s="230">
        <f t="shared" si="5"/>
        <v>1672.01</v>
      </c>
      <c r="K26" s="230">
        <f t="shared" si="5"/>
        <v>1637.13</v>
      </c>
      <c r="L26" s="230">
        <f t="shared" si="5"/>
        <v>2371.92</v>
      </c>
      <c r="M26" s="230">
        <f t="shared" si="5"/>
        <v>237.96</v>
      </c>
      <c r="N26" s="230">
        <f t="shared" si="5"/>
        <v>3364.87</v>
      </c>
      <c r="O26" s="230">
        <f t="shared" si="5"/>
        <v>280.05</v>
      </c>
      <c r="P26" s="230">
        <f t="shared" si="5"/>
        <v>-1725.54</v>
      </c>
      <c r="R26" s="15">
        <f>SUM(F26:Q26)</f>
        <v>18218.629999999997</v>
      </c>
      <c r="T26" s="115"/>
    </row>
    <row r="27" spans="2:20" ht="14.1" customHeight="1" x14ac:dyDescent="0.25">
      <c r="B27" s="468"/>
      <c r="C27" s="450"/>
      <c r="D27" s="450" t="s">
        <v>152</v>
      </c>
      <c r="E27" s="450"/>
      <c r="G27" s="23">
        <f t="shared" ref="G27" si="6">G25</f>
        <v>415.19</v>
      </c>
      <c r="H27" s="230">
        <f t="shared" ref="H27:P27" si="7">H25</f>
        <v>1016.28</v>
      </c>
      <c r="I27" s="230">
        <f t="shared" si="7"/>
        <v>982.54</v>
      </c>
      <c r="J27" s="230">
        <f t="shared" si="7"/>
        <v>388.84</v>
      </c>
      <c r="K27" s="230">
        <f t="shared" si="7"/>
        <v>380.73</v>
      </c>
      <c r="L27" s="230">
        <f t="shared" si="7"/>
        <v>551.61</v>
      </c>
      <c r="M27" s="230">
        <f t="shared" si="7"/>
        <v>55.34</v>
      </c>
      <c r="N27" s="230">
        <f t="shared" si="7"/>
        <v>782.53</v>
      </c>
      <c r="O27" s="230">
        <f t="shared" si="7"/>
        <v>65.13</v>
      </c>
      <c r="P27" s="230">
        <f t="shared" si="7"/>
        <v>-401.29</v>
      </c>
      <c r="R27" s="15">
        <f>SUM(F27:Q27)</f>
        <v>4236.9000000000005</v>
      </c>
      <c r="T27" s="115"/>
    </row>
    <row r="28" spans="2:20" ht="5.0999999999999996" customHeight="1" x14ac:dyDescent="0.25">
      <c r="B28" s="468"/>
      <c r="C28" s="208"/>
      <c r="D28" s="204"/>
      <c r="E28" s="204"/>
    </row>
    <row r="29" spans="2:20" ht="14.1" customHeight="1" x14ac:dyDescent="0.25">
      <c r="B29" s="468"/>
      <c r="C29" s="450" t="s">
        <v>755</v>
      </c>
      <c r="D29" s="450" t="s">
        <v>756</v>
      </c>
      <c r="E29" s="450"/>
      <c r="G29" s="301">
        <f>TRUNC((G21*1.3),2)</f>
        <v>36.159999999999997</v>
      </c>
      <c r="H29" s="301">
        <f t="shared" ref="H29:P29" si="8">TRUNC((H21*1.3),2)</f>
        <v>15.97</v>
      </c>
      <c r="I29" s="301">
        <f t="shared" si="8"/>
        <v>65.989999999999995</v>
      </c>
      <c r="J29" s="301">
        <f t="shared" si="8"/>
        <v>0</v>
      </c>
      <c r="K29" s="301">
        <f t="shared" si="8"/>
        <v>12.86</v>
      </c>
      <c r="L29" s="301">
        <f t="shared" si="8"/>
        <v>0</v>
      </c>
      <c r="M29" s="301">
        <f t="shared" si="8"/>
        <v>0</v>
      </c>
      <c r="N29" s="301">
        <f t="shared" si="8"/>
        <v>0</v>
      </c>
      <c r="O29" s="301">
        <f t="shared" si="8"/>
        <v>0</v>
      </c>
      <c r="P29" s="301">
        <f t="shared" si="8"/>
        <v>1437.67</v>
      </c>
      <c r="R29" s="300">
        <f>SUM(F29:Q29)</f>
        <v>1568.65</v>
      </c>
      <c r="T29" s="115"/>
    </row>
    <row r="30" spans="2:20" ht="14.1" customHeight="1" x14ac:dyDescent="0.25">
      <c r="B30" s="468"/>
      <c r="C30" s="450"/>
      <c r="D30" s="450" t="s">
        <v>757</v>
      </c>
      <c r="E30" s="450"/>
      <c r="G30" s="301">
        <f>G29</f>
        <v>36.159999999999997</v>
      </c>
      <c r="H30" s="301">
        <f t="shared" ref="H30:P30" si="9">H29</f>
        <v>15.97</v>
      </c>
      <c r="I30" s="301">
        <f t="shared" si="9"/>
        <v>65.989999999999995</v>
      </c>
      <c r="J30" s="301">
        <f t="shared" si="9"/>
        <v>0</v>
      </c>
      <c r="K30" s="301">
        <f t="shared" si="9"/>
        <v>12.86</v>
      </c>
      <c r="L30" s="301">
        <f t="shared" si="9"/>
        <v>0</v>
      </c>
      <c r="M30" s="301">
        <f t="shared" si="9"/>
        <v>0</v>
      </c>
      <c r="N30" s="301">
        <f t="shared" si="9"/>
        <v>0</v>
      </c>
      <c r="O30" s="301">
        <f t="shared" si="9"/>
        <v>0</v>
      </c>
      <c r="P30" s="301">
        <f t="shared" si="9"/>
        <v>1437.67</v>
      </c>
      <c r="R30" s="300">
        <f t="shared" ref="R30:R33" si="10">SUM(F30:Q30)</f>
        <v>1568.65</v>
      </c>
      <c r="T30" s="115"/>
    </row>
    <row r="31" spans="2:20" ht="14.1" customHeight="1" x14ac:dyDescent="0.25">
      <c r="B31" s="468"/>
      <c r="C31" s="450"/>
      <c r="D31" s="299" t="s">
        <v>758</v>
      </c>
      <c r="E31" s="14">
        <f>'Resumo DMT''s'!$E$14</f>
        <v>1</v>
      </c>
      <c r="G31" s="301">
        <f>TRUNC((G30*$E$31),2)</f>
        <v>36.159999999999997</v>
      </c>
      <c r="H31" s="301">
        <f t="shared" ref="H31:P31" si="11">TRUNC((H30*$E$31),2)</f>
        <v>15.97</v>
      </c>
      <c r="I31" s="301">
        <f t="shared" si="11"/>
        <v>65.989999999999995</v>
      </c>
      <c r="J31" s="301">
        <f t="shared" si="11"/>
        <v>0</v>
      </c>
      <c r="K31" s="301">
        <f t="shared" si="11"/>
        <v>12.86</v>
      </c>
      <c r="L31" s="301">
        <f t="shared" si="11"/>
        <v>0</v>
      </c>
      <c r="M31" s="301">
        <f t="shared" si="11"/>
        <v>0</v>
      </c>
      <c r="N31" s="301">
        <f t="shared" si="11"/>
        <v>0</v>
      </c>
      <c r="O31" s="301">
        <f t="shared" si="11"/>
        <v>0</v>
      </c>
      <c r="P31" s="301">
        <f t="shared" si="11"/>
        <v>1437.67</v>
      </c>
      <c r="R31" s="300">
        <f t="shared" si="10"/>
        <v>1568.65</v>
      </c>
      <c r="T31" s="115"/>
    </row>
    <row r="32" spans="2:20" ht="14.1" customHeight="1" x14ac:dyDescent="0.25">
      <c r="B32" s="468"/>
      <c r="C32" s="450"/>
      <c r="D32" s="450" t="s">
        <v>760</v>
      </c>
      <c r="E32" s="450"/>
      <c r="G32" s="301">
        <f>G30</f>
        <v>36.159999999999997</v>
      </c>
      <c r="H32" s="301">
        <f t="shared" ref="H32:P32" si="12">H30</f>
        <v>15.97</v>
      </c>
      <c r="I32" s="301">
        <f t="shared" si="12"/>
        <v>65.989999999999995</v>
      </c>
      <c r="J32" s="301">
        <f t="shared" si="12"/>
        <v>0</v>
      </c>
      <c r="K32" s="301">
        <f t="shared" si="12"/>
        <v>12.86</v>
      </c>
      <c r="L32" s="301">
        <f t="shared" si="12"/>
        <v>0</v>
      </c>
      <c r="M32" s="301">
        <f t="shared" si="12"/>
        <v>0</v>
      </c>
      <c r="N32" s="301">
        <f t="shared" si="12"/>
        <v>0</v>
      </c>
      <c r="O32" s="301">
        <f t="shared" si="12"/>
        <v>0</v>
      </c>
      <c r="P32" s="301">
        <f t="shared" si="12"/>
        <v>1437.67</v>
      </c>
      <c r="R32" s="300">
        <f t="shared" si="10"/>
        <v>1568.65</v>
      </c>
      <c r="T32" s="115"/>
    </row>
    <row r="33" spans="2:20" ht="14.1" customHeight="1" x14ac:dyDescent="0.25">
      <c r="B33" s="469"/>
      <c r="C33" s="450"/>
      <c r="D33" s="450" t="s">
        <v>153</v>
      </c>
      <c r="E33" s="450"/>
      <c r="G33" s="23">
        <f>G21</f>
        <v>27.823</v>
      </c>
      <c r="H33" s="301">
        <f t="shared" ref="H33:P33" si="13">H21</f>
        <v>12.292</v>
      </c>
      <c r="I33" s="301">
        <f t="shared" si="13"/>
        <v>50.767000000000003</v>
      </c>
      <c r="J33" s="301">
        <f t="shared" si="13"/>
        <v>0</v>
      </c>
      <c r="K33" s="301">
        <f t="shared" si="13"/>
        <v>9.8960000000000008</v>
      </c>
      <c r="L33" s="301">
        <f t="shared" si="13"/>
        <v>0</v>
      </c>
      <c r="M33" s="301">
        <f t="shared" si="13"/>
        <v>0</v>
      </c>
      <c r="N33" s="301">
        <f t="shared" si="13"/>
        <v>0</v>
      </c>
      <c r="O33" s="301">
        <f t="shared" si="13"/>
        <v>0</v>
      </c>
      <c r="P33" s="301">
        <f t="shared" si="13"/>
        <v>1105.902</v>
      </c>
      <c r="R33" s="300">
        <f t="shared" si="10"/>
        <v>1206.68</v>
      </c>
      <c r="T33" s="115"/>
    </row>
    <row r="35" spans="2:20" x14ac:dyDescent="0.25">
      <c r="G35" s="312">
        <v>1472.94</v>
      </c>
      <c r="H35" s="312">
        <v>2489.89</v>
      </c>
      <c r="I35" s="312">
        <v>2648.06</v>
      </c>
      <c r="J35" s="312">
        <v>819.95</v>
      </c>
      <c r="K35" s="312">
        <v>1023.06</v>
      </c>
      <c r="L35" s="312">
        <v>1493.1</v>
      </c>
      <c r="M35" s="312">
        <v>110.6</v>
      </c>
      <c r="N35" s="312">
        <v>1660.17</v>
      </c>
      <c r="O35" s="312">
        <v>111.09</v>
      </c>
      <c r="P35" s="312">
        <v>5020.13</v>
      </c>
      <c r="Q35" s="312"/>
      <c r="R35" s="312">
        <f>SUM(G35:P35)</f>
        <v>16848.990000000002</v>
      </c>
    </row>
    <row r="36" spans="2:20" x14ac:dyDescent="0.25">
      <c r="G36" s="312">
        <f>'Pav-Pavimento'!H32</f>
        <v>1472.94</v>
      </c>
      <c r="H36" s="312">
        <f>'Pav-Pavimento'!I32</f>
        <v>2489.89</v>
      </c>
      <c r="I36" s="312">
        <f>'Pav-Pavimento'!J32</f>
        <v>2648.06</v>
      </c>
      <c r="J36" s="312">
        <f>'Pav-Pavimento'!K32</f>
        <v>819.95</v>
      </c>
      <c r="K36" s="312">
        <f>'Pav-Pavimento'!L32</f>
        <v>1023.06</v>
      </c>
      <c r="L36" s="312">
        <f>'Pav-Pavimento'!M32</f>
        <v>1493.1</v>
      </c>
      <c r="M36" s="312">
        <f>'Pav-Pavimento'!N32</f>
        <v>110.6</v>
      </c>
      <c r="N36" s="312">
        <f>'Pav-Pavimento'!O32</f>
        <v>1660.17</v>
      </c>
      <c r="O36" s="312">
        <f>'Pav-Pavimento'!P32</f>
        <v>111.09</v>
      </c>
      <c r="P36" s="312">
        <f>'Pav-Pavimento'!Q32</f>
        <v>5020.13</v>
      </c>
      <c r="Q36" s="312"/>
      <c r="R36" s="312"/>
    </row>
    <row r="37" spans="2:20" x14ac:dyDescent="0.25">
      <c r="G37" s="312">
        <f>G35-G36</f>
        <v>0</v>
      </c>
      <c r="H37" s="312">
        <f t="shared" ref="H37:P37" si="14">H35-H36</f>
        <v>0</v>
      </c>
      <c r="I37" s="312">
        <f t="shared" si="14"/>
        <v>0</v>
      </c>
      <c r="J37" s="312">
        <f t="shared" si="14"/>
        <v>0</v>
      </c>
      <c r="K37" s="312">
        <f t="shared" si="14"/>
        <v>0</v>
      </c>
      <c r="L37" s="312">
        <f t="shared" si="14"/>
        <v>0</v>
      </c>
      <c r="M37" s="312">
        <f t="shared" si="14"/>
        <v>0</v>
      </c>
      <c r="N37" s="312">
        <f t="shared" si="14"/>
        <v>0</v>
      </c>
      <c r="O37" s="312">
        <f t="shared" si="14"/>
        <v>0</v>
      </c>
      <c r="P37" s="312">
        <f t="shared" si="14"/>
        <v>0</v>
      </c>
      <c r="Q37" s="312"/>
      <c r="R37" s="312"/>
    </row>
  </sheetData>
  <mergeCells count="25">
    <mergeCell ref="C24:C27"/>
    <mergeCell ref="C29:C33"/>
    <mergeCell ref="D30:E30"/>
    <mergeCell ref="D32:E32"/>
    <mergeCell ref="C10:E10"/>
    <mergeCell ref="C12:E12"/>
    <mergeCell ref="D20:E20"/>
    <mergeCell ref="D21:E21"/>
    <mergeCell ref="D22:E22"/>
    <mergeCell ref="B8:E8"/>
    <mergeCell ref="B10:B33"/>
    <mergeCell ref="D33:E33"/>
    <mergeCell ref="C11:E11"/>
    <mergeCell ref="C13:E13"/>
    <mergeCell ref="C15:C18"/>
    <mergeCell ref="D15:E15"/>
    <mergeCell ref="D16:E16"/>
    <mergeCell ref="D17:E17"/>
    <mergeCell ref="D18:E18"/>
    <mergeCell ref="C14:E14"/>
    <mergeCell ref="C20:C22"/>
    <mergeCell ref="D24:E24"/>
    <mergeCell ref="D25:E25"/>
    <mergeCell ref="D27:E27"/>
    <mergeCell ref="D29:E29"/>
  </mergeCells>
  <phoneticPr fontId="34"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9">
    <tabColor rgb="FF00B050"/>
  </sheetPr>
  <dimension ref="B1:S43"/>
  <sheetViews>
    <sheetView showGridLines="0" view="pageBreakPreview" zoomScaleSheetLayoutView="100" workbookViewId="0">
      <pane ySplit="8" topLeftCell="A9"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5.7109375" style="4" customWidth="1"/>
    <col min="4" max="4" width="14.7109375" style="4" customWidth="1"/>
    <col min="5" max="5" width="22.7109375" style="4" customWidth="1"/>
    <col min="6" max="6" width="7.7109375" style="4" customWidth="1"/>
    <col min="7" max="7" width="1.7109375" style="4" customWidth="1"/>
    <col min="8" max="8" width="12.7109375" style="4" customWidth="1"/>
    <col min="9" max="17" width="10.7109375" style="4" customWidth="1"/>
    <col min="18" max="18" width="1.7109375" style="4" customWidth="1"/>
    <col min="19" max="19" width="10.7109375" style="4" customWidth="1"/>
    <col min="20" max="16384" width="9.140625" style="4"/>
  </cols>
  <sheetData>
    <row r="1" spans="2:19" ht="5.0999999999999996" customHeight="1" x14ac:dyDescent="0.25"/>
    <row r="2" spans="2:19" ht="14.1" customHeight="1" x14ac:dyDescent="0.25">
      <c r="B2" s="100" t="str">
        <f>DADOS!$B$3</f>
        <v>CLIENTE:</v>
      </c>
      <c r="C2" s="81" t="str">
        <f>DADOS!$C$3</f>
        <v>PREFEITURA MUNICIPAL DE JARDIM / MS</v>
      </c>
      <c r="D2" s="53"/>
      <c r="E2" s="34"/>
      <c r="F2" s="34"/>
      <c r="G2" s="34"/>
      <c r="H2" s="34"/>
      <c r="I2" s="34"/>
      <c r="J2" s="34"/>
      <c r="K2" s="34"/>
      <c r="L2" s="34"/>
      <c r="M2" s="34"/>
      <c r="N2" s="34"/>
      <c r="O2" s="44"/>
      <c r="P2" s="34"/>
      <c r="Q2" s="34"/>
      <c r="R2" s="34"/>
      <c r="S2" s="44"/>
    </row>
    <row r="3" spans="2:19" ht="14.1" customHeight="1" x14ac:dyDescent="0.25">
      <c r="B3" s="101" t="str">
        <f>DADOS!$B$4</f>
        <v>ENDEREÇO:</v>
      </c>
      <c r="C3" s="82" t="str">
        <f>DADOS!$C$4</f>
        <v>RUA CEL. JUVÊNCIO, Nº 547 - CENTRO</v>
      </c>
      <c r="D3" s="3"/>
      <c r="O3" s="45"/>
      <c r="S3" s="45"/>
    </row>
    <row r="4" spans="2:19" ht="14.1" customHeight="1" x14ac:dyDescent="0.2">
      <c r="B4" s="83"/>
      <c r="C4" s="82"/>
      <c r="D4" s="3"/>
      <c r="O4" s="45"/>
      <c r="S4" s="45"/>
    </row>
    <row r="5" spans="2:19" ht="14.1" customHeight="1" x14ac:dyDescent="0.25">
      <c r="B5" s="101" t="str">
        <f>DADOS!$B$7</f>
        <v>OBRA:</v>
      </c>
      <c r="C5" s="82" t="str">
        <f>DADOS!$C$7</f>
        <v>PAVIMENTAÇÃO ASFÁLTICA E DRENAGEM DE ÁGUAS PLUVIAIS</v>
      </c>
      <c r="D5" s="3"/>
      <c r="O5" s="45"/>
      <c r="S5" s="45"/>
    </row>
    <row r="6" spans="2:19" ht="14.1" customHeight="1" x14ac:dyDescent="0.25">
      <c r="B6" s="84" t="str">
        <f>DADOS!$B$8</f>
        <v>LOCAL:</v>
      </c>
      <c r="C6" s="85" t="str">
        <f>DADOS!$C$8</f>
        <v>JARDIM PREVISUL, JARDIM / MS</v>
      </c>
      <c r="D6" s="6"/>
      <c r="E6" s="46"/>
      <c r="F6" s="46"/>
      <c r="G6" s="46"/>
      <c r="H6" s="46"/>
      <c r="I6" s="46"/>
      <c r="J6" s="46"/>
      <c r="K6" s="46"/>
      <c r="L6" s="46"/>
      <c r="M6" s="46"/>
      <c r="N6" s="46"/>
      <c r="O6" s="47"/>
      <c r="P6" s="46"/>
      <c r="Q6" s="46"/>
      <c r="R6" s="46"/>
      <c r="S6" s="47"/>
    </row>
    <row r="7" spans="2:19" ht="5.0999999999999996" customHeight="1" x14ac:dyDescent="0.25"/>
    <row r="8" spans="2:19" ht="39.950000000000003" customHeight="1" x14ac:dyDescent="0.25">
      <c r="B8" s="470" t="s">
        <v>147</v>
      </c>
      <c r="C8" s="471"/>
      <c r="D8" s="471"/>
      <c r="E8" s="471"/>
      <c r="F8" s="459"/>
      <c r="H8" s="13" t="str">
        <f>'Pav-Terrapl'!G8</f>
        <v>RUA FERNANDO AUGUSTO DE FREITAS</v>
      </c>
      <c r="I8" s="13" t="str">
        <f>'Pav-Terrapl'!H8</f>
        <v>RUA JASMIM</v>
      </c>
      <c r="J8" s="13" t="str">
        <f>'Pav-Terrapl'!I8</f>
        <v>RUA MAGNÓLIA</v>
      </c>
      <c r="K8" s="13" t="str">
        <f>'Pav-Terrapl'!J8</f>
        <v>RUA DAS ROSAS</v>
      </c>
      <c r="L8" s="13" t="str">
        <f>'Pav-Terrapl'!K8</f>
        <v>RUA TEODORINA GONÇALVES</v>
      </c>
      <c r="M8" s="13" t="str">
        <f>'Pav-Terrapl'!L8</f>
        <v>RUA PRIMAVERA</v>
      </c>
      <c r="N8" s="13" t="str">
        <f>'Pav-Terrapl'!M8</f>
        <v>RUA HERMES DA FONSECA</v>
      </c>
      <c r="O8" s="13" t="str">
        <f>'Pav-Terrapl'!N8</f>
        <v>RUA GARDENIA</v>
      </c>
      <c r="P8" s="13" t="str">
        <f>'Pav-Terrapl'!O8</f>
        <v xml:space="preserve">RUA BRÁS </v>
      </c>
      <c r="Q8" s="13" t="str">
        <f>'Pav-Terrapl'!P8</f>
        <v>RUA DOS HERÓIS</v>
      </c>
      <c r="S8" s="13" t="s">
        <v>5</v>
      </c>
    </row>
    <row r="9" spans="2:19" ht="5.0999999999999996" customHeight="1" x14ac:dyDescent="0.25"/>
    <row r="10" spans="2:19" ht="14.1" customHeight="1" x14ac:dyDescent="0.25">
      <c r="B10" s="467" t="s">
        <v>165</v>
      </c>
      <c r="C10" s="459" t="s">
        <v>64</v>
      </c>
      <c r="D10" s="450"/>
      <c r="E10" s="450"/>
      <c r="F10" s="450"/>
      <c r="H10" s="23">
        <f>'Pav-Terrapl'!G10</f>
        <v>183.26</v>
      </c>
      <c r="I10" s="23">
        <f>'Pav-Terrapl'!H10</f>
        <v>408.11</v>
      </c>
      <c r="J10" s="23">
        <f>'Pav-Terrapl'!I10</f>
        <v>407.32</v>
      </c>
      <c r="K10" s="23">
        <f>'Pav-Terrapl'!J10</f>
        <v>134.37</v>
      </c>
      <c r="L10" s="23">
        <f>'Pav-Terrapl'!K10</f>
        <v>170.06</v>
      </c>
      <c r="M10" s="23">
        <f>'Pav-Terrapl'!L10</f>
        <v>248.85</v>
      </c>
      <c r="N10" s="23">
        <f>'Pav-Terrapl'!M10</f>
        <v>14.02</v>
      </c>
      <c r="O10" s="23">
        <f>'Pav-Terrapl'!N10</f>
        <v>258.33</v>
      </c>
      <c r="P10" s="23">
        <f>'Pav-Terrapl'!O10</f>
        <v>14.08</v>
      </c>
      <c r="Q10" s="23">
        <f>'Pav-Terrapl'!P10</f>
        <v>682.43</v>
      </c>
      <c r="S10" s="15">
        <f>SUM(G10:R10)</f>
        <v>2520.8299999999995</v>
      </c>
    </row>
    <row r="11" spans="2:19" ht="14.1" customHeight="1" x14ac:dyDescent="0.25">
      <c r="B11" s="468"/>
      <c r="C11" s="459" t="s">
        <v>156</v>
      </c>
      <c r="D11" s="450"/>
      <c r="E11" s="450"/>
      <c r="F11" s="450"/>
      <c r="H11" s="23" t="str">
        <f>'Pav-Terrapl'!G11</f>
        <v>DUPLA</v>
      </c>
      <c r="I11" s="23" t="str">
        <f>'Pav-Terrapl'!H11</f>
        <v>DUPLA</v>
      </c>
      <c r="J11" s="23" t="str">
        <f>'Pav-Terrapl'!I11</f>
        <v>DUPLA</v>
      </c>
      <c r="K11" s="23" t="str">
        <f>'Pav-Terrapl'!J11</f>
        <v>DUPLA</v>
      </c>
      <c r="L11" s="23" t="str">
        <f>'Pav-Terrapl'!K11</f>
        <v>DUPLA</v>
      </c>
      <c r="M11" s="23" t="str">
        <f>'Pav-Terrapl'!L11</f>
        <v>DUPLA</v>
      </c>
      <c r="N11" s="23" t="str">
        <f>'Pav-Terrapl'!M11</f>
        <v>DUPLA</v>
      </c>
      <c r="O11" s="23" t="str">
        <f>'Pav-Terrapl'!N11</f>
        <v>DUPLA</v>
      </c>
      <c r="P11" s="23" t="str">
        <f>'Pav-Terrapl'!O11</f>
        <v>DUPLA</v>
      </c>
      <c r="Q11" s="23" t="str">
        <f>'Pav-Terrapl'!P11</f>
        <v>DUPLA</v>
      </c>
      <c r="S11" s="18"/>
    </row>
    <row r="12" spans="2:19" ht="14.1" customHeight="1" x14ac:dyDescent="0.25">
      <c r="B12" s="468"/>
      <c r="C12" s="459" t="s">
        <v>155</v>
      </c>
      <c r="D12" s="450"/>
      <c r="E12" s="450"/>
      <c r="F12" s="450"/>
      <c r="H12" s="23">
        <f>'Pav-Terrapl'!G12</f>
        <v>8</v>
      </c>
      <c r="I12" s="23">
        <f>'Pav-Terrapl'!H12</f>
        <v>6</v>
      </c>
      <c r="J12" s="23">
        <f>'Pav-Terrapl'!I12</f>
        <v>6.4</v>
      </c>
      <c r="K12" s="23">
        <f>'Pav-Terrapl'!J12</f>
        <v>6</v>
      </c>
      <c r="L12" s="23">
        <f>'Pav-Terrapl'!K12</f>
        <v>6</v>
      </c>
      <c r="M12" s="23">
        <f>'Pav-Terrapl'!L12</f>
        <v>6</v>
      </c>
      <c r="N12" s="23">
        <f>'Pav-Terrapl'!M12</f>
        <v>7.4</v>
      </c>
      <c r="O12" s="23">
        <f>'Pav-Terrapl'!N12</f>
        <v>6.4</v>
      </c>
      <c r="P12" s="23">
        <f>'Pav-Terrapl'!O12</f>
        <v>7.4</v>
      </c>
      <c r="Q12" s="23">
        <f>'Pav-Terrapl'!P12</f>
        <v>7.4</v>
      </c>
      <c r="S12" s="19"/>
    </row>
    <row r="13" spans="2:19" ht="14.1" customHeight="1" x14ac:dyDescent="0.25">
      <c r="B13" s="468"/>
      <c r="C13" s="459" t="s">
        <v>163</v>
      </c>
      <c r="D13" s="450"/>
      <c r="E13" s="450"/>
      <c r="F13" s="450"/>
      <c r="H13" s="23">
        <f>'Pav-Terrapl'!G13</f>
        <v>0.42</v>
      </c>
      <c r="I13" s="23">
        <f>'Pav-Terrapl'!H13</f>
        <v>0.42</v>
      </c>
      <c r="J13" s="23">
        <f>'Pav-Terrapl'!I13</f>
        <v>0.42</v>
      </c>
      <c r="K13" s="23">
        <f>'Pav-Terrapl'!J13</f>
        <v>0.42</v>
      </c>
      <c r="L13" s="23">
        <f>'Pav-Terrapl'!K13</f>
        <v>0.42</v>
      </c>
      <c r="M13" s="23">
        <f>'Pav-Terrapl'!L13</f>
        <v>0.42</v>
      </c>
      <c r="N13" s="23">
        <f>'Pav-Terrapl'!M13</f>
        <v>0.42</v>
      </c>
      <c r="O13" s="23">
        <f>'Pav-Terrapl'!N13</f>
        <v>0.42</v>
      </c>
      <c r="P13" s="23">
        <f>'Pav-Terrapl'!O13</f>
        <v>0.42</v>
      </c>
      <c r="Q13" s="23">
        <f>'Pav-Terrapl'!P13</f>
        <v>0.42</v>
      </c>
      <c r="S13" s="19"/>
    </row>
    <row r="14" spans="2:19" ht="14.1" customHeight="1" x14ac:dyDescent="0.25">
      <c r="B14" s="468"/>
      <c r="C14" s="459" t="s">
        <v>164</v>
      </c>
      <c r="D14" s="450"/>
      <c r="E14" s="450"/>
      <c r="F14" s="450"/>
      <c r="H14" s="23">
        <f>'Pav-Terrapl'!G14</f>
        <v>0.12</v>
      </c>
      <c r="I14" s="23">
        <f>'Pav-Terrapl'!H14</f>
        <v>0.12</v>
      </c>
      <c r="J14" s="23">
        <f>'Pav-Terrapl'!I14</f>
        <v>0.12</v>
      </c>
      <c r="K14" s="23">
        <f>'Pav-Terrapl'!J14</f>
        <v>0.12</v>
      </c>
      <c r="L14" s="23">
        <f>'Pav-Terrapl'!K14</f>
        <v>0.12</v>
      </c>
      <c r="M14" s="23">
        <f>'Pav-Terrapl'!L14</f>
        <v>0.12</v>
      </c>
      <c r="N14" s="23">
        <f>'Pav-Terrapl'!M14</f>
        <v>0.12</v>
      </c>
      <c r="O14" s="23">
        <f>'Pav-Terrapl'!N14</f>
        <v>0.12</v>
      </c>
      <c r="P14" s="23">
        <f>'Pav-Terrapl'!O14</f>
        <v>0.12</v>
      </c>
      <c r="Q14" s="23">
        <f>'Pav-Terrapl'!P14</f>
        <v>0.12</v>
      </c>
      <c r="S14" s="20"/>
    </row>
    <row r="15" spans="2:19" ht="14.1" customHeight="1" x14ac:dyDescent="0.25">
      <c r="B15" s="468"/>
      <c r="C15" s="459" t="s">
        <v>158</v>
      </c>
      <c r="D15" s="450" t="s">
        <v>159</v>
      </c>
      <c r="E15" s="450"/>
      <c r="F15" s="450"/>
      <c r="H15" s="21">
        <f>'Pav-Terrapl'!G15</f>
        <v>2</v>
      </c>
      <c r="I15" s="21">
        <f>'Pav-Terrapl'!H15</f>
        <v>12</v>
      </c>
      <c r="J15" s="21">
        <f>'Pav-Terrapl'!I15</f>
        <v>12</v>
      </c>
      <c r="K15" s="21">
        <f>'Pav-Terrapl'!J15</f>
        <v>4</v>
      </c>
      <c r="L15" s="21">
        <f>'Pav-Terrapl'!K15</f>
        <v>0</v>
      </c>
      <c r="M15" s="21">
        <f>'Pav-Terrapl'!L15</f>
        <v>0</v>
      </c>
      <c r="N15" s="21">
        <f>'Pav-Terrapl'!M15</f>
        <v>2</v>
      </c>
      <c r="O15" s="21">
        <f>'Pav-Terrapl'!N15</f>
        <v>2</v>
      </c>
      <c r="P15" s="21">
        <f>'Pav-Terrapl'!O15</f>
        <v>2</v>
      </c>
      <c r="Q15" s="21">
        <f>'Pav-Terrapl'!P15</f>
        <v>0</v>
      </c>
      <c r="S15" s="27">
        <f>SUM(G15:R15)</f>
        <v>36</v>
      </c>
    </row>
    <row r="16" spans="2:19" ht="14.1" customHeight="1" x14ac:dyDescent="0.25">
      <c r="B16" s="468"/>
      <c r="C16" s="459"/>
      <c r="D16" s="450" t="s">
        <v>160</v>
      </c>
      <c r="E16" s="450"/>
      <c r="F16" s="450"/>
      <c r="H16" s="23">
        <f>'Pav-Terrapl'!G16</f>
        <v>3.43</v>
      </c>
      <c r="I16" s="23">
        <f>'Pav-Terrapl'!H16</f>
        <v>3.43</v>
      </c>
      <c r="J16" s="23">
        <f>'Pav-Terrapl'!I16</f>
        <v>3.43</v>
      </c>
      <c r="K16" s="23">
        <f>'Pav-Terrapl'!J16</f>
        <v>3.43</v>
      </c>
      <c r="L16" s="23">
        <f>'Pav-Terrapl'!K16</f>
        <v>3.43</v>
      </c>
      <c r="M16" s="23">
        <f>'Pav-Terrapl'!L16</f>
        <v>3.43</v>
      </c>
      <c r="N16" s="23">
        <f>'Pav-Terrapl'!M16</f>
        <v>3.43</v>
      </c>
      <c r="O16" s="23">
        <f>'Pav-Terrapl'!N16</f>
        <v>3.43</v>
      </c>
      <c r="P16" s="23">
        <f>'Pav-Terrapl'!O16</f>
        <v>3.43</v>
      </c>
      <c r="Q16" s="23">
        <f>'Pav-Terrapl'!P16</f>
        <v>3.43</v>
      </c>
      <c r="S16" s="36"/>
    </row>
    <row r="17" spans="2:19" ht="14.1" customHeight="1" x14ac:dyDescent="0.25">
      <c r="B17" s="468"/>
      <c r="C17" s="459"/>
      <c r="D17" s="450" t="s">
        <v>161</v>
      </c>
      <c r="E17" s="450"/>
      <c r="F17" s="450"/>
      <c r="H17" s="23">
        <f>'Pav-Terrapl'!G17</f>
        <v>0</v>
      </c>
      <c r="I17" s="23">
        <f>'Pav-Terrapl'!H17</f>
        <v>7.0000000000000007E-2</v>
      </c>
      <c r="J17" s="23">
        <f>'Pav-Terrapl'!I17</f>
        <v>0.06</v>
      </c>
      <c r="K17" s="23">
        <f>'Pav-Terrapl'!J17</f>
        <v>0.01</v>
      </c>
      <c r="L17" s="23">
        <f>'Pav-Terrapl'!K17</f>
        <v>2.7</v>
      </c>
      <c r="M17" s="23">
        <f>'Pav-Terrapl'!L17</f>
        <v>0</v>
      </c>
      <c r="N17" s="23">
        <f>'Pav-Terrapl'!M17</f>
        <v>0</v>
      </c>
      <c r="O17" s="23">
        <f>'Pav-Terrapl'!N17</f>
        <v>0</v>
      </c>
      <c r="P17" s="23">
        <f>'Pav-Terrapl'!O17</f>
        <v>0.04</v>
      </c>
      <c r="Q17" s="23">
        <f>'Pav-Terrapl'!P17</f>
        <v>-29.85</v>
      </c>
      <c r="S17" s="15">
        <f>SUM(G17:R17)</f>
        <v>-26.970000000000002</v>
      </c>
    </row>
    <row r="18" spans="2:19" ht="14.1" customHeight="1" x14ac:dyDescent="0.25">
      <c r="B18" s="468"/>
      <c r="C18" s="459"/>
      <c r="D18" s="450" t="s">
        <v>162</v>
      </c>
      <c r="E18" s="450"/>
      <c r="F18" s="450"/>
      <c r="H18" s="23">
        <f>'Pav-Terrapl'!G18</f>
        <v>6.86</v>
      </c>
      <c r="I18" s="23">
        <f>'Pav-Terrapl'!H18</f>
        <v>41.23</v>
      </c>
      <c r="J18" s="23">
        <f>'Pav-Terrapl'!I18</f>
        <v>41.22</v>
      </c>
      <c r="K18" s="23">
        <f>'Pav-Terrapl'!J18</f>
        <v>13.73</v>
      </c>
      <c r="L18" s="23">
        <f>'Pav-Terrapl'!K18</f>
        <v>2.7</v>
      </c>
      <c r="M18" s="23">
        <f>'Pav-Terrapl'!L18</f>
        <v>0</v>
      </c>
      <c r="N18" s="23">
        <f>'Pav-Terrapl'!M18</f>
        <v>6.86</v>
      </c>
      <c r="O18" s="23">
        <f>'Pav-Terrapl'!N18</f>
        <v>6.86</v>
      </c>
      <c r="P18" s="23">
        <f>'Pav-Terrapl'!O18</f>
        <v>6.9</v>
      </c>
      <c r="Q18" s="23">
        <f>'Pav-Terrapl'!P18</f>
        <v>-29.85</v>
      </c>
      <c r="S18" s="15">
        <f>SUM(G18:R18)</f>
        <v>96.510000000000019</v>
      </c>
    </row>
    <row r="19" spans="2:19" ht="5.0999999999999996" customHeight="1" x14ac:dyDescent="0.25">
      <c r="B19" s="468"/>
    </row>
    <row r="20" spans="2:19" ht="14.1" customHeight="1" x14ac:dyDescent="0.25">
      <c r="B20" s="468"/>
      <c r="C20" s="459" t="s">
        <v>32</v>
      </c>
      <c r="D20" s="450" t="s">
        <v>167</v>
      </c>
      <c r="E20" s="450"/>
      <c r="F20" s="450"/>
      <c r="H20" s="23">
        <f>TRUNC((H12+2*(H13+0.1)),2)</f>
        <v>9.0399999999999991</v>
      </c>
      <c r="I20" s="23">
        <f t="shared" ref="I20:Q20" si="0">TRUNC((I12+2*(I13+0.1)),2)</f>
        <v>7.04</v>
      </c>
      <c r="J20" s="23">
        <f t="shared" si="0"/>
        <v>7.44</v>
      </c>
      <c r="K20" s="23">
        <f t="shared" si="0"/>
        <v>7.04</v>
      </c>
      <c r="L20" s="23">
        <f t="shared" si="0"/>
        <v>7.04</v>
      </c>
      <c r="M20" s="23">
        <f t="shared" si="0"/>
        <v>7.04</v>
      </c>
      <c r="N20" s="23">
        <f t="shared" si="0"/>
        <v>8.44</v>
      </c>
      <c r="O20" s="23">
        <f t="shared" si="0"/>
        <v>7.44</v>
      </c>
      <c r="P20" s="23">
        <f t="shared" si="0"/>
        <v>8.44</v>
      </c>
      <c r="Q20" s="23">
        <f t="shared" si="0"/>
        <v>8.44</v>
      </c>
      <c r="S20" s="36"/>
    </row>
    <row r="21" spans="2:19" ht="14.1" customHeight="1" x14ac:dyDescent="0.25">
      <c r="B21" s="468"/>
      <c r="C21" s="459"/>
      <c r="D21" s="450" t="s">
        <v>166</v>
      </c>
      <c r="E21" s="450"/>
      <c r="F21" s="450"/>
      <c r="H21" s="23">
        <f>TRUNC(((H10*H20)+H18),2)</f>
        <v>1663.53</v>
      </c>
      <c r="I21" s="23">
        <f t="shared" ref="I21:Q21" si="1">TRUNC(((I10*I20)+I18),2)</f>
        <v>2914.32</v>
      </c>
      <c r="J21" s="23">
        <f t="shared" si="1"/>
        <v>3071.68</v>
      </c>
      <c r="K21" s="23">
        <f t="shared" si="1"/>
        <v>959.69</v>
      </c>
      <c r="L21" s="23">
        <f t="shared" si="1"/>
        <v>1199.92</v>
      </c>
      <c r="M21" s="23">
        <f t="shared" si="1"/>
        <v>1751.9</v>
      </c>
      <c r="N21" s="23">
        <f t="shared" si="1"/>
        <v>125.18</v>
      </c>
      <c r="O21" s="23">
        <f t="shared" si="1"/>
        <v>1928.83</v>
      </c>
      <c r="P21" s="23">
        <f t="shared" si="1"/>
        <v>125.73</v>
      </c>
      <c r="Q21" s="23">
        <f t="shared" si="1"/>
        <v>5729.85</v>
      </c>
      <c r="S21" s="15">
        <f>SUM(G21:R21)</f>
        <v>19470.63</v>
      </c>
    </row>
    <row r="22" spans="2:19" ht="5.0999999999999996" customHeight="1" x14ac:dyDescent="0.25">
      <c r="B22" s="468"/>
    </row>
    <row r="23" spans="2:19" ht="14.1" hidden="1" customHeight="1" x14ac:dyDescent="0.25">
      <c r="B23" s="468"/>
      <c r="C23" s="474" t="s">
        <v>168</v>
      </c>
      <c r="D23" s="473"/>
      <c r="E23" s="473"/>
      <c r="F23" s="473"/>
      <c r="H23" s="25" t="s">
        <v>170</v>
      </c>
      <c r="I23" s="25" t="s">
        <v>170</v>
      </c>
      <c r="J23" s="25" t="s">
        <v>170</v>
      </c>
      <c r="K23" s="25" t="s">
        <v>170</v>
      </c>
      <c r="L23" s="25" t="s">
        <v>170</v>
      </c>
      <c r="M23" s="25" t="s">
        <v>170</v>
      </c>
      <c r="N23" s="25" t="s">
        <v>170</v>
      </c>
      <c r="O23" s="25" t="s">
        <v>170</v>
      </c>
      <c r="P23" s="25" t="s">
        <v>170</v>
      </c>
      <c r="Q23" s="25" t="s">
        <v>170</v>
      </c>
      <c r="S23" s="25"/>
    </row>
    <row r="24" spans="2:19" ht="14.1" customHeight="1" x14ac:dyDescent="0.25">
      <c r="B24" s="468"/>
      <c r="C24" s="459" t="s">
        <v>176</v>
      </c>
      <c r="D24" s="450" t="s">
        <v>173</v>
      </c>
      <c r="E24" s="450" t="s">
        <v>167</v>
      </c>
      <c r="F24" s="450"/>
      <c r="H24" s="23">
        <f t="shared" ref="H24:Q24" si="2">TRUNC((H12+2*(H13+0.05)),2)</f>
        <v>8.94</v>
      </c>
      <c r="I24" s="23">
        <f t="shared" si="2"/>
        <v>6.94</v>
      </c>
      <c r="J24" s="23">
        <f t="shared" si="2"/>
        <v>7.34</v>
      </c>
      <c r="K24" s="23">
        <f t="shared" si="2"/>
        <v>6.94</v>
      </c>
      <c r="L24" s="23">
        <f t="shared" si="2"/>
        <v>6.94</v>
      </c>
      <c r="M24" s="23">
        <f t="shared" si="2"/>
        <v>6.94</v>
      </c>
      <c r="N24" s="23">
        <f t="shared" si="2"/>
        <v>8.34</v>
      </c>
      <c r="O24" s="23">
        <f t="shared" si="2"/>
        <v>7.34</v>
      </c>
      <c r="P24" s="23">
        <f t="shared" si="2"/>
        <v>8.34</v>
      </c>
      <c r="Q24" s="23">
        <f t="shared" si="2"/>
        <v>8.34</v>
      </c>
      <c r="S24" s="18"/>
    </row>
    <row r="25" spans="2:19" ht="14.1" customHeight="1" x14ac:dyDescent="0.25">
      <c r="B25" s="468"/>
      <c r="C25" s="459"/>
      <c r="D25" s="450"/>
      <c r="E25" s="450" t="s">
        <v>171</v>
      </c>
      <c r="F25" s="450"/>
      <c r="H25" s="254">
        <v>0.15</v>
      </c>
      <c r="I25" s="254">
        <v>0.15</v>
      </c>
      <c r="J25" s="254">
        <v>0.15</v>
      </c>
      <c r="K25" s="254">
        <v>0.15</v>
      </c>
      <c r="L25" s="254">
        <v>0.15</v>
      </c>
      <c r="M25" s="254">
        <v>0.15</v>
      </c>
      <c r="N25" s="254">
        <v>0.15</v>
      </c>
      <c r="O25" s="254">
        <v>0.15</v>
      </c>
      <c r="P25" s="254">
        <v>0.15</v>
      </c>
      <c r="Q25" s="254">
        <v>0.15</v>
      </c>
      <c r="S25" s="20"/>
    </row>
    <row r="26" spans="2:19" ht="14.1" customHeight="1" x14ac:dyDescent="0.25">
      <c r="B26" s="468"/>
      <c r="C26" s="459"/>
      <c r="D26" s="450"/>
      <c r="E26" s="450" t="s">
        <v>172</v>
      </c>
      <c r="F26" s="450"/>
      <c r="H26" s="254">
        <f t="shared" ref="H26:Q26" si="3">IF(H23="C",TRUNC((((H10*H24)+H18)*H25),2),0)</f>
        <v>246.78</v>
      </c>
      <c r="I26" s="254">
        <f t="shared" si="3"/>
        <v>431.02</v>
      </c>
      <c r="J26" s="254">
        <f t="shared" si="3"/>
        <v>454.64</v>
      </c>
      <c r="K26" s="254">
        <f t="shared" si="3"/>
        <v>141.93</v>
      </c>
      <c r="L26" s="254">
        <f t="shared" si="3"/>
        <v>177.43</v>
      </c>
      <c r="M26" s="254">
        <f t="shared" si="3"/>
        <v>259.05</v>
      </c>
      <c r="N26" s="254">
        <f t="shared" si="3"/>
        <v>18.559999999999999</v>
      </c>
      <c r="O26" s="254">
        <f t="shared" si="3"/>
        <v>285.45</v>
      </c>
      <c r="P26" s="254">
        <f t="shared" si="3"/>
        <v>18.64</v>
      </c>
      <c r="Q26" s="254">
        <f t="shared" si="3"/>
        <v>849.24</v>
      </c>
      <c r="S26" s="15">
        <f>SUM(G26:R26)</f>
        <v>2882.7400000000002</v>
      </c>
    </row>
    <row r="27" spans="2:19" ht="14.1" customHeight="1" x14ac:dyDescent="0.25">
      <c r="B27" s="468"/>
      <c r="C27" s="459"/>
      <c r="D27" s="450" t="s">
        <v>174</v>
      </c>
      <c r="E27" s="450"/>
      <c r="F27" s="450"/>
      <c r="H27" s="23">
        <f>IF(H23="A",#REF!,0)+IF(H23="C",H28,0)+IF(H23="SB",#REF!,0)</f>
        <v>320.81</v>
      </c>
      <c r="I27" s="23">
        <f>IF(I23="A",#REF!,0)+IF(I23="C",I28,0)+IF(I23="SB",#REF!,0)</f>
        <v>560.32000000000005</v>
      </c>
      <c r="J27" s="23">
        <f>IF(J23="A",#REF!,0)+IF(J23="C",J28,0)+IF(J23="SB",#REF!,0)</f>
        <v>591.03</v>
      </c>
      <c r="K27" s="23">
        <f>IF(K23="A",#REF!,0)+IF(K23="C",K28,0)+IF(K23="SB",#REF!,0)</f>
        <v>184.5</v>
      </c>
      <c r="L27" s="23">
        <f>IF(L23="A",#REF!,0)+IF(L23="C",L28,0)+IF(L23="SB",#REF!,0)</f>
        <v>230.65</v>
      </c>
      <c r="M27" s="23">
        <f>IF(M23="A",#REF!,0)+IF(M23="C",M28,0)+IF(M23="SB",#REF!,0)</f>
        <v>336.76</v>
      </c>
      <c r="N27" s="23">
        <f>IF(N23="A",#REF!,0)+IF(N23="C",N28,0)+IF(N23="SB",#REF!,0)</f>
        <v>24.12</v>
      </c>
      <c r="O27" s="23">
        <f>IF(O23="A",#REF!,0)+IF(O23="C",O28,0)+IF(O23="SB",#REF!,0)</f>
        <v>371.08</v>
      </c>
      <c r="P27" s="23">
        <f>IF(P23="A",#REF!,0)+IF(P23="C",P28,0)+IF(P23="SB",#REF!,0)</f>
        <v>24.23</v>
      </c>
      <c r="Q27" s="23">
        <f>IF(Q23="A",#REF!,0)+IF(Q23="C",Q28,0)+IF(Q23="SB",#REF!,0)</f>
        <v>1104.01</v>
      </c>
      <c r="S27" s="15">
        <f>SUM(G27:R27)</f>
        <v>3747.51</v>
      </c>
    </row>
    <row r="28" spans="2:19" ht="14.1" customHeight="1" x14ac:dyDescent="0.25">
      <c r="B28" s="468"/>
      <c r="C28" s="459"/>
      <c r="D28" s="245"/>
      <c r="E28" s="450" t="s">
        <v>172</v>
      </c>
      <c r="F28" s="450"/>
      <c r="H28" s="23">
        <f t="shared" ref="H28:Q28" si="4">IF(H23="C",TRUNC((H26*1.3),2),0)</f>
        <v>320.81</v>
      </c>
      <c r="I28" s="23">
        <f t="shared" si="4"/>
        <v>560.32000000000005</v>
      </c>
      <c r="J28" s="23">
        <f t="shared" si="4"/>
        <v>591.03</v>
      </c>
      <c r="K28" s="23">
        <f t="shared" si="4"/>
        <v>184.5</v>
      </c>
      <c r="L28" s="23">
        <f t="shared" si="4"/>
        <v>230.65</v>
      </c>
      <c r="M28" s="23">
        <f t="shared" si="4"/>
        <v>336.76</v>
      </c>
      <c r="N28" s="23">
        <f t="shared" si="4"/>
        <v>24.12</v>
      </c>
      <c r="O28" s="23">
        <f t="shared" si="4"/>
        <v>371.08</v>
      </c>
      <c r="P28" s="23">
        <f t="shared" si="4"/>
        <v>24.23</v>
      </c>
      <c r="Q28" s="23">
        <f t="shared" si="4"/>
        <v>1104.01</v>
      </c>
      <c r="S28" s="15">
        <f>SUM(G28:R28)</f>
        <v>3747.51</v>
      </c>
    </row>
    <row r="29" spans="2:19" ht="14.1" customHeight="1" x14ac:dyDescent="0.25">
      <c r="B29" s="468"/>
      <c r="C29" s="459"/>
      <c r="D29" s="450" t="s">
        <v>52</v>
      </c>
      <c r="E29" s="11" t="s">
        <v>175</v>
      </c>
      <c r="F29" s="14">
        <f>IF('Resumo DMT''s'!$E$17&gt;30,30,'Resumo DMT''s'!$E$17)</f>
        <v>30</v>
      </c>
      <c r="H29" s="23">
        <f t="shared" ref="H29:Q29" si="5">TRUNC((H28*$F$29),2)</f>
        <v>9624.2999999999993</v>
      </c>
      <c r="I29" s="23">
        <f t="shared" si="5"/>
        <v>16809.599999999999</v>
      </c>
      <c r="J29" s="23">
        <f t="shared" si="5"/>
        <v>17730.900000000001</v>
      </c>
      <c r="K29" s="23">
        <f t="shared" si="5"/>
        <v>5535</v>
      </c>
      <c r="L29" s="23">
        <f t="shared" si="5"/>
        <v>6919.5</v>
      </c>
      <c r="M29" s="23">
        <f t="shared" si="5"/>
        <v>10102.799999999999</v>
      </c>
      <c r="N29" s="23">
        <f t="shared" si="5"/>
        <v>723.6</v>
      </c>
      <c r="O29" s="23">
        <f t="shared" si="5"/>
        <v>11132.4</v>
      </c>
      <c r="P29" s="23">
        <f t="shared" si="5"/>
        <v>726.9</v>
      </c>
      <c r="Q29" s="23">
        <f t="shared" si="5"/>
        <v>33120.300000000003</v>
      </c>
      <c r="S29" s="15">
        <f>SUM(G29:R29)</f>
        <v>112425.3</v>
      </c>
    </row>
    <row r="30" spans="2:19" ht="14.1" customHeight="1" x14ac:dyDescent="0.25">
      <c r="B30" s="468"/>
      <c r="C30" s="459"/>
      <c r="D30" s="450"/>
      <c r="E30" s="11" t="s">
        <v>175</v>
      </c>
      <c r="F30" s="14">
        <f>IF('Resumo DMT''s'!$E$17&gt;30,'Resumo DMT''s'!$E$17-30,0)</f>
        <v>25</v>
      </c>
      <c r="H30" s="23">
        <f t="shared" ref="H30:Q30" si="6">TRUNC((H28*$F$30),2)</f>
        <v>8020.25</v>
      </c>
      <c r="I30" s="23">
        <f t="shared" si="6"/>
        <v>14008</v>
      </c>
      <c r="J30" s="23">
        <f t="shared" si="6"/>
        <v>14775.75</v>
      </c>
      <c r="K30" s="23">
        <f t="shared" si="6"/>
        <v>4612.5</v>
      </c>
      <c r="L30" s="23">
        <f t="shared" si="6"/>
        <v>5766.25</v>
      </c>
      <c r="M30" s="23">
        <f t="shared" si="6"/>
        <v>8419</v>
      </c>
      <c r="N30" s="23">
        <f t="shared" si="6"/>
        <v>603</v>
      </c>
      <c r="O30" s="23">
        <f t="shared" si="6"/>
        <v>9277</v>
      </c>
      <c r="P30" s="23">
        <f t="shared" si="6"/>
        <v>605.75</v>
      </c>
      <c r="Q30" s="23">
        <f t="shared" si="6"/>
        <v>27600.25</v>
      </c>
      <c r="S30" s="15">
        <f>SUM(G30:R30)</f>
        <v>93687.75</v>
      </c>
    </row>
    <row r="31" spans="2:19" ht="5.0999999999999996" customHeight="1" x14ac:dyDescent="0.25">
      <c r="B31" s="468"/>
    </row>
    <row r="32" spans="2:19" ht="14.1" customHeight="1" x14ac:dyDescent="0.25">
      <c r="B32" s="468"/>
      <c r="C32" s="459" t="s">
        <v>57</v>
      </c>
      <c r="D32" s="450" t="s">
        <v>177</v>
      </c>
      <c r="E32" s="450"/>
      <c r="F32" s="450"/>
      <c r="H32" s="23">
        <f t="shared" ref="H32:Q32" si="7">TRUNC(((H10*H12)+H18),2)</f>
        <v>1472.94</v>
      </c>
      <c r="I32" s="23">
        <f t="shared" si="7"/>
        <v>2489.89</v>
      </c>
      <c r="J32" s="23">
        <f t="shared" si="7"/>
        <v>2648.06</v>
      </c>
      <c r="K32" s="23">
        <f t="shared" si="7"/>
        <v>819.95</v>
      </c>
      <c r="L32" s="23">
        <f t="shared" si="7"/>
        <v>1023.06</v>
      </c>
      <c r="M32" s="23">
        <f t="shared" si="7"/>
        <v>1493.1</v>
      </c>
      <c r="N32" s="23">
        <f t="shared" si="7"/>
        <v>110.6</v>
      </c>
      <c r="O32" s="23">
        <f t="shared" si="7"/>
        <v>1660.17</v>
      </c>
      <c r="P32" s="23">
        <f t="shared" si="7"/>
        <v>111.09</v>
      </c>
      <c r="Q32" s="23">
        <f t="shared" si="7"/>
        <v>5020.13</v>
      </c>
      <c r="S32" s="15">
        <f>SUM(G32:R32)</f>
        <v>16848.990000000002</v>
      </c>
    </row>
    <row r="33" spans="2:19" ht="14.1" hidden="1" customHeight="1" x14ac:dyDescent="0.25">
      <c r="B33" s="468"/>
      <c r="C33" s="459"/>
      <c r="D33" s="473" t="s">
        <v>480</v>
      </c>
      <c r="E33" s="473"/>
      <c r="F33" s="473"/>
      <c r="H33" s="117">
        <f>1.2/1000</f>
        <v>1.1999999999999999E-3</v>
      </c>
      <c r="I33" s="117">
        <f t="shared" ref="I33:Q33" si="8">1.2/1000</f>
        <v>1.1999999999999999E-3</v>
      </c>
      <c r="J33" s="117">
        <f t="shared" si="8"/>
        <v>1.1999999999999999E-3</v>
      </c>
      <c r="K33" s="117">
        <f t="shared" si="8"/>
        <v>1.1999999999999999E-3</v>
      </c>
      <c r="L33" s="117">
        <f t="shared" si="8"/>
        <v>1.1999999999999999E-3</v>
      </c>
      <c r="M33" s="117">
        <f t="shared" si="8"/>
        <v>1.1999999999999999E-3</v>
      </c>
      <c r="N33" s="117">
        <f t="shared" si="8"/>
        <v>1.1999999999999999E-3</v>
      </c>
      <c r="O33" s="117">
        <f t="shared" si="8"/>
        <v>1.1999999999999999E-3</v>
      </c>
      <c r="P33" s="117">
        <f t="shared" si="8"/>
        <v>1.1999999999999999E-3</v>
      </c>
      <c r="Q33" s="117">
        <f t="shared" si="8"/>
        <v>1.1999999999999999E-3</v>
      </c>
      <c r="S33" s="117"/>
    </row>
    <row r="34" spans="2:19" ht="14.1" customHeight="1" x14ac:dyDescent="0.25">
      <c r="B34" s="468"/>
      <c r="C34" s="459"/>
      <c r="D34" s="450" t="s">
        <v>460</v>
      </c>
      <c r="E34" s="450"/>
      <c r="F34" s="450"/>
      <c r="H34" s="23">
        <f>TRUNC((H32*H33),2)</f>
        <v>1.76</v>
      </c>
      <c r="I34" s="23">
        <f t="shared" ref="I34:Q34" si="9">TRUNC((I32*I33),2)</f>
        <v>2.98</v>
      </c>
      <c r="J34" s="23">
        <f t="shared" si="9"/>
        <v>3.17</v>
      </c>
      <c r="K34" s="23">
        <f t="shared" si="9"/>
        <v>0.98</v>
      </c>
      <c r="L34" s="23">
        <f t="shared" si="9"/>
        <v>1.22</v>
      </c>
      <c r="M34" s="23">
        <f t="shared" si="9"/>
        <v>1.79</v>
      </c>
      <c r="N34" s="23">
        <f t="shared" si="9"/>
        <v>0.13</v>
      </c>
      <c r="O34" s="23">
        <f t="shared" si="9"/>
        <v>1.99</v>
      </c>
      <c r="P34" s="23">
        <f t="shared" si="9"/>
        <v>0.13</v>
      </c>
      <c r="Q34" s="23">
        <f t="shared" si="9"/>
        <v>6.02</v>
      </c>
      <c r="S34" s="15">
        <f>SUM(G34:R34)</f>
        <v>20.170000000000002</v>
      </c>
    </row>
    <row r="35" spans="2:19" ht="14.1" customHeight="1" x14ac:dyDescent="0.25">
      <c r="B35" s="468"/>
      <c r="C35" s="459"/>
      <c r="D35" s="450" t="s">
        <v>459</v>
      </c>
      <c r="E35" s="450"/>
      <c r="F35" s="14">
        <f>IF('Resumo DMT''s'!$E$18&gt;30,30,'Resumo DMT''s'!$E$18)</f>
        <v>30</v>
      </c>
      <c r="H35" s="23">
        <f t="shared" ref="H35:Q35" si="10">TRUNC((H34*$F$35),2)</f>
        <v>52.8</v>
      </c>
      <c r="I35" s="23">
        <f t="shared" si="10"/>
        <v>89.4</v>
      </c>
      <c r="J35" s="23">
        <f t="shared" si="10"/>
        <v>95.1</v>
      </c>
      <c r="K35" s="23">
        <f t="shared" si="10"/>
        <v>29.4</v>
      </c>
      <c r="L35" s="23">
        <f t="shared" si="10"/>
        <v>36.6</v>
      </c>
      <c r="M35" s="23">
        <f t="shared" si="10"/>
        <v>53.7</v>
      </c>
      <c r="N35" s="23">
        <f t="shared" si="10"/>
        <v>3.9</v>
      </c>
      <c r="O35" s="23">
        <f t="shared" si="10"/>
        <v>59.7</v>
      </c>
      <c r="P35" s="23">
        <f t="shared" si="10"/>
        <v>3.9</v>
      </c>
      <c r="Q35" s="23">
        <f t="shared" si="10"/>
        <v>180.6</v>
      </c>
      <c r="S35" s="15">
        <f>SUM(G35:R35)</f>
        <v>605.09999999999991</v>
      </c>
    </row>
    <row r="36" spans="2:19" ht="14.1" customHeight="1" x14ac:dyDescent="0.25">
      <c r="B36" s="468"/>
      <c r="C36" s="459"/>
      <c r="D36" s="450" t="s">
        <v>459</v>
      </c>
      <c r="E36" s="450"/>
      <c r="F36" s="14">
        <f>IF('Resumo DMT''s'!$E$18&gt;30,'Resumo DMT''s'!$E$18-30,0)</f>
        <v>210</v>
      </c>
      <c r="H36" s="23">
        <f t="shared" ref="H36:Q36" si="11">TRUNC((H34*$F$36),2)</f>
        <v>369.6</v>
      </c>
      <c r="I36" s="23">
        <f t="shared" si="11"/>
        <v>625.79999999999995</v>
      </c>
      <c r="J36" s="23">
        <f t="shared" si="11"/>
        <v>665.7</v>
      </c>
      <c r="K36" s="23">
        <f t="shared" si="11"/>
        <v>205.8</v>
      </c>
      <c r="L36" s="23">
        <f t="shared" si="11"/>
        <v>256.2</v>
      </c>
      <c r="M36" s="23">
        <f t="shared" si="11"/>
        <v>375.9</v>
      </c>
      <c r="N36" s="23">
        <f t="shared" si="11"/>
        <v>27.3</v>
      </c>
      <c r="O36" s="23">
        <f t="shared" si="11"/>
        <v>417.9</v>
      </c>
      <c r="P36" s="23">
        <f t="shared" si="11"/>
        <v>27.3</v>
      </c>
      <c r="Q36" s="23">
        <f t="shared" si="11"/>
        <v>1264.2</v>
      </c>
      <c r="S36" s="15">
        <f>SUM(G36:R36)</f>
        <v>4235.7000000000007</v>
      </c>
    </row>
    <row r="37" spans="2:19" ht="5.0999999999999996" customHeight="1" x14ac:dyDescent="0.25">
      <c r="B37" s="468"/>
    </row>
    <row r="38" spans="2:19" ht="14.1" customHeight="1" x14ac:dyDescent="0.25">
      <c r="B38" s="468"/>
      <c r="C38" s="459" t="s">
        <v>58</v>
      </c>
      <c r="D38" s="450" t="s">
        <v>178</v>
      </c>
      <c r="E38" s="450"/>
      <c r="F38" s="450"/>
      <c r="H38" s="254">
        <v>0.03</v>
      </c>
      <c r="I38" s="254">
        <v>0.03</v>
      </c>
      <c r="J38" s="254">
        <v>0.03</v>
      </c>
      <c r="K38" s="254">
        <v>0.03</v>
      </c>
      <c r="L38" s="254">
        <v>0.03</v>
      </c>
      <c r="M38" s="254">
        <v>0.03</v>
      </c>
      <c r="N38" s="254">
        <v>0.03</v>
      </c>
      <c r="O38" s="254">
        <v>0.03</v>
      </c>
      <c r="P38" s="254">
        <v>0.03</v>
      </c>
      <c r="Q38" s="254">
        <v>0.03</v>
      </c>
      <c r="S38" s="18"/>
    </row>
    <row r="39" spans="2:19" ht="14.1" hidden="1" customHeight="1" x14ac:dyDescent="0.25">
      <c r="B39" s="468"/>
      <c r="C39" s="459"/>
      <c r="D39" s="473" t="s">
        <v>464</v>
      </c>
      <c r="E39" s="473"/>
      <c r="F39" s="473"/>
      <c r="H39" s="117">
        <v>2.5548000000000002</v>
      </c>
      <c r="I39" s="117">
        <v>2.5548000000000002</v>
      </c>
      <c r="J39" s="117">
        <v>2.5548000000000002</v>
      </c>
      <c r="K39" s="117">
        <v>2.5548000000000002</v>
      </c>
      <c r="L39" s="117">
        <v>2.5548000000000002</v>
      </c>
      <c r="M39" s="117">
        <v>2.5548000000000002</v>
      </c>
      <c r="N39" s="117">
        <v>2.5548000000000002</v>
      </c>
      <c r="O39" s="117">
        <v>2.5548000000000002</v>
      </c>
      <c r="P39" s="117">
        <v>2.5548000000000002</v>
      </c>
      <c r="Q39" s="117">
        <v>2.5548000000000002</v>
      </c>
      <c r="S39" s="117"/>
    </row>
    <row r="40" spans="2:19" ht="14.1" customHeight="1" x14ac:dyDescent="0.25">
      <c r="B40" s="468"/>
      <c r="C40" s="459"/>
      <c r="D40" s="450" t="s">
        <v>461</v>
      </c>
      <c r="E40" s="450"/>
      <c r="F40" s="450"/>
      <c r="H40" s="23">
        <f>TRUNC((H32*H38*H39),2)</f>
        <v>112.89</v>
      </c>
      <c r="I40" s="247">
        <f t="shared" ref="I40:Q40" si="12">TRUNC((I32*I38*I39),2)</f>
        <v>190.83</v>
      </c>
      <c r="J40" s="247">
        <f t="shared" si="12"/>
        <v>202.95</v>
      </c>
      <c r="K40" s="247">
        <f t="shared" si="12"/>
        <v>62.84</v>
      </c>
      <c r="L40" s="247">
        <f t="shared" si="12"/>
        <v>78.41</v>
      </c>
      <c r="M40" s="247">
        <f t="shared" si="12"/>
        <v>114.43</v>
      </c>
      <c r="N40" s="247">
        <f t="shared" si="12"/>
        <v>8.4700000000000006</v>
      </c>
      <c r="O40" s="247">
        <f t="shared" si="12"/>
        <v>127.24</v>
      </c>
      <c r="P40" s="247">
        <f t="shared" si="12"/>
        <v>8.51</v>
      </c>
      <c r="Q40" s="247">
        <f t="shared" si="12"/>
        <v>384.76</v>
      </c>
      <c r="S40" s="15">
        <f>SUM(G40:R40)</f>
        <v>1291.33</v>
      </c>
    </row>
    <row r="41" spans="2:19" ht="14.1" customHeight="1" x14ac:dyDescent="0.25">
      <c r="B41" s="468"/>
      <c r="C41" s="459"/>
      <c r="D41" s="450" t="s">
        <v>462</v>
      </c>
      <c r="E41" s="450"/>
      <c r="F41" s="450"/>
      <c r="H41" s="23">
        <f>H40</f>
        <v>112.89</v>
      </c>
      <c r="I41" s="23">
        <f t="shared" ref="I41:Q41" si="13">I40</f>
        <v>190.83</v>
      </c>
      <c r="J41" s="23">
        <f t="shared" si="13"/>
        <v>202.95</v>
      </c>
      <c r="K41" s="23">
        <f t="shared" si="13"/>
        <v>62.84</v>
      </c>
      <c r="L41" s="23">
        <f t="shared" si="13"/>
        <v>78.41</v>
      </c>
      <c r="M41" s="23">
        <f t="shared" si="13"/>
        <v>114.43</v>
      </c>
      <c r="N41" s="23">
        <f t="shared" si="13"/>
        <v>8.4700000000000006</v>
      </c>
      <c r="O41" s="23">
        <f t="shared" si="13"/>
        <v>127.24</v>
      </c>
      <c r="P41" s="23">
        <f t="shared" si="13"/>
        <v>8.51</v>
      </c>
      <c r="Q41" s="23">
        <f t="shared" si="13"/>
        <v>384.76</v>
      </c>
      <c r="S41" s="15">
        <f>SUM(G41:R41)</f>
        <v>1291.33</v>
      </c>
    </row>
    <row r="42" spans="2:19" ht="13.5" customHeight="1" x14ac:dyDescent="0.25">
      <c r="B42" s="468"/>
      <c r="C42" s="459"/>
      <c r="D42" s="450" t="s">
        <v>463</v>
      </c>
      <c r="E42" s="450"/>
      <c r="F42" s="14">
        <f>IF('Resumo DMT''s'!$E$19&gt;30,30,'Resumo DMT''s'!$E$19)</f>
        <v>5.9</v>
      </c>
      <c r="H42" s="23">
        <f t="shared" ref="H42:Q42" si="14">TRUNC((H40*$F$42),2)</f>
        <v>666.05</v>
      </c>
      <c r="I42" s="222">
        <f t="shared" si="14"/>
        <v>1125.8900000000001</v>
      </c>
      <c r="J42" s="222">
        <f t="shared" si="14"/>
        <v>1197.4000000000001</v>
      </c>
      <c r="K42" s="222">
        <f t="shared" si="14"/>
        <v>370.75</v>
      </c>
      <c r="L42" s="222">
        <f t="shared" si="14"/>
        <v>462.61</v>
      </c>
      <c r="M42" s="222">
        <f t="shared" si="14"/>
        <v>675.13</v>
      </c>
      <c r="N42" s="222">
        <f t="shared" si="14"/>
        <v>49.97</v>
      </c>
      <c r="O42" s="222">
        <f t="shared" si="14"/>
        <v>750.71</v>
      </c>
      <c r="P42" s="222">
        <f t="shared" si="14"/>
        <v>50.2</v>
      </c>
      <c r="Q42" s="222">
        <f t="shared" si="14"/>
        <v>2270.08</v>
      </c>
      <c r="S42" s="15">
        <f>SUM(G42:R42)</f>
        <v>7618.79</v>
      </c>
    </row>
    <row r="43" spans="2:19" ht="13.5" customHeight="1" x14ac:dyDescent="0.25">
      <c r="B43" s="469"/>
      <c r="C43" s="459"/>
      <c r="D43" s="450" t="s">
        <v>463</v>
      </c>
      <c r="E43" s="450"/>
      <c r="F43" s="14">
        <f>IF('Resumo DMT''s'!$E$19&gt;30,'Resumo DMT''s'!$E$19-30,0)</f>
        <v>0</v>
      </c>
      <c r="H43" s="23">
        <f t="shared" ref="H43:Q43" si="15">TRUNC((H40*$F$43),2)</f>
        <v>0</v>
      </c>
      <c r="I43" s="222">
        <f t="shared" si="15"/>
        <v>0</v>
      </c>
      <c r="J43" s="222">
        <f t="shared" si="15"/>
        <v>0</v>
      </c>
      <c r="K43" s="222">
        <f t="shared" si="15"/>
        <v>0</v>
      </c>
      <c r="L43" s="222">
        <f t="shared" si="15"/>
        <v>0</v>
      </c>
      <c r="M43" s="222">
        <f t="shared" si="15"/>
        <v>0</v>
      </c>
      <c r="N43" s="222">
        <f t="shared" si="15"/>
        <v>0</v>
      </c>
      <c r="O43" s="222">
        <f t="shared" si="15"/>
        <v>0</v>
      </c>
      <c r="P43" s="222">
        <f t="shared" si="15"/>
        <v>0</v>
      </c>
      <c r="Q43" s="222">
        <f t="shared" si="15"/>
        <v>0</v>
      </c>
      <c r="S43" s="15">
        <f>SUM(G43:R43)</f>
        <v>0</v>
      </c>
    </row>
  </sheetData>
  <mergeCells count="37">
    <mergeCell ref="C38:C43"/>
    <mergeCell ref="D38:F38"/>
    <mergeCell ref="D40:F40"/>
    <mergeCell ref="D43:E43"/>
    <mergeCell ref="D39:F39"/>
    <mergeCell ref="D41:F41"/>
    <mergeCell ref="D42:E42"/>
    <mergeCell ref="C20:C21"/>
    <mergeCell ref="C14:F14"/>
    <mergeCell ref="C10:F10"/>
    <mergeCell ref="C11:F11"/>
    <mergeCell ref="C12:F12"/>
    <mergeCell ref="C13:F13"/>
    <mergeCell ref="D20:F20"/>
    <mergeCell ref="E25:F25"/>
    <mergeCell ref="C23:F23"/>
    <mergeCell ref="C24:C30"/>
    <mergeCell ref="D24:D26"/>
    <mergeCell ref="E26:F26"/>
    <mergeCell ref="D27:F27"/>
    <mergeCell ref="D29:D30"/>
    <mergeCell ref="B10:B43"/>
    <mergeCell ref="B8:F8"/>
    <mergeCell ref="C32:C36"/>
    <mergeCell ref="D32:F32"/>
    <mergeCell ref="D33:F33"/>
    <mergeCell ref="D34:F34"/>
    <mergeCell ref="D36:E36"/>
    <mergeCell ref="D35:E35"/>
    <mergeCell ref="E28:F28"/>
    <mergeCell ref="C15:C18"/>
    <mergeCell ref="D15:F15"/>
    <mergeCell ref="D16:F16"/>
    <mergeCell ref="D17:F17"/>
    <mergeCell ref="D18:F18"/>
    <mergeCell ref="D21:F21"/>
    <mergeCell ref="E24:F24"/>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0">
    <tabColor rgb="FF00B050"/>
  </sheetPr>
  <dimension ref="B1:R19"/>
  <sheetViews>
    <sheetView showGridLines="0" view="pageBreakPreview" zoomScaleSheetLayoutView="100" workbookViewId="0">
      <selection activeCell="M24" sqref="M24"/>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2.7109375" style="4" customWidth="1"/>
    <col min="8" max="16" width="10.7109375" style="4" customWidth="1"/>
    <col min="17" max="17" width="1.7109375" style="4" customWidth="1"/>
    <col min="18" max="18" width="10.7109375" style="4" customWidth="1"/>
    <col min="19" max="16384" width="9.140625" style="4"/>
  </cols>
  <sheetData>
    <row r="1" spans="2:18" ht="5.0999999999999996" customHeight="1" x14ac:dyDescent="0.25"/>
    <row r="2" spans="2:18" ht="14.1" customHeight="1" x14ac:dyDescent="0.25">
      <c r="B2" s="100" t="str">
        <f>DADOS!$B$3</f>
        <v>CLIENTE:</v>
      </c>
      <c r="C2" s="81" t="str">
        <f>DADOS!$C$3</f>
        <v>PREFEITURA MUNICIPAL DE JARDIM / MS</v>
      </c>
      <c r="D2" s="34"/>
      <c r="E2" s="34"/>
      <c r="F2" s="34"/>
      <c r="G2" s="34"/>
      <c r="H2" s="34"/>
      <c r="I2" s="34"/>
      <c r="J2" s="34"/>
      <c r="K2" s="34"/>
      <c r="L2" s="34"/>
      <c r="M2" s="34"/>
      <c r="N2" s="44"/>
      <c r="O2" s="34"/>
      <c r="P2" s="34"/>
      <c r="Q2" s="34"/>
      <c r="R2" s="44"/>
    </row>
    <row r="3" spans="2:18" ht="14.1" customHeight="1" x14ac:dyDescent="0.25">
      <c r="B3" s="101" t="str">
        <f>DADOS!$B$4</f>
        <v>ENDEREÇO:</v>
      </c>
      <c r="C3" s="252" t="str">
        <f>DADOS!$C$4</f>
        <v>RUA CEL. JUVÊNCIO, Nº 547 - CENTRO</v>
      </c>
      <c r="D3" s="253"/>
      <c r="E3" s="253"/>
      <c r="F3" s="253"/>
      <c r="G3" s="253"/>
      <c r="H3" s="253"/>
      <c r="I3" s="253"/>
      <c r="J3" s="253"/>
      <c r="K3" s="253"/>
      <c r="L3" s="253"/>
      <c r="M3" s="253"/>
      <c r="N3" s="45"/>
      <c r="O3" s="253"/>
      <c r="P3" s="253"/>
      <c r="Q3" s="253"/>
      <c r="R3" s="45"/>
    </row>
    <row r="4" spans="2:18" ht="14.1" customHeight="1" x14ac:dyDescent="0.2">
      <c r="B4" s="83"/>
      <c r="C4" s="252"/>
      <c r="D4" s="253"/>
      <c r="E4" s="253"/>
      <c r="F4" s="253"/>
      <c r="G4" s="253"/>
      <c r="H4" s="253"/>
      <c r="I4" s="253"/>
      <c r="J4" s="253"/>
      <c r="K4" s="253"/>
      <c r="L4" s="253"/>
      <c r="M4" s="253"/>
      <c r="N4" s="45"/>
      <c r="O4" s="253"/>
      <c r="P4" s="253"/>
      <c r="Q4" s="253"/>
      <c r="R4" s="45"/>
    </row>
    <row r="5" spans="2:18" ht="14.1" customHeight="1" x14ac:dyDescent="0.25">
      <c r="B5" s="101" t="str">
        <f>DADOS!$B$7</f>
        <v>OBRA:</v>
      </c>
      <c r="C5" s="252" t="str">
        <f>DADOS!$C$7</f>
        <v>PAVIMENTAÇÃO ASFÁLTICA E DRENAGEM DE ÁGUAS PLUVIAIS</v>
      </c>
      <c r="D5" s="253"/>
      <c r="E5" s="253"/>
      <c r="F5" s="253"/>
      <c r="G5" s="253"/>
      <c r="H5" s="253"/>
      <c r="I5" s="253"/>
      <c r="J5" s="253"/>
      <c r="K5" s="253"/>
      <c r="L5" s="253"/>
      <c r="M5" s="253"/>
      <c r="N5" s="45"/>
      <c r="O5" s="253"/>
      <c r="P5" s="253"/>
      <c r="Q5" s="253"/>
      <c r="R5" s="45"/>
    </row>
    <row r="6" spans="2:18" ht="14.1" customHeight="1" x14ac:dyDescent="0.25">
      <c r="B6" s="84" t="str">
        <f>DADOS!$B$8</f>
        <v>LOCAL:</v>
      </c>
      <c r="C6" s="85" t="str">
        <f>DADOS!$C$8</f>
        <v>JARDIM PREVISUL, JARDIM / MS</v>
      </c>
      <c r="D6" s="46"/>
      <c r="E6" s="46"/>
      <c r="F6" s="46"/>
      <c r="G6" s="46"/>
      <c r="H6" s="46"/>
      <c r="I6" s="46"/>
      <c r="J6" s="46"/>
      <c r="K6" s="46"/>
      <c r="L6" s="46"/>
      <c r="M6" s="46"/>
      <c r="N6" s="47"/>
      <c r="O6" s="46"/>
      <c r="P6" s="46"/>
      <c r="Q6" s="46"/>
      <c r="R6" s="47"/>
    </row>
    <row r="7" spans="2:18" ht="5.0999999999999996" customHeight="1" x14ac:dyDescent="0.25"/>
    <row r="8" spans="2:18" ht="39.950000000000003" customHeight="1" x14ac:dyDescent="0.25">
      <c r="B8" s="470" t="s">
        <v>147</v>
      </c>
      <c r="C8" s="471"/>
      <c r="D8" s="471"/>
      <c r="E8" s="459"/>
      <c r="G8" s="13" t="str">
        <f>'Pav-Terrapl'!G8</f>
        <v>RUA FERNANDO AUGUSTO DE FREITAS</v>
      </c>
      <c r="H8" s="13" t="str">
        <f>'Pav-Terrapl'!H8</f>
        <v>RUA JASMIM</v>
      </c>
      <c r="I8" s="13" t="str">
        <f>'Pav-Terrapl'!I8</f>
        <v>RUA MAGNÓLIA</v>
      </c>
      <c r="J8" s="13" t="str">
        <f>'Pav-Terrapl'!J8</f>
        <v>RUA DAS ROSAS</v>
      </c>
      <c r="K8" s="13" t="str">
        <f>'Pav-Terrapl'!K8</f>
        <v>RUA TEODORINA GONÇALVES</v>
      </c>
      <c r="L8" s="13" t="str">
        <f>'Pav-Terrapl'!L8</f>
        <v>RUA PRIMAVERA</v>
      </c>
      <c r="M8" s="13" t="str">
        <f>'Pav-Terrapl'!M8</f>
        <v>RUA HERMES DA FONSECA</v>
      </c>
      <c r="N8" s="13" t="str">
        <f>'Pav-Terrapl'!N8</f>
        <v>RUA GARDENIA</v>
      </c>
      <c r="O8" s="13" t="str">
        <f>'Pav-Terrapl'!O8</f>
        <v xml:space="preserve">RUA BRÁS </v>
      </c>
      <c r="P8" s="13" t="str">
        <f>'Pav-Terrapl'!P8</f>
        <v>RUA DOS HERÓIS</v>
      </c>
      <c r="R8" s="13" t="s">
        <v>5</v>
      </c>
    </row>
    <row r="9" spans="2:18" ht="5.0999999999999996" customHeight="1" x14ac:dyDescent="0.25"/>
    <row r="10" spans="2:18" ht="14.1" customHeight="1" x14ac:dyDescent="0.25">
      <c r="B10" s="467" t="s">
        <v>182</v>
      </c>
      <c r="C10" s="448" t="s">
        <v>43</v>
      </c>
      <c r="D10" s="450" t="s">
        <v>183</v>
      </c>
      <c r="E10" s="450"/>
      <c r="G10" s="254">
        <v>325.88</v>
      </c>
      <c r="H10" s="254">
        <v>843.71</v>
      </c>
      <c r="I10" s="254">
        <v>842.04</v>
      </c>
      <c r="J10" s="254">
        <v>277.87</v>
      </c>
      <c r="K10" s="254">
        <v>335.08</v>
      </c>
      <c r="L10" s="254">
        <v>426.9</v>
      </c>
      <c r="M10" s="254">
        <v>32.6</v>
      </c>
      <c r="N10" s="254">
        <v>450.42</v>
      </c>
      <c r="O10" s="254">
        <v>32.729999999999997</v>
      </c>
      <c r="P10" s="254">
        <v>1324.98</v>
      </c>
      <c r="R10" s="15">
        <f>SUM(F10:Q10)</f>
        <v>4892.21</v>
      </c>
    </row>
    <row r="11" spans="2:18" ht="14.1" hidden="1" customHeight="1" x14ac:dyDescent="0.25">
      <c r="B11" s="468"/>
      <c r="C11" s="475"/>
      <c r="D11" s="473" t="s">
        <v>374</v>
      </c>
      <c r="E11" s="473"/>
      <c r="G11" s="256">
        <v>6.1499999999999999E-2</v>
      </c>
      <c r="H11" s="256">
        <v>6.1499999999999999E-2</v>
      </c>
      <c r="I11" s="256">
        <v>6.1499999999999999E-2</v>
      </c>
      <c r="J11" s="256">
        <v>6.1499999999999999E-2</v>
      </c>
      <c r="K11" s="256">
        <v>6.1499999999999999E-2</v>
      </c>
      <c r="L11" s="256">
        <v>6.1499999999999999E-2</v>
      </c>
      <c r="M11" s="256">
        <v>6.1499999999999999E-2</v>
      </c>
      <c r="N11" s="256">
        <v>6.1499999999999999E-2</v>
      </c>
      <c r="O11" s="256">
        <v>6.1499999999999999E-2</v>
      </c>
      <c r="P11" s="256">
        <v>6.1499999999999999E-2</v>
      </c>
      <c r="R11" s="36"/>
    </row>
    <row r="12" spans="2:18" ht="14.1" hidden="1" customHeight="1" x14ac:dyDescent="0.25">
      <c r="B12" s="468"/>
      <c r="C12" s="475"/>
      <c r="D12" s="473" t="s">
        <v>375</v>
      </c>
      <c r="E12" s="473"/>
      <c r="G12" s="256">
        <v>2.8500000000000001E-2</v>
      </c>
      <c r="H12" s="256">
        <v>2.8500000000000001E-2</v>
      </c>
      <c r="I12" s="256">
        <v>2.8500000000000001E-2</v>
      </c>
      <c r="J12" s="256">
        <v>2.8500000000000001E-2</v>
      </c>
      <c r="K12" s="256">
        <v>2.8500000000000001E-2</v>
      </c>
      <c r="L12" s="256">
        <v>2.8500000000000001E-2</v>
      </c>
      <c r="M12" s="256">
        <v>2.8500000000000001E-2</v>
      </c>
      <c r="N12" s="256">
        <v>2.8500000000000001E-2</v>
      </c>
      <c r="O12" s="256">
        <v>2.8500000000000001E-2</v>
      </c>
      <c r="P12" s="256">
        <v>2.8500000000000001E-2</v>
      </c>
      <c r="R12" s="36"/>
    </row>
    <row r="13" spans="2:18" ht="14.1" hidden="1" customHeight="1" x14ac:dyDescent="0.25">
      <c r="B13" s="468"/>
      <c r="C13" s="475"/>
      <c r="D13" s="473" t="s">
        <v>377</v>
      </c>
      <c r="E13" s="473"/>
      <c r="G13" s="256">
        <v>8.7499999999999994E-2</v>
      </c>
      <c r="H13" s="256">
        <v>8.7499999999999994E-2</v>
      </c>
      <c r="I13" s="256">
        <v>8.7499999999999994E-2</v>
      </c>
      <c r="J13" s="256">
        <v>8.7499999999999994E-2</v>
      </c>
      <c r="K13" s="256">
        <v>8.7499999999999994E-2</v>
      </c>
      <c r="L13" s="256">
        <v>8.7499999999999994E-2</v>
      </c>
      <c r="M13" s="256">
        <v>8.7499999999999994E-2</v>
      </c>
      <c r="N13" s="256">
        <v>8.7499999999999994E-2</v>
      </c>
      <c r="O13" s="256">
        <v>8.7499999999999994E-2</v>
      </c>
      <c r="P13" s="256">
        <v>8.7499999999999994E-2</v>
      </c>
      <c r="R13" s="36"/>
    </row>
    <row r="14" spans="2:18" ht="14.1" customHeight="1" x14ac:dyDescent="0.25">
      <c r="B14" s="468"/>
      <c r="C14" s="475"/>
      <c r="D14" s="450" t="s">
        <v>184</v>
      </c>
      <c r="E14" s="450"/>
      <c r="G14" s="254">
        <v>0</v>
      </c>
      <c r="H14" s="254">
        <v>0</v>
      </c>
      <c r="I14" s="254">
        <v>0</v>
      </c>
      <c r="J14" s="254">
        <v>0</v>
      </c>
      <c r="K14" s="254">
        <v>6</v>
      </c>
      <c r="L14" s="254">
        <v>6</v>
      </c>
      <c r="M14" s="254">
        <v>7.4</v>
      </c>
      <c r="N14" s="254">
        <v>6.4</v>
      </c>
      <c r="O14" s="254">
        <v>7.4</v>
      </c>
      <c r="P14" s="254">
        <v>7.4</v>
      </c>
      <c r="R14" s="15">
        <f>SUM(F14:Q14)</f>
        <v>40.599999999999994</v>
      </c>
    </row>
    <row r="15" spans="2:18" ht="14.1" hidden="1" customHeight="1" x14ac:dyDescent="0.25">
      <c r="B15" s="468"/>
      <c r="C15" s="475"/>
      <c r="D15" s="473" t="s">
        <v>376</v>
      </c>
      <c r="E15" s="473"/>
      <c r="G15" s="116">
        <v>3.3000000000000002E-2</v>
      </c>
      <c r="H15" s="116">
        <v>3.3000000000000002E-2</v>
      </c>
      <c r="I15" s="116">
        <v>3.3000000000000002E-2</v>
      </c>
      <c r="J15" s="116">
        <v>3.3000000000000002E-2</v>
      </c>
      <c r="K15" s="116">
        <v>3.3000000000000002E-2</v>
      </c>
      <c r="L15" s="116">
        <v>3.3000000000000002E-2</v>
      </c>
      <c r="M15" s="116">
        <v>3.3000000000000002E-2</v>
      </c>
      <c r="N15" s="116">
        <v>3.3000000000000002E-2</v>
      </c>
      <c r="O15" s="116">
        <v>3.3000000000000002E-2</v>
      </c>
      <c r="P15" s="116">
        <v>3.3000000000000002E-2</v>
      </c>
      <c r="R15" s="36"/>
    </row>
    <row r="16" spans="2:18" ht="14.1" hidden="1" customHeight="1" x14ac:dyDescent="0.25">
      <c r="B16" s="468"/>
      <c r="C16" s="475"/>
      <c r="D16" s="473" t="s">
        <v>365</v>
      </c>
      <c r="E16" s="473"/>
      <c r="G16" s="117">
        <v>0.58720000000000006</v>
      </c>
      <c r="H16" s="117">
        <v>0.58720000000000006</v>
      </c>
      <c r="I16" s="117">
        <v>0.58720000000000006</v>
      </c>
      <c r="J16" s="117">
        <v>0.58720000000000006</v>
      </c>
      <c r="K16" s="117">
        <v>0.58720000000000006</v>
      </c>
      <c r="L16" s="117">
        <v>0.58720000000000006</v>
      </c>
      <c r="M16" s="117">
        <v>0.58720000000000006</v>
      </c>
      <c r="N16" s="117">
        <v>0.58720000000000006</v>
      </c>
      <c r="O16" s="117">
        <v>0.58720000000000006</v>
      </c>
      <c r="P16" s="117">
        <v>0.58720000000000006</v>
      </c>
      <c r="R16" s="36"/>
    </row>
    <row r="17" spans="2:18" ht="14.1" customHeight="1" x14ac:dyDescent="0.25">
      <c r="B17" s="468"/>
      <c r="C17" s="475"/>
      <c r="D17" s="450" t="s">
        <v>185</v>
      </c>
      <c r="E17" s="450"/>
      <c r="G17" s="23">
        <f>TRUNC(((G10*G16*G11)+(G14*G16*G15)),2)</f>
        <v>11.76</v>
      </c>
      <c r="H17" s="247">
        <f t="shared" ref="H17:P17" si="0">TRUNC(((H10*H16*H11)+(H14*H16*H15)),2)</f>
        <v>30.46</v>
      </c>
      <c r="I17" s="247">
        <f t="shared" si="0"/>
        <v>30.4</v>
      </c>
      <c r="J17" s="247">
        <f t="shared" si="0"/>
        <v>10.029999999999999</v>
      </c>
      <c r="K17" s="247">
        <f t="shared" si="0"/>
        <v>12.21</v>
      </c>
      <c r="L17" s="247">
        <f t="shared" si="0"/>
        <v>15.53</v>
      </c>
      <c r="M17" s="247">
        <f t="shared" si="0"/>
        <v>1.32</v>
      </c>
      <c r="N17" s="247">
        <f t="shared" si="0"/>
        <v>16.38</v>
      </c>
      <c r="O17" s="247">
        <f t="shared" si="0"/>
        <v>1.32</v>
      </c>
      <c r="P17" s="247">
        <f t="shared" si="0"/>
        <v>47.99</v>
      </c>
      <c r="R17" s="15">
        <f>SUM(F17:Q17)</f>
        <v>177.4</v>
      </c>
    </row>
    <row r="18" spans="2:18" ht="14.1" customHeight="1" x14ac:dyDescent="0.25">
      <c r="B18" s="468"/>
      <c r="C18" s="475"/>
      <c r="D18" s="11" t="s">
        <v>129</v>
      </c>
      <c r="E18" s="14">
        <f>IF('Resumo DMT''s'!$E$15&gt;30,30,'Resumo DMT''s'!$E$15)</f>
        <v>30</v>
      </c>
      <c r="G18" s="23">
        <f t="shared" ref="G18:P18" si="1">TRUNC((G17*$E$18),2)</f>
        <v>352.8</v>
      </c>
      <c r="H18" s="23">
        <f t="shared" si="1"/>
        <v>913.8</v>
      </c>
      <c r="I18" s="23">
        <f t="shared" si="1"/>
        <v>912</v>
      </c>
      <c r="J18" s="23">
        <f t="shared" si="1"/>
        <v>300.89999999999998</v>
      </c>
      <c r="K18" s="23">
        <f t="shared" si="1"/>
        <v>366.3</v>
      </c>
      <c r="L18" s="23">
        <f t="shared" si="1"/>
        <v>465.9</v>
      </c>
      <c r="M18" s="23">
        <f t="shared" si="1"/>
        <v>39.6</v>
      </c>
      <c r="N18" s="23">
        <f t="shared" si="1"/>
        <v>491.4</v>
      </c>
      <c r="O18" s="23">
        <f t="shared" si="1"/>
        <v>39.6</v>
      </c>
      <c r="P18" s="23">
        <f t="shared" si="1"/>
        <v>1439.7</v>
      </c>
      <c r="R18" s="15">
        <f>SUM(F18:Q18)</f>
        <v>5322</v>
      </c>
    </row>
    <row r="19" spans="2:18" ht="14.1" customHeight="1" x14ac:dyDescent="0.25">
      <c r="B19" s="469"/>
      <c r="C19" s="449"/>
      <c r="D19" s="11" t="s">
        <v>129</v>
      </c>
      <c r="E19" s="14">
        <f>IF('Resumo DMT''s'!$E$15&gt;30,'Resumo DMT''s'!$E$15-30,0)</f>
        <v>25</v>
      </c>
      <c r="G19" s="23">
        <f t="shared" ref="G19:P19" si="2">TRUNC((G17*$E$19),2)</f>
        <v>294</v>
      </c>
      <c r="H19" s="23">
        <f t="shared" si="2"/>
        <v>761.5</v>
      </c>
      <c r="I19" s="23">
        <f t="shared" si="2"/>
        <v>760</v>
      </c>
      <c r="J19" s="23">
        <f t="shared" si="2"/>
        <v>250.75</v>
      </c>
      <c r="K19" s="23">
        <f t="shared" si="2"/>
        <v>305.25</v>
      </c>
      <c r="L19" s="23">
        <f t="shared" si="2"/>
        <v>388.25</v>
      </c>
      <c r="M19" s="23">
        <f t="shared" si="2"/>
        <v>33</v>
      </c>
      <c r="N19" s="23">
        <f t="shared" si="2"/>
        <v>409.5</v>
      </c>
      <c r="O19" s="23">
        <f t="shared" si="2"/>
        <v>33</v>
      </c>
      <c r="P19" s="23">
        <f t="shared" si="2"/>
        <v>1199.75</v>
      </c>
      <c r="R19" s="15">
        <f>SUM(F19:Q19)</f>
        <v>4435</v>
      </c>
    </row>
  </sheetData>
  <mergeCells count="11">
    <mergeCell ref="B8:E8"/>
    <mergeCell ref="D15:E15"/>
    <mergeCell ref="D16:E16"/>
    <mergeCell ref="D10:E10"/>
    <mergeCell ref="D14:E14"/>
    <mergeCell ref="B10:B19"/>
    <mergeCell ref="D13:E13"/>
    <mergeCell ref="D11:E11"/>
    <mergeCell ref="D12:E12"/>
    <mergeCell ref="C10:C19"/>
    <mergeCell ref="D17:E17"/>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3">
    <tabColor rgb="FF00B050"/>
  </sheetPr>
  <dimension ref="B1:R39"/>
  <sheetViews>
    <sheetView showGridLines="0" view="pageBreakPreview" zoomScaleSheetLayoutView="100" workbookViewId="0">
      <pane ySplit="8" topLeftCell="A9"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2.7109375" style="4" customWidth="1"/>
    <col min="8" max="16" width="10.7109375" style="4" customWidth="1"/>
    <col min="17" max="17" width="1.7109375" style="4" customWidth="1"/>
    <col min="18" max="18" width="10.7109375" style="4" customWidth="1"/>
    <col min="19" max="16384" width="9.140625" style="4"/>
  </cols>
  <sheetData>
    <row r="1" spans="2:18" ht="5.0999999999999996" customHeight="1" x14ac:dyDescent="0.25"/>
    <row r="2" spans="2:18" ht="14.1" customHeight="1" x14ac:dyDescent="0.25">
      <c r="B2" s="100" t="str">
        <f>DADOS!$B$3</f>
        <v>CLIENTE:</v>
      </c>
      <c r="C2" s="81" t="str">
        <f>DADOS!$C$3</f>
        <v>PREFEITURA MUNICIPAL DE JARDIM / MS</v>
      </c>
      <c r="D2" s="34"/>
      <c r="E2" s="34"/>
      <c r="F2" s="34"/>
      <c r="G2" s="34"/>
      <c r="H2" s="34"/>
      <c r="I2" s="34"/>
      <c r="J2" s="34"/>
      <c r="K2" s="34"/>
      <c r="L2" s="34"/>
      <c r="M2" s="34"/>
      <c r="N2" s="34"/>
      <c r="O2" s="34"/>
      <c r="P2" s="34"/>
      <c r="Q2" s="34"/>
      <c r="R2" s="44"/>
    </row>
    <row r="3" spans="2:18" ht="14.1" customHeight="1" x14ac:dyDescent="0.25">
      <c r="B3" s="101" t="str">
        <f>DADOS!$B$4</f>
        <v>ENDEREÇO:</v>
      </c>
      <c r="C3" s="252" t="str">
        <f>DADOS!$C$4</f>
        <v>RUA CEL. JUVÊNCIO, Nº 547 - CENTRO</v>
      </c>
      <c r="D3" s="253"/>
      <c r="E3" s="253"/>
      <c r="F3" s="253"/>
      <c r="G3" s="253"/>
      <c r="H3" s="253"/>
      <c r="I3" s="253"/>
      <c r="J3" s="253"/>
      <c r="K3" s="253"/>
      <c r="L3" s="253"/>
      <c r="M3" s="253"/>
      <c r="N3" s="253"/>
      <c r="O3" s="253"/>
      <c r="P3" s="253"/>
      <c r="Q3" s="253"/>
      <c r="R3" s="45"/>
    </row>
    <row r="4" spans="2:18" ht="14.1" customHeight="1" x14ac:dyDescent="0.2">
      <c r="B4" s="83"/>
      <c r="C4" s="252"/>
      <c r="D4" s="253"/>
      <c r="E4" s="253"/>
      <c r="F4" s="253"/>
      <c r="G4" s="253"/>
      <c r="H4" s="253"/>
      <c r="I4" s="253"/>
      <c r="J4" s="253"/>
      <c r="K4" s="253"/>
      <c r="L4" s="253"/>
      <c r="M4" s="253"/>
      <c r="N4" s="253"/>
      <c r="O4" s="253"/>
      <c r="P4" s="253"/>
      <c r="Q4" s="253"/>
      <c r="R4" s="45"/>
    </row>
    <row r="5" spans="2:18" ht="14.1" customHeight="1" x14ac:dyDescent="0.25">
      <c r="B5" s="101" t="str">
        <f>DADOS!$B$7</f>
        <v>OBRA:</v>
      </c>
      <c r="C5" s="252" t="str">
        <f>DADOS!$C$7</f>
        <v>PAVIMENTAÇÃO ASFÁLTICA E DRENAGEM DE ÁGUAS PLUVIAIS</v>
      </c>
      <c r="D5" s="253"/>
      <c r="E5" s="253"/>
      <c r="F5" s="253"/>
      <c r="G5" s="253"/>
      <c r="H5" s="253"/>
      <c r="I5" s="253"/>
      <c r="J5" s="253"/>
      <c r="K5" s="253"/>
      <c r="L5" s="253"/>
      <c r="M5" s="253"/>
      <c r="N5" s="253"/>
      <c r="O5" s="253"/>
      <c r="P5" s="253"/>
      <c r="Q5" s="253"/>
      <c r="R5" s="45"/>
    </row>
    <row r="6" spans="2:18" ht="14.1" customHeight="1" x14ac:dyDescent="0.25">
      <c r="B6" s="84" t="str">
        <f>DADOS!$B$8</f>
        <v>LOCAL:</v>
      </c>
      <c r="C6" s="85" t="str">
        <f>DADOS!$C$8</f>
        <v>JARDIM PREVISUL, JARDIM / MS</v>
      </c>
      <c r="D6" s="46"/>
      <c r="E6" s="46"/>
      <c r="F6" s="46"/>
      <c r="G6" s="46"/>
      <c r="H6" s="46"/>
      <c r="I6" s="46"/>
      <c r="J6" s="46"/>
      <c r="K6" s="46"/>
      <c r="L6" s="46"/>
      <c r="M6" s="46"/>
      <c r="N6" s="46"/>
      <c r="O6" s="46"/>
      <c r="P6" s="46"/>
      <c r="Q6" s="46"/>
      <c r="R6" s="47"/>
    </row>
    <row r="7" spans="2:18" ht="5.0999999999999996" customHeight="1" x14ac:dyDescent="0.25"/>
    <row r="8" spans="2:18" ht="39.950000000000003" customHeight="1" x14ac:dyDescent="0.25">
      <c r="B8" s="470" t="s">
        <v>147</v>
      </c>
      <c r="C8" s="471"/>
      <c r="D8" s="471"/>
      <c r="E8" s="459"/>
      <c r="G8" s="13" t="str">
        <f>'Pav-Terrapl'!G8</f>
        <v>RUA FERNANDO AUGUSTO DE FREITAS</v>
      </c>
      <c r="H8" s="13" t="str">
        <f>'Pav-Terrapl'!H8</f>
        <v>RUA JASMIM</v>
      </c>
      <c r="I8" s="13" t="str">
        <f>'Pav-Terrapl'!I8</f>
        <v>RUA MAGNÓLIA</v>
      </c>
      <c r="J8" s="13" t="str">
        <f>'Pav-Terrapl'!J8</f>
        <v>RUA DAS ROSAS</v>
      </c>
      <c r="K8" s="13" t="str">
        <f>'Pav-Terrapl'!K8</f>
        <v>RUA TEODORINA GONÇALVES</v>
      </c>
      <c r="L8" s="13" t="str">
        <f>'Pav-Terrapl'!L8</f>
        <v>RUA PRIMAVERA</v>
      </c>
      <c r="M8" s="13" t="str">
        <f>'Pav-Terrapl'!M8</f>
        <v>RUA HERMES DA FONSECA</v>
      </c>
      <c r="N8" s="13" t="str">
        <f>'Pav-Terrapl'!N8</f>
        <v>RUA GARDENIA</v>
      </c>
      <c r="O8" s="13" t="str">
        <f>'Pav-Terrapl'!O8</f>
        <v xml:space="preserve">RUA BRÁS </v>
      </c>
      <c r="P8" s="13" t="str">
        <f>'Pav-Terrapl'!P8</f>
        <v>RUA DOS HERÓIS</v>
      </c>
      <c r="R8" s="13" t="s">
        <v>5</v>
      </c>
    </row>
    <row r="9" spans="2:18" ht="5.0999999999999996" customHeight="1" x14ac:dyDescent="0.25"/>
    <row r="10" spans="2:18" ht="14.1" customHeight="1" x14ac:dyDescent="0.25">
      <c r="B10" s="467" t="s">
        <v>203</v>
      </c>
      <c r="C10" s="450" t="s">
        <v>204</v>
      </c>
      <c r="D10" s="450"/>
      <c r="E10" s="450"/>
      <c r="G10" s="23">
        <f t="shared" ref="G10:P10" si="0">G14+G25</f>
        <v>163.75</v>
      </c>
      <c r="H10" s="23">
        <f t="shared" si="0"/>
        <v>142.42000000000002</v>
      </c>
      <c r="I10" s="23">
        <f t="shared" si="0"/>
        <v>142.28</v>
      </c>
      <c r="J10" s="23">
        <f t="shared" si="0"/>
        <v>47.42</v>
      </c>
      <c r="K10" s="23">
        <f t="shared" si="0"/>
        <v>107.66</v>
      </c>
      <c r="L10" s="23">
        <f t="shared" si="0"/>
        <v>91.679999999999993</v>
      </c>
      <c r="M10" s="23">
        <f t="shared" si="0"/>
        <v>23.71</v>
      </c>
      <c r="N10" s="23">
        <f t="shared" si="0"/>
        <v>115.39</v>
      </c>
      <c r="O10" s="23">
        <f t="shared" si="0"/>
        <v>23.71</v>
      </c>
      <c r="P10" s="23">
        <f t="shared" si="0"/>
        <v>151.87</v>
      </c>
      <c r="R10" s="15">
        <f>SUM(F10:Q10)</f>
        <v>1009.8900000000001</v>
      </c>
    </row>
    <row r="11" spans="2:18" ht="5.0999999999999996" customHeight="1" x14ac:dyDescent="0.25">
      <c r="B11" s="468"/>
    </row>
    <row r="12" spans="2:18" ht="14.1" customHeight="1" x14ac:dyDescent="0.25">
      <c r="B12" s="468"/>
      <c r="C12" s="450" t="s">
        <v>205</v>
      </c>
      <c r="D12" s="450" t="s">
        <v>286</v>
      </c>
      <c r="E12" s="450"/>
      <c r="G12" s="254">
        <f>25.15+9.75+14.4+15.4+4.71+4.65</f>
        <v>74.06</v>
      </c>
      <c r="H12" s="254">
        <v>56.29</v>
      </c>
      <c r="I12" s="254">
        <v>56.17</v>
      </c>
      <c r="J12" s="254">
        <v>18.72</v>
      </c>
      <c r="K12" s="254">
        <v>37.72</v>
      </c>
      <c r="L12" s="254">
        <v>14</v>
      </c>
      <c r="M12" s="254">
        <v>9.36</v>
      </c>
      <c r="N12" s="254">
        <v>23.36</v>
      </c>
      <c r="O12" s="254">
        <v>9.36</v>
      </c>
      <c r="P12" s="254">
        <v>53.76</v>
      </c>
      <c r="R12" s="15">
        <f>SUM(F12:Q12)</f>
        <v>352.8</v>
      </c>
    </row>
    <row r="13" spans="2:18" ht="14.1" customHeight="1" x14ac:dyDescent="0.25">
      <c r="B13" s="468"/>
      <c r="C13" s="450"/>
      <c r="D13" s="450" t="s">
        <v>206</v>
      </c>
      <c r="E13" s="450"/>
      <c r="G13" s="254">
        <v>1.2</v>
      </c>
      <c r="H13" s="254">
        <v>1.2</v>
      </c>
      <c r="I13" s="254">
        <v>1.2</v>
      </c>
      <c r="J13" s="254">
        <v>1.2</v>
      </c>
      <c r="K13" s="254">
        <v>1.2</v>
      </c>
      <c r="L13" s="254">
        <v>1.2</v>
      </c>
      <c r="M13" s="254">
        <v>1.2</v>
      </c>
      <c r="N13" s="254">
        <v>1.2</v>
      </c>
      <c r="O13" s="254">
        <v>1.2</v>
      </c>
      <c r="P13" s="254">
        <v>1.2</v>
      </c>
      <c r="R13" s="20"/>
    </row>
    <row r="14" spans="2:18" ht="14.1" customHeight="1" x14ac:dyDescent="0.25">
      <c r="B14" s="468"/>
      <c r="C14" s="450"/>
      <c r="D14" s="450" t="s">
        <v>207</v>
      </c>
      <c r="E14" s="450"/>
      <c r="G14" s="23">
        <f>TRUNC((G12*G13),2)</f>
        <v>88.87</v>
      </c>
      <c r="H14" s="23">
        <f t="shared" ref="H14:P14" si="1">TRUNC((H12*H13),2)</f>
        <v>67.540000000000006</v>
      </c>
      <c r="I14" s="23">
        <f t="shared" si="1"/>
        <v>67.400000000000006</v>
      </c>
      <c r="J14" s="23">
        <f t="shared" si="1"/>
        <v>22.46</v>
      </c>
      <c r="K14" s="23">
        <f t="shared" si="1"/>
        <v>45.26</v>
      </c>
      <c r="L14" s="23">
        <f t="shared" si="1"/>
        <v>16.8</v>
      </c>
      <c r="M14" s="23">
        <f t="shared" si="1"/>
        <v>11.23</v>
      </c>
      <c r="N14" s="23">
        <f t="shared" si="1"/>
        <v>28.03</v>
      </c>
      <c r="O14" s="23">
        <f t="shared" si="1"/>
        <v>11.23</v>
      </c>
      <c r="P14" s="23">
        <f t="shared" si="1"/>
        <v>64.510000000000005</v>
      </c>
      <c r="R14" s="15">
        <f>SUM(F14:Q14)</f>
        <v>423.33000000000004</v>
      </c>
    </row>
    <row r="15" spans="2:18" ht="14.1" customHeight="1" x14ac:dyDescent="0.25">
      <c r="B15" s="468"/>
      <c r="C15" s="450"/>
      <c r="D15" s="450" t="s">
        <v>178</v>
      </c>
      <c r="E15" s="450"/>
      <c r="G15" s="23">
        <v>7.0000000000000007E-2</v>
      </c>
      <c r="H15" s="23">
        <v>7.0000000000000007E-2</v>
      </c>
      <c r="I15" s="23">
        <v>7.0000000000000007E-2</v>
      </c>
      <c r="J15" s="23">
        <v>7.0000000000000007E-2</v>
      </c>
      <c r="K15" s="23">
        <v>7.0000000000000007E-2</v>
      </c>
      <c r="L15" s="23">
        <v>7.0000000000000007E-2</v>
      </c>
      <c r="M15" s="23">
        <v>7.0000000000000007E-2</v>
      </c>
      <c r="N15" s="23">
        <v>7.0000000000000007E-2</v>
      </c>
      <c r="O15" s="23">
        <v>7.0000000000000007E-2</v>
      </c>
      <c r="P15" s="23">
        <v>7.0000000000000007E-2</v>
      </c>
      <c r="R15" s="18"/>
    </row>
    <row r="16" spans="2:18" ht="14.1" customHeight="1" x14ac:dyDescent="0.25">
      <c r="B16" s="468"/>
      <c r="C16" s="450"/>
      <c r="D16" s="450" t="s">
        <v>303</v>
      </c>
      <c r="E16" s="450"/>
      <c r="G16" s="23">
        <f>TRUNC((G14*G15),2)</f>
        <v>6.22</v>
      </c>
      <c r="H16" s="23">
        <f t="shared" ref="H16:P16" si="2">TRUNC((H14*H15),2)</f>
        <v>4.72</v>
      </c>
      <c r="I16" s="23">
        <f t="shared" si="2"/>
        <v>4.71</v>
      </c>
      <c r="J16" s="23">
        <f t="shared" si="2"/>
        <v>1.57</v>
      </c>
      <c r="K16" s="23">
        <f t="shared" si="2"/>
        <v>3.16</v>
      </c>
      <c r="L16" s="23">
        <f t="shared" si="2"/>
        <v>1.17</v>
      </c>
      <c r="M16" s="23">
        <f t="shared" si="2"/>
        <v>0.78</v>
      </c>
      <c r="N16" s="23">
        <f t="shared" si="2"/>
        <v>1.96</v>
      </c>
      <c r="O16" s="23">
        <f t="shared" si="2"/>
        <v>0.78</v>
      </c>
      <c r="P16" s="23">
        <f t="shared" si="2"/>
        <v>4.51</v>
      </c>
      <c r="R16" s="15">
        <f>SUM(F16:Q16)</f>
        <v>29.58</v>
      </c>
    </row>
    <row r="17" spans="2:18" ht="14.1" hidden="1" customHeight="1" x14ac:dyDescent="0.25">
      <c r="B17" s="468"/>
      <c r="C17" s="450"/>
      <c r="D17" s="473" t="s">
        <v>379</v>
      </c>
      <c r="E17" s="473"/>
      <c r="G17" s="116">
        <v>1.2130000000000001</v>
      </c>
      <c r="H17" s="116">
        <v>1.2130000000000001</v>
      </c>
      <c r="I17" s="116">
        <v>1.2130000000000001</v>
      </c>
      <c r="J17" s="116">
        <v>1.2130000000000001</v>
      </c>
      <c r="K17" s="116">
        <v>1.2130000000000001</v>
      </c>
      <c r="L17" s="116">
        <v>1.2130000000000001</v>
      </c>
      <c r="M17" s="116">
        <v>1.2130000000000001</v>
      </c>
      <c r="N17" s="116">
        <v>1.2130000000000001</v>
      </c>
      <c r="O17" s="116">
        <v>1.2130000000000001</v>
      </c>
      <c r="P17" s="116">
        <v>1.2130000000000001</v>
      </c>
      <c r="R17" s="18"/>
    </row>
    <row r="18" spans="2:18" ht="14.1" hidden="1" customHeight="1" x14ac:dyDescent="0.25">
      <c r="B18" s="468"/>
      <c r="C18" s="450"/>
      <c r="D18" s="473" t="s">
        <v>378</v>
      </c>
      <c r="E18" s="473"/>
      <c r="G18" s="117">
        <v>0.57920000000000005</v>
      </c>
      <c r="H18" s="117">
        <v>0.57920000000000005</v>
      </c>
      <c r="I18" s="117">
        <v>0.57920000000000005</v>
      </c>
      <c r="J18" s="117">
        <v>0.57920000000000005</v>
      </c>
      <c r="K18" s="117">
        <v>0.57920000000000005</v>
      </c>
      <c r="L18" s="117">
        <v>0.57920000000000005</v>
      </c>
      <c r="M18" s="117">
        <v>0.57920000000000005</v>
      </c>
      <c r="N18" s="117">
        <v>0.57920000000000005</v>
      </c>
      <c r="O18" s="117">
        <v>0.57920000000000005</v>
      </c>
      <c r="P18" s="117">
        <v>0.57920000000000005</v>
      </c>
      <c r="R18" s="20"/>
    </row>
    <row r="19" spans="2:18" ht="14.1" customHeight="1" x14ac:dyDescent="0.25">
      <c r="B19" s="468"/>
      <c r="C19" s="450"/>
      <c r="D19" s="450" t="s">
        <v>209</v>
      </c>
      <c r="E19" s="450"/>
      <c r="G19" s="23">
        <f>TRUNC(((G14*G15)*G17*G18),2)</f>
        <v>4.37</v>
      </c>
      <c r="H19" s="23">
        <f t="shared" ref="H19:P19" si="3">TRUNC(((H14*H15)*H17*H18),2)</f>
        <v>3.32</v>
      </c>
      <c r="I19" s="23">
        <f t="shared" si="3"/>
        <v>3.31</v>
      </c>
      <c r="J19" s="23">
        <f t="shared" si="3"/>
        <v>1.1000000000000001</v>
      </c>
      <c r="K19" s="23">
        <f t="shared" si="3"/>
        <v>2.2200000000000002</v>
      </c>
      <c r="L19" s="23">
        <f t="shared" si="3"/>
        <v>0.82</v>
      </c>
      <c r="M19" s="23">
        <f t="shared" si="3"/>
        <v>0.55000000000000004</v>
      </c>
      <c r="N19" s="23">
        <f t="shared" si="3"/>
        <v>1.37</v>
      </c>
      <c r="O19" s="23">
        <f t="shared" si="3"/>
        <v>0.55000000000000004</v>
      </c>
      <c r="P19" s="23">
        <f t="shared" si="3"/>
        <v>3.17</v>
      </c>
      <c r="R19" s="15">
        <f>SUM(F19:Q19)</f>
        <v>20.78</v>
      </c>
    </row>
    <row r="20" spans="2:18" ht="14.1" customHeight="1" x14ac:dyDescent="0.25">
      <c r="B20" s="468"/>
      <c r="C20" s="450"/>
      <c r="D20" s="11" t="s">
        <v>208</v>
      </c>
      <c r="E20" s="14">
        <f>IF('Resumo DMT''s'!$E$15&gt;30,30,'Resumo DMT''s'!$E$15)</f>
        <v>30</v>
      </c>
      <c r="G20" s="23">
        <f>TRUNC((G19*$E$20),2)</f>
        <v>131.1</v>
      </c>
      <c r="H20" s="23">
        <f t="shared" ref="H20:P20" si="4">TRUNC((H19*$E$20),2)</f>
        <v>99.6</v>
      </c>
      <c r="I20" s="23">
        <f t="shared" si="4"/>
        <v>99.3</v>
      </c>
      <c r="J20" s="23">
        <f t="shared" si="4"/>
        <v>33</v>
      </c>
      <c r="K20" s="23">
        <f t="shared" si="4"/>
        <v>66.599999999999994</v>
      </c>
      <c r="L20" s="23">
        <f t="shared" si="4"/>
        <v>24.6</v>
      </c>
      <c r="M20" s="23">
        <f t="shared" si="4"/>
        <v>16.5</v>
      </c>
      <c r="N20" s="23">
        <f t="shared" si="4"/>
        <v>41.1</v>
      </c>
      <c r="O20" s="23">
        <f t="shared" si="4"/>
        <v>16.5</v>
      </c>
      <c r="P20" s="23">
        <f t="shared" si="4"/>
        <v>95.1</v>
      </c>
      <c r="R20" s="15">
        <f>SUM(F20:Q20)</f>
        <v>623.40000000000009</v>
      </c>
    </row>
    <row r="21" spans="2:18" ht="14.1" customHeight="1" x14ac:dyDescent="0.25">
      <c r="B21" s="468"/>
      <c r="C21" s="450"/>
      <c r="D21" s="11" t="s">
        <v>208</v>
      </c>
      <c r="E21" s="14">
        <f>IF('Resumo DMT''s'!$E$15&gt;30,'Resumo DMT''s'!$E$15-30,0)</f>
        <v>25</v>
      </c>
      <c r="G21" s="23">
        <f>TRUNC((G19*$E$21),2)</f>
        <v>109.25</v>
      </c>
      <c r="H21" s="23">
        <f t="shared" ref="H21:P21" si="5">TRUNC((H19*$E$21),2)</f>
        <v>83</v>
      </c>
      <c r="I21" s="23">
        <f t="shared" si="5"/>
        <v>82.75</v>
      </c>
      <c r="J21" s="23">
        <f t="shared" si="5"/>
        <v>27.5</v>
      </c>
      <c r="K21" s="23">
        <f t="shared" si="5"/>
        <v>55.5</v>
      </c>
      <c r="L21" s="23">
        <f t="shared" si="5"/>
        <v>20.5</v>
      </c>
      <c r="M21" s="23">
        <f t="shared" si="5"/>
        <v>13.75</v>
      </c>
      <c r="N21" s="23">
        <f t="shared" si="5"/>
        <v>34.25</v>
      </c>
      <c r="O21" s="23">
        <f t="shared" si="5"/>
        <v>13.75</v>
      </c>
      <c r="P21" s="23">
        <f t="shared" si="5"/>
        <v>79.25</v>
      </c>
      <c r="R21" s="15">
        <f>SUM(F21:Q21)</f>
        <v>519.5</v>
      </c>
    </row>
    <row r="22" spans="2:18" ht="5.0999999999999996" customHeight="1" x14ac:dyDescent="0.25">
      <c r="B22" s="468"/>
    </row>
    <row r="23" spans="2:18" ht="14.1" customHeight="1" x14ac:dyDescent="0.25">
      <c r="B23" s="468"/>
      <c r="C23" s="450" t="s">
        <v>210</v>
      </c>
      <c r="D23" s="450" t="s">
        <v>558</v>
      </c>
      <c r="E23" s="450"/>
      <c r="G23" s="255">
        <v>12</v>
      </c>
      <c r="H23" s="255">
        <v>12</v>
      </c>
      <c r="I23" s="255">
        <v>12</v>
      </c>
      <c r="J23" s="255">
        <v>4</v>
      </c>
      <c r="K23" s="255">
        <v>10</v>
      </c>
      <c r="L23" s="255">
        <v>12</v>
      </c>
      <c r="M23" s="255">
        <v>2</v>
      </c>
      <c r="N23" s="255">
        <v>14</v>
      </c>
      <c r="O23" s="255">
        <v>2</v>
      </c>
      <c r="P23" s="255">
        <v>14</v>
      </c>
      <c r="R23" s="27">
        <f>SUM(F23:Q23)</f>
        <v>94</v>
      </c>
    </row>
    <row r="24" spans="2:18" ht="14.1" customHeight="1" x14ac:dyDescent="0.25">
      <c r="B24" s="468"/>
      <c r="C24" s="450"/>
      <c r="D24" s="450" t="s">
        <v>557</v>
      </c>
      <c r="E24" s="450"/>
      <c r="G24" s="254">
        <f>TRUNC(((0.2+1.8+1.2+1.8+0.2)*1.2),2)</f>
        <v>6.24</v>
      </c>
      <c r="H24" s="254">
        <f t="shared" ref="H24:P24" si="6">TRUNC(((0.2+1.8+1.2+1.8+0.2)*1.2),2)</f>
        <v>6.24</v>
      </c>
      <c r="I24" s="254">
        <f t="shared" si="6"/>
        <v>6.24</v>
      </c>
      <c r="J24" s="254">
        <f t="shared" si="6"/>
        <v>6.24</v>
      </c>
      <c r="K24" s="254">
        <f t="shared" si="6"/>
        <v>6.24</v>
      </c>
      <c r="L24" s="254">
        <f t="shared" si="6"/>
        <v>6.24</v>
      </c>
      <c r="M24" s="254">
        <f t="shared" si="6"/>
        <v>6.24</v>
      </c>
      <c r="N24" s="254">
        <f t="shared" si="6"/>
        <v>6.24</v>
      </c>
      <c r="O24" s="254">
        <f t="shared" si="6"/>
        <v>6.24</v>
      </c>
      <c r="P24" s="254">
        <f t="shared" si="6"/>
        <v>6.24</v>
      </c>
      <c r="R24" s="18"/>
    </row>
    <row r="25" spans="2:18" ht="14.1" customHeight="1" x14ac:dyDescent="0.25">
      <c r="B25" s="468"/>
      <c r="C25" s="450"/>
      <c r="D25" s="450" t="s">
        <v>211</v>
      </c>
      <c r="E25" s="450"/>
      <c r="G25" s="23">
        <f>TRUNC((G23*G24),2)</f>
        <v>74.88</v>
      </c>
      <c r="H25" s="213">
        <f t="shared" ref="H25:P25" si="7">TRUNC((H23*H24),2)</f>
        <v>74.88</v>
      </c>
      <c r="I25" s="213">
        <f t="shared" si="7"/>
        <v>74.88</v>
      </c>
      <c r="J25" s="213">
        <f t="shared" si="7"/>
        <v>24.96</v>
      </c>
      <c r="K25" s="213">
        <f t="shared" si="7"/>
        <v>62.4</v>
      </c>
      <c r="L25" s="213">
        <f t="shared" si="7"/>
        <v>74.88</v>
      </c>
      <c r="M25" s="213">
        <f t="shared" si="7"/>
        <v>12.48</v>
      </c>
      <c r="N25" s="213">
        <f t="shared" si="7"/>
        <v>87.36</v>
      </c>
      <c r="O25" s="213">
        <f t="shared" si="7"/>
        <v>12.48</v>
      </c>
      <c r="P25" s="213">
        <f t="shared" si="7"/>
        <v>87.36</v>
      </c>
      <c r="R25" s="15">
        <f>SUM(F25:Q25)</f>
        <v>586.56000000000006</v>
      </c>
    </row>
    <row r="26" spans="2:18" ht="14.1" customHeight="1" x14ac:dyDescent="0.25">
      <c r="B26" s="468"/>
      <c r="C26" s="450"/>
      <c r="D26" s="450" t="s">
        <v>178</v>
      </c>
      <c r="E26" s="450"/>
      <c r="G26" s="23">
        <v>7.0000000000000007E-2</v>
      </c>
      <c r="H26" s="23">
        <v>7.0000000000000007E-2</v>
      </c>
      <c r="I26" s="23">
        <v>7.0000000000000007E-2</v>
      </c>
      <c r="J26" s="23">
        <v>7.0000000000000007E-2</v>
      </c>
      <c r="K26" s="23">
        <v>7.0000000000000007E-2</v>
      </c>
      <c r="L26" s="23">
        <v>7.0000000000000007E-2</v>
      </c>
      <c r="M26" s="23">
        <v>7.0000000000000007E-2</v>
      </c>
      <c r="N26" s="23">
        <v>7.0000000000000007E-2</v>
      </c>
      <c r="O26" s="23">
        <v>7.0000000000000007E-2</v>
      </c>
      <c r="P26" s="23">
        <v>7.0000000000000007E-2</v>
      </c>
      <c r="R26" s="18"/>
    </row>
    <row r="27" spans="2:18" ht="14.1" hidden="1" customHeight="1" x14ac:dyDescent="0.25">
      <c r="B27" s="468"/>
      <c r="C27" s="450"/>
      <c r="D27" s="473" t="s">
        <v>380</v>
      </c>
      <c r="E27" s="473"/>
      <c r="G27" s="116">
        <v>1.2130000000000001</v>
      </c>
      <c r="H27" s="116">
        <v>1.2130000000000001</v>
      </c>
      <c r="I27" s="116">
        <v>1.2130000000000001</v>
      </c>
      <c r="J27" s="116">
        <v>1.2130000000000001</v>
      </c>
      <c r="K27" s="116">
        <v>1.2130000000000001</v>
      </c>
      <c r="L27" s="116">
        <v>1.2130000000000001</v>
      </c>
      <c r="M27" s="116">
        <v>1.2130000000000001</v>
      </c>
      <c r="N27" s="116">
        <v>1.2130000000000001</v>
      </c>
      <c r="O27" s="116">
        <v>1.2130000000000001</v>
      </c>
      <c r="P27" s="116">
        <v>1.2130000000000001</v>
      </c>
      <c r="R27" s="19"/>
    </row>
    <row r="28" spans="2:18" ht="14.1" hidden="1" customHeight="1" x14ac:dyDescent="0.25">
      <c r="B28" s="468"/>
      <c r="C28" s="450"/>
      <c r="D28" s="473" t="s">
        <v>378</v>
      </c>
      <c r="E28" s="473"/>
      <c r="G28" s="117">
        <v>0.57920000000000005</v>
      </c>
      <c r="H28" s="117">
        <v>0.57920000000000005</v>
      </c>
      <c r="I28" s="117">
        <v>0.57920000000000005</v>
      </c>
      <c r="J28" s="117">
        <v>0.57920000000000005</v>
      </c>
      <c r="K28" s="117">
        <v>0.57920000000000005</v>
      </c>
      <c r="L28" s="117">
        <v>0.57920000000000005</v>
      </c>
      <c r="M28" s="117">
        <v>0.57920000000000005</v>
      </c>
      <c r="N28" s="117">
        <v>0.57920000000000005</v>
      </c>
      <c r="O28" s="117">
        <v>0.57920000000000005</v>
      </c>
      <c r="P28" s="117">
        <v>0.57920000000000005</v>
      </c>
      <c r="R28" s="20"/>
    </row>
    <row r="29" spans="2:18" ht="14.1" customHeight="1" x14ac:dyDescent="0.25">
      <c r="B29" s="468"/>
      <c r="C29" s="450"/>
      <c r="D29" s="450" t="s">
        <v>212</v>
      </c>
      <c r="E29" s="450"/>
      <c r="G29" s="23">
        <f>TRUNC(((G25*G26)*G27*G28),2)</f>
        <v>3.68</v>
      </c>
      <c r="H29" s="23">
        <f t="shared" ref="H29:P29" si="8">TRUNC(((H25*H26)*H27*H28),2)</f>
        <v>3.68</v>
      </c>
      <c r="I29" s="23">
        <f t="shared" si="8"/>
        <v>3.68</v>
      </c>
      <c r="J29" s="23">
        <f t="shared" si="8"/>
        <v>1.22</v>
      </c>
      <c r="K29" s="23">
        <f t="shared" si="8"/>
        <v>3.06</v>
      </c>
      <c r="L29" s="23">
        <f t="shared" si="8"/>
        <v>3.68</v>
      </c>
      <c r="M29" s="23">
        <f t="shared" si="8"/>
        <v>0.61</v>
      </c>
      <c r="N29" s="23">
        <f t="shared" si="8"/>
        <v>4.29</v>
      </c>
      <c r="O29" s="23">
        <f t="shared" si="8"/>
        <v>0.61</v>
      </c>
      <c r="P29" s="23">
        <f t="shared" si="8"/>
        <v>4.29</v>
      </c>
      <c r="R29" s="15">
        <f>SUM(F29:Q29)</f>
        <v>28.8</v>
      </c>
    </row>
    <row r="30" spans="2:18" ht="14.1" customHeight="1" x14ac:dyDescent="0.25">
      <c r="B30" s="468"/>
      <c r="C30" s="450"/>
      <c r="D30" s="11" t="s">
        <v>208</v>
      </c>
      <c r="E30" s="14">
        <f>IF('Resumo DMT''s'!$E$15&gt;30,30,'Resumo DMT''s'!$E$15)</f>
        <v>30</v>
      </c>
      <c r="G30" s="23">
        <f>TRUNC((G29*$E$30),2)</f>
        <v>110.4</v>
      </c>
      <c r="H30" s="23">
        <f t="shared" ref="H30:P30" si="9">TRUNC((H29*$E$30),2)</f>
        <v>110.4</v>
      </c>
      <c r="I30" s="23">
        <f t="shared" si="9"/>
        <v>110.4</v>
      </c>
      <c r="J30" s="23">
        <f t="shared" si="9"/>
        <v>36.6</v>
      </c>
      <c r="K30" s="23">
        <f t="shared" si="9"/>
        <v>91.8</v>
      </c>
      <c r="L30" s="23">
        <f t="shared" si="9"/>
        <v>110.4</v>
      </c>
      <c r="M30" s="23">
        <f t="shared" si="9"/>
        <v>18.3</v>
      </c>
      <c r="N30" s="23">
        <f t="shared" si="9"/>
        <v>128.69999999999999</v>
      </c>
      <c r="O30" s="23">
        <f t="shared" si="9"/>
        <v>18.3</v>
      </c>
      <c r="P30" s="23">
        <f t="shared" si="9"/>
        <v>128.69999999999999</v>
      </c>
      <c r="R30" s="15">
        <f>SUM(F30:Q30)</f>
        <v>864</v>
      </c>
    </row>
    <row r="31" spans="2:18" ht="14.1" customHeight="1" x14ac:dyDescent="0.25">
      <c r="B31" s="468"/>
      <c r="C31" s="450"/>
      <c r="D31" s="11" t="s">
        <v>208</v>
      </c>
      <c r="E31" s="14">
        <f>IF('Resumo DMT''s'!$E$15&gt;30,'Resumo DMT''s'!$E$15-30,0)</f>
        <v>25</v>
      </c>
      <c r="G31" s="23">
        <f>TRUNC((G29*$E$31),2)</f>
        <v>92</v>
      </c>
      <c r="H31" s="23">
        <f t="shared" ref="H31:P31" si="10">TRUNC((H29*$E$31),2)</f>
        <v>92</v>
      </c>
      <c r="I31" s="23">
        <f t="shared" si="10"/>
        <v>92</v>
      </c>
      <c r="J31" s="23">
        <f t="shared" si="10"/>
        <v>30.5</v>
      </c>
      <c r="K31" s="23">
        <f t="shared" si="10"/>
        <v>76.5</v>
      </c>
      <c r="L31" s="23">
        <f t="shared" si="10"/>
        <v>92</v>
      </c>
      <c r="M31" s="23">
        <f t="shared" si="10"/>
        <v>15.25</v>
      </c>
      <c r="N31" s="23">
        <f t="shared" si="10"/>
        <v>107.25</v>
      </c>
      <c r="O31" s="23">
        <f t="shared" si="10"/>
        <v>15.25</v>
      </c>
      <c r="P31" s="23">
        <f t="shared" si="10"/>
        <v>107.25</v>
      </c>
      <c r="R31" s="15">
        <f>SUM(F31:Q31)</f>
        <v>720</v>
      </c>
    </row>
    <row r="32" spans="2:18" ht="5.0999999999999996" customHeight="1" x14ac:dyDescent="0.25">
      <c r="B32" s="468"/>
    </row>
    <row r="33" spans="2:18" ht="14.1" customHeight="1" x14ac:dyDescent="0.25">
      <c r="B33" s="468"/>
      <c r="C33" s="450" t="s">
        <v>213</v>
      </c>
      <c r="D33" s="450" t="s">
        <v>468</v>
      </c>
      <c r="E33" s="450"/>
      <c r="G33" s="23">
        <f>3*1.2</f>
        <v>3.5999999999999996</v>
      </c>
      <c r="H33" s="247">
        <f t="shared" ref="H33:P33" si="11">3*1.2</f>
        <v>3.5999999999999996</v>
      </c>
      <c r="I33" s="247">
        <f t="shared" si="11"/>
        <v>3.5999999999999996</v>
      </c>
      <c r="J33" s="247">
        <f t="shared" si="11"/>
        <v>3.5999999999999996</v>
      </c>
      <c r="K33" s="247">
        <f t="shared" si="11"/>
        <v>3.5999999999999996</v>
      </c>
      <c r="L33" s="247">
        <f t="shared" si="11"/>
        <v>3.5999999999999996</v>
      </c>
      <c r="M33" s="247">
        <f t="shared" si="11"/>
        <v>3.5999999999999996</v>
      </c>
      <c r="N33" s="247">
        <f t="shared" si="11"/>
        <v>3.5999999999999996</v>
      </c>
      <c r="O33" s="247">
        <f t="shared" si="11"/>
        <v>3.5999999999999996</v>
      </c>
      <c r="P33" s="247">
        <f t="shared" si="11"/>
        <v>3.5999999999999996</v>
      </c>
      <c r="R33" s="18"/>
    </row>
    <row r="34" spans="2:18" ht="14.1" customHeight="1" x14ac:dyDescent="0.25">
      <c r="B34" s="468"/>
      <c r="C34" s="450"/>
      <c r="D34" s="450" t="s">
        <v>454</v>
      </c>
      <c r="E34" s="450"/>
      <c r="G34" s="254">
        <v>0.2</v>
      </c>
      <c r="H34" s="254">
        <v>0.2</v>
      </c>
      <c r="I34" s="254">
        <v>0.2</v>
      </c>
      <c r="J34" s="254">
        <v>0.2</v>
      </c>
      <c r="K34" s="254">
        <v>0.2</v>
      </c>
      <c r="L34" s="254">
        <v>0.2</v>
      </c>
      <c r="M34" s="254">
        <v>0.2</v>
      </c>
      <c r="N34" s="254">
        <v>0.2</v>
      </c>
      <c r="O34" s="254">
        <v>0.2</v>
      </c>
      <c r="P34" s="254">
        <v>0.2</v>
      </c>
      <c r="R34" s="20"/>
    </row>
    <row r="35" spans="2:18" ht="14.1" customHeight="1" x14ac:dyDescent="0.25">
      <c r="B35" s="468"/>
      <c r="C35" s="450"/>
      <c r="D35" s="450" t="s">
        <v>559</v>
      </c>
      <c r="E35" s="450"/>
      <c r="G35" s="213">
        <f>TRUNC((G23*G33),2)</f>
        <v>43.2</v>
      </c>
      <c r="H35" s="213">
        <f t="shared" ref="H35:P35" si="12">TRUNC((H23*H33),2)</f>
        <v>43.2</v>
      </c>
      <c r="I35" s="213">
        <f t="shared" si="12"/>
        <v>43.2</v>
      </c>
      <c r="J35" s="213">
        <f t="shared" si="12"/>
        <v>14.4</v>
      </c>
      <c r="K35" s="213">
        <f t="shared" si="12"/>
        <v>36</v>
      </c>
      <c r="L35" s="213">
        <f t="shared" si="12"/>
        <v>43.2</v>
      </c>
      <c r="M35" s="213">
        <f t="shared" si="12"/>
        <v>7.2</v>
      </c>
      <c r="N35" s="213">
        <f t="shared" si="12"/>
        <v>50.4</v>
      </c>
      <c r="O35" s="213">
        <f t="shared" si="12"/>
        <v>7.2</v>
      </c>
      <c r="P35" s="213">
        <f t="shared" si="12"/>
        <v>50.4</v>
      </c>
      <c r="R35" s="215">
        <f>SUM(F35:Q35)</f>
        <v>338.4</v>
      </c>
    </row>
    <row r="36" spans="2:18" ht="14.1" customHeight="1" x14ac:dyDescent="0.25">
      <c r="B36" s="468"/>
      <c r="C36" s="450"/>
      <c r="D36" s="450" t="s">
        <v>472</v>
      </c>
      <c r="E36" s="450"/>
      <c r="G36" s="23">
        <f t="shared" ref="G36:P36" si="13">TRUNC((G23*(G33*G34)),2)</f>
        <v>8.64</v>
      </c>
      <c r="H36" s="23">
        <f t="shared" si="13"/>
        <v>8.64</v>
      </c>
      <c r="I36" s="23">
        <f t="shared" si="13"/>
        <v>8.64</v>
      </c>
      <c r="J36" s="23">
        <f t="shared" si="13"/>
        <v>2.88</v>
      </c>
      <c r="K36" s="23">
        <f t="shared" si="13"/>
        <v>7.2</v>
      </c>
      <c r="L36" s="23">
        <f t="shared" si="13"/>
        <v>8.64</v>
      </c>
      <c r="M36" s="23">
        <f t="shared" si="13"/>
        <v>1.44</v>
      </c>
      <c r="N36" s="23">
        <f t="shared" si="13"/>
        <v>10.08</v>
      </c>
      <c r="O36" s="23">
        <f t="shared" si="13"/>
        <v>1.44</v>
      </c>
      <c r="P36" s="23">
        <f t="shared" si="13"/>
        <v>10.08</v>
      </c>
      <c r="R36" s="15">
        <f>SUM(F36:Q36)</f>
        <v>67.679999999999993</v>
      </c>
    </row>
    <row r="37" spans="2:18" ht="14.1" customHeight="1" x14ac:dyDescent="0.25">
      <c r="B37" s="468"/>
      <c r="C37" s="450"/>
      <c r="D37" s="450" t="s">
        <v>214</v>
      </c>
      <c r="E37" s="450"/>
      <c r="G37" s="23">
        <f>TRUNC(((G36*0.025)*1.5),2)</f>
        <v>0.32</v>
      </c>
      <c r="H37" s="23">
        <f t="shared" ref="H37:P37" si="14">TRUNC(((H36*0.025)*1.5),2)</f>
        <v>0.32</v>
      </c>
      <c r="I37" s="23">
        <f t="shared" si="14"/>
        <v>0.32</v>
      </c>
      <c r="J37" s="23">
        <f t="shared" si="14"/>
        <v>0.1</v>
      </c>
      <c r="K37" s="23">
        <f t="shared" si="14"/>
        <v>0.27</v>
      </c>
      <c r="L37" s="23">
        <f t="shared" si="14"/>
        <v>0.32</v>
      </c>
      <c r="M37" s="23">
        <f t="shared" si="14"/>
        <v>0.05</v>
      </c>
      <c r="N37" s="23">
        <f t="shared" si="14"/>
        <v>0.37</v>
      </c>
      <c r="O37" s="23">
        <f t="shared" si="14"/>
        <v>0.05</v>
      </c>
      <c r="P37" s="23">
        <f t="shared" si="14"/>
        <v>0.37</v>
      </c>
      <c r="R37" s="15">
        <f>SUM(F37:Q37)</f>
        <v>2.4900000000000002</v>
      </c>
    </row>
    <row r="38" spans="2:18" ht="14.1" customHeight="1" x14ac:dyDescent="0.25">
      <c r="B38" s="468"/>
      <c r="C38" s="450"/>
      <c r="D38" s="11" t="s">
        <v>326</v>
      </c>
      <c r="E38" s="14">
        <f>IF('Resumo DMT''s'!$E$20&gt;30,30,'Resumo DMT''s'!$E$20)</f>
        <v>30</v>
      </c>
      <c r="G38" s="23">
        <f>TRUNC((G37*$E$38),2)</f>
        <v>9.6</v>
      </c>
      <c r="H38" s="23">
        <f t="shared" ref="H38:P38" si="15">TRUNC((H37*$E$38),2)</f>
        <v>9.6</v>
      </c>
      <c r="I38" s="23">
        <f t="shared" si="15"/>
        <v>9.6</v>
      </c>
      <c r="J38" s="23">
        <f t="shared" si="15"/>
        <v>3</v>
      </c>
      <c r="K38" s="23">
        <f t="shared" si="15"/>
        <v>8.1</v>
      </c>
      <c r="L38" s="23">
        <f t="shared" si="15"/>
        <v>9.6</v>
      </c>
      <c r="M38" s="23">
        <f t="shared" si="15"/>
        <v>1.5</v>
      </c>
      <c r="N38" s="23">
        <f t="shared" si="15"/>
        <v>11.1</v>
      </c>
      <c r="O38" s="23">
        <f t="shared" si="15"/>
        <v>1.5</v>
      </c>
      <c r="P38" s="23">
        <f t="shared" si="15"/>
        <v>11.1</v>
      </c>
      <c r="R38" s="15">
        <f>SUM(F38:Q38)</f>
        <v>74.7</v>
      </c>
    </row>
    <row r="39" spans="2:18" ht="14.1" customHeight="1" x14ac:dyDescent="0.25">
      <c r="B39" s="469"/>
      <c r="C39" s="450"/>
      <c r="D39" s="11" t="s">
        <v>327</v>
      </c>
      <c r="E39" s="14">
        <f>IF('Resumo DMT''s'!$E$20&gt;30,'Resumo DMT''s'!$E$20-30,0)</f>
        <v>229</v>
      </c>
      <c r="G39" s="23">
        <f>TRUNC((G37*$E$39),2)</f>
        <v>73.28</v>
      </c>
      <c r="H39" s="23">
        <f t="shared" ref="H39:P39" si="16">TRUNC((H37*$E$39),2)</f>
        <v>73.28</v>
      </c>
      <c r="I39" s="23">
        <f t="shared" si="16"/>
        <v>73.28</v>
      </c>
      <c r="J39" s="23">
        <f t="shared" si="16"/>
        <v>22.9</v>
      </c>
      <c r="K39" s="23">
        <f t="shared" si="16"/>
        <v>61.83</v>
      </c>
      <c r="L39" s="23">
        <f t="shared" si="16"/>
        <v>73.28</v>
      </c>
      <c r="M39" s="23">
        <f t="shared" si="16"/>
        <v>11.45</v>
      </c>
      <c r="N39" s="23">
        <f t="shared" si="16"/>
        <v>84.73</v>
      </c>
      <c r="O39" s="23">
        <f t="shared" si="16"/>
        <v>11.45</v>
      </c>
      <c r="P39" s="23">
        <f t="shared" si="16"/>
        <v>84.73</v>
      </c>
      <c r="R39" s="15">
        <f>SUM(F39:Q39)</f>
        <v>570.21</v>
      </c>
    </row>
  </sheetData>
  <mergeCells count="26">
    <mergeCell ref="D12:E12"/>
    <mergeCell ref="D17:E17"/>
    <mergeCell ref="D14:E14"/>
    <mergeCell ref="B8:E8"/>
    <mergeCell ref="C10:E10"/>
    <mergeCell ref="C12:C21"/>
    <mergeCell ref="D13:E13"/>
    <mergeCell ref="D19:E19"/>
    <mergeCell ref="B10:B39"/>
    <mergeCell ref="C33:C39"/>
    <mergeCell ref="D33:E33"/>
    <mergeCell ref="D37:E37"/>
    <mergeCell ref="C23:C31"/>
    <mergeCell ref="D23:E23"/>
    <mergeCell ref="D34:E34"/>
    <mergeCell ref="D36:E36"/>
    <mergeCell ref="D35:E35"/>
    <mergeCell ref="D18:E18"/>
    <mergeCell ref="D15:E15"/>
    <mergeCell ref="D26:E26"/>
    <mergeCell ref="D28:E28"/>
    <mergeCell ref="D29:E29"/>
    <mergeCell ref="D25:E25"/>
    <mergeCell ref="D27:E27"/>
    <mergeCell ref="D16:E16"/>
    <mergeCell ref="D24:E24"/>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4">
    <tabColor rgb="FF00B050"/>
  </sheetPr>
  <dimension ref="B1:U32"/>
  <sheetViews>
    <sheetView showGridLines="0" view="pageBreakPreview" zoomScaleSheetLayoutView="100" workbookViewId="0">
      <pane ySplit="8" topLeftCell="A9" activePane="bottomLeft" state="frozen"/>
      <selection activeCell="M24" sqref="M24"/>
      <selection pane="bottomLeft" activeCell="M24" sqref="M24"/>
    </sheetView>
  </sheetViews>
  <sheetFormatPr defaultRowHeight="12.75" x14ac:dyDescent="0.25"/>
  <cols>
    <col min="1" max="1" width="1.7109375" style="4" customWidth="1"/>
    <col min="2" max="2" width="11.7109375" style="4" customWidth="1"/>
    <col min="3" max="3" width="15.7109375" style="4" customWidth="1"/>
    <col min="4" max="4" width="12.7109375" style="4" customWidth="1"/>
    <col min="5" max="5" width="15.7109375" style="4" customWidth="1"/>
    <col min="6" max="6" width="20.7109375" style="4" customWidth="1"/>
    <col min="7" max="7" width="1.7109375" style="4" customWidth="1"/>
    <col min="8" max="8" width="12.7109375" style="4" customWidth="1"/>
    <col min="9" max="17" width="10.7109375" style="4" customWidth="1"/>
    <col min="18" max="18" width="1.7109375" style="4" customWidth="1"/>
    <col min="19" max="19" width="10.7109375" style="4" customWidth="1"/>
    <col min="20" max="16384" width="9.140625" style="4"/>
  </cols>
  <sheetData>
    <row r="1" spans="2:21" ht="5.0999999999999996" customHeight="1" x14ac:dyDescent="0.25"/>
    <row r="2" spans="2:21" ht="14.1" customHeight="1" x14ac:dyDescent="0.25">
      <c r="B2" s="100" t="str">
        <f>DADOS!$B$3</f>
        <v>CLIENTE:</v>
      </c>
      <c r="C2" s="81" t="str">
        <f>DADOS!$C$3</f>
        <v>PREFEITURA MUNICIPAL DE JARDIM / MS</v>
      </c>
      <c r="D2" s="34"/>
      <c r="E2" s="34"/>
      <c r="F2" s="34"/>
      <c r="G2" s="34"/>
      <c r="H2" s="34"/>
      <c r="I2" s="34"/>
      <c r="J2" s="34"/>
      <c r="K2" s="34"/>
      <c r="L2" s="34"/>
      <c r="M2" s="34"/>
      <c r="N2" s="34"/>
      <c r="O2" s="44"/>
      <c r="P2" s="34"/>
      <c r="Q2" s="34"/>
      <c r="R2" s="34"/>
      <c r="S2" s="44"/>
    </row>
    <row r="3" spans="2:21" ht="14.1" customHeight="1" x14ac:dyDescent="0.25">
      <c r="B3" s="101" t="str">
        <f>DADOS!$B$4</f>
        <v>ENDEREÇO:</v>
      </c>
      <c r="C3" s="82" t="str">
        <f>DADOS!$C$4</f>
        <v>RUA CEL. JUVÊNCIO, Nº 547 - CENTRO</v>
      </c>
      <c r="O3" s="45"/>
      <c r="S3" s="45"/>
    </row>
    <row r="4" spans="2:21" ht="14.1" customHeight="1" x14ac:dyDescent="0.2">
      <c r="B4" s="83"/>
      <c r="C4" s="82"/>
      <c r="O4" s="45"/>
      <c r="S4" s="45"/>
    </row>
    <row r="5" spans="2:21" ht="14.1" customHeight="1" x14ac:dyDescent="0.25">
      <c r="B5" s="101" t="str">
        <f>DADOS!$B$7</f>
        <v>OBRA:</v>
      </c>
      <c r="C5" s="82" t="str">
        <f>DADOS!$C$7</f>
        <v>PAVIMENTAÇÃO ASFÁLTICA E DRENAGEM DE ÁGUAS PLUVIAIS</v>
      </c>
      <c r="O5" s="45"/>
      <c r="S5" s="45"/>
    </row>
    <row r="6" spans="2:21" ht="14.1" customHeight="1" x14ac:dyDescent="0.25">
      <c r="B6" s="84" t="str">
        <f>DADOS!$B$8</f>
        <v>LOCAL:</v>
      </c>
      <c r="C6" s="85" t="str">
        <f>DADOS!$C$8</f>
        <v>JARDIM PREVISUL, JARDIM / MS</v>
      </c>
      <c r="D6" s="46"/>
      <c r="E6" s="46"/>
      <c r="F6" s="46"/>
      <c r="G6" s="46"/>
      <c r="H6" s="46"/>
      <c r="I6" s="46"/>
      <c r="J6" s="46"/>
      <c r="K6" s="46"/>
      <c r="L6" s="46"/>
      <c r="M6" s="46"/>
      <c r="N6" s="46"/>
      <c r="O6" s="47"/>
      <c r="P6" s="46"/>
      <c r="Q6" s="46"/>
      <c r="R6" s="46"/>
      <c r="S6" s="47"/>
    </row>
    <row r="7" spans="2:21" ht="5.0999999999999996" customHeight="1" x14ac:dyDescent="0.25"/>
    <row r="8" spans="2:21" ht="39.950000000000003" customHeight="1" x14ac:dyDescent="0.25">
      <c r="B8" s="470" t="s">
        <v>147</v>
      </c>
      <c r="C8" s="471"/>
      <c r="D8" s="471"/>
      <c r="E8" s="471"/>
      <c r="F8" s="459"/>
      <c r="H8" s="13" t="str">
        <f>'Pav-Terrapl'!G8</f>
        <v>RUA FERNANDO AUGUSTO DE FREITAS</v>
      </c>
      <c r="I8" s="13" t="str">
        <f>'Pav-Terrapl'!H8</f>
        <v>RUA JASMIM</v>
      </c>
      <c r="J8" s="13" t="str">
        <f>'Pav-Terrapl'!I8</f>
        <v>RUA MAGNÓLIA</v>
      </c>
      <c r="K8" s="13" t="str">
        <f>'Pav-Terrapl'!J8</f>
        <v>RUA DAS ROSAS</v>
      </c>
      <c r="L8" s="13" t="str">
        <f>'Pav-Terrapl'!K8</f>
        <v>RUA TEODORINA GONÇALVES</v>
      </c>
      <c r="M8" s="13" t="str">
        <f>'Pav-Terrapl'!L8</f>
        <v>RUA PRIMAVERA</v>
      </c>
      <c r="N8" s="13" t="str">
        <f>'Pav-Terrapl'!M8</f>
        <v>RUA HERMES DA FONSECA</v>
      </c>
      <c r="O8" s="13" t="str">
        <f>'Pav-Terrapl'!N8</f>
        <v>RUA GARDENIA</v>
      </c>
      <c r="P8" s="13" t="str">
        <f>'Pav-Terrapl'!O8</f>
        <v xml:space="preserve">RUA BRÁS </v>
      </c>
      <c r="Q8" s="13" t="str">
        <f>'Pav-Terrapl'!P8</f>
        <v>RUA DOS HERÓIS</v>
      </c>
      <c r="S8" s="13" t="s">
        <v>5</v>
      </c>
    </row>
    <row r="9" spans="2:21" ht="5.0999999999999996" customHeight="1" x14ac:dyDescent="0.25"/>
    <row r="10" spans="2:21" ht="14.1" customHeight="1" x14ac:dyDescent="0.25">
      <c r="B10" s="467" t="s">
        <v>186</v>
      </c>
      <c r="C10" s="459" t="s">
        <v>187</v>
      </c>
      <c r="D10" s="450" t="s">
        <v>192</v>
      </c>
      <c r="E10" s="11" t="s">
        <v>190</v>
      </c>
      <c r="F10" s="11" t="s">
        <v>64</v>
      </c>
      <c r="H10" s="254">
        <v>30</v>
      </c>
      <c r="I10" s="254">
        <f>6*30</f>
        <v>180</v>
      </c>
      <c r="J10" s="254">
        <v>180</v>
      </c>
      <c r="K10" s="254">
        <v>60</v>
      </c>
      <c r="L10" s="254">
        <v>30</v>
      </c>
      <c r="M10" s="254">
        <v>30</v>
      </c>
      <c r="N10" s="254">
        <v>26.04</v>
      </c>
      <c r="O10" s="254">
        <v>30</v>
      </c>
      <c r="P10" s="254">
        <v>26.17</v>
      </c>
      <c r="Q10" s="254">
        <v>102.42</v>
      </c>
      <c r="S10" s="15">
        <f>SUM(G10:R10)</f>
        <v>694.62999999999988</v>
      </c>
    </row>
    <row r="11" spans="2:21" ht="14.1" customHeight="1" x14ac:dyDescent="0.25">
      <c r="B11" s="468"/>
      <c r="C11" s="459"/>
      <c r="D11" s="450"/>
      <c r="E11" s="450" t="s">
        <v>191</v>
      </c>
      <c r="F11" s="11" t="s">
        <v>64</v>
      </c>
      <c r="H11" s="254">
        <v>120.06</v>
      </c>
      <c r="I11" s="254">
        <v>300.11</v>
      </c>
      <c r="J11" s="254">
        <v>299.32</v>
      </c>
      <c r="K11" s="254">
        <v>98.37</v>
      </c>
      <c r="L11" s="254">
        <v>132.01</v>
      </c>
      <c r="M11" s="254">
        <v>196.28</v>
      </c>
      <c r="N11" s="254">
        <v>0</v>
      </c>
      <c r="O11" s="254">
        <v>197.93</v>
      </c>
      <c r="P11" s="254">
        <v>0</v>
      </c>
      <c r="Q11" s="254">
        <v>579.82000000000005</v>
      </c>
      <c r="S11" s="15">
        <f>SUM(G11:R11)</f>
        <v>1923.9</v>
      </c>
    </row>
    <row r="12" spans="2:21" ht="14.1" customHeight="1" x14ac:dyDescent="0.25">
      <c r="B12" s="468"/>
      <c r="C12" s="459"/>
      <c r="D12" s="450"/>
      <c r="E12" s="450"/>
      <c r="F12" s="11" t="s">
        <v>189</v>
      </c>
      <c r="H12" s="257">
        <v>0.5</v>
      </c>
      <c r="I12" s="257">
        <v>0.5</v>
      </c>
      <c r="J12" s="257">
        <v>0.5</v>
      </c>
      <c r="K12" s="257">
        <v>0.5</v>
      </c>
      <c r="L12" s="257">
        <v>0.5</v>
      </c>
      <c r="M12" s="257">
        <v>0.5</v>
      </c>
      <c r="N12" s="257">
        <v>0.5</v>
      </c>
      <c r="O12" s="257">
        <v>0.5</v>
      </c>
      <c r="P12" s="257">
        <v>0.5</v>
      </c>
      <c r="Q12" s="257">
        <v>0.5</v>
      </c>
      <c r="S12" s="20"/>
      <c r="U12" s="115"/>
    </row>
    <row r="13" spans="2:21" ht="14.1" customHeight="1" x14ac:dyDescent="0.25">
      <c r="B13" s="468"/>
      <c r="C13" s="459"/>
      <c r="D13" s="450"/>
      <c r="E13" s="450"/>
      <c r="F13" s="11" t="s">
        <v>556</v>
      </c>
      <c r="H13" s="254">
        <f>TRUNC((H11*H12),2)</f>
        <v>60.03</v>
      </c>
      <c r="I13" s="254">
        <f t="shared" ref="I13:Q13" si="0">TRUNC((I11*I12),2)</f>
        <v>150.05000000000001</v>
      </c>
      <c r="J13" s="254">
        <f t="shared" si="0"/>
        <v>149.66</v>
      </c>
      <c r="K13" s="254">
        <f t="shared" si="0"/>
        <v>49.18</v>
      </c>
      <c r="L13" s="254">
        <f t="shared" si="0"/>
        <v>66</v>
      </c>
      <c r="M13" s="254">
        <f t="shared" si="0"/>
        <v>98.14</v>
      </c>
      <c r="N13" s="254">
        <f t="shared" si="0"/>
        <v>0</v>
      </c>
      <c r="O13" s="254">
        <f t="shared" si="0"/>
        <v>98.96</v>
      </c>
      <c r="P13" s="254">
        <f t="shared" si="0"/>
        <v>0</v>
      </c>
      <c r="Q13" s="254">
        <f t="shared" si="0"/>
        <v>289.91000000000003</v>
      </c>
      <c r="S13" s="15">
        <f>SUM(G13:R13)</f>
        <v>961.93000000000006</v>
      </c>
    </row>
    <row r="14" spans="2:21" ht="5.0999999999999996" customHeight="1" x14ac:dyDescent="0.25">
      <c r="B14" s="468"/>
      <c r="H14" s="258"/>
      <c r="I14" s="258"/>
      <c r="J14" s="258"/>
      <c r="K14" s="258"/>
      <c r="L14" s="258"/>
      <c r="M14" s="258"/>
      <c r="N14" s="258"/>
      <c r="O14" s="258"/>
      <c r="P14" s="258"/>
      <c r="Q14" s="258"/>
    </row>
    <row r="15" spans="2:21" ht="14.1" customHeight="1" x14ac:dyDescent="0.25">
      <c r="B15" s="468"/>
      <c r="C15" s="459" t="s">
        <v>193</v>
      </c>
      <c r="D15" s="450" t="s">
        <v>198</v>
      </c>
      <c r="E15" s="450"/>
      <c r="F15" s="11" t="s">
        <v>194</v>
      </c>
      <c r="H15" s="255">
        <v>1</v>
      </c>
      <c r="I15" s="255">
        <v>6</v>
      </c>
      <c r="J15" s="255">
        <v>6</v>
      </c>
      <c r="K15" s="255">
        <v>2</v>
      </c>
      <c r="L15" s="255">
        <v>1</v>
      </c>
      <c r="M15" s="255">
        <v>1</v>
      </c>
      <c r="N15" s="255">
        <v>1</v>
      </c>
      <c r="O15" s="255">
        <v>1</v>
      </c>
      <c r="P15" s="255">
        <v>1</v>
      </c>
      <c r="Q15" s="255">
        <v>1</v>
      </c>
      <c r="S15" s="27">
        <f>SUM(G15:R15)</f>
        <v>21</v>
      </c>
    </row>
    <row r="16" spans="2:21" ht="14.1" customHeight="1" x14ac:dyDescent="0.25">
      <c r="B16" s="468"/>
      <c r="C16" s="459"/>
      <c r="D16" s="450"/>
      <c r="E16" s="450"/>
      <c r="F16" s="11" t="s">
        <v>195</v>
      </c>
      <c r="H16" s="254">
        <v>2.92</v>
      </c>
      <c r="I16" s="254">
        <v>2.92</v>
      </c>
      <c r="J16" s="254">
        <v>2.92</v>
      </c>
      <c r="K16" s="254">
        <v>2.92</v>
      </c>
      <c r="L16" s="254">
        <v>2.92</v>
      </c>
      <c r="M16" s="254">
        <v>2.92</v>
      </c>
      <c r="N16" s="254">
        <v>2.92</v>
      </c>
      <c r="O16" s="254">
        <v>2.92</v>
      </c>
      <c r="P16" s="254">
        <v>2.92</v>
      </c>
      <c r="Q16" s="254">
        <v>2.92</v>
      </c>
      <c r="S16" s="36"/>
    </row>
    <row r="17" spans="2:19" ht="14.1" customHeight="1" x14ac:dyDescent="0.25">
      <c r="B17" s="468"/>
      <c r="C17" s="459"/>
      <c r="D17" s="450"/>
      <c r="E17" s="450"/>
      <c r="F17" s="11" t="s">
        <v>188</v>
      </c>
      <c r="H17" s="254">
        <f>TRUNC((H15*H16),2)</f>
        <v>2.92</v>
      </c>
      <c r="I17" s="254">
        <f t="shared" ref="I17:Q17" si="1">TRUNC((I15*I16),2)</f>
        <v>17.52</v>
      </c>
      <c r="J17" s="254">
        <f t="shared" si="1"/>
        <v>17.52</v>
      </c>
      <c r="K17" s="254">
        <f t="shared" si="1"/>
        <v>5.84</v>
      </c>
      <c r="L17" s="254">
        <f t="shared" si="1"/>
        <v>2.92</v>
      </c>
      <c r="M17" s="254">
        <f t="shared" si="1"/>
        <v>2.92</v>
      </c>
      <c r="N17" s="254">
        <f t="shared" si="1"/>
        <v>2.92</v>
      </c>
      <c r="O17" s="254">
        <f t="shared" si="1"/>
        <v>2.92</v>
      </c>
      <c r="P17" s="254">
        <f t="shared" si="1"/>
        <v>2.92</v>
      </c>
      <c r="Q17" s="254">
        <f t="shared" si="1"/>
        <v>2.92</v>
      </c>
      <c r="S17" s="15">
        <f>SUM(G17:R17)</f>
        <v>61.320000000000007</v>
      </c>
    </row>
    <row r="18" spans="2:19" ht="14.1" customHeight="1" x14ac:dyDescent="0.25">
      <c r="B18" s="468"/>
      <c r="C18" s="459"/>
      <c r="D18" s="450" t="s">
        <v>196</v>
      </c>
      <c r="E18" s="450"/>
      <c r="F18" s="11" t="s">
        <v>64</v>
      </c>
      <c r="H18" s="254">
        <v>5.48</v>
      </c>
      <c r="I18" s="254">
        <v>26.97</v>
      </c>
      <c r="J18" s="254">
        <v>28.15</v>
      </c>
      <c r="K18" s="254">
        <v>8.9600000000000009</v>
      </c>
      <c r="L18" s="254">
        <v>4.6500000000000004</v>
      </c>
      <c r="M18" s="254">
        <v>3.69</v>
      </c>
      <c r="N18" s="254">
        <v>5.2</v>
      </c>
      <c r="O18" s="254">
        <v>4.7</v>
      </c>
      <c r="P18" s="254">
        <v>5.17</v>
      </c>
      <c r="Q18" s="254">
        <v>5.09</v>
      </c>
      <c r="S18" s="15">
        <f>SUM(G18:R18)</f>
        <v>98.060000000000016</v>
      </c>
    </row>
    <row r="19" spans="2:19" ht="14.1" customHeight="1" x14ac:dyDescent="0.25">
      <c r="B19" s="468"/>
      <c r="C19" s="459"/>
      <c r="D19" s="450"/>
      <c r="E19" s="450"/>
      <c r="F19" s="11" t="s">
        <v>178</v>
      </c>
      <c r="H19" s="254">
        <v>0.4</v>
      </c>
      <c r="I19" s="254">
        <v>0.4</v>
      </c>
      <c r="J19" s="254">
        <v>0.4</v>
      </c>
      <c r="K19" s="254">
        <v>0.4</v>
      </c>
      <c r="L19" s="254">
        <v>0.4</v>
      </c>
      <c r="M19" s="254">
        <v>0.4</v>
      </c>
      <c r="N19" s="254">
        <v>0.4</v>
      </c>
      <c r="O19" s="254">
        <v>0.4</v>
      </c>
      <c r="P19" s="254">
        <v>0.4</v>
      </c>
      <c r="Q19" s="254">
        <v>0.4</v>
      </c>
      <c r="S19" s="36"/>
    </row>
    <row r="20" spans="2:19" ht="14.1" customHeight="1" x14ac:dyDescent="0.25">
      <c r="B20" s="468"/>
      <c r="C20" s="459"/>
      <c r="D20" s="450"/>
      <c r="E20" s="450"/>
      <c r="F20" s="11" t="s">
        <v>188</v>
      </c>
      <c r="H20" s="254">
        <f>TRUNC((H18*H19),2)</f>
        <v>2.19</v>
      </c>
      <c r="I20" s="254">
        <f t="shared" ref="I20:Q20" si="2">TRUNC((I18*I19),2)</f>
        <v>10.78</v>
      </c>
      <c r="J20" s="254">
        <f t="shared" si="2"/>
        <v>11.26</v>
      </c>
      <c r="K20" s="254">
        <f t="shared" si="2"/>
        <v>3.58</v>
      </c>
      <c r="L20" s="254">
        <f t="shared" si="2"/>
        <v>1.86</v>
      </c>
      <c r="M20" s="254">
        <f t="shared" si="2"/>
        <v>1.47</v>
      </c>
      <c r="N20" s="254">
        <f t="shared" si="2"/>
        <v>2.08</v>
      </c>
      <c r="O20" s="254">
        <f t="shared" si="2"/>
        <v>1.88</v>
      </c>
      <c r="P20" s="254">
        <f t="shared" si="2"/>
        <v>2.06</v>
      </c>
      <c r="Q20" s="254">
        <f t="shared" si="2"/>
        <v>2.0299999999999998</v>
      </c>
      <c r="S20" s="15">
        <f>SUM(G20:R20)</f>
        <v>39.19</v>
      </c>
    </row>
    <row r="21" spans="2:19" ht="14.1" customHeight="1" x14ac:dyDescent="0.25">
      <c r="B21" s="468"/>
      <c r="C21" s="459"/>
      <c r="D21" s="450" t="s">
        <v>197</v>
      </c>
      <c r="E21" s="450"/>
      <c r="F21" s="11" t="s">
        <v>194</v>
      </c>
      <c r="H21" s="255">
        <v>4</v>
      </c>
      <c r="I21" s="255">
        <v>6</v>
      </c>
      <c r="J21" s="255">
        <v>6</v>
      </c>
      <c r="K21" s="255">
        <v>2</v>
      </c>
      <c r="L21" s="255">
        <v>4</v>
      </c>
      <c r="M21" s="255">
        <v>6</v>
      </c>
      <c r="N21" s="255">
        <v>0</v>
      </c>
      <c r="O21" s="255">
        <v>6</v>
      </c>
      <c r="P21" s="255">
        <v>0</v>
      </c>
      <c r="Q21" s="255">
        <v>10</v>
      </c>
      <c r="S21" s="27">
        <f>SUM(G21:R21)</f>
        <v>44</v>
      </c>
    </row>
    <row r="22" spans="2:19" ht="14.1" customHeight="1" x14ac:dyDescent="0.25">
      <c r="B22" s="468"/>
      <c r="C22" s="459"/>
      <c r="D22" s="450"/>
      <c r="E22" s="450"/>
      <c r="F22" s="11" t="s">
        <v>195</v>
      </c>
      <c r="H22" s="254">
        <v>1.0900000000000001</v>
      </c>
      <c r="I22" s="254">
        <v>1.0900000000000001</v>
      </c>
      <c r="J22" s="254">
        <v>1.0900000000000001</v>
      </c>
      <c r="K22" s="254">
        <v>1.0900000000000001</v>
      </c>
      <c r="L22" s="254">
        <v>1.0900000000000001</v>
      </c>
      <c r="M22" s="254">
        <v>1.0900000000000001</v>
      </c>
      <c r="N22" s="254">
        <v>1.0900000000000001</v>
      </c>
      <c r="O22" s="254">
        <v>1.0900000000000001</v>
      </c>
      <c r="P22" s="254">
        <v>1.0900000000000001</v>
      </c>
      <c r="Q22" s="254">
        <v>1.0900000000000001</v>
      </c>
      <c r="S22" s="36"/>
    </row>
    <row r="23" spans="2:19" ht="14.1" customHeight="1" x14ac:dyDescent="0.25">
      <c r="B23" s="468"/>
      <c r="C23" s="459"/>
      <c r="D23" s="450"/>
      <c r="E23" s="450"/>
      <c r="F23" s="11" t="s">
        <v>188</v>
      </c>
      <c r="H23" s="254">
        <f>TRUNC((H21*H22),2)</f>
        <v>4.3600000000000003</v>
      </c>
      <c r="I23" s="254">
        <f t="shared" ref="I23:Q23" si="3">TRUNC((I21*I22),2)</f>
        <v>6.54</v>
      </c>
      <c r="J23" s="254">
        <f t="shared" si="3"/>
        <v>6.54</v>
      </c>
      <c r="K23" s="254">
        <f t="shared" si="3"/>
        <v>2.1800000000000002</v>
      </c>
      <c r="L23" s="254">
        <f t="shared" si="3"/>
        <v>4.3600000000000003</v>
      </c>
      <c r="M23" s="254">
        <f t="shared" si="3"/>
        <v>6.54</v>
      </c>
      <c r="N23" s="254">
        <f t="shared" si="3"/>
        <v>0</v>
      </c>
      <c r="O23" s="254">
        <f t="shared" si="3"/>
        <v>6.54</v>
      </c>
      <c r="P23" s="254">
        <f t="shared" si="3"/>
        <v>0</v>
      </c>
      <c r="Q23" s="254">
        <f t="shared" si="3"/>
        <v>10.9</v>
      </c>
      <c r="S23" s="15">
        <f>SUM(G23:R23)</f>
        <v>47.96</v>
      </c>
    </row>
    <row r="24" spans="2:19" ht="5.0999999999999996" customHeight="1" x14ac:dyDescent="0.25">
      <c r="B24" s="468"/>
      <c r="H24" s="258"/>
      <c r="I24" s="258"/>
      <c r="J24" s="258"/>
      <c r="K24" s="258"/>
      <c r="L24" s="258"/>
      <c r="M24" s="258"/>
      <c r="N24" s="258"/>
      <c r="O24" s="258"/>
      <c r="P24" s="258"/>
      <c r="Q24" s="258"/>
    </row>
    <row r="25" spans="2:19" ht="14.1" customHeight="1" x14ac:dyDescent="0.25">
      <c r="B25" s="468"/>
      <c r="C25" s="459" t="s">
        <v>199</v>
      </c>
      <c r="D25" s="450" t="s">
        <v>198</v>
      </c>
      <c r="E25" s="450"/>
      <c r="F25" s="11" t="s">
        <v>194</v>
      </c>
      <c r="H25" s="255">
        <v>1</v>
      </c>
      <c r="I25" s="255">
        <v>6</v>
      </c>
      <c r="J25" s="255">
        <v>6</v>
      </c>
      <c r="K25" s="255">
        <v>2</v>
      </c>
      <c r="L25" s="255">
        <v>1</v>
      </c>
      <c r="M25" s="255">
        <v>1</v>
      </c>
      <c r="N25" s="255">
        <v>1</v>
      </c>
      <c r="O25" s="255">
        <v>1</v>
      </c>
      <c r="P25" s="255">
        <v>1</v>
      </c>
      <c r="Q25" s="255">
        <v>1</v>
      </c>
      <c r="S25" s="27">
        <f>SUM(G25:R25)</f>
        <v>21</v>
      </c>
    </row>
    <row r="26" spans="2:19" ht="14.1" customHeight="1" x14ac:dyDescent="0.25">
      <c r="B26" s="468"/>
      <c r="C26" s="459"/>
      <c r="D26" s="450"/>
      <c r="E26" s="450"/>
      <c r="F26" s="11" t="s">
        <v>195</v>
      </c>
      <c r="H26" s="254">
        <v>0.36</v>
      </c>
      <c r="I26" s="254">
        <v>0.36</v>
      </c>
      <c r="J26" s="254">
        <v>0.36</v>
      </c>
      <c r="K26" s="254">
        <v>0.36</v>
      </c>
      <c r="L26" s="254">
        <v>0.36</v>
      </c>
      <c r="M26" s="254">
        <v>0.36</v>
      </c>
      <c r="N26" s="254">
        <v>0.36</v>
      </c>
      <c r="O26" s="254">
        <v>0.36</v>
      </c>
      <c r="P26" s="254">
        <v>0.36</v>
      </c>
      <c r="Q26" s="254">
        <v>0.36</v>
      </c>
      <c r="S26" s="36"/>
    </row>
    <row r="27" spans="2:19" ht="14.1" customHeight="1" x14ac:dyDescent="0.25">
      <c r="B27" s="468"/>
      <c r="C27" s="459"/>
      <c r="D27" s="450" t="s">
        <v>200</v>
      </c>
      <c r="E27" s="450"/>
      <c r="F27" s="11" t="s">
        <v>194</v>
      </c>
      <c r="H27" s="255">
        <v>4</v>
      </c>
      <c r="I27" s="255">
        <v>6</v>
      </c>
      <c r="J27" s="255">
        <v>6</v>
      </c>
      <c r="K27" s="255">
        <v>2</v>
      </c>
      <c r="L27" s="255">
        <v>4</v>
      </c>
      <c r="M27" s="255">
        <v>6</v>
      </c>
      <c r="N27" s="255">
        <v>0</v>
      </c>
      <c r="O27" s="255">
        <v>6</v>
      </c>
      <c r="P27" s="255">
        <v>0</v>
      </c>
      <c r="Q27" s="255">
        <v>10</v>
      </c>
      <c r="S27" s="27">
        <f>SUM(G27:R27)</f>
        <v>44</v>
      </c>
    </row>
    <row r="28" spans="2:19" ht="14.1" customHeight="1" x14ac:dyDescent="0.25">
      <c r="B28" s="468"/>
      <c r="C28" s="459"/>
      <c r="D28" s="450"/>
      <c r="E28" s="450"/>
      <c r="F28" s="11" t="s">
        <v>195</v>
      </c>
      <c r="H28" s="254">
        <v>0.36</v>
      </c>
      <c r="I28" s="254">
        <v>0.36</v>
      </c>
      <c r="J28" s="254">
        <v>0.36</v>
      </c>
      <c r="K28" s="254">
        <v>0.36</v>
      </c>
      <c r="L28" s="254">
        <v>0.36</v>
      </c>
      <c r="M28" s="254">
        <v>0.36</v>
      </c>
      <c r="N28" s="254">
        <v>0.36</v>
      </c>
      <c r="O28" s="254">
        <v>0.36</v>
      </c>
      <c r="P28" s="254">
        <v>0.36</v>
      </c>
      <c r="Q28" s="254">
        <v>0.36</v>
      </c>
      <c r="S28" s="36"/>
    </row>
    <row r="29" spans="2:19" ht="14.1" customHeight="1" x14ac:dyDescent="0.25">
      <c r="B29" s="468"/>
      <c r="C29" s="459" t="s">
        <v>201</v>
      </c>
      <c r="D29" s="450"/>
      <c r="E29" s="450"/>
      <c r="F29" s="11" t="s">
        <v>194</v>
      </c>
      <c r="H29" s="255">
        <v>2</v>
      </c>
      <c r="I29" s="255">
        <v>12</v>
      </c>
      <c r="J29" s="255">
        <v>12</v>
      </c>
      <c r="K29" s="255">
        <v>4</v>
      </c>
      <c r="L29" s="255">
        <v>2</v>
      </c>
      <c r="M29" s="255">
        <v>2</v>
      </c>
      <c r="N29" s="255">
        <v>2</v>
      </c>
      <c r="O29" s="255">
        <v>2</v>
      </c>
      <c r="P29" s="255">
        <v>2</v>
      </c>
      <c r="Q29" s="255">
        <v>2</v>
      </c>
      <c r="S29" s="27">
        <f>SUM(G29:R29)</f>
        <v>42</v>
      </c>
    </row>
    <row r="30" spans="2:19" ht="14.1" customHeight="1" x14ac:dyDescent="0.25">
      <c r="B30" s="468"/>
      <c r="C30" s="459"/>
      <c r="D30" s="450"/>
      <c r="E30" s="450"/>
      <c r="F30" s="11" t="s">
        <v>195</v>
      </c>
      <c r="H30" s="256">
        <f>0.45*0.25</f>
        <v>0.1125</v>
      </c>
      <c r="I30" s="256">
        <f t="shared" ref="I30:Q30" si="4">0.45*0.25</f>
        <v>0.1125</v>
      </c>
      <c r="J30" s="256">
        <f t="shared" si="4"/>
        <v>0.1125</v>
      </c>
      <c r="K30" s="256">
        <f t="shared" si="4"/>
        <v>0.1125</v>
      </c>
      <c r="L30" s="256">
        <f t="shared" si="4"/>
        <v>0.1125</v>
      </c>
      <c r="M30" s="256">
        <f t="shared" si="4"/>
        <v>0.1125</v>
      </c>
      <c r="N30" s="29">
        <f t="shared" si="4"/>
        <v>0.1125</v>
      </c>
      <c r="O30" s="256">
        <f t="shared" si="4"/>
        <v>0.1125</v>
      </c>
      <c r="P30" s="256">
        <f t="shared" si="4"/>
        <v>0.1125</v>
      </c>
      <c r="Q30" s="29">
        <f t="shared" si="4"/>
        <v>0.1125</v>
      </c>
      <c r="S30" s="36"/>
    </row>
    <row r="31" spans="2:19" ht="14.1" customHeight="1" x14ac:dyDescent="0.25">
      <c r="B31" s="469"/>
      <c r="C31" s="459" t="s">
        <v>202</v>
      </c>
      <c r="D31" s="450"/>
      <c r="E31" s="450"/>
      <c r="F31" s="450"/>
      <c r="H31" s="21">
        <f>TRUNC((H29/2),2)</f>
        <v>1</v>
      </c>
      <c r="I31" s="255">
        <f t="shared" ref="I31:Q31" si="5">TRUNC((I29/2),2)</f>
        <v>6</v>
      </c>
      <c r="J31" s="255">
        <f t="shared" si="5"/>
        <v>6</v>
      </c>
      <c r="K31" s="255">
        <f t="shared" si="5"/>
        <v>2</v>
      </c>
      <c r="L31" s="255">
        <f t="shared" si="5"/>
        <v>1</v>
      </c>
      <c r="M31" s="255">
        <f t="shared" si="5"/>
        <v>1</v>
      </c>
      <c r="N31" s="21">
        <f t="shared" si="5"/>
        <v>1</v>
      </c>
      <c r="O31" s="255">
        <f t="shared" si="5"/>
        <v>1</v>
      </c>
      <c r="P31" s="255">
        <f t="shared" si="5"/>
        <v>1</v>
      </c>
      <c r="Q31" s="21">
        <f t="shared" si="5"/>
        <v>1</v>
      </c>
      <c r="S31" s="27">
        <f>SUM(G31:R31)</f>
        <v>21</v>
      </c>
    </row>
    <row r="32" spans="2:19" x14ac:dyDescent="0.25">
      <c r="P32" s="258"/>
    </row>
  </sheetData>
  <mergeCells count="14">
    <mergeCell ref="B10:B31"/>
    <mergeCell ref="B8:F8"/>
    <mergeCell ref="C29:E30"/>
    <mergeCell ref="C31:F31"/>
    <mergeCell ref="C25:C28"/>
    <mergeCell ref="D25:E26"/>
    <mergeCell ref="D27:E28"/>
    <mergeCell ref="C15:C23"/>
    <mergeCell ref="D15:E17"/>
    <mergeCell ref="D18:E20"/>
    <mergeCell ref="D21:E23"/>
    <mergeCell ref="C10:C13"/>
    <mergeCell ref="E11:E13"/>
    <mergeCell ref="D10:D13"/>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1"/>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27.95" customHeight="1" x14ac:dyDescent="0.25">
      <c r="B11" s="266" t="s">
        <v>637</v>
      </c>
      <c r="C11" s="483" t="s">
        <v>518</v>
      </c>
      <c r="D11" s="484"/>
      <c r="E11" s="484"/>
      <c r="F11" s="485"/>
      <c r="G11" s="248" t="s">
        <v>516</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219"/>
      <c r="H15" s="219"/>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250" customFormat="1" ht="14.1" customHeight="1" x14ac:dyDescent="0.25">
      <c r="B21" s="267"/>
      <c r="C21" s="103"/>
      <c r="D21" s="249"/>
      <c r="E21" s="493"/>
      <c r="F21" s="493"/>
      <c r="G21" s="493"/>
      <c r="H21" s="493"/>
      <c r="I21" s="219"/>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0</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0</v>
      </c>
    </row>
    <row r="28" spans="2:9" ht="5.0999999999999996" customHeight="1" x14ac:dyDescent="0.25">
      <c r="B28" s="273"/>
      <c r="C28" s="273"/>
      <c r="D28" s="273"/>
      <c r="E28" s="273"/>
      <c r="F28" s="273"/>
      <c r="G28" s="273"/>
      <c r="H28" s="273"/>
      <c r="I28" s="273"/>
    </row>
    <row r="29" spans="2:9" ht="14.1" customHeight="1" x14ac:dyDescent="0.25">
      <c r="B29" s="450" t="s">
        <v>8</v>
      </c>
      <c r="C29" s="442" t="s">
        <v>623</v>
      </c>
      <c r="D29" s="450" t="s">
        <v>604</v>
      </c>
      <c r="E29" s="489" t="s">
        <v>624</v>
      </c>
      <c r="F29" s="490"/>
      <c r="G29" s="489" t="s">
        <v>617</v>
      </c>
      <c r="H29" s="490"/>
      <c r="I29" s="450" t="s">
        <v>625</v>
      </c>
    </row>
    <row r="30" spans="2:9" ht="14.1" customHeight="1" x14ac:dyDescent="0.25">
      <c r="B30" s="450"/>
      <c r="C30" s="442"/>
      <c r="D30" s="450"/>
      <c r="E30" s="491"/>
      <c r="F30" s="492"/>
      <c r="G30" s="491"/>
      <c r="H30" s="492"/>
      <c r="I30" s="450"/>
    </row>
    <row r="31" spans="2:9" s="250" customFormat="1" ht="27.95" customHeight="1" x14ac:dyDescent="0.25">
      <c r="B31" s="267" t="s">
        <v>638</v>
      </c>
      <c r="C31" s="103" t="s">
        <v>639</v>
      </c>
      <c r="D31" s="249" t="s">
        <v>640</v>
      </c>
      <c r="E31" s="493">
        <v>2160</v>
      </c>
      <c r="F31" s="493"/>
      <c r="G31" s="493">
        <v>1</v>
      </c>
      <c r="H31" s="493"/>
      <c r="I31" s="219">
        <f>TRUNC((E31*G31),2)</f>
        <v>2160</v>
      </c>
    </row>
    <row r="32" spans="2:9" s="250" customFormat="1" ht="14.1" customHeight="1" x14ac:dyDescent="0.25">
      <c r="B32" s="268"/>
      <c r="C32" s="269"/>
      <c r="D32" s="97"/>
      <c r="E32" s="494"/>
      <c r="F32" s="494"/>
      <c r="G32" s="494"/>
      <c r="H32" s="494"/>
      <c r="I32" s="220"/>
    </row>
    <row r="33" spans="2:9" s="250" customFormat="1" ht="15" customHeight="1" x14ac:dyDescent="0.25">
      <c r="B33" s="486" t="s">
        <v>634</v>
      </c>
      <c r="C33" s="487"/>
      <c r="D33" s="487"/>
      <c r="E33" s="487"/>
      <c r="F33" s="487"/>
      <c r="G33" s="487"/>
      <c r="H33" s="488"/>
      <c r="I33" s="246">
        <f>SUM(I31:I32)</f>
        <v>2160</v>
      </c>
    </row>
    <row r="34" spans="2:9" ht="5.0999999999999996" customHeight="1" x14ac:dyDescent="0.25">
      <c r="B34" s="273"/>
      <c r="C34" s="273"/>
      <c r="D34" s="273"/>
      <c r="E34" s="273"/>
      <c r="F34" s="273"/>
      <c r="G34" s="273"/>
      <c r="H34" s="273"/>
      <c r="I34" s="273"/>
    </row>
    <row r="35" spans="2:9" ht="14.1" customHeight="1" x14ac:dyDescent="0.25">
      <c r="B35" s="450" t="s">
        <v>8</v>
      </c>
      <c r="C35" s="442" t="s">
        <v>52</v>
      </c>
      <c r="D35" s="450" t="s">
        <v>2</v>
      </c>
      <c r="E35" s="489" t="s">
        <v>624</v>
      </c>
      <c r="F35" s="490"/>
      <c r="G35" s="489" t="s">
        <v>617</v>
      </c>
      <c r="H35" s="490"/>
      <c r="I35" s="450" t="s">
        <v>625</v>
      </c>
    </row>
    <row r="36" spans="2:9" ht="14.1" customHeight="1" x14ac:dyDescent="0.25">
      <c r="B36" s="450"/>
      <c r="C36" s="442"/>
      <c r="D36" s="450"/>
      <c r="E36" s="491"/>
      <c r="F36" s="492"/>
      <c r="G36" s="491"/>
      <c r="H36" s="492"/>
      <c r="I36" s="450"/>
    </row>
    <row r="37" spans="2:9" s="250" customFormat="1" ht="14.1" customHeight="1" x14ac:dyDescent="0.25">
      <c r="B37" s="267"/>
      <c r="C37" s="103"/>
      <c r="D37" s="249"/>
      <c r="E37" s="493"/>
      <c r="F37" s="493"/>
      <c r="G37" s="493"/>
      <c r="H37" s="493"/>
      <c r="I37" s="219"/>
    </row>
    <row r="38" spans="2:9" s="250" customFormat="1" ht="14.1" customHeight="1" x14ac:dyDescent="0.25">
      <c r="B38" s="268"/>
      <c r="C38" s="269"/>
      <c r="D38" s="97"/>
      <c r="E38" s="494"/>
      <c r="F38" s="494"/>
      <c r="G38" s="494"/>
      <c r="H38" s="494"/>
      <c r="I38" s="220"/>
    </row>
    <row r="39" spans="2:9" s="250" customFormat="1" ht="15" customHeight="1" x14ac:dyDescent="0.25">
      <c r="B39" s="486" t="s">
        <v>635</v>
      </c>
      <c r="C39" s="487"/>
      <c r="D39" s="487"/>
      <c r="E39" s="487"/>
      <c r="F39" s="487"/>
      <c r="G39" s="487"/>
      <c r="H39" s="488"/>
      <c r="I39" s="246">
        <f>SUM(I37:I38)</f>
        <v>0</v>
      </c>
    </row>
    <row r="40" spans="2:9" ht="5.0999999999999996" customHeight="1" x14ac:dyDescent="0.25">
      <c r="B40" s="273"/>
      <c r="C40" s="273"/>
      <c r="D40" s="273"/>
      <c r="E40" s="273"/>
      <c r="F40" s="273"/>
      <c r="G40" s="273"/>
      <c r="H40" s="273"/>
      <c r="I40" s="273"/>
    </row>
    <row r="41" spans="2:9" s="250" customFormat="1" ht="15" customHeight="1" x14ac:dyDescent="0.25">
      <c r="B41" s="486" t="s">
        <v>636</v>
      </c>
      <c r="C41" s="487"/>
      <c r="D41" s="487"/>
      <c r="E41" s="487"/>
      <c r="F41" s="487"/>
      <c r="G41" s="487"/>
      <c r="H41" s="488"/>
      <c r="I41" s="246">
        <f>I27+I33+I39</f>
        <v>2160</v>
      </c>
    </row>
  </sheetData>
  <mergeCells count="51">
    <mergeCell ref="B41:H41"/>
    <mergeCell ref="B35:B36"/>
    <mergeCell ref="C35:C36"/>
    <mergeCell ref="D35:D36"/>
    <mergeCell ref="E35:F36"/>
    <mergeCell ref="G35:H36"/>
    <mergeCell ref="E37:F37"/>
    <mergeCell ref="G37:H37"/>
    <mergeCell ref="E38:F38"/>
    <mergeCell ref="G38:H38"/>
    <mergeCell ref="B39:H39"/>
    <mergeCell ref="I35:I36"/>
    <mergeCell ref="I29:I30"/>
    <mergeCell ref="E31:F31"/>
    <mergeCell ref="G31:H31"/>
    <mergeCell ref="E32:F32"/>
    <mergeCell ref="G32:H32"/>
    <mergeCell ref="B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27.95" customHeight="1" x14ac:dyDescent="0.25">
      <c r="B11" s="266" t="s">
        <v>641</v>
      </c>
      <c r="C11" s="483" t="s">
        <v>520</v>
      </c>
      <c r="D11" s="484"/>
      <c r="E11" s="484"/>
      <c r="F11" s="485"/>
      <c r="G11" s="248"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219"/>
      <c r="H15" s="219"/>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250" customFormat="1" ht="14.1" customHeight="1" x14ac:dyDescent="0.25">
      <c r="B21" s="67">
        <v>88316</v>
      </c>
      <c r="C21" s="69" t="s">
        <v>619</v>
      </c>
      <c r="D21" s="70" t="s">
        <v>51</v>
      </c>
      <c r="E21" s="495">
        <v>22.76</v>
      </c>
      <c r="F21" s="495"/>
      <c r="G21" s="495">
        <v>0.01</v>
      </c>
      <c r="H21" s="495"/>
      <c r="I21" s="221">
        <f>TRUNC((E21*G21),2)</f>
        <v>0.22</v>
      </c>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0.22</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0.22</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0.22</v>
      </c>
    </row>
    <row r="28" spans="2:9" ht="5.0999999999999996" customHeight="1" x14ac:dyDescent="0.25">
      <c r="B28" s="273"/>
      <c r="C28" s="273"/>
      <c r="D28" s="273"/>
      <c r="E28" s="273"/>
      <c r="F28" s="273"/>
      <c r="G28" s="273"/>
      <c r="H28" s="273"/>
      <c r="I28" s="273"/>
    </row>
    <row r="29" spans="2:9" ht="14.1" customHeight="1" x14ac:dyDescent="0.25">
      <c r="B29" s="450" t="s">
        <v>8</v>
      </c>
      <c r="C29" s="442" t="s">
        <v>623</v>
      </c>
      <c r="D29" s="450" t="s">
        <v>604</v>
      </c>
      <c r="E29" s="489" t="s">
        <v>624</v>
      </c>
      <c r="F29" s="490"/>
      <c r="G29" s="489" t="s">
        <v>617</v>
      </c>
      <c r="H29" s="490"/>
      <c r="I29" s="450" t="s">
        <v>625</v>
      </c>
    </row>
    <row r="30" spans="2:9" ht="14.1" customHeight="1" x14ac:dyDescent="0.25">
      <c r="B30" s="450"/>
      <c r="C30" s="442"/>
      <c r="D30" s="450"/>
      <c r="E30" s="491"/>
      <c r="F30" s="492"/>
      <c r="G30" s="491"/>
      <c r="H30" s="492"/>
      <c r="I30" s="450"/>
    </row>
    <row r="31" spans="2:9" s="250" customFormat="1" ht="27.95" customHeight="1" x14ac:dyDescent="0.25">
      <c r="B31" s="267" t="s">
        <v>642</v>
      </c>
      <c r="C31" s="103" t="s">
        <v>643</v>
      </c>
      <c r="D31" s="249" t="s">
        <v>14</v>
      </c>
      <c r="E31" s="493">
        <v>5.79</v>
      </c>
      <c r="F31" s="493"/>
      <c r="G31" s="493">
        <v>0.8</v>
      </c>
      <c r="H31" s="493"/>
      <c r="I31" s="219">
        <f>TRUNC((E31*G31),2)</f>
        <v>4.63</v>
      </c>
    </row>
    <row r="32" spans="2:9" s="250" customFormat="1" ht="27.95" customHeight="1" x14ac:dyDescent="0.25">
      <c r="B32" s="67" t="s">
        <v>644</v>
      </c>
      <c r="C32" s="69" t="s">
        <v>645</v>
      </c>
      <c r="D32" s="70" t="s">
        <v>14</v>
      </c>
      <c r="E32" s="495">
        <v>2.1800000000000002</v>
      </c>
      <c r="F32" s="495"/>
      <c r="G32" s="495">
        <v>1</v>
      </c>
      <c r="H32" s="495"/>
      <c r="I32" s="221">
        <f>TRUNC((E32*G32),2)</f>
        <v>2.1800000000000002</v>
      </c>
    </row>
    <row r="33" spans="2:9" s="250" customFormat="1" ht="14.1" customHeight="1" x14ac:dyDescent="0.25">
      <c r="B33" s="67" t="s">
        <v>646</v>
      </c>
      <c r="C33" s="69" t="s">
        <v>647</v>
      </c>
      <c r="D33" s="73" t="s">
        <v>34</v>
      </c>
      <c r="E33" s="495">
        <v>20.34</v>
      </c>
      <c r="F33" s="495"/>
      <c r="G33" s="496">
        <v>3.3000000000000002E-2</v>
      </c>
      <c r="H33" s="496"/>
      <c r="I33" s="221">
        <f t="shared" ref="I33" si="0">TRUNC((E33*G33),2)</f>
        <v>0.67</v>
      </c>
    </row>
    <row r="34" spans="2:9" s="250" customFormat="1" ht="14.1" customHeight="1" x14ac:dyDescent="0.25">
      <c r="B34" s="268"/>
      <c r="C34" s="269"/>
      <c r="D34" s="97"/>
      <c r="E34" s="494"/>
      <c r="F34" s="494"/>
      <c r="G34" s="494"/>
      <c r="H34" s="494"/>
      <c r="I34" s="220"/>
    </row>
    <row r="35" spans="2:9" s="250" customFormat="1" ht="15" customHeight="1" x14ac:dyDescent="0.25">
      <c r="B35" s="486" t="s">
        <v>634</v>
      </c>
      <c r="C35" s="487"/>
      <c r="D35" s="487"/>
      <c r="E35" s="487"/>
      <c r="F35" s="487"/>
      <c r="G35" s="487"/>
      <c r="H35" s="488"/>
      <c r="I35" s="246">
        <f>SUM(I31:I34)</f>
        <v>7.48</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249"/>
      <c r="E39" s="493"/>
      <c r="F39" s="493"/>
      <c r="G39" s="493"/>
      <c r="H39" s="493"/>
      <c r="I39" s="219"/>
    </row>
    <row r="40" spans="2:9" s="250" customFormat="1" ht="14.1" customHeight="1" x14ac:dyDescent="0.25">
      <c r="B40" s="268"/>
      <c r="C40" s="269"/>
      <c r="D40" s="97"/>
      <c r="E40" s="494"/>
      <c r="F40" s="494"/>
      <c r="G40" s="494"/>
      <c r="H40" s="494"/>
      <c r="I40" s="220"/>
    </row>
    <row r="41" spans="2:9" s="250" customFormat="1" ht="15" customHeight="1" x14ac:dyDescent="0.25">
      <c r="B41" s="486" t="s">
        <v>635</v>
      </c>
      <c r="C41" s="487"/>
      <c r="D41" s="487"/>
      <c r="E41" s="487"/>
      <c r="F41" s="487"/>
      <c r="G41" s="487"/>
      <c r="H41" s="488"/>
      <c r="I41" s="246">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246">
        <f>I27+I35+I41</f>
        <v>7.7</v>
      </c>
    </row>
  </sheetData>
  <mergeCells count="55">
    <mergeCell ref="B43:H43"/>
    <mergeCell ref="I37:I38"/>
    <mergeCell ref="E39:F39"/>
    <mergeCell ref="G39:H39"/>
    <mergeCell ref="E40:F40"/>
    <mergeCell ref="G40:H40"/>
    <mergeCell ref="B41:H41"/>
    <mergeCell ref="E34:F34"/>
    <mergeCell ref="G34:H34"/>
    <mergeCell ref="B35:H35"/>
    <mergeCell ref="B37:B38"/>
    <mergeCell ref="C37:C38"/>
    <mergeCell ref="D37:D38"/>
    <mergeCell ref="E37:F38"/>
    <mergeCell ref="G37:H38"/>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5"/>
  <sheetViews>
    <sheetView showGridLines="0" view="pageBreakPreview" zoomScaleNormal="100"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606</v>
      </c>
      <c r="C11" s="483" t="s">
        <v>53</v>
      </c>
      <c r="D11" s="484"/>
      <c r="E11" s="484"/>
      <c r="F11" s="485"/>
      <c r="G11" s="248" t="s">
        <v>607</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219"/>
      <c r="H15" s="219"/>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250" customFormat="1" ht="14.1" customHeight="1" x14ac:dyDescent="0.25">
      <c r="B21" s="267">
        <v>88262</v>
      </c>
      <c r="C21" s="103" t="s">
        <v>618</v>
      </c>
      <c r="D21" s="249" t="s">
        <v>51</v>
      </c>
      <c r="E21" s="493">
        <v>27.74</v>
      </c>
      <c r="F21" s="493"/>
      <c r="G21" s="493">
        <v>1</v>
      </c>
      <c r="H21" s="493"/>
      <c r="I21" s="219">
        <f>TRUNC((E21*G21),2)</f>
        <v>27.74</v>
      </c>
    </row>
    <row r="22" spans="2:9" s="250" customFormat="1" ht="14.1" customHeight="1" x14ac:dyDescent="0.25">
      <c r="B22" s="67">
        <v>88316</v>
      </c>
      <c r="C22" s="69" t="s">
        <v>619</v>
      </c>
      <c r="D22" s="70" t="s">
        <v>51</v>
      </c>
      <c r="E22" s="495">
        <v>22.76</v>
      </c>
      <c r="F22" s="495"/>
      <c r="G22" s="495">
        <v>1.5</v>
      </c>
      <c r="H22" s="495"/>
      <c r="I22" s="221">
        <f>TRUNC((E22*G22),2)</f>
        <v>34.14</v>
      </c>
    </row>
    <row r="23" spans="2:9" s="250" customFormat="1" ht="14.1" customHeight="1" x14ac:dyDescent="0.25">
      <c r="B23" s="268"/>
      <c r="C23" s="269"/>
      <c r="D23" s="97"/>
      <c r="E23" s="494"/>
      <c r="F23" s="494"/>
      <c r="G23" s="494"/>
      <c r="H23" s="494"/>
      <c r="I23" s="220"/>
    </row>
    <row r="24" spans="2:9" s="250" customFormat="1" ht="15" customHeight="1" x14ac:dyDescent="0.25">
      <c r="B24" s="486" t="s">
        <v>620</v>
      </c>
      <c r="C24" s="487"/>
      <c r="D24" s="487"/>
      <c r="E24" s="487"/>
      <c r="F24" s="487"/>
      <c r="G24" s="487"/>
      <c r="H24" s="488"/>
      <c r="I24" s="246">
        <f>SUM(I21:I23)</f>
        <v>61.879999999999995</v>
      </c>
    </row>
    <row r="25" spans="2:9" s="250" customFormat="1" ht="5.0999999999999996" customHeight="1" x14ac:dyDescent="0.25">
      <c r="B25" s="9"/>
      <c r="C25" s="8"/>
      <c r="D25" s="8"/>
      <c r="E25" s="8"/>
      <c r="F25" s="8"/>
      <c r="G25" s="8"/>
      <c r="H25" s="8"/>
      <c r="I25" s="8"/>
    </row>
    <row r="26" spans="2:9" s="250" customFormat="1" ht="15" customHeight="1" x14ac:dyDescent="0.25">
      <c r="B26" s="486" t="s">
        <v>621</v>
      </c>
      <c r="C26" s="487"/>
      <c r="D26" s="487"/>
      <c r="E26" s="487"/>
      <c r="F26" s="487"/>
      <c r="G26" s="487"/>
      <c r="H26" s="488"/>
      <c r="I26" s="246">
        <f>I17+I24</f>
        <v>61.879999999999995</v>
      </c>
    </row>
    <row r="27" spans="2:9" ht="5.0999999999999996" customHeight="1" x14ac:dyDescent="0.25">
      <c r="B27" s="273"/>
      <c r="C27" s="273"/>
      <c r="D27" s="273"/>
      <c r="E27" s="273"/>
      <c r="F27" s="273"/>
      <c r="G27" s="273"/>
      <c r="H27" s="273"/>
      <c r="I27" s="273"/>
    </row>
    <row r="28" spans="2:9" s="250" customFormat="1" ht="15" customHeight="1" x14ac:dyDescent="0.25">
      <c r="B28" s="486" t="s">
        <v>622</v>
      </c>
      <c r="C28" s="487"/>
      <c r="D28" s="487"/>
      <c r="E28" s="487"/>
      <c r="F28" s="487"/>
      <c r="G28" s="487"/>
      <c r="H28" s="488"/>
      <c r="I28" s="246">
        <f>ROUND((I26/H11),2)</f>
        <v>61.88</v>
      </c>
    </row>
    <row r="29" spans="2:9" ht="5.0999999999999996" customHeight="1" x14ac:dyDescent="0.25">
      <c r="B29" s="273"/>
      <c r="C29" s="273"/>
      <c r="D29" s="273"/>
      <c r="E29" s="273"/>
      <c r="F29" s="273"/>
      <c r="G29" s="273"/>
      <c r="H29" s="273"/>
      <c r="I29" s="273"/>
    </row>
    <row r="30" spans="2:9" ht="14.1" customHeight="1" x14ac:dyDescent="0.25">
      <c r="B30" s="450" t="s">
        <v>8</v>
      </c>
      <c r="C30" s="442" t="s">
        <v>623</v>
      </c>
      <c r="D30" s="450" t="s">
        <v>604</v>
      </c>
      <c r="E30" s="489" t="s">
        <v>624</v>
      </c>
      <c r="F30" s="490"/>
      <c r="G30" s="489" t="s">
        <v>617</v>
      </c>
      <c r="H30" s="490"/>
      <c r="I30" s="450" t="s">
        <v>625</v>
      </c>
    </row>
    <row r="31" spans="2:9" ht="14.1" customHeight="1" x14ac:dyDescent="0.25">
      <c r="B31" s="450"/>
      <c r="C31" s="442"/>
      <c r="D31" s="450"/>
      <c r="E31" s="491"/>
      <c r="F31" s="492"/>
      <c r="G31" s="491"/>
      <c r="H31" s="492"/>
      <c r="I31" s="450"/>
    </row>
    <row r="32" spans="2:9" s="250" customFormat="1" ht="27.95" customHeight="1" x14ac:dyDescent="0.25">
      <c r="B32" s="267" t="s">
        <v>626</v>
      </c>
      <c r="C32" s="103" t="s">
        <v>627</v>
      </c>
      <c r="D32" s="249" t="s">
        <v>607</v>
      </c>
      <c r="E32" s="493">
        <v>20.010000000000002</v>
      </c>
      <c r="F32" s="493"/>
      <c r="G32" s="493">
        <v>2</v>
      </c>
      <c r="H32" s="493"/>
      <c r="I32" s="219">
        <f>TRUNC((E32*G32),2)</f>
        <v>40.020000000000003</v>
      </c>
    </row>
    <row r="33" spans="2:9" s="250" customFormat="1" ht="27.95" customHeight="1" x14ac:dyDescent="0.25">
      <c r="B33" s="67" t="s">
        <v>628</v>
      </c>
      <c r="C33" s="69" t="s">
        <v>629</v>
      </c>
      <c r="D33" s="70" t="s">
        <v>14</v>
      </c>
      <c r="E33" s="495">
        <v>28.12</v>
      </c>
      <c r="F33" s="495"/>
      <c r="G33" s="495">
        <v>8.8000000000000007</v>
      </c>
      <c r="H33" s="495"/>
      <c r="I33" s="221">
        <f>TRUNC((E33*G33),2)</f>
        <v>247.45</v>
      </c>
    </row>
    <row r="34" spans="2:9" s="250" customFormat="1" ht="27.95" customHeight="1" x14ac:dyDescent="0.25">
      <c r="B34" s="67" t="s">
        <v>630</v>
      </c>
      <c r="C34" s="69" t="s">
        <v>631</v>
      </c>
      <c r="D34" s="70" t="s">
        <v>34</v>
      </c>
      <c r="E34" s="497">
        <v>37.340000000000003</v>
      </c>
      <c r="F34" s="498"/>
      <c r="G34" s="497">
        <v>3.17</v>
      </c>
      <c r="H34" s="498"/>
      <c r="I34" s="221">
        <f>TRUNC((E34*G34),2)</f>
        <v>118.36</v>
      </c>
    </row>
    <row r="35" spans="2:9" s="250" customFormat="1" ht="27.95" customHeight="1" x14ac:dyDescent="0.25">
      <c r="B35" s="67" t="s">
        <v>632</v>
      </c>
      <c r="C35" s="69" t="s">
        <v>633</v>
      </c>
      <c r="D35" s="70" t="s">
        <v>13</v>
      </c>
      <c r="E35" s="495">
        <v>400</v>
      </c>
      <c r="F35" s="495"/>
      <c r="G35" s="495">
        <v>2.04</v>
      </c>
      <c r="H35" s="495"/>
      <c r="I35" s="221">
        <f>TRUNC((E35*G35),2)</f>
        <v>816</v>
      </c>
    </row>
    <row r="36" spans="2:9" s="250" customFormat="1" ht="14.1" customHeight="1" x14ac:dyDescent="0.25">
      <c r="B36" s="268"/>
      <c r="C36" s="269"/>
      <c r="D36" s="97"/>
      <c r="E36" s="494"/>
      <c r="F36" s="494"/>
      <c r="G36" s="494"/>
      <c r="H36" s="494"/>
      <c r="I36" s="220"/>
    </row>
    <row r="37" spans="2:9" s="250" customFormat="1" ht="15" customHeight="1" x14ac:dyDescent="0.25">
      <c r="B37" s="486" t="s">
        <v>634</v>
      </c>
      <c r="C37" s="487"/>
      <c r="D37" s="487"/>
      <c r="E37" s="487"/>
      <c r="F37" s="487"/>
      <c r="G37" s="487"/>
      <c r="H37" s="488"/>
      <c r="I37" s="246">
        <f>SUM(I32:I36)</f>
        <v>1221.83</v>
      </c>
    </row>
    <row r="38" spans="2:9" ht="5.0999999999999996" customHeight="1" x14ac:dyDescent="0.25">
      <c r="B38" s="273"/>
      <c r="C38" s="273"/>
      <c r="D38" s="273"/>
      <c r="E38" s="273"/>
      <c r="F38" s="273"/>
      <c r="G38" s="273"/>
      <c r="H38" s="273"/>
      <c r="I38" s="273"/>
    </row>
    <row r="39" spans="2:9" ht="14.1" customHeight="1" x14ac:dyDescent="0.25">
      <c r="B39" s="450" t="s">
        <v>8</v>
      </c>
      <c r="C39" s="442" t="s">
        <v>52</v>
      </c>
      <c r="D39" s="450" t="s">
        <v>2</v>
      </c>
      <c r="E39" s="489" t="s">
        <v>624</v>
      </c>
      <c r="F39" s="490"/>
      <c r="G39" s="489" t="s">
        <v>617</v>
      </c>
      <c r="H39" s="490"/>
      <c r="I39" s="450" t="s">
        <v>625</v>
      </c>
    </row>
    <row r="40" spans="2:9" ht="14.1" customHeight="1" x14ac:dyDescent="0.25">
      <c r="B40" s="450"/>
      <c r="C40" s="442"/>
      <c r="D40" s="450"/>
      <c r="E40" s="491"/>
      <c r="F40" s="492"/>
      <c r="G40" s="491"/>
      <c r="H40" s="492"/>
      <c r="I40" s="450"/>
    </row>
    <row r="41" spans="2:9" s="250" customFormat="1" ht="14.1" customHeight="1" x14ac:dyDescent="0.25">
      <c r="B41" s="267"/>
      <c r="C41" s="103"/>
      <c r="D41" s="249"/>
      <c r="E41" s="493"/>
      <c r="F41" s="493"/>
      <c r="G41" s="493"/>
      <c r="H41" s="493"/>
      <c r="I41" s="219"/>
    </row>
    <row r="42" spans="2:9" s="250" customFormat="1" ht="14.1" customHeight="1" x14ac:dyDescent="0.25">
      <c r="B42" s="268"/>
      <c r="C42" s="269"/>
      <c r="D42" s="97"/>
      <c r="E42" s="494"/>
      <c r="F42" s="494"/>
      <c r="G42" s="494"/>
      <c r="H42" s="494"/>
      <c r="I42" s="220"/>
    </row>
    <row r="43" spans="2:9" s="250" customFormat="1" ht="15" customHeight="1" x14ac:dyDescent="0.25">
      <c r="B43" s="486" t="s">
        <v>635</v>
      </c>
      <c r="C43" s="487"/>
      <c r="D43" s="487"/>
      <c r="E43" s="487"/>
      <c r="F43" s="487"/>
      <c r="G43" s="487"/>
      <c r="H43" s="488"/>
      <c r="I43" s="246">
        <f>SUM(I41:I42)</f>
        <v>0</v>
      </c>
    </row>
    <row r="44" spans="2:9" ht="5.0999999999999996" customHeight="1" x14ac:dyDescent="0.25">
      <c r="B44" s="273"/>
      <c r="C44" s="273"/>
      <c r="D44" s="273"/>
      <c r="E44" s="273"/>
      <c r="F44" s="273"/>
      <c r="G44" s="273"/>
      <c r="H44" s="273"/>
      <c r="I44" s="273"/>
    </row>
    <row r="45" spans="2:9" s="250" customFormat="1" ht="15" customHeight="1" x14ac:dyDescent="0.25">
      <c r="B45" s="486" t="s">
        <v>636</v>
      </c>
      <c r="C45" s="487"/>
      <c r="D45" s="487"/>
      <c r="E45" s="487"/>
      <c r="F45" s="487"/>
      <c r="G45" s="487"/>
      <c r="H45" s="488"/>
      <c r="I45" s="246">
        <f>I28+I37+I43</f>
        <v>1283.71</v>
      </c>
    </row>
  </sheetData>
  <mergeCells count="59">
    <mergeCell ref="B45:H45"/>
    <mergeCell ref="I39:I40"/>
    <mergeCell ref="E41:F41"/>
    <mergeCell ref="G41:H41"/>
    <mergeCell ref="E42:F42"/>
    <mergeCell ref="G42:H42"/>
    <mergeCell ref="B43:H43"/>
    <mergeCell ref="B39:B40"/>
    <mergeCell ref="C39:C40"/>
    <mergeCell ref="D39:D40"/>
    <mergeCell ref="E39:F40"/>
    <mergeCell ref="G39:H40"/>
    <mergeCell ref="E35:F35"/>
    <mergeCell ref="G35:H35"/>
    <mergeCell ref="E36:F36"/>
    <mergeCell ref="G36:H36"/>
    <mergeCell ref="B37:H37"/>
    <mergeCell ref="I30:I31"/>
    <mergeCell ref="E32:F32"/>
    <mergeCell ref="G32:H32"/>
    <mergeCell ref="E33:F33"/>
    <mergeCell ref="G33:H33"/>
    <mergeCell ref="E34:F34"/>
    <mergeCell ref="G34:H34"/>
    <mergeCell ref="B24:H24"/>
    <mergeCell ref="B26:H26"/>
    <mergeCell ref="B28:H28"/>
    <mergeCell ref="B30:B31"/>
    <mergeCell ref="C30:C31"/>
    <mergeCell ref="D30:D31"/>
    <mergeCell ref="E30:F31"/>
    <mergeCell ref="G30:H31"/>
    <mergeCell ref="I19:I20"/>
    <mergeCell ref="E21:F21"/>
    <mergeCell ref="G21:H21"/>
    <mergeCell ref="E22:F22"/>
    <mergeCell ref="G22:H22"/>
    <mergeCell ref="E23:F23"/>
    <mergeCell ref="G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2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321"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16" t="s">
        <v>50</v>
      </c>
      <c r="C10" s="442" t="s">
        <v>1</v>
      </c>
      <c r="D10" s="442"/>
      <c r="E10" s="442"/>
      <c r="F10" s="442"/>
      <c r="G10" s="316" t="s">
        <v>604</v>
      </c>
      <c r="H10" s="442" t="s">
        <v>605</v>
      </c>
      <c r="I10" s="442"/>
    </row>
    <row r="11" spans="2:15" s="250" customFormat="1" ht="14.1" customHeight="1" x14ac:dyDescent="0.25">
      <c r="B11" s="266" t="s">
        <v>787</v>
      </c>
      <c r="C11" s="483" t="s">
        <v>788</v>
      </c>
      <c r="D11" s="484"/>
      <c r="E11" s="484"/>
      <c r="F11" s="485"/>
      <c r="G11" s="318" t="s">
        <v>16</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16" t="s">
        <v>612</v>
      </c>
      <c r="E14" s="316" t="s">
        <v>613</v>
      </c>
      <c r="F14" s="450"/>
      <c r="G14" s="316" t="s">
        <v>612</v>
      </c>
      <c r="H14" s="316" t="s">
        <v>613</v>
      </c>
      <c r="I14" s="450"/>
    </row>
    <row r="15" spans="2:15" s="250" customFormat="1" ht="27.95" customHeight="1" x14ac:dyDescent="0.25">
      <c r="B15" s="267" t="s">
        <v>664</v>
      </c>
      <c r="C15" s="103" t="s">
        <v>663</v>
      </c>
      <c r="D15" s="323">
        <v>231.41</v>
      </c>
      <c r="E15" s="323">
        <v>85.83</v>
      </c>
      <c r="F15" s="323">
        <v>1</v>
      </c>
      <c r="G15" s="327">
        <v>6.9719999999999999E-3</v>
      </c>
      <c r="H15" s="342">
        <v>8.8734E-3</v>
      </c>
      <c r="I15" s="323">
        <f>TRUNC((D15*F15*G15),2)+TRUNC((E15*F15*H15),2)</f>
        <v>2.37</v>
      </c>
    </row>
    <row r="16" spans="2:15" s="250" customFormat="1" ht="27.95" customHeight="1" x14ac:dyDescent="0.25">
      <c r="B16" s="67">
        <v>5855</v>
      </c>
      <c r="C16" s="69" t="s">
        <v>789</v>
      </c>
      <c r="D16" s="324">
        <v>706.86</v>
      </c>
      <c r="E16" s="324">
        <v>0</v>
      </c>
      <c r="F16" s="324">
        <v>1</v>
      </c>
      <c r="G16" s="343">
        <v>1.58453E-2</v>
      </c>
      <c r="H16" s="324">
        <v>0</v>
      </c>
      <c r="I16" s="324">
        <f>TRUNC((D16*F16*G16),2)+TRUNC((E16*F16*H16),2)</f>
        <v>11.2</v>
      </c>
    </row>
    <row r="17" spans="2:9" s="250" customFormat="1" ht="14.1" customHeight="1" x14ac:dyDescent="0.25">
      <c r="B17" s="268"/>
      <c r="C17" s="269"/>
      <c r="D17" s="322"/>
      <c r="E17" s="322"/>
      <c r="F17" s="322"/>
      <c r="G17" s="322"/>
      <c r="H17" s="322"/>
      <c r="I17" s="322"/>
    </row>
    <row r="18" spans="2:9" s="250" customFormat="1" ht="15" customHeight="1" x14ac:dyDescent="0.25">
      <c r="B18" s="486" t="s">
        <v>614</v>
      </c>
      <c r="C18" s="487"/>
      <c r="D18" s="487"/>
      <c r="E18" s="487"/>
      <c r="F18" s="487"/>
      <c r="G18" s="487"/>
      <c r="H18" s="488"/>
      <c r="I18" s="317">
        <f>SUM(I15:I17)</f>
        <v>13.57</v>
      </c>
    </row>
    <row r="19" spans="2:9" s="250" customFormat="1" ht="5.0999999999999996" customHeight="1" x14ac:dyDescent="0.25">
      <c r="B19" s="8"/>
      <c r="C19" s="8"/>
      <c r="D19" s="8"/>
      <c r="E19" s="8"/>
      <c r="F19" s="8"/>
      <c r="G19" s="8"/>
      <c r="H19" s="8"/>
      <c r="I19" s="8"/>
    </row>
    <row r="20" spans="2:9" ht="14.1" customHeight="1" x14ac:dyDescent="0.25">
      <c r="B20" s="450" t="s">
        <v>8</v>
      </c>
      <c r="C20" s="442" t="s">
        <v>615</v>
      </c>
      <c r="D20" s="450" t="s">
        <v>604</v>
      </c>
      <c r="E20" s="489" t="s">
        <v>616</v>
      </c>
      <c r="F20" s="490"/>
      <c r="G20" s="489" t="s">
        <v>617</v>
      </c>
      <c r="H20" s="490"/>
      <c r="I20" s="450" t="s">
        <v>611</v>
      </c>
    </row>
    <row r="21" spans="2:9" ht="14.1" customHeight="1" x14ac:dyDescent="0.25">
      <c r="B21" s="450"/>
      <c r="C21" s="442"/>
      <c r="D21" s="450"/>
      <c r="E21" s="491"/>
      <c r="F21" s="492"/>
      <c r="G21" s="491"/>
      <c r="H21" s="492"/>
      <c r="I21" s="450"/>
    </row>
    <row r="22" spans="2:9" s="8" customFormat="1" ht="14.1" customHeight="1" x14ac:dyDescent="0.25">
      <c r="B22" s="267">
        <v>88316</v>
      </c>
      <c r="C22" s="103" t="s">
        <v>619</v>
      </c>
      <c r="D22" s="319" t="s">
        <v>51</v>
      </c>
      <c r="E22" s="493">
        <v>22.76</v>
      </c>
      <c r="F22" s="493"/>
      <c r="G22" s="501">
        <v>1.58453E-2</v>
      </c>
      <c r="H22" s="501"/>
      <c r="I22" s="323">
        <f>TRUNC((E22*G22),2)</f>
        <v>0.36</v>
      </c>
    </row>
    <row r="23" spans="2:9" s="250" customFormat="1" ht="14.1" customHeight="1" x14ac:dyDescent="0.25">
      <c r="B23" s="268"/>
      <c r="C23" s="269"/>
      <c r="D23" s="97"/>
      <c r="E23" s="494"/>
      <c r="F23" s="494"/>
      <c r="G23" s="494"/>
      <c r="H23" s="494"/>
      <c r="I23" s="322"/>
    </row>
    <row r="24" spans="2:9" s="250" customFormat="1" ht="15" customHeight="1" x14ac:dyDescent="0.25">
      <c r="B24" s="486" t="s">
        <v>620</v>
      </c>
      <c r="C24" s="487"/>
      <c r="D24" s="487"/>
      <c r="E24" s="487"/>
      <c r="F24" s="487"/>
      <c r="G24" s="487"/>
      <c r="H24" s="488"/>
      <c r="I24" s="317">
        <f>SUM(I22:I23)</f>
        <v>0.36</v>
      </c>
    </row>
    <row r="25" spans="2:9" s="250" customFormat="1" ht="5.0999999999999996" customHeight="1" x14ac:dyDescent="0.25">
      <c r="B25" s="9"/>
      <c r="C25" s="8"/>
      <c r="D25" s="8"/>
      <c r="E25" s="8"/>
      <c r="F25" s="8"/>
      <c r="G25" s="8"/>
      <c r="H25" s="8"/>
      <c r="I25" s="8"/>
    </row>
    <row r="26" spans="2:9" s="250" customFormat="1" ht="15" customHeight="1" x14ac:dyDescent="0.25">
      <c r="B26" s="486" t="s">
        <v>621</v>
      </c>
      <c r="C26" s="487"/>
      <c r="D26" s="487"/>
      <c r="E26" s="487"/>
      <c r="F26" s="487"/>
      <c r="G26" s="487"/>
      <c r="H26" s="488"/>
      <c r="I26" s="317">
        <f>I18+I24</f>
        <v>13.93</v>
      </c>
    </row>
    <row r="27" spans="2:9" ht="5.0999999999999996" customHeight="1" x14ac:dyDescent="0.25">
      <c r="B27" s="273"/>
      <c r="C27" s="273"/>
      <c r="D27" s="273"/>
      <c r="E27" s="273"/>
      <c r="F27" s="273"/>
      <c r="G27" s="273"/>
      <c r="H27" s="273"/>
      <c r="I27" s="273"/>
    </row>
    <row r="28" spans="2:9" s="250" customFormat="1" ht="15" customHeight="1" x14ac:dyDescent="0.25">
      <c r="B28" s="486" t="s">
        <v>622</v>
      </c>
      <c r="C28" s="487"/>
      <c r="D28" s="487"/>
      <c r="E28" s="487"/>
      <c r="F28" s="487"/>
      <c r="G28" s="487"/>
      <c r="H28" s="488"/>
      <c r="I28" s="317">
        <f>ROUND((I26/H11),2)</f>
        <v>13.93</v>
      </c>
    </row>
    <row r="29" spans="2:9" ht="5.0999999999999996" customHeight="1" x14ac:dyDescent="0.25">
      <c r="B29" s="273"/>
      <c r="C29" s="273"/>
      <c r="D29" s="273"/>
      <c r="E29" s="273"/>
      <c r="F29" s="273"/>
      <c r="G29" s="273"/>
      <c r="H29" s="273"/>
      <c r="I29" s="273"/>
    </row>
    <row r="30" spans="2:9" ht="14.1" customHeight="1" x14ac:dyDescent="0.25">
      <c r="B30" s="448" t="s">
        <v>8</v>
      </c>
      <c r="C30" s="499" t="s">
        <v>623</v>
      </c>
      <c r="D30" s="448" t="s">
        <v>604</v>
      </c>
      <c r="E30" s="489" t="s">
        <v>624</v>
      </c>
      <c r="F30" s="490"/>
      <c r="G30" s="489" t="s">
        <v>617</v>
      </c>
      <c r="H30" s="490"/>
      <c r="I30" s="448" t="s">
        <v>625</v>
      </c>
    </row>
    <row r="31" spans="2:9" ht="14.1" customHeight="1" x14ac:dyDescent="0.25">
      <c r="B31" s="449"/>
      <c r="C31" s="500"/>
      <c r="D31" s="449"/>
      <c r="E31" s="491"/>
      <c r="F31" s="492"/>
      <c r="G31" s="491"/>
      <c r="H31" s="492"/>
      <c r="I31" s="449"/>
    </row>
    <row r="32" spans="2:9" s="250" customFormat="1" ht="27.95" customHeight="1" x14ac:dyDescent="0.25">
      <c r="B32" s="267" t="s">
        <v>790</v>
      </c>
      <c r="C32" s="103" t="s">
        <v>791</v>
      </c>
      <c r="D32" s="319" t="s">
        <v>16</v>
      </c>
      <c r="E32" s="493">
        <v>92.3</v>
      </c>
      <c r="F32" s="493"/>
      <c r="G32" s="493">
        <v>1.1000000000000001</v>
      </c>
      <c r="H32" s="493"/>
      <c r="I32" s="323">
        <f>TRUNC((E32*G32),2)</f>
        <v>101.53</v>
      </c>
    </row>
    <row r="33" spans="2:9" s="250" customFormat="1" ht="14.1" customHeight="1" x14ac:dyDescent="0.25">
      <c r="B33" s="268"/>
      <c r="C33" s="269"/>
      <c r="D33" s="97"/>
      <c r="E33" s="494"/>
      <c r="F33" s="494"/>
      <c r="G33" s="494"/>
      <c r="H33" s="494"/>
      <c r="I33" s="322"/>
    </row>
    <row r="34" spans="2:9" s="250" customFormat="1" ht="15" customHeight="1" x14ac:dyDescent="0.25">
      <c r="B34" s="486" t="s">
        <v>634</v>
      </c>
      <c r="C34" s="487"/>
      <c r="D34" s="487"/>
      <c r="E34" s="487"/>
      <c r="F34" s="487"/>
      <c r="G34" s="487"/>
      <c r="H34" s="488"/>
      <c r="I34" s="317">
        <f>SUM(I32:I33)</f>
        <v>101.53</v>
      </c>
    </row>
    <row r="35" spans="2:9" ht="5.0999999999999996" customHeight="1" x14ac:dyDescent="0.25">
      <c r="B35" s="273"/>
      <c r="C35" s="273"/>
      <c r="D35" s="273"/>
      <c r="E35" s="273"/>
      <c r="F35" s="273"/>
      <c r="G35" s="273"/>
      <c r="H35" s="273"/>
      <c r="I35" s="273"/>
    </row>
    <row r="36" spans="2:9" ht="14.1" customHeight="1" x14ac:dyDescent="0.25">
      <c r="B36" s="450" t="s">
        <v>8</v>
      </c>
      <c r="C36" s="442" t="s">
        <v>52</v>
      </c>
      <c r="D36" s="450" t="s">
        <v>2</v>
      </c>
      <c r="E36" s="489" t="s">
        <v>624</v>
      </c>
      <c r="F36" s="490"/>
      <c r="G36" s="489" t="s">
        <v>617</v>
      </c>
      <c r="H36" s="490"/>
      <c r="I36" s="450" t="s">
        <v>625</v>
      </c>
    </row>
    <row r="37" spans="2:9" ht="14.1" customHeight="1" x14ac:dyDescent="0.25">
      <c r="B37" s="450"/>
      <c r="C37" s="442"/>
      <c r="D37" s="450"/>
      <c r="E37" s="491"/>
      <c r="F37" s="492"/>
      <c r="G37" s="491"/>
      <c r="H37" s="492"/>
      <c r="I37" s="450"/>
    </row>
    <row r="38" spans="2:9" s="250" customFormat="1" ht="14.1" customHeight="1" x14ac:dyDescent="0.25">
      <c r="B38" s="267"/>
      <c r="C38" s="103"/>
      <c r="D38" s="319"/>
      <c r="E38" s="493"/>
      <c r="F38" s="493"/>
      <c r="G38" s="493"/>
      <c r="H38" s="493"/>
      <c r="I38" s="323"/>
    </row>
    <row r="39" spans="2:9" s="250" customFormat="1" ht="14.1" customHeight="1" x14ac:dyDescent="0.25">
      <c r="B39" s="268"/>
      <c r="C39" s="269"/>
      <c r="D39" s="97"/>
      <c r="E39" s="494"/>
      <c r="F39" s="494"/>
      <c r="G39" s="494"/>
      <c r="H39" s="494"/>
      <c r="I39" s="322"/>
    </row>
    <row r="40" spans="2:9" s="250" customFormat="1" ht="15" customHeight="1" x14ac:dyDescent="0.25">
      <c r="B40" s="486" t="s">
        <v>635</v>
      </c>
      <c r="C40" s="487"/>
      <c r="D40" s="487"/>
      <c r="E40" s="487"/>
      <c r="F40" s="487"/>
      <c r="G40" s="487"/>
      <c r="H40" s="488"/>
      <c r="I40" s="317">
        <f>SUM(I38:I39)</f>
        <v>0</v>
      </c>
    </row>
    <row r="41" spans="2:9" ht="5.0999999999999996" customHeight="1" x14ac:dyDescent="0.25">
      <c r="B41" s="273"/>
      <c r="C41" s="273"/>
      <c r="D41" s="273"/>
      <c r="E41" s="273"/>
      <c r="F41" s="273"/>
      <c r="G41" s="273"/>
      <c r="H41" s="273"/>
      <c r="I41" s="273"/>
    </row>
    <row r="42" spans="2:9" s="250" customFormat="1" ht="15" customHeight="1" x14ac:dyDescent="0.25">
      <c r="B42" s="486" t="s">
        <v>636</v>
      </c>
      <c r="C42" s="487"/>
      <c r="D42" s="487"/>
      <c r="E42" s="487"/>
      <c r="F42" s="487"/>
      <c r="G42" s="487"/>
      <c r="H42" s="488"/>
      <c r="I42" s="317">
        <f>I28+I34+I40</f>
        <v>115.46000000000001</v>
      </c>
    </row>
  </sheetData>
  <mergeCells count="51">
    <mergeCell ref="G2:I2"/>
    <mergeCell ref="G3:I5"/>
    <mergeCell ref="G6:I6"/>
    <mergeCell ref="B8:I8"/>
    <mergeCell ref="C10:F10"/>
    <mergeCell ref="H10:I10"/>
    <mergeCell ref="C11:F11"/>
    <mergeCell ref="H11:I11"/>
    <mergeCell ref="B13:B14"/>
    <mergeCell ref="C13:C14"/>
    <mergeCell ref="D13:E13"/>
    <mergeCell ref="F13:F14"/>
    <mergeCell ref="G13:H13"/>
    <mergeCell ref="I13:I14"/>
    <mergeCell ref="B24:H24"/>
    <mergeCell ref="B18:H18"/>
    <mergeCell ref="B20:B21"/>
    <mergeCell ref="C20:C21"/>
    <mergeCell ref="D20:D21"/>
    <mergeCell ref="E20:F21"/>
    <mergeCell ref="G20:H21"/>
    <mergeCell ref="I20:I21"/>
    <mergeCell ref="E22:F22"/>
    <mergeCell ref="G22:H22"/>
    <mergeCell ref="E23:F23"/>
    <mergeCell ref="G23:H23"/>
    <mergeCell ref="B26:H26"/>
    <mergeCell ref="B28:H28"/>
    <mergeCell ref="B30:B31"/>
    <mergeCell ref="C30:C31"/>
    <mergeCell ref="D30:D31"/>
    <mergeCell ref="E30:F31"/>
    <mergeCell ref="G30:H31"/>
    <mergeCell ref="I36:I37"/>
    <mergeCell ref="I30:I31"/>
    <mergeCell ref="E32:F32"/>
    <mergeCell ref="G32:H32"/>
    <mergeCell ref="E33:F33"/>
    <mergeCell ref="G33:H33"/>
    <mergeCell ref="B34:H34"/>
    <mergeCell ref="B42:H42"/>
    <mergeCell ref="B36:B37"/>
    <mergeCell ref="C36:C37"/>
    <mergeCell ref="D36:D37"/>
    <mergeCell ref="E36:F37"/>
    <mergeCell ref="G36:H37"/>
    <mergeCell ref="E38:F38"/>
    <mergeCell ref="G38:H38"/>
    <mergeCell ref="E39:F39"/>
    <mergeCell ref="G39:H39"/>
    <mergeCell ref="B40:H4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I5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9" ht="5.0999999999999996" customHeight="1" x14ac:dyDescent="0.25"/>
    <row r="2" spans="2:9" s="210" customFormat="1" ht="14.1" customHeight="1" x14ac:dyDescent="0.2">
      <c r="B2" s="100" t="str">
        <f>DADOS!$B$3</f>
        <v>CLIENTE:</v>
      </c>
      <c r="C2" s="81" t="str">
        <f>DADOS!$C$3</f>
        <v>PREFEITURA MUNICIPAL DE JARDIM / MS</v>
      </c>
      <c r="D2" s="264"/>
      <c r="E2" s="264"/>
      <c r="F2" s="264"/>
      <c r="G2" s="476" t="str">
        <f>Orçamento!K2</f>
        <v>BANCOS</v>
      </c>
      <c r="H2" s="402"/>
      <c r="I2" s="477"/>
    </row>
    <row r="3" spans="2:9"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9" s="210" customFormat="1" ht="14.1" customHeight="1" x14ac:dyDescent="0.2">
      <c r="B4" s="83"/>
      <c r="C4" s="82"/>
      <c r="G4" s="478"/>
      <c r="H4" s="479"/>
      <c r="I4" s="480"/>
    </row>
    <row r="5" spans="2:9" s="210" customFormat="1" ht="14.1" customHeight="1" x14ac:dyDescent="0.2">
      <c r="B5" s="101" t="str">
        <f>DADOS!$B$7</f>
        <v>OBRA:</v>
      </c>
      <c r="C5" s="82" t="str">
        <f>DADOS!$C$7</f>
        <v>PAVIMENTAÇÃO ASFÁLTICA E DRENAGEM DE ÁGUAS PLUVIAIS</v>
      </c>
      <c r="G5" s="478"/>
      <c r="H5" s="479"/>
      <c r="I5" s="480"/>
    </row>
    <row r="6" spans="2:9" s="210" customFormat="1" ht="14.1" customHeight="1" x14ac:dyDescent="0.2">
      <c r="B6" s="84" t="str">
        <f>DADOS!$B$8</f>
        <v>LOCAL:</v>
      </c>
      <c r="C6" s="85" t="str">
        <f>DADOS!$C$8</f>
        <v>JARDIM PREVISUL, JARDIM / MS</v>
      </c>
      <c r="D6" s="265"/>
      <c r="E6" s="265"/>
      <c r="F6" s="265"/>
      <c r="G6" s="481" t="str">
        <f>Orçamento!H3</f>
        <v>SEM DESONERAÇÃO</v>
      </c>
      <c r="H6" s="396"/>
      <c r="I6" s="482"/>
    </row>
    <row r="7" spans="2:9" ht="5.0999999999999996" customHeight="1" x14ac:dyDescent="0.25"/>
    <row r="8" spans="2:9" ht="15" customHeight="1" x14ac:dyDescent="0.25">
      <c r="B8" s="397" t="s">
        <v>603</v>
      </c>
      <c r="C8" s="397"/>
      <c r="D8" s="397"/>
      <c r="E8" s="397"/>
      <c r="F8" s="397"/>
      <c r="G8" s="397"/>
      <c r="H8" s="397"/>
      <c r="I8" s="397"/>
    </row>
    <row r="9" spans="2:9" ht="5.0999999999999996" customHeight="1" x14ac:dyDescent="0.25"/>
    <row r="10" spans="2:9" ht="20.100000000000001" customHeight="1" x14ac:dyDescent="0.25">
      <c r="B10" s="244" t="s">
        <v>50</v>
      </c>
      <c r="C10" s="442" t="s">
        <v>1</v>
      </c>
      <c r="D10" s="442"/>
      <c r="E10" s="442"/>
      <c r="F10" s="442"/>
      <c r="G10" s="244" t="s">
        <v>604</v>
      </c>
      <c r="H10" s="442" t="s">
        <v>605</v>
      </c>
      <c r="I10" s="442"/>
    </row>
    <row r="11" spans="2:9" s="250" customFormat="1" ht="56.1" customHeight="1" x14ac:dyDescent="0.25">
      <c r="B11" s="266" t="s">
        <v>649</v>
      </c>
      <c r="C11" s="483" t="s">
        <v>648</v>
      </c>
      <c r="D11" s="484"/>
      <c r="E11" s="484"/>
      <c r="F11" s="485"/>
      <c r="G11" s="79" t="s">
        <v>15</v>
      </c>
      <c r="H11" s="453">
        <v>1</v>
      </c>
      <c r="I11" s="453"/>
    </row>
    <row r="12" spans="2:9" s="250" customFormat="1" ht="5.0999999999999996" customHeight="1" x14ac:dyDescent="0.25">
      <c r="B12" s="8"/>
      <c r="C12" s="8"/>
      <c r="D12" s="8"/>
      <c r="E12" s="8"/>
      <c r="F12" s="8"/>
      <c r="G12" s="8"/>
      <c r="H12" s="8"/>
      <c r="I12" s="8"/>
    </row>
    <row r="13" spans="2:9" ht="14.1" customHeight="1" x14ac:dyDescent="0.25">
      <c r="B13" s="450" t="s">
        <v>8</v>
      </c>
      <c r="C13" s="442" t="s">
        <v>608</v>
      </c>
      <c r="D13" s="442" t="s">
        <v>609</v>
      </c>
      <c r="E13" s="442"/>
      <c r="F13" s="450" t="s">
        <v>4</v>
      </c>
      <c r="G13" s="442" t="s">
        <v>610</v>
      </c>
      <c r="H13" s="442"/>
      <c r="I13" s="450" t="s">
        <v>611</v>
      </c>
    </row>
    <row r="14" spans="2:9" ht="14.1" customHeight="1" x14ac:dyDescent="0.25">
      <c r="B14" s="450"/>
      <c r="C14" s="442"/>
      <c r="D14" s="244" t="s">
        <v>612</v>
      </c>
      <c r="E14" s="244" t="s">
        <v>613</v>
      </c>
      <c r="F14" s="450"/>
      <c r="G14" s="244" t="s">
        <v>612</v>
      </c>
      <c r="H14" s="244" t="s">
        <v>613</v>
      </c>
      <c r="I14" s="450"/>
    </row>
    <row r="15" spans="2:9" s="250" customFormat="1" ht="14.1" customHeight="1" x14ac:dyDescent="0.25">
      <c r="B15" s="267"/>
      <c r="C15" s="103"/>
      <c r="D15" s="379"/>
      <c r="E15" s="379"/>
      <c r="F15" s="379"/>
      <c r="G15" s="379"/>
      <c r="H15" s="379"/>
      <c r="I15" s="379"/>
    </row>
    <row r="16" spans="2:9" s="250" customFormat="1" ht="14.1" customHeight="1" x14ac:dyDescent="0.25">
      <c r="B16" s="268"/>
      <c r="C16" s="269"/>
      <c r="D16" s="380"/>
      <c r="E16" s="380"/>
      <c r="F16" s="380"/>
      <c r="G16" s="380"/>
      <c r="H16" s="380"/>
      <c r="I16" s="380"/>
    </row>
    <row r="17" spans="2:9" s="250" customFormat="1" ht="15" customHeight="1" x14ac:dyDescent="0.25">
      <c r="B17" s="486" t="s">
        <v>614</v>
      </c>
      <c r="C17" s="487"/>
      <c r="D17" s="487"/>
      <c r="E17" s="487"/>
      <c r="F17" s="487"/>
      <c r="G17" s="487"/>
      <c r="H17" s="488"/>
      <c r="I17" s="378">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249"/>
      <c r="E21" s="493"/>
      <c r="F21" s="493"/>
      <c r="G21" s="493"/>
      <c r="H21" s="493"/>
      <c r="I21" s="219"/>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0</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0</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75"/>
      <c r="C30" s="502"/>
      <c r="D30" s="475"/>
      <c r="E30" s="503"/>
      <c r="F30" s="504"/>
      <c r="G30" s="503"/>
      <c r="H30" s="504"/>
      <c r="I30" s="475"/>
    </row>
    <row r="31" spans="2:9" s="250" customFormat="1" ht="27.95" customHeight="1" x14ac:dyDescent="0.25">
      <c r="B31" s="376" t="str">
        <f>'EEA-SD-06 - Alv. de Tijolo'!$B$11</f>
        <v>EEA-SD-06</v>
      </c>
      <c r="C31" s="103" t="str">
        <f>'EEA-SD-06 - Alv. de Tijolo'!$C$11</f>
        <v>Alvenaria em tijolo cerâmico maciço 5cm x 10cm x 20cm, 1 vez (espessura 20cm), assentado com argamassa traço 1:3 (cimento e areia</v>
      </c>
      <c r="D31" s="366" t="str">
        <f>'EEA-SD-06 - Alv. de Tijolo'!$G$11</f>
        <v>m²</v>
      </c>
      <c r="E31" s="493">
        <f>'EEA-SD-06 - Alv. de Tijolo'!$I$43</f>
        <v>202.79000000000002</v>
      </c>
      <c r="F31" s="493"/>
      <c r="G31" s="493">
        <v>12.6</v>
      </c>
      <c r="H31" s="493"/>
      <c r="I31" s="369">
        <f t="shared" ref="I31" si="0">TRUNC((E31*G31),2)</f>
        <v>2555.15</v>
      </c>
    </row>
    <row r="32" spans="2:9" s="250" customFormat="1" ht="27.95" customHeight="1" x14ac:dyDescent="0.25">
      <c r="B32" s="67">
        <v>87313</v>
      </c>
      <c r="C32" s="69" t="s">
        <v>848</v>
      </c>
      <c r="D32" s="70" t="s">
        <v>16</v>
      </c>
      <c r="E32" s="495">
        <v>555.65</v>
      </c>
      <c r="F32" s="495"/>
      <c r="G32" s="495" t="s">
        <v>802</v>
      </c>
      <c r="H32" s="495"/>
      <c r="I32" s="371">
        <f t="shared" ref="I32:I37" si="1">TRUNC((E32*G32),2)</f>
        <v>158.36000000000001</v>
      </c>
    </row>
    <row r="33" spans="2:9" s="250" customFormat="1" ht="27.95" customHeight="1" x14ac:dyDescent="0.25">
      <c r="B33" s="67">
        <v>87878</v>
      </c>
      <c r="C33" s="69" t="s">
        <v>847</v>
      </c>
      <c r="D33" s="70" t="s">
        <v>13</v>
      </c>
      <c r="E33" s="495">
        <v>5.03</v>
      </c>
      <c r="F33" s="495"/>
      <c r="G33" s="495" t="s">
        <v>803</v>
      </c>
      <c r="H33" s="495"/>
      <c r="I33" s="371">
        <f t="shared" si="1"/>
        <v>57.34</v>
      </c>
    </row>
    <row r="34" spans="2:9" s="250" customFormat="1" ht="27.95" customHeight="1" x14ac:dyDescent="0.25">
      <c r="B34" s="67">
        <v>94963</v>
      </c>
      <c r="C34" s="69" t="s">
        <v>849</v>
      </c>
      <c r="D34" s="70" t="s">
        <v>16</v>
      </c>
      <c r="E34" s="495">
        <v>444.93</v>
      </c>
      <c r="F34" s="495"/>
      <c r="G34" s="495" t="s">
        <v>804</v>
      </c>
      <c r="H34" s="495"/>
      <c r="I34" s="371">
        <f t="shared" si="1"/>
        <v>774.17</v>
      </c>
    </row>
    <row r="35" spans="2:9" s="250" customFormat="1" ht="27.95" customHeight="1" x14ac:dyDescent="0.25">
      <c r="B35" s="67">
        <v>94964</v>
      </c>
      <c r="C35" s="69" t="s">
        <v>850</v>
      </c>
      <c r="D35" s="70" t="s">
        <v>16</v>
      </c>
      <c r="E35" s="495">
        <v>491.72</v>
      </c>
      <c r="F35" s="495"/>
      <c r="G35" s="495" t="s">
        <v>805</v>
      </c>
      <c r="H35" s="495"/>
      <c r="I35" s="371">
        <f t="shared" si="1"/>
        <v>314.7</v>
      </c>
    </row>
    <row r="36" spans="2:9" s="250" customFormat="1" ht="27.95" customHeight="1" x14ac:dyDescent="0.25">
      <c r="B36" s="67">
        <v>94974</v>
      </c>
      <c r="C36" s="69" t="s">
        <v>845</v>
      </c>
      <c r="D36" s="70" t="s">
        <v>16</v>
      </c>
      <c r="E36" s="495">
        <v>453.41</v>
      </c>
      <c r="F36" s="495"/>
      <c r="G36" s="495" t="s">
        <v>806</v>
      </c>
      <c r="H36" s="495"/>
      <c r="I36" s="371">
        <f t="shared" si="1"/>
        <v>463.83</v>
      </c>
    </row>
    <row r="37" spans="2:9" s="250" customFormat="1" ht="14.1" customHeight="1" x14ac:dyDescent="0.25">
      <c r="B37" s="67">
        <v>92802</v>
      </c>
      <c r="C37" s="69" t="s">
        <v>846</v>
      </c>
      <c r="D37" s="70" t="s">
        <v>703</v>
      </c>
      <c r="E37" s="495">
        <v>9.93</v>
      </c>
      <c r="F37" s="495"/>
      <c r="G37" s="495" t="s">
        <v>807</v>
      </c>
      <c r="H37" s="495"/>
      <c r="I37" s="371">
        <f t="shared" si="1"/>
        <v>689.93</v>
      </c>
    </row>
    <row r="38" spans="2:9" s="250" customFormat="1" ht="14.1" customHeight="1" x14ac:dyDescent="0.25">
      <c r="B38" s="289" t="str">
        <f>'EEA-SD-05 - Esc. Manual'!$B$11</f>
        <v>EEA-SD-05</v>
      </c>
      <c r="C38" s="69" t="str">
        <f>'EEA-SD-05 - Esc. Manual'!C11</f>
        <v>Escavação manual em solo prof. até 1,50m</v>
      </c>
      <c r="D38" s="70" t="str">
        <f>'EEA-SD-05 - Esc. Manual'!$G$11</f>
        <v>m³</v>
      </c>
      <c r="E38" s="495">
        <f>'EEA-SD-05 - Esc. Manual'!$I$40</f>
        <v>45.52</v>
      </c>
      <c r="F38" s="495"/>
      <c r="G38" s="495">
        <v>1.3</v>
      </c>
      <c r="H38" s="495"/>
      <c r="I38" s="371">
        <f>TRUNC((E38*G38),2)</f>
        <v>59.17</v>
      </c>
    </row>
    <row r="39" spans="2:9" s="250" customFormat="1" ht="27.95" customHeight="1" x14ac:dyDescent="0.25">
      <c r="B39" s="67">
        <v>96536</v>
      </c>
      <c r="C39" s="69" t="s">
        <v>897</v>
      </c>
      <c r="D39" s="70" t="s">
        <v>13</v>
      </c>
      <c r="E39" s="495">
        <v>63.35</v>
      </c>
      <c r="F39" s="495"/>
      <c r="G39" s="495" t="s">
        <v>808</v>
      </c>
      <c r="H39" s="495"/>
      <c r="I39" s="371">
        <f>TRUNC((E39*G39),2)</f>
        <v>172.31</v>
      </c>
    </row>
    <row r="40" spans="2:9" s="250" customFormat="1" ht="27.95" customHeight="1" x14ac:dyDescent="0.25">
      <c r="B40" s="67">
        <v>103670</v>
      </c>
      <c r="C40" s="69" t="s">
        <v>307</v>
      </c>
      <c r="D40" s="70" t="s">
        <v>16</v>
      </c>
      <c r="E40" s="495">
        <v>308.54000000000002</v>
      </c>
      <c r="F40" s="495"/>
      <c r="G40" s="495" t="s">
        <v>809</v>
      </c>
      <c r="H40" s="495"/>
      <c r="I40" s="371">
        <f>TRUNC((E40*G40),2)</f>
        <v>734.32</v>
      </c>
    </row>
    <row r="41" spans="2:9" s="250" customFormat="1" ht="14.1" customHeight="1" x14ac:dyDescent="0.25">
      <c r="B41" s="67">
        <v>93382</v>
      </c>
      <c r="C41" s="69" t="s">
        <v>840</v>
      </c>
      <c r="D41" s="70" t="s">
        <v>16</v>
      </c>
      <c r="E41" s="495">
        <v>27.31</v>
      </c>
      <c r="F41" s="495"/>
      <c r="G41" s="495" t="s">
        <v>810</v>
      </c>
      <c r="H41" s="495"/>
      <c r="I41" s="371">
        <f>TRUNC((E41*G41),2)</f>
        <v>31.4</v>
      </c>
    </row>
    <row r="42" spans="2:9" s="250" customFormat="1" ht="14.1" customHeight="1" x14ac:dyDescent="0.25">
      <c r="B42" s="289" t="str">
        <f>'EEA-SD-04 - Regula. Manual'!$B$11</f>
        <v>EEA-SD-04</v>
      </c>
      <c r="C42" s="69" t="str">
        <f>'EEA-SD-04 - Regula. Manual'!C11</f>
        <v>Regularização manual e compactação mecânica de terreno</v>
      </c>
      <c r="D42" s="70" t="str">
        <f>'EEA-SD-04 - Regula. Manual'!$G$11</f>
        <v>m²</v>
      </c>
      <c r="E42" s="495">
        <f>'EEA-SD-04 - Regula. Manual'!$I$40</f>
        <v>7.56</v>
      </c>
      <c r="F42" s="495"/>
      <c r="G42" s="495">
        <v>8</v>
      </c>
      <c r="H42" s="495"/>
      <c r="I42" s="371">
        <f>TRUNC((E42*G42),2)</f>
        <v>60.48</v>
      </c>
    </row>
    <row r="43" spans="2:9" s="250" customFormat="1" ht="14.1" customHeight="1" x14ac:dyDescent="0.25">
      <c r="B43" s="268"/>
      <c r="C43" s="269"/>
      <c r="D43" s="97"/>
      <c r="E43" s="494"/>
      <c r="F43" s="494"/>
      <c r="G43" s="494"/>
      <c r="H43" s="494"/>
      <c r="I43" s="370"/>
    </row>
    <row r="44" spans="2:9" s="250" customFormat="1" ht="15" customHeight="1" x14ac:dyDescent="0.25">
      <c r="B44" s="505" t="s">
        <v>634</v>
      </c>
      <c r="C44" s="506"/>
      <c r="D44" s="506"/>
      <c r="E44" s="506"/>
      <c r="F44" s="506"/>
      <c r="G44" s="506"/>
      <c r="H44" s="507"/>
      <c r="I44" s="374">
        <f>SUM(I31:I43)</f>
        <v>6071.16</v>
      </c>
    </row>
    <row r="45" spans="2:9" ht="5.0999999999999996" customHeight="1" x14ac:dyDescent="0.25">
      <c r="B45" s="273"/>
      <c r="C45" s="273"/>
      <c r="D45" s="273"/>
      <c r="E45" s="273"/>
      <c r="F45" s="273"/>
      <c r="G45" s="273"/>
      <c r="H45" s="273"/>
      <c r="I45" s="273"/>
    </row>
    <row r="46" spans="2:9" ht="14.1" customHeight="1" x14ac:dyDescent="0.25">
      <c r="B46" s="450" t="s">
        <v>8</v>
      </c>
      <c r="C46" s="442" t="s">
        <v>52</v>
      </c>
      <c r="D46" s="450" t="s">
        <v>2</v>
      </c>
      <c r="E46" s="489" t="s">
        <v>624</v>
      </c>
      <c r="F46" s="490"/>
      <c r="G46" s="489" t="s">
        <v>617</v>
      </c>
      <c r="H46" s="490"/>
      <c r="I46" s="450" t="s">
        <v>625</v>
      </c>
    </row>
    <row r="47" spans="2:9" ht="14.1" customHeight="1" x14ac:dyDescent="0.25">
      <c r="B47" s="450"/>
      <c r="C47" s="442"/>
      <c r="D47" s="450"/>
      <c r="E47" s="491"/>
      <c r="F47" s="492"/>
      <c r="G47" s="491"/>
      <c r="H47" s="492"/>
      <c r="I47" s="450"/>
    </row>
    <row r="48" spans="2:9" s="250" customFormat="1" ht="14.1" customHeight="1" x14ac:dyDescent="0.25">
      <c r="B48" s="267"/>
      <c r="C48" s="103"/>
      <c r="D48" s="249"/>
      <c r="E48" s="493"/>
      <c r="F48" s="493"/>
      <c r="G48" s="493"/>
      <c r="H48" s="493"/>
      <c r="I48" s="219"/>
    </row>
    <row r="49" spans="2:9" s="250" customFormat="1" ht="14.1" customHeight="1" x14ac:dyDescent="0.25">
      <c r="B49" s="268"/>
      <c r="C49" s="269"/>
      <c r="D49" s="97"/>
      <c r="E49" s="494"/>
      <c r="F49" s="494"/>
      <c r="G49" s="494"/>
      <c r="H49" s="494"/>
      <c r="I49" s="220"/>
    </row>
    <row r="50" spans="2:9" s="250" customFormat="1" ht="15" customHeight="1" x14ac:dyDescent="0.25">
      <c r="B50" s="486" t="s">
        <v>635</v>
      </c>
      <c r="C50" s="487"/>
      <c r="D50" s="487"/>
      <c r="E50" s="487"/>
      <c r="F50" s="487"/>
      <c r="G50" s="487"/>
      <c r="H50" s="488"/>
      <c r="I50" s="246">
        <f>SUM(I48:I49)</f>
        <v>0</v>
      </c>
    </row>
    <row r="51" spans="2:9" ht="5.0999999999999996" customHeight="1" x14ac:dyDescent="0.25">
      <c r="B51" s="273"/>
      <c r="C51" s="273"/>
      <c r="D51" s="273"/>
      <c r="E51" s="273"/>
      <c r="F51" s="273"/>
      <c r="G51" s="273"/>
      <c r="H51" s="273"/>
      <c r="I51" s="273"/>
    </row>
    <row r="52" spans="2:9" s="250" customFormat="1" ht="15" customHeight="1" x14ac:dyDescent="0.25">
      <c r="B52" s="486" t="s">
        <v>636</v>
      </c>
      <c r="C52" s="487"/>
      <c r="D52" s="487"/>
      <c r="E52" s="487"/>
      <c r="F52" s="487"/>
      <c r="G52" s="487"/>
      <c r="H52" s="488"/>
      <c r="I52" s="246">
        <f>I27+I44+I50</f>
        <v>6071.16</v>
      </c>
    </row>
  </sheetData>
  <mergeCells count="73">
    <mergeCell ref="E31:F31"/>
    <mergeCell ref="G31:H31"/>
    <mergeCell ref="B52:H52"/>
    <mergeCell ref="I46:I47"/>
    <mergeCell ref="E48:F48"/>
    <mergeCell ref="G48:H48"/>
    <mergeCell ref="E49:F49"/>
    <mergeCell ref="G49:H49"/>
    <mergeCell ref="B50:H50"/>
    <mergeCell ref="B46:B47"/>
    <mergeCell ref="C46:C47"/>
    <mergeCell ref="D46:D47"/>
    <mergeCell ref="E46:F47"/>
    <mergeCell ref="G46:H47"/>
    <mergeCell ref="E38:F38"/>
    <mergeCell ref="G38:H38"/>
    <mergeCell ref="E43:F43"/>
    <mergeCell ref="G43:H43"/>
    <mergeCell ref="B44:H44"/>
    <mergeCell ref="E41:F41"/>
    <mergeCell ref="G41:H41"/>
    <mergeCell ref="E42:F42"/>
    <mergeCell ref="G42:H42"/>
    <mergeCell ref="E37:F37"/>
    <mergeCell ref="G37:H37"/>
    <mergeCell ref="E39:F39"/>
    <mergeCell ref="G39:H39"/>
    <mergeCell ref="E40:F40"/>
    <mergeCell ref="G40:H40"/>
    <mergeCell ref="E33:F33"/>
    <mergeCell ref="G33:H33"/>
    <mergeCell ref="E35:F35"/>
    <mergeCell ref="G35:H35"/>
    <mergeCell ref="E36:F36"/>
    <mergeCell ref="G36:H36"/>
    <mergeCell ref="E34:F34"/>
    <mergeCell ref="G34:H34"/>
    <mergeCell ref="E32:F32"/>
    <mergeCell ref="G32:H32"/>
    <mergeCell ref="I19:I20"/>
    <mergeCell ref="E21:F21"/>
    <mergeCell ref="G21:H21"/>
    <mergeCell ref="E22:F22"/>
    <mergeCell ref="G22:H22"/>
    <mergeCell ref="B25:H25"/>
    <mergeCell ref="B27:H27"/>
    <mergeCell ref="B29:B30"/>
    <mergeCell ref="B23:H23"/>
    <mergeCell ref="C29:C30"/>
    <mergeCell ref="D29:D30"/>
    <mergeCell ref="E29:F30"/>
    <mergeCell ref="G29:H30"/>
    <mergeCell ref="I29:I30"/>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9"/>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3" ht="5.0999999999999996" customHeight="1" x14ac:dyDescent="0.25"/>
    <row r="2" spans="2:13" s="210" customFormat="1" ht="14.1" customHeight="1" x14ac:dyDescent="0.2">
      <c r="B2" s="100" t="str">
        <f>DADOS!$B$3</f>
        <v>CLIENTE:</v>
      </c>
      <c r="C2" s="81" t="str">
        <f>DADOS!$C$3</f>
        <v>PREFEITURA MUNICIPAL DE JARDIM / MS</v>
      </c>
      <c r="D2" s="264"/>
      <c r="E2" s="264"/>
      <c r="F2" s="264"/>
      <c r="G2" s="476" t="str">
        <f>Orçamento!K2</f>
        <v>BANCOS</v>
      </c>
      <c r="H2" s="402"/>
      <c r="I2" s="477"/>
    </row>
    <row r="3" spans="2:13"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3" s="210" customFormat="1" ht="14.1" customHeight="1" x14ac:dyDescent="0.25">
      <c r="B4" s="83"/>
      <c r="C4" s="82"/>
      <c r="G4" s="478"/>
      <c r="H4" s="479"/>
      <c r="I4" s="480"/>
      <c r="K4"/>
      <c r="L4"/>
      <c r="M4"/>
    </row>
    <row r="5" spans="2:13" s="210" customFormat="1" ht="14.1" customHeight="1" x14ac:dyDescent="0.25">
      <c r="B5" s="101" t="str">
        <f>DADOS!$B$7</f>
        <v>OBRA:</v>
      </c>
      <c r="C5" s="82" t="str">
        <f>DADOS!$C$7</f>
        <v>PAVIMENTAÇÃO ASFÁLTICA E DRENAGEM DE ÁGUAS PLUVIAIS</v>
      </c>
      <c r="G5" s="478"/>
      <c r="H5" s="479"/>
      <c r="I5" s="480"/>
      <c r="K5"/>
      <c r="L5"/>
      <c r="M5"/>
    </row>
    <row r="6" spans="2:13" s="210" customFormat="1" ht="14.1" customHeight="1" x14ac:dyDescent="0.25">
      <c r="B6" s="84" t="str">
        <f>DADOS!$B$8</f>
        <v>LOCAL:</v>
      </c>
      <c r="C6" s="85" t="str">
        <f>DADOS!$C$8</f>
        <v>JARDIM PREVISUL, JARDIM / MS</v>
      </c>
      <c r="D6" s="265"/>
      <c r="E6" s="265"/>
      <c r="F6" s="265"/>
      <c r="G6" s="481" t="str">
        <f>Orçamento!H3</f>
        <v>SEM DESONERAÇÃO</v>
      </c>
      <c r="H6" s="396"/>
      <c r="I6" s="482"/>
      <c r="K6"/>
      <c r="L6"/>
      <c r="M6"/>
    </row>
    <row r="7" spans="2:13" ht="5.0999999999999996" customHeight="1" x14ac:dyDescent="0.25"/>
    <row r="8" spans="2:13" ht="15" customHeight="1" x14ac:dyDescent="0.25">
      <c r="B8" s="397" t="s">
        <v>603</v>
      </c>
      <c r="C8" s="397"/>
      <c r="D8" s="397"/>
      <c r="E8" s="397"/>
      <c r="F8" s="397"/>
      <c r="G8" s="397"/>
      <c r="H8" s="397"/>
      <c r="I8" s="397"/>
    </row>
    <row r="9" spans="2:13" ht="5.0999999999999996" customHeight="1" x14ac:dyDescent="0.25"/>
    <row r="10" spans="2:13" ht="20.100000000000001" customHeight="1" x14ac:dyDescent="0.25">
      <c r="B10" s="244" t="s">
        <v>50</v>
      </c>
      <c r="C10" s="442" t="s">
        <v>1</v>
      </c>
      <c r="D10" s="442"/>
      <c r="E10" s="442"/>
      <c r="F10" s="442"/>
      <c r="G10" s="244" t="s">
        <v>604</v>
      </c>
      <c r="H10" s="442" t="s">
        <v>605</v>
      </c>
      <c r="I10" s="442"/>
    </row>
    <row r="11" spans="2:13" s="250" customFormat="1" ht="27.95" customHeight="1" x14ac:dyDescent="0.25">
      <c r="B11" s="266" t="s">
        <v>650</v>
      </c>
      <c r="C11" s="483" t="s">
        <v>54</v>
      </c>
      <c r="D11" s="484"/>
      <c r="E11" s="484"/>
      <c r="F11" s="485"/>
      <c r="G11" s="79" t="s">
        <v>15</v>
      </c>
      <c r="H11" s="453">
        <v>1</v>
      </c>
      <c r="I11" s="453"/>
    </row>
    <row r="12" spans="2:13" s="250" customFormat="1" ht="5.0999999999999996" customHeight="1" x14ac:dyDescent="0.25">
      <c r="B12" s="8"/>
      <c r="C12" s="8"/>
      <c r="D12" s="8"/>
      <c r="E12" s="8"/>
      <c r="F12" s="8"/>
      <c r="G12" s="8"/>
      <c r="H12" s="8"/>
      <c r="I12" s="8"/>
    </row>
    <row r="13" spans="2:13" ht="14.1" customHeight="1" x14ac:dyDescent="0.25">
      <c r="B13" s="450" t="s">
        <v>8</v>
      </c>
      <c r="C13" s="442" t="s">
        <v>608</v>
      </c>
      <c r="D13" s="442" t="s">
        <v>609</v>
      </c>
      <c r="E13" s="442"/>
      <c r="F13" s="450" t="s">
        <v>4</v>
      </c>
      <c r="G13" s="442" t="s">
        <v>610</v>
      </c>
      <c r="H13" s="442"/>
      <c r="I13" s="450" t="s">
        <v>611</v>
      </c>
    </row>
    <row r="14" spans="2:13" ht="14.1" customHeight="1" x14ac:dyDescent="0.25">
      <c r="B14" s="450"/>
      <c r="C14" s="442"/>
      <c r="D14" s="364" t="s">
        <v>612</v>
      </c>
      <c r="E14" s="364" t="s">
        <v>613</v>
      </c>
      <c r="F14" s="450"/>
      <c r="G14" s="364" t="s">
        <v>612</v>
      </c>
      <c r="H14" s="364" t="s">
        <v>613</v>
      </c>
      <c r="I14" s="450"/>
    </row>
    <row r="15" spans="2:13" s="250" customFormat="1" ht="42" customHeight="1" x14ac:dyDescent="0.25">
      <c r="B15" s="67">
        <v>5928</v>
      </c>
      <c r="C15" s="69" t="s">
        <v>870</v>
      </c>
      <c r="D15" s="371">
        <v>276.67</v>
      </c>
      <c r="E15" s="371">
        <v>0</v>
      </c>
      <c r="F15" s="371">
        <v>1</v>
      </c>
      <c r="G15" s="371">
        <v>0.1</v>
      </c>
      <c r="H15" s="371">
        <v>0</v>
      </c>
      <c r="I15" s="371">
        <f>TRUNC(((D15*F15*G15)+(E15*F15*H15)),2)</f>
        <v>27.66</v>
      </c>
    </row>
    <row r="16" spans="2:13" s="250" customFormat="1" ht="14.1" customHeight="1" x14ac:dyDescent="0.25">
      <c r="B16" s="268"/>
      <c r="C16" s="269"/>
      <c r="D16" s="370"/>
      <c r="E16" s="370"/>
      <c r="F16" s="370"/>
      <c r="G16" s="370"/>
      <c r="H16" s="370"/>
      <c r="I16" s="370"/>
    </row>
    <row r="17" spans="2:9" s="250" customFormat="1" ht="15" customHeight="1" x14ac:dyDescent="0.25">
      <c r="B17" s="505" t="s">
        <v>614</v>
      </c>
      <c r="C17" s="506"/>
      <c r="D17" s="506"/>
      <c r="E17" s="506"/>
      <c r="F17" s="506"/>
      <c r="G17" s="506"/>
      <c r="H17" s="507"/>
      <c r="I17" s="374">
        <f>SUM(I15:I15)</f>
        <v>27.66</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249"/>
      <c r="E21" s="493"/>
      <c r="F21" s="493"/>
      <c r="G21" s="508"/>
      <c r="H21" s="508"/>
      <c r="I21" s="219"/>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27.66</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27.66</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27.95" customHeight="1" x14ac:dyDescent="0.25">
      <c r="B31" s="67">
        <v>92917</v>
      </c>
      <c r="C31" s="69" t="s">
        <v>811</v>
      </c>
      <c r="D31" s="73" t="s">
        <v>34</v>
      </c>
      <c r="E31" s="495">
        <v>13.85</v>
      </c>
      <c r="F31" s="495"/>
      <c r="G31" s="495">
        <v>4.5</v>
      </c>
      <c r="H31" s="495"/>
      <c r="I31" s="371">
        <f t="shared" ref="I31:I37" si="0">TRUNC((E31*G31),2)</f>
        <v>62.32</v>
      </c>
    </row>
    <row r="32" spans="2:9" s="250" customFormat="1" ht="27.95" customHeight="1" x14ac:dyDescent="0.25">
      <c r="B32" s="67">
        <v>92915</v>
      </c>
      <c r="C32" s="69" t="s">
        <v>812</v>
      </c>
      <c r="D32" s="73" t="s">
        <v>34</v>
      </c>
      <c r="E32" s="495">
        <v>16.920000000000002</v>
      </c>
      <c r="F32" s="495"/>
      <c r="G32" s="497" t="s">
        <v>813</v>
      </c>
      <c r="H32" s="498"/>
      <c r="I32" s="221">
        <f>TRUNC((E32*G32),2)</f>
        <v>15.56</v>
      </c>
    </row>
    <row r="33" spans="2:15" s="250" customFormat="1" ht="27.95" customHeight="1" x14ac:dyDescent="0.25">
      <c r="B33" s="67">
        <v>94964</v>
      </c>
      <c r="C33" s="69" t="s">
        <v>814</v>
      </c>
      <c r="D33" s="73" t="s">
        <v>16</v>
      </c>
      <c r="E33" s="495">
        <v>491.72</v>
      </c>
      <c r="F33" s="495"/>
      <c r="G33" s="512">
        <v>0.72899999999999998</v>
      </c>
      <c r="H33" s="513"/>
      <c r="I33" s="371">
        <f t="shared" ref="I33" si="1">TRUNC((E33*G33),2)</f>
        <v>358.46</v>
      </c>
    </row>
    <row r="34" spans="2:15" s="250" customFormat="1" ht="14.1" customHeight="1" x14ac:dyDescent="0.25">
      <c r="B34" s="289" t="str">
        <f>'EEA-SD-05 - Esc. Manual'!$B$11</f>
        <v>EEA-SD-05</v>
      </c>
      <c r="C34" s="69" t="str">
        <f>'EEA-SD-05 - Esc. Manual'!C11</f>
        <v>Escavação manual em solo prof. até 1,50m</v>
      </c>
      <c r="D34" s="70" t="str">
        <f>'EEA-SD-05 - Esc. Manual'!$G$11</f>
        <v>m³</v>
      </c>
      <c r="E34" s="497">
        <f>'EEA-SD-05 - Esc. Manual'!$I$40</f>
        <v>45.52</v>
      </c>
      <c r="F34" s="498"/>
      <c r="G34" s="497">
        <v>0.95</v>
      </c>
      <c r="H34" s="498"/>
      <c r="I34" s="334">
        <f>TRUNC((E34*G34),2)</f>
        <v>43.24</v>
      </c>
    </row>
    <row r="35" spans="2:15" s="250" customFormat="1" ht="27.95" customHeight="1" x14ac:dyDescent="0.25">
      <c r="B35" s="67">
        <v>103670</v>
      </c>
      <c r="C35" s="69" t="s">
        <v>702</v>
      </c>
      <c r="D35" s="73" t="s">
        <v>16</v>
      </c>
      <c r="E35" s="495">
        <v>308.54000000000002</v>
      </c>
      <c r="F35" s="495"/>
      <c r="G35" s="510" t="s">
        <v>815</v>
      </c>
      <c r="H35" s="511"/>
      <c r="I35" s="221">
        <f>TRUNC((E35*G35),2)</f>
        <v>224.92</v>
      </c>
    </row>
    <row r="36" spans="2:15" s="250" customFormat="1" ht="42" customHeight="1" x14ac:dyDescent="0.25">
      <c r="B36" s="67">
        <v>92431</v>
      </c>
      <c r="C36" s="69" t="s">
        <v>816</v>
      </c>
      <c r="D36" s="73" t="s">
        <v>13</v>
      </c>
      <c r="E36" s="495">
        <v>69.66</v>
      </c>
      <c r="F36" s="495"/>
      <c r="G36" s="497" t="s">
        <v>817</v>
      </c>
      <c r="H36" s="498"/>
      <c r="I36" s="221">
        <f>TRUNC((E36*G36),2)</f>
        <v>252.16</v>
      </c>
    </row>
    <row r="37" spans="2:15" s="250" customFormat="1" ht="27.95" customHeight="1" x14ac:dyDescent="0.25">
      <c r="B37" s="274" t="str">
        <f>'EEA-PR-01 - Comp. Recorte'!$B$11</f>
        <v>EEA-PR-01</v>
      </c>
      <c r="C37" s="69" t="str">
        <f>'EEA-PR-01 - Comp. Recorte'!$C$11</f>
        <v>Recorte mecânico de pavimento asfáltico ou piso de concreto, com serra de disco diamantado para piso / asfalto</v>
      </c>
      <c r="D37" s="70" t="str">
        <f>'EEA-PR-01 - Comp. Recorte'!$G$11</f>
        <v>m</v>
      </c>
      <c r="E37" s="509">
        <f>'EEA-PR-01 - Comp. Recorte'!$I$41</f>
        <v>3.21</v>
      </c>
      <c r="F37" s="509"/>
      <c r="G37" s="497">
        <v>3.31</v>
      </c>
      <c r="H37" s="498"/>
      <c r="I37" s="334">
        <f t="shared" si="0"/>
        <v>10.62</v>
      </c>
      <c r="K37" s="346"/>
      <c r="L37" s="347"/>
      <c r="M37" s="347"/>
      <c r="N37" s="347"/>
      <c r="O37" s="347"/>
    </row>
    <row r="38" spans="2:15" s="250" customFormat="1" ht="14.1" customHeight="1" x14ac:dyDescent="0.25">
      <c r="B38" s="289" t="str">
        <f>'EEA-SD-04 - Regula. Manual'!$B$11</f>
        <v>EEA-SD-04</v>
      </c>
      <c r="C38" s="69" t="str">
        <f>'EEA-SD-04 - Regula. Manual'!C11</f>
        <v>Regularização manual e compactação mecânica de terreno</v>
      </c>
      <c r="D38" s="70" t="str">
        <f>'EEA-SD-04 - Regula. Manual'!$G$11</f>
        <v>m²</v>
      </c>
      <c r="E38" s="495">
        <f>'EEA-SD-04 - Regula. Manual'!$I$40</f>
        <v>7.56</v>
      </c>
      <c r="F38" s="495"/>
      <c r="G38" s="497">
        <v>2.06</v>
      </c>
      <c r="H38" s="498"/>
      <c r="I38" s="334">
        <f>TRUNC((E38*G38),2)</f>
        <v>15.57</v>
      </c>
    </row>
    <row r="39" spans="2:15" s="250" customFormat="1" ht="27.95" customHeight="1" x14ac:dyDescent="0.25">
      <c r="B39" s="375" t="s">
        <v>818</v>
      </c>
      <c r="C39" s="69" t="s">
        <v>841</v>
      </c>
      <c r="D39" s="73" t="s">
        <v>607</v>
      </c>
      <c r="E39" s="495">
        <v>647.37</v>
      </c>
      <c r="F39" s="495"/>
      <c r="G39" s="497">
        <v>1</v>
      </c>
      <c r="H39" s="498"/>
      <c r="I39" s="221">
        <f>TRUNC((E39*G39),2)</f>
        <v>647.37</v>
      </c>
    </row>
    <row r="40" spans="2:15" s="250" customFormat="1" ht="14.1" customHeight="1" x14ac:dyDescent="0.25">
      <c r="B40" s="268"/>
      <c r="C40" s="269"/>
      <c r="D40" s="97"/>
      <c r="E40" s="494"/>
      <c r="F40" s="494"/>
      <c r="G40" s="494"/>
      <c r="H40" s="494"/>
      <c r="I40" s="220"/>
    </row>
    <row r="41" spans="2:15" s="250" customFormat="1" ht="15" customHeight="1" x14ac:dyDescent="0.25">
      <c r="B41" s="486" t="s">
        <v>634</v>
      </c>
      <c r="C41" s="487"/>
      <c r="D41" s="487"/>
      <c r="E41" s="487"/>
      <c r="F41" s="487"/>
      <c r="G41" s="487"/>
      <c r="H41" s="488"/>
      <c r="I41" s="246">
        <f>SUM(I31:I40)</f>
        <v>1630.22</v>
      </c>
    </row>
    <row r="42" spans="2:15" ht="5.0999999999999996" customHeight="1" x14ac:dyDescent="0.25">
      <c r="B42" s="273"/>
      <c r="C42" s="273"/>
      <c r="D42" s="273"/>
      <c r="E42" s="273"/>
      <c r="F42" s="273"/>
      <c r="G42" s="273"/>
      <c r="H42" s="273"/>
      <c r="I42" s="273"/>
    </row>
    <row r="43" spans="2:15" ht="14.1" customHeight="1" x14ac:dyDescent="0.25">
      <c r="B43" s="450" t="s">
        <v>8</v>
      </c>
      <c r="C43" s="442" t="s">
        <v>52</v>
      </c>
      <c r="D43" s="450" t="s">
        <v>2</v>
      </c>
      <c r="E43" s="489" t="s">
        <v>624</v>
      </c>
      <c r="F43" s="490"/>
      <c r="G43" s="489" t="s">
        <v>617</v>
      </c>
      <c r="H43" s="490"/>
      <c r="I43" s="450" t="s">
        <v>625</v>
      </c>
    </row>
    <row r="44" spans="2:15" ht="14.1" customHeight="1" x14ac:dyDescent="0.25">
      <c r="B44" s="450"/>
      <c r="C44" s="442"/>
      <c r="D44" s="450"/>
      <c r="E44" s="491"/>
      <c r="F44" s="492"/>
      <c r="G44" s="491"/>
      <c r="H44" s="492"/>
      <c r="I44" s="450"/>
    </row>
    <row r="45" spans="2:15" s="250" customFormat="1" ht="14.1" customHeight="1" x14ac:dyDescent="0.25">
      <c r="B45" s="267"/>
      <c r="C45" s="103"/>
      <c r="D45" s="249"/>
      <c r="E45" s="493"/>
      <c r="F45" s="493"/>
      <c r="G45" s="493"/>
      <c r="H45" s="493"/>
      <c r="I45" s="219"/>
    </row>
    <row r="46" spans="2:15" s="250" customFormat="1" ht="14.1" customHeight="1" x14ac:dyDescent="0.25">
      <c r="B46" s="268"/>
      <c r="C46" s="269"/>
      <c r="D46" s="97"/>
      <c r="E46" s="494"/>
      <c r="F46" s="494"/>
      <c r="G46" s="494"/>
      <c r="H46" s="494"/>
      <c r="I46" s="220"/>
    </row>
    <row r="47" spans="2:15" s="250" customFormat="1" ht="15" customHeight="1" x14ac:dyDescent="0.25">
      <c r="B47" s="486" t="s">
        <v>635</v>
      </c>
      <c r="C47" s="487"/>
      <c r="D47" s="487"/>
      <c r="E47" s="487"/>
      <c r="F47" s="487"/>
      <c r="G47" s="487"/>
      <c r="H47" s="488"/>
      <c r="I47" s="246">
        <f>SUM(I45:I46)</f>
        <v>0</v>
      </c>
    </row>
    <row r="48" spans="2:15" ht="5.0999999999999996" customHeight="1" x14ac:dyDescent="0.25">
      <c r="B48" s="273"/>
      <c r="C48" s="273"/>
      <c r="D48" s="273"/>
      <c r="E48" s="273"/>
      <c r="F48" s="273"/>
      <c r="G48" s="273"/>
      <c r="H48" s="273"/>
      <c r="I48" s="273"/>
    </row>
    <row r="49" spans="2:10" s="250" customFormat="1" ht="15" customHeight="1" x14ac:dyDescent="0.25">
      <c r="B49" s="486" t="s">
        <v>636</v>
      </c>
      <c r="C49" s="487"/>
      <c r="D49" s="487"/>
      <c r="E49" s="487"/>
      <c r="F49" s="487"/>
      <c r="G49" s="487"/>
      <c r="H49" s="488"/>
      <c r="I49" s="246">
        <f>I27+I41+I47</f>
        <v>1657.88</v>
      </c>
      <c r="J49" s="377"/>
    </row>
  </sheetData>
  <mergeCells count="67">
    <mergeCell ref="E38:F38"/>
    <mergeCell ref="G38:H38"/>
    <mergeCell ref="E34:F34"/>
    <mergeCell ref="G34:H34"/>
    <mergeCell ref="B49:H49"/>
    <mergeCell ref="B47:H47"/>
    <mergeCell ref="B43:B44"/>
    <mergeCell ref="C43:C44"/>
    <mergeCell ref="D43:D44"/>
    <mergeCell ref="E40:F40"/>
    <mergeCell ref="G40:H40"/>
    <mergeCell ref="B41:H41"/>
    <mergeCell ref="E36:F36"/>
    <mergeCell ref="G36:H36"/>
    <mergeCell ref="E39:F39"/>
    <mergeCell ref="G39:H39"/>
    <mergeCell ref="I43:I44"/>
    <mergeCell ref="E45:F45"/>
    <mergeCell ref="G45:H45"/>
    <mergeCell ref="E46:F46"/>
    <mergeCell ref="G46:H46"/>
    <mergeCell ref="E43:F44"/>
    <mergeCell ref="G43:H44"/>
    <mergeCell ref="E37:F37"/>
    <mergeCell ref="G37:H37"/>
    <mergeCell ref="E32:F32"/>
    <mergeCell ref="G32:H32"/>
    <mergeCell ref="E35:F35"/>
    <mergeCell ref="G35:H35"/>
    <mergeCell ref="E33:F33"/>
    <mergeCell ref="G33:H33"/>
    <mergeCell ref="E31:F31"/>
    <mergeCell ref="G31:H31"/>
    <mergeCell ref="I19:I20"/>
    <mergeCell ref="E21:F21"/>
    <mergeCell ref="G21:H21"/>
    <mergeCell ref="E22:F22"/>
    <mergeCell ref="G22:H22"/>
    <mergeCell ref="B25:H25"/>
    <mergeCell ref="B27:H27"/>
    <mergeCell ref="B29:B30"/>
    <mergeCell ref="B23:H23"/>
    <mergeCell ref="C29:C30"/>
    <mergeCell ref="D29:D30"/>
    <mergeCell ref="E29:F30"/>
    <mergeCell ref="G29:H30"/>
    <mergeCell ref="I29:I30"/>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L49"/>
  <sheetViews>
    <sheetView showGridLines="0" view="pageBreakPreview" zoomScaleNormal="100"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2" ht="5.0999999999999996" customHeight="1" x14ac:dyDescent="0.25"/>
    <row r="2" spans="2:12" s="210" customFormat="1" ht="14.1" customHeight="1" x14ac:dyDescent="0.2">
      <c r="B2" s="335" t="str">
        <f>DADOS!$B$3</f>
        <v>CLIENTE:</v>
      </c>
      <c r="C2" s="81" t="str">
        <f>DADOS!$C$3</f>
        <v>PREFEITURA MUNICIPAL DE JARDIM / MS</v>
      </c>
      <c r="D2" s="264"/>
      <c r="E2" s="264"/>
      <c r="F2" s="264"/>
      <c r="G2" s="476" t="str">
        <f>Orçamento!K2</f>
        <v>BANCOS</v>
      </c>
      <c r="H2" s="402"/>
      <c r="I2" s="477"/>
    </row>
    <row r="3" spans="2:12"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2" s="210" customFormat="1" ht="14.1" customHeight="1" x14ac:dyDescent="0.25">
      <c r="B4" s="83"/>
      <c r="C4" s="82"/>
      <c r="G4" s="478"/>
      <c r="H4" s="479"/>
      <c r="I4" s="480"/>
      <c r="K4"/>
      <c r="L4"/>
    </row>
    <row r="5" spans="2:12" s="210" customFormat="1" ht="14.1" customHeight="1" x14ac:dyDescent="0.25">
      <c r="B5" s="101" t="str">
        <f>DADOS!$B$7</f>
        <v>OBRA:</v>
      </c>
      <c r="C5" s="82" t="str">
        <f>DADOS!$C$7</f>
        <v>PAVIMENTAÇÃO ASFÁLTICA E DRENAGEM DE ÁGUAS PLUVIAIS</v>
      </c>
      <c r="G5" s="478"/>
      <c r="H5" s="479"/>
      <c r="I5" s="480"/>
      <c r="K5"/>
      <c r="L5"/>
    </row>
    <row r="6" spans="2:12" s="210" customFormat="1" ht="14.1" customHeight="1" x14ac:dyDescent="0.25">
      <c r="B6" s="336" t="str">
        <f>DADOS!$B$8</f>
        <v>LOCAL:</v>
      </c>
      <c r="C6" s="85" t="str">
        <f>DADOS!$C$8</f>
        <v>JARDIM PREVISUL, JARDIM / MS</v>
      </c>
      <c r="D6" s="265"/>
      <c r="E6" s="265"/>
      <c r="F6" s="265"/>
      <c r="G6" s="481" t="str">
        <f>Orçamento!H3</f>
        <v>SEM DESONERAÇÃO</v>
      </c>
      <c r="H6" s="396"/>
      <c r="I6" s="482"/>
      <c r="K6"/>
      <c r="L6"/>
    </row>
    <row r="7" spans="2:12" ht="5.0999999999999996" customHeight="1" x14ac:dyDescent="0.25"/>
    <row r="8" spans="2:12" ht="15" customHeight="1" x14ac:dyDescent="0.25">
      <c r="B8" s="397" t="s">
        <v>603</v>
      </c>
      <c r="C8" s="397"/>
      <c r="D8" s="397"/>
      <c r="E8" s="397"/>
      <c r="F8" s="397"/>
      <c r="G8" s="397"/>
      <c r="H8" s="397"/>
      <c r="I8" s="397"/>
    </row>
    <row r="9" spans="2:12" ht="5.0999999999999996" customHeight="1" x14ac:dyDescent="0.25"/>
    <row r="10" spans="2:12" ht="20.100000000000001" customHeight="1" x14ac:dyDescent="0.25">
      <c r="B10" s="328" t="s">
        <v>50</v>
      </c>
      <c r="C10" s="442" t="s">
        <v>1</v>
      </c>
      <c r="D10" s="442"/>
      <c r="E10" s="442"/>
      <c r="F10" s="442"/>
      <c r="G10" s="328" t="s">
        <v>604</v>
      </c>
      <c r="H10" s="442" t="s">
        <v>605</v>
      </c>
      <c r="I10" s="442"/>
    </row>
    <row r="11" spans="2:12" s="250" customFormat="1" ht="27.95" customHeight="1" x14ac:dyDescent="0.25">
      <c r="B11" s="266" t="s">
        <v>794</v>
      </c>
      <c r="C11" s="483" t="s">
        <v>795</v>
      </c>
      <c r="D11" s="484"/>
      <c r="E11" s="484"/>
      <c r="F11" s="485"/>
      <c r="G11" s="79" t="s">
        <v>15</v>
      </c>
      <c r="H11" s="453">
        <v>1</v>
      </c>
      <c r="I11" s="453"/>
    </row>
    <row r="12" spans="2:12" s="250" customFormat="1" ht="5.0999999999999996" customHeight="1" x14ac:dyDescent="0.25">
      <c r="B12" s="8"/>
      <c r="C12" s="8"/>
      <c r="D12" s="8"/>
      <c r="E12" s="8"/>
      <c r="F12" s="8"/>
      <c r="G12" s="8"/>
      <c r="H12" s="8"/>
      <c r="I12" s="8"/>
    </row>
    <row r="13" spans="2:12" ht="14.1" customHeight="1" x14ac:dyDescent="0.25">
      <c r="B13" s="450" t="s">
        <v>8</v>
      </c>
      <c r="C13" s="442" t="s">
        <v>608</v>
      </c>
      <c r="D13" s="442" t="s">
        <v>609</v>
      </c>
      <c r="E13" s="442"/>
      <c r="F13" s="450" t="s">
        <v>4</v>
      </c>
      <c r="G13" s="442" t="s">
        <v>610</v>
      </c>
      <c r="H13" s="442"/>
      <c r="I13" s="450" t="s">
        <v>611</v>
      </c>
    </row>
    <row r="14" spans="2:12" ht="14.1" customHeight="1" x14ac:dyDescent="0.25">
      <c r="B14" s="450"/>
      <c r="C14" s="442"/>
      <c r="D14" s="328" t="s">
        <v>612</v>
      </c>
      <c r="E14" s="328" t="s">
        <v>613</v>
      </c>
      <c r="F14" s="450"/>
      <c r="G14" s="328" t="s">
        <v>612</v>
      </c>
      <c r="H14" s="328" t="s">
        <v>613</v>
      </c>
      <c r="I14" s="450"/>
    </row>
    <row r="15" spans="2:12" s="250" customFormat="1" ht="42" customHeight="1" x14ac:dyDescent="0.25">
      <c r="B15" s="67">
        <v>5928</v>
      </c>
      <c r="C15" s="69" t="s">
        <v>870</v>
      </c>
      <c r="D15" s="371">
        <v>276.67</v>
      </c>
      <c r="E15" s="371">
        <v>0</v>
      </c>
      <c r="F15" s="371">
        <v>1</v>
      </c>
      <c r="G15" s="371">
        <v>0.1</v>
      </c>
      <c r="H15" s="371">
        <v>0</v>
      </c>
      <c r="I15" s="371">
        <f>TRUNC(((D15*F15*G15)+(E15*F15*H15)),2)</f>
        <v>27.66</v>
      </c>
    </row>
    <row r="16" spans="2:12" s="250" customFormat="1" ht="14.1" customHeight="1" x14ac:dyDescent="0.25">
      <c r="B16" s="268"/>
      <c r="C16" s="269"/>
      <c r="D16" s="370"/>
      <c r="E16" s="370"/>
      <c r="F16" s="370"/>
      <c r="G16" s="370"/>
      <c r="H16" s="370"/>
      <c r="I16" s="370"/>
    </row>
    <row r="17" spans="2:9" s="250" customFormat="1" ht="15" customHeight="1" x14ac:dyDescent="0.25">
      <c r="B17" s="505" t="s">
        <v>614</v>
      </c>
      <c r="C17" s="506"/>
      <c r="D17" s="506"/>
      <c r="E17" s="506"/>
      <c r="F17" s="506"/>
      <c r="G17" s="506"/>
      <c r="H17" s="507"/>
      <c r="I17" s="374">
        <f>SUM(I15:I15)</f>
        <v>27.66</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331"/>
      <c r="E21" s="493"/>
      <c r="F21" s="493"/>
      <c r="G21" s="508"/>
      <c r="H21" s="508"/>
      <c r="I21" s="332"/>
    </row>
    <row r="22" spans="2:9" s="250" customFormat="1" ht="14.1" customHeight="1" x14ac:dyDescent="0.25">
      <c r="B22" s="268"/>
      <c r="C22" s="269"/>
      <c r="D22" s="97"/>
      <c r="E22" s="494"/>
      <c r="F22" s="494"/>
      <c r="G22" s="494"/>
      <c r="H22" s="494"/>
      <c r="I22" s="333"/>
    </row>
    <row r="23" spans="2:9" s="250" customFormat="1" ht="15" customHeight="1" x14ac:dyDescent="0.25">
      <c r="B23" s="486" t="s">
        <v>620</v>
      </c>
      <c r="C23" s="487"/>
      <c r="D23" s="487"/>
      <c r="E23" s="487"/>
      <c r="F23" s="487"/>
      <c r="G23" s="487"/>
      <c r="H23" s="488"/>
      <c r="I23" s="329">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329">
        <f>I17+I23</f>
        <v>27.66</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329">
        <f>ROUND((I25/H11),2)</f>
        <v>27.66</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27.95" customHeight="1" x14ac:dyDescent="0.25">
      <c r="B31" s="67">
        <v>92917</v>
      </c>
      <c r="C31" s="69" t="s">
        <v>811</v>
      </c>
      <c r="D31" s="73" t="s">
        <v>34</v>
      </c>
      <c r="E31" s="495">
        <v>13.85</v>
      </c>
      <c r="F31" s="495"/>
      <c r="G31" s="495">
        <v>8.59</v>
      </c>
      <c r="H31" s="495"/>
      <c r="I31" s="371">
        <f t="shared" ref="I31:I37" si="0">TRUNC((E31*G31),2)</f>
        <v>118.97</v>
      </c>
    </row>
    <row r="32" spans="2:9" s="250" customFormat="1" ht="27.95" customHeight="1" x14ac:dyDescent="0.25">
      <c r="B32" s="67">
        <v>92915</v>
      </c>
      <c r="C32" s="69" t="s">
        <v>812</v>
      </c>
      <c r="D32" s="73" t="s">
        <v>34</v>
      </c>
      <c r="E32" s="495">
        <v>16.920000000000002</v>
      </c>
      <c r="F32" s="495"/>
      <c r="G32" s="497">
        <v>2.5299999999999998</v>
      </c>
      <c r="H32" s="498"/>
      <c r="I32" s="371">
        <f>TRUNC((E32*G32),2)</f>
        <v>42.8</v>
      </c>
    </row>
    <row r="33" spans="2:9" s="250" customFormat="1" ht="27.95" customHeight="1" x14ac:dyDescent="0.25">
      <c r="B33" s="67">
        <v>94964</v>
      </c>
      <c r="C33" s="69" t="s">
        <v>814</v>
      </c>
      <c r="D33" s="73" t="s">
        <v>16</v>
      </c>
      <c r="E33" s="495">
        <v>491.72</v>
      </c>
      <c r="F33" s="495"/>
      <c r="G33" s="512">
        <v>1.27</v>
      </c>
      <c r="H33" s="513"/>
      <c r="I33" s="371">
        <f t="shared" ref="I33" si="1">TRUNC((E33*G33),2)</f>
        <v>624.48</v>
      </c>
    </row>
    <row r="34" spans="2:9" s="250" customFormat="1" ht="14.1" customHeight="1" x14ac:dyDescent="0.25">
      <c r="B34" s="289" t="str">
        <f>'EEA-SD-05 - Esc. Manual'!$B$11</f>
        <v>EEA-SD-05</v>
      </c>
      <c r="C34" s="69" t="str">
        <f>'EEA-SD-05 - Esc. Manual'!C11</f>
        <v>Escavação manual em solo prof. até 1,50m</v>
      </c>
      <c r="D34" s="70" t="str">
        <f>'EEA-SD-05 - Esc. Manual'!$G$11</f>
        <v>m³</v>
      </c>
      <c r="E34" s="497">
        <f>'EEA-SD-05 - Esc. Manual'!$I$40</f>
        <v>45.52</v>
      </c>
      <c r="F34" s="498"/>
      <c r="G34" s="497">
        <v>1.91</v>
      </c>
      <c r="H34" s="498"/>
      <c r="I34" s="371">
        <f>TRUNC((E34*G34),2)</f>
        <v>86.94</v>
      </c>
    </row>
    <row r="35" spans="2:9" s="250" customFormat="1" ht="27.95" customHeight="1" x14ac:dyDescent="0.25">
      <c r="B35" s="67">
        <v>103670</v>
      </c>
      <c r="C35" s="69" t="s">
        <v>702</v>
      </c>
      <c r="D35" s="73" t="s">
        <v>16</v>
      </c>
      <c r="E35" s="495">
        <v>308.54000000000002</v>
      </c>
      <c r="F35" s="495"/>
      <c r="G35" s="510">
        <v>1.27</v>
      </c>
      <c r="H35" s="511"/>
      <c r="I35" s="371">
        <f>TRUNC((E35*G35),2)</f>
        <v>391.84</v>
      </c>
    </row>
    <row r="36" spans="2:9" s="250" customFormat="1" ht="42" customHeight="1" x14ac:dyDescent="0.25">
      <c r="B36" s="67">
        <v>92431</v>
      </c>
      <c r="C36" s="69" t="s">
        <v>816</v>
      </c>
      <c r="D36" s="73" t="s">
        <v>13</v>
      </c>
      <c r="E36" s="495">
        <v>69.66</v>
      </c>
      <c r="F36" s="495"/>
      <c r="G36" s="497">
        <v>6.36</v>
      </c>
      <c r="H36" s="498"/>
      <c r="I36" s="371">
        <f>TRUNC((E36*G36),2)</f>
        <v>443.03</v>
      </c>
    </row>
    <row r="37" spans="2:9" s="250" customFormat="1" ht="27.95" customHeight="1" x14ac:dyDescent="0.25">
      <c r="B37" s="274" t="str">
        <f>'EEA-PR-01 - Comp. Recorte'!$B$11</f>
        <v>EEA-PR-01</v>
      </c>
      <c r="C37" s="69" t="str">
        <f>'EEA-PR-01 - Comp. Recorte'!$C$11</f>
        <v>Recorte mecânico de pavimento asfáltico ou piso de concreto, com serra de disco diamantado para piso / asfalto</v>
      </c>
      <c r="D37" s="70" t="str">
        <f>'EEA-PR-01 - Comp. Recorte'!$G$11</f>
        <v>m</v>
      </c>
      <c r="E37" s="509">
        <f>'EEA-PR-01 - Comp. Recorte'!$I$41</f>
        <v>3.21</v>
      </c>
      <c r="F37" s="509"/>
      <c r="G37" s="497">
        <v>4.51</v>
      </c>
      <c r="H37" s="498"/>
      <c r="I37" s="371">
        <f t="shared" si="0"/>
        <v>14.47</v>
      </c>
    </row>
    <row r="38" spans="2:9" s="250" customFormat="1" ht="14.1" customHeight="1" x14ac:dyDescent="0.25">
      <c r="B38" s="289" t="str">
        <f>'EEA-SD-04 - Regula. Manual'!$B$11</f>
        <v>EEA-SD-04</v>
      </c>
      <c r="C38" s="69" t="str">
        <f>'EEA-SD-04 - Regula. Manual'!C11</f>
        <v>Regularização manual e compactação mecânica de terreno</v>
      </c>
      <c r="D38" s="70" t="str">
        <f>'EEA-SD-04 - Regula. Manual'!$G$11</f>
        <v>m²</v>
      </c>
      <c r="E38" s="495">
        <f>'EEA-SD-04 - Regula. Manual'!$I$40</f>
        <v>7.56</v>
      </c>
      <c r="F38" s="495"/>
      <c r="G38" s="497">
        <v>3.02</v>
      </c>
      <c r="H38" s="498"/>
      <c r="I38" s="371">
        <f>TRUNC((E38*G38),2)</f>
        <v>22.83</v>
      </c>
    </row>
    <row r="39" spans="2:9" s="250" customFormat="1" ht="27.95" customHeight="1" x14ac:dyDescent="0.25">
      <c r="B39" s="375" t="s">
        <v>818</v>
      </c>
      <c r="C39" s="69" t="s">
        <v>841</v>
      </c>
      <c r="D39" s="73" t="s">
        <v>607</v>
      </c>
      <c r="E39" s="495">
        <v>647.37</v>
      </c>
      <c r="F39" s="495"/>
      <c r="G39" s="497">
        <v>2</v>
      </c>
      <c r="H39" s="498"/>
      <c r="I39" s="371">
        <f>TRUNC((E39*G39),2)</f>
        <v>1294.74</v>
      </c>
    </row>
    <row r="40" spans="2:9" s="250" customFormat="1" ht="14.1" customHeight="1" x14ac:dyDescent="0.25">
      <c r="B40" s="268"/>
      <c r="C40" s="269"/>
      <c r="D40" s="97"/>
      <c r="E40" s="494"/>
      <c r="F40" s="494"/>
      <c r="G40" s="494"/>
      <c r="H40" s="494"/>
      <c r="I40" s="333"/>
    </row>
    <row r="41" spans="2:9" s="250" customFormat="1" ht="15" customHeight="1" x14ac:dyDescent="0.25">
      <c r="B41" s="486" t="s">
        <v>634</v>
      </c>
      <c r="C41" s="487"/>
      <c r="D41" s="487"/>
      <c r="E41" s="487"/>
      <c r="F41" s="487"/>
      <c r="G41" s="487"/>
      <c r="H41" s="488"/>
      <c r="I41" s="329">
        <f>SUM(I31:I40)</f>
        <v>3040.1</v>
      </c>
    </row>
    <row r="42" spans="2:9" ht="5.0999999999999996" customHeight="1" x14ac:dyDescent="0.25">
      <c r="B42" s="273"/>
      <c r="C42" s="273"/>
      <c r="D42" s="273"/>
      <c r="E42" s="273"/>
      <c r="F42" s="273"/>
      <c r="G42" s="273"/>
      <c r="H42" s="273"/>
      <c r="I42" s="273"/>
    </row>
    <row r="43" spans="2:9" ht="14.1" customHeight="1" x14ac:dyDescent="0.25">
      <c r="B43" s="450" t="s">
        <v>8</v>
      </c>
      <c r="C43" s="442" t="s">
        <v>52</v>
      </c>
      <c r="D43" s="450" t="s">
        <v>2</v>
      </c>
      <c r="E43" s="489" t="s">
        <v>624</v>
      </c>
      <c r="F43" s="490"/>
      <c r="G43" s="489" t="s">
        <v>617</v>
      </c>
      <c r="H43" s="490"/>
      <c r="I43" s="450" t="s">
        <v>625</v>
      </c>
    </row>
    <row r="44" spans="2:9" ht="14.1" customHeight="1" x14ac:dyDescent="0.25">
      <c r="B44" s="450"/>
      <c r="C44" s="442"/>
      <c r="D44" s="450"/>
      <c r="E44" s="491"/>
      <c r="F44" s="492"/>
      <c r="G44" s="491"/>
      <c r="H44" s="492"/>
      <c r="I44" s="450"/>
    </row>
    <row r="45" spans="2:9" s="250" customFormat="1" ht="14.1" customHeight="1" x14ac:dyDescent="0.25">
      <c r="B45" s="267"/>
      <c r="C45" s="103"/>
      <c r="D45" s="331"/>
      <c r="E45" s="493"/>
      <c r="F45" s="493"/>
      <c r="G45" s="493"/>
      <c r="H45" s="493"/>
      <c r="I45" s="332"/>
    </row>
    <row r="46" spans="2:9" s="250" customFormat="1" ht="14.1" customHeight="1" x14ac:dyDescent="0.25">
      <c r="B46" s="268"/>
      <c r="C46" s="269"/>
      <c r="D46" s="97"/>
      <c r="E46" s="494"/>
      <c r="F46" s="494"/>
      <c r="G46" s="494"/>
      <c r="H46" s="494"/>
      <c r="I46" s="333"/>
    </row>
    <row r="47" spans="2:9" s="250" customFormat="1" ht="15" customHeight="1" x14ac:dyDescent="0.25">
      <c r="B47" s="486" t="s">
        <v>635</v>
      </c>
      <c r="C47" s="487"/>
      <c r="D47" s="487"/>
      <c r="E47" s="487"/>
      <c r="F47" s="487"/>
      <c r="G47" s="487"/>
      <c r="H47" s="488"/>
      <c r="I47" s="329">
        <f>SUM(I45:I46)</f>
        <v>0</v>
      </c>
    </row>
    <row r="48" spans="2:9" ht="5.0999999999999996" customHeight="1" x14ac:dyDescent="0.25">
      <c r="B48" s="273"/>
      <c r="C48" s="273"/>
      <c r="D48" s="273"/>
      <c r="E48" s="273"/>
      <c r="F48" s="273"/>
      <c r="G48" s="273"/>
      <c r="H48" s="273"/>
      <c r="I48" s="273"/>
    </row>
    <row r="49" spans="2:9" s="250" customFormat="1" ht="15" customHeight="1" x14ac:dyDescent="0.25">
      <c r="B49" s="486" t="s">
        <v>636</v>
      </c>
      <c r="C49" s="487"/>
      <c r="D49" s="487"/>
      <c r="E49" s="487"/>
      <c r="F49" s="487"/>
      <c r="G49" s="487"/>
      <c r="H49" s="488"/>
      <c r="I49" s="329">
        <f>I27+I41+I47</f>
        <v>3067.7599999999998</v>
      </c>
    </row>
  </sheetData>
  <mergeCells count="67">
    <mergeCell ref="E37:F37"/>
    <mergeCell ref="G37:H37"/>
    <mergeCell ref="E38:F38"/>
    <mergeCell ref="G38:H38"/>
    <mergeCell ref="E39:F39"/>
    <mergeCell ref="G39:H39"/>
    <mergeCell ref="E34:F34"/>
    <mergeCell ref="G34:H34"/>
    <mergeCell ref="E35:F35"/>
    <mergeCell ref="G35:H35"/>
    <mergeCell ref="E36:F36"/>
    <mergeCell ref="G36:H36"/>
    <mergeCell ref="B49:H49"/>
    <mergeCell ref="B47:H47"/>
    <mergeCell ref="E40:F40"/>
    <mergeCell ref="G40:H40"/>
    <mergeCell ref="B41:H41"/>
    <mergeCell ref="B43:B44"/>
    <mergeCell ref="C43:C44"/>
    <mergeCell ref="D43:D44"/>
    <mergeCell ref="I43:I44"/>
    <mergeCell ref="E45:F45"/>
    <mergeCell ref="G45:H45"/>
    <mergeCell ref="E46:F46"/>
    <mergeCell ref="G46:H46"/>
    <mergeCell ref="E43:F44"/>
    <mergeCell ref="G43:H44"/>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9"/>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35"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K4"/>
      <c r="L4"/>
      <c r="M4"/>
      <c r="N4"/>
      <c r="O4"/>
    </row>
    <row r="5" spans="2:15" s="210" customFormat="1" ht="14.1" customHeight="1" x14ac:dyDescent="0.25">
      <c r="B5" s="101" t="str">
        <f>DADOS!$B$7</f>
        <v>OBRA:</v>
      </c>
      <c r="C5" s="82" t="str">
        <f>DADOS!$C$7</f>
        <v>PAVIMENTAÇÃO ASFÁLTICA E DRENAGEM DE ÁGUAS PLUVIAIS</v>
      </c>
      <c r="G5" s="478"/>
      <c r="H5" s="479"/>
      <c r="I5" s="480"/>
      <c r="K5"/>
      <c r="L5"/>
      <c r="M5"/>
      <c r="N5"/>
      <c r="O5"/>
    </row>
    <row r="6" spans="2:15" s="210" customFormat="1" ht="14.1" customHeight="1" x14ac:dyDescent="0.25">
      <c r="B6" s="336" t="str">
        <f>DADOS!$B$8</f>
        <v>LOCAL:</v>
      </c>
      <c r="C6" s="85" t="str">
        <f>DADOS!$C$8</f>
        <v>JARDIM PREVISUL, JARDIM / MS</v>
      </c>
      <c r="D6" s="265"/>
      <c r="E6" s="265"/>
      <c r="F6" s="265"/>
      <c r="G6" s="481" t="str">
        <f>Orçamento!H3</f>
        <v>SEM DESONERAÇÃO</v>
      </c>
      <c r="H6" s="396"/>
      <c r="I6" s="482"/>
      <c r="K6"/>
      <c r="L6"/>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28" t="s">
        <v>50</v>
      </c>
      <c r="C10" s="442" t="s">
        <v>1</v>
      </c>
      <c r="D10" s="442"/>
      <c r="E10" s="442"/>
      <c r="F10" s="442"/>
      <c r="G10" s="328" t="s">
        <v>604</v>
      </c>
      <c r="H10" s="442" t="s">
        <v>605</v>
      </c>
      <c r="I10" s="442"/>
    </row>
    <row r="11" spans="2:15" s="250" customFormat="1" ht="27.95" customHeight="1" x14ac:dyDescent="0.25">
      <c r="B11" s="266" t="s">
        <v>792</v>
      </c>
      <c r="C11" s="483" t="s">
        <v>793</v>
      </c>
      <c r="D11" s="484"/>
      <c r="E11" s="484"/>
      <c r="F11" s="485"/>
      <c r="G11" s="79" t="s">
        <v>15</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28" t="s">
        <v>612</v>
      </c>
      <c r="E14" s="328" t="s">
        <v>613</v>
      </c>
      <c r="F14" s="450"/>
      <c r="G14" s="328" t="s">
        <v>612</v>
      </c>
      <c r="H14" s="328" t="s">
        <v>613</v>
      </c>
      <c r="I14" s="450"/>
    </row>
    <row r="15" spans="2:15" s="250" customFormat="1" ht="42" customHeight="1" x14ac:dyDescent="0.25">
      <c r="B15" s="67">
        <v>5928</v>
      </c>
      <c r="C15" s="69" t="s">
        <v>870</v>
      </c>
      <c r="D15" s="371">
        <v>276.67</v>
      </c>
      <c r="E15" s="371">
        <v>0</v>
      </c>
      <c r="F15" s="371">
        <v>1</v>
      </c>
      <c r="G15" s="371">
        <v>0.1</v>
      </c>
      <c r="H15" s="371">
        <v>0</v>
      </c>
      <c r="I15" s="371">
        <f>TRUNC(((D15*F15*G15)+(E15*F15*H15)),2)</f>
        <v>27.66</v>
      </c>
    </row>
    <row r="16" spans="2:15" s="250" customFormat="1" ht="14.1" customHeight="1" x14ac:dyDescent="0.25">
      <c r="B16" s="268"/>
      <c r="C16" s="269"/>
      <c r="D16" s="370"/>
      <c r="E16" s="370"/>
      <c r="F16" s="370"/>
      <c r="G16" s="370"/>
      <c r="H16" s="370"/>
      <c r="I16" s="370"/>
    </row>
    <row r="17" spans="2:9" s="250" customFormat="1" ht="15" customHeight="1" x14ac:dyDescent="0.25">
      <c r="B17" s="505" t="s">
        <v>614</v>
      </c>
      <c r="C17" s="506"/>
      <c r="D17" s="506"/>
      <c r="E17" s="506"/>
      <c r="F17" s="506"/>
      <c r="G17" s="506"/>
      <c r="H17" s="507"/>
      <c r="I17" s="374">
        <f>SUM(I15:I15)</f>
        <v>27.66</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331"/>
      <c r="E21" s="493"/>
      <c r="F21" s="493"/>
      <c r="G21" s="508"/>
      <c r="H21" s="508"/>
      <c r="I21" s="332"/>
    </row>
    <row r="22" spans="2:9" s="250" customFormat="1" ht="14.1" customHeight="1" x14ac:dyDescent="0.25">
      <c r="B22" s="268"/>
      <c r="C22" s="269"/>
      <c r="D22" s="97"/>
      <c r="E22" s="494"/>
      <c r="F22" s="494"/>
      <c r="G22" s="494"/>
      <c r="H22" s="494"/>
      <c r="I22" s="333"/>
    </row>
    <row r="23" spans="2:9" s="250" customFormat="1" ht="15" customHeight="1" x14ac:dyDescent="0.25">
      <c r="B23" s="486" t="s">
        <v>620</v>
      </c>
      <c r="C23" s="487"/>
      <c r="D23" s="487"/>
      <c r="E23" s="487"/>
      <c r="F23" s="487"/>
      <c r="G23" s="487"/>
      <c r="H23" s="488"/>
      <c r="I23" s="329">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329">
        <f>I17+I23</f>
        <v>27.66</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329">
        <f>ROUND((I25/H11),2)</f>
        <v>27.66</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27.95" customHeight="1" x14ac:dyDescent="0.25">
      <c r="B31" s="67">
        <v>92917</v>
      </c>
      <c r="C31" s="69" t="s">
        <v>811</v>
      </c>
      <c r="D31" s="73" t="s">
        <v>34</v>
      </c>
      <c r="E31" s="495">
        <v>13.85</v>
      </c>
      <c r="F31" s="495"/>
      <c r="G31" s="495">
        <v>12.68</v>
      </c>
      <c r="H31" s="495"/>
      <c r="I31" s="371">
        <f t="shared" ref="I31:I37" si="0">TRUNC((E31*G31),2)</f>
        <v>175.61</v>
      </c>
    </row>
    <row r="32" spans="2:9" s="250" customFormat="1" ht="27.95" customHeight="1" x14ac:dyDescent="0.25">
      <c r="B32" s="67">
        <v>92915</v>
      </c>
      <c r="C32" s="69" t="s">
        <v>812</v>
      </c>
      <c r="D32" s="73" t="s">
        <v>34</v>
      </c>
      <c r="E32" s="495">
        <v>16.920000000000002</v>
      </c>
      <c r="F32" s="495"/>
      <c r="G32" s="497">
        <v>4.2300000000000004</v>
      </c>
      <c r="H32" s="498"/>
      <c r="I32" s="371">
        <f>TRUNC((E32*G32),2)</f>
        <v>71.569999999999993</v>
      </c>
    </row>
    <row r="33" spans="2:9" s="250" customFormat="1" ht="27.95" customHeight="1" x14ac:dyDescent="0.25">
      <c r="B33" s="67">
        <v>94964</v>
      </c>
      <c r="C33" s="69" t="s">
        <v>814</v>
      </c>
      <c r="D33" s="73" t="s">
        <v>16</v>
      </c>
      <c r="E33" s="495">
        <v>491.72</v>
      </c>
      <c r="F33" s="495"/>
      <c r="G33" s="512">
        <v>1.8149999999999999</v>
      </c>
      <c r="H33" s="513"/>
      <c r="I33" s="371">
        <f t="shared" ref="I33" si="1">TRUNC((E33*G33),2)</f>
        <v>892.47</v>
      </c>
    </row>
    <row r="34" spans="2:9" s="250" customFormat="1" ht="14.1" customHeight="1" x14ac:dyDescent="0.25">
      <c r="B34" s="289" t="str">
        <f>'EEA-SD-05 - Esc. Manual'!$B$11</f>
        <v>EEA-SD-05</v>
      </c>
      <c r="C34" s="69" t="str">
        <f>'EEA-SD-05 - Esc. Manual'!C11</f>
        <v>Escavação manual em solo prof. até 1,50m</v>
      </c>
      <c r="D34" s="70" t="str">
        <f>'EEA-SD-05 - Esc. Manual'!$G$11</f>
        <v>m³</v>
      </c>
      <c r="E34" s="497">
        <f>'EEA-SD-05 - Esc. Manual'!$I$40</f>
        <v>45.52</v>
      </c>
      <c r="F34" s="498"/>
      <c r="G34" s="497">
        <v>2.86</v>
      </c>
      <c r="H34" s="498"/>
      <c r="I34" s="371">
        <f>TRUNC((E34*G34),2)</f>
        <v>130.18</v>
      </c>
    </row>
    <row r="35" spans="2:9" s="250" customFormat="1" ht="27.95" customHeight="1" x14ac:dyDescent="0.25">
      <c r="B35" s="67">
        <v>103670</v>
      </c>
      <c r="C35" s="69" t="s">
        <v>702</v>
      </c>
      <c r="D35" s="73" t="s">
        <v>16</v>
      </c>
      <c r="E35" s="495">
        <v>308.54000000000002</v>
      </c>
      <c r="F35" s="495"/>
      <c r="G35" s="512">
        <v>1.8149999999999999</v>
      </c>
      <c r="H35" s="513"/>
      <c r="I35" s="371">
        <f>TRUNC((E35*G35),2)</f>
        <v>560</v>
      </c>
    </row>
    <row r="36" spans="2:9" s="250" customFormat="1" ht="42" customHeight="1" x14ac:dyDescent="0.25">
      <c r="B36" s="67">
        <v>92431</v>
      </c>
      <c r="C36" s="69" t="s">
        <v>816</v>
      </c>
      <c r="D36" s="73" t="s">
        <v>13</v>
      </c>
      <c r="E36" s="495">
        <v>69.66</v>
      </c>
      <c r="F36" s="495"/>
      <c r="G36" s="497">
        <v>9.1</v>
      </c>
      <c r="H36" s="498"/>
      <c r="I36" s="371">
        <f>TRUNC((E36*G36),2)</f>
        <v>633.9</v>
      </c>
    </row>
    <row r="37" spans="2:9" s="250" customFormat="1" ht="27.95" customHeight="1" x14ac:dyDescent="0.25">
      <c r="B37" s="274" t="str">
        <f>'EEA-PR-01 - Comp. Recorte'!$B$11</f>
        <v>EEA-PR-01</v>
      </c>
      <c r="C37" s="69" t="str">
        <f>'EEA-PR-01 - Comp. Recorte'!$C$11</f>
        <v>Recorte mecânico de pavimento asfáltico ou piso de concreto, com serra de disco diamantado para piso / asfalto</v>
      </c>
      <c r="D37" s="70" t="str">
        <f>'EEA-PR-01 - Comp. Recorte'!$G$11</f>
        <v>m</v>
      </c>
      <c r="E37" s="509">
        <f>'EEA-PR-01 - Comp. Recorte'!$I$41</f>
        <v>3.21</v>
      </c>
      <c r="F37" s="509"/>
      <c r="G37" s="497">
        <v>5.71</v>
      </c>
      <c r="H37" s="498"/>
      <c r="I37" s="371">
        <f t="shared" si="0"/>
        <v>18.32</v>
      </c>
    </row>
    <row r="38" spans="2:9" s="250" customFormat="1" ht="14.1" customHeight="1" x14ac:dyDescent="0.25">
      <c r="B38" s="289" t="str">
        <f>'EEA-SD-04 - Regula. Manual'!$B$11</f>
        <v>EEA-SD-04</v>
      </c>
      <c r="C38" s="69" t="str">
        <f>'EEA-SD-04 - Regula. Manual'!C11</f>
        <v>Regularização manual e compactação mecânica de terreno</v>
      </c>
      <c r="D38" s="70" t="str">
        <f>'EEA-SD-04 - Regula. Manual'!$G$11</f>
        <v>m²</v>
      </c>
      <c r="E38" s="495">
        <f>'EEA-SD-04 - Regula. Manual'!$I$40</f>
        <v>7.56</v>
      </c>
      <c r="F38" s="495"/>
      <c r="G38" s="497">
        <v>3.98</v>
      </c>
      <c r="H38" s="498"/>
      <c r="I38" s="371">
        <f>TRUNC((E38*G38),2)</f>
        <v>30.08</v>
      </c>
    </row>
    <row r="39" spans="2:9" s="250" customFormat="1" ht="27.95" customHeight="1" x14ac:dyDescent="0.25">
      <c r="B39" s="375" t="s">
        <v>818</v>
      </c>
      <c r="C39" s="69" t="s">
        <v>841</v>
      </c>
      <c r="D39" s="73" t="s">
        <v>607</v>
      </c>
      <c r="E39" s="495">
        <v>647.37</v>
      </c>
      <c r="F39" s="495"/>
      <c r="G39" s="497">
        <v>3</v>
      </c>
      <c r="H39" s="498"/>
      <c r="I39" s="371">
        <f>TRUNC((E39*G39),2)</f>
        <v>1942.11</v>
      </c>
    </row>
    <row r="40" spans="2:9" s="250" customFormat="1" ht="14.1" customHeight="1" x14ac:dyDescent="0.25">
      <c r="B40" s="268"/>
      <c r="C40" s="269"/>
      <c r="D40" s="97"/>
      <c r="E40" s="494"/>
      <c r="F40" s="494"/>
      <c r="G40" s="494"/>
      <c r="H40" s="494"/>
      <c r="I40" s="370"/>
    </row>
    <row r="41" spans="2:9" s="250" customFormat="1" ht="15" customHeight="1" x14ac:dyDescent="0.25">
      <c r="B41" s="486" t="s">
        <v>634</v>
      </c>
      <c r="C41" s="487"/>
      <c r="D41" s="487"/>
      <c r="E41" s="487"/>
      <c r="F41" s="487"/>
      <c r="G41" s="487"/>
      <c r="H41" s="488"/>
      <c r="I41" s="329">
        <f>SUM(I31:I40)</f>
        <v>4454.24</v>
      </c>
    </row>
    <row r="42" spans="2:9" ht="5.0999999999999996" customHeight="1" x14ac:dyDescent="0.25">
      <c r="B42" s="273"/>
      <c r="C42" s="273"/>
      <c r="D42" s="273"/>
      <c r="E42" s="273"/>
      <c r="F42" s="273"/>
      <c r="G42" s="273"/>
      <c r="H42" s="273"/>
      <c r="I42" s="273"/>
    </row>
    <row r="43" spans="2:9" ht="14.1" customHeight="1" x14ac:dyDescent="0.25">
      <c r="B43" s="450" t="s">
        <v>8</v>
      </c>
      <c r="C43" s="442" t="s">
        <v>52</v>
      </c>
      <c r="D43" s="450" t="s">
        <v>2</v>
      </c>
      <c r="E43" s="489" t="s">
        <v>624</v>
      </c>
      <c r="F43" s="490"/>
      <c r="G43" s="489" t="s">
        <v>617</v>
      </c>
      <c r="H43" s="490"/>
      <c r="I43" s="450" t="s">
        <v>625</v>
      </c>
    </row>
    <row r="44" spans="2:9" ht="14.1" customHeight="1" x14ac:dyDescent="0.25">
      <c r="B44" s="450"/>
      <c r="C44" s="442"/>
      <c r="D44" s="450"/>
      <c r="E44" s="491"/>
      <c r="F44" s="492"/>
      <c r="G44" s="491"/>
      <c r="H44" s="492"/>
      <c r="I44" s="450"/>
    </row>
    <row r="45" spans="2:9" s="250" customFormat="1" ht="14.1" customHeight="1" x14ac:dyDescent="0.25">
      <c r="B45" s="267"/>
      <c r="C45" s="103"/>
      <c r="D45" s="331"/>
      <c r="E45" s="493"/>
      <c r="F45" s="493"/>
      <c r="G45" s="493"/>
      <c r="H45" s="493"/>
      <c r="I45" s="332"/>
    </row>
    <row r="46" spans="2:9" s="250" customFormat="1" ht="14.1" customHeight="1" x14ac:dyDescent="0.25">
      <c r="B46" s="268"/>
      <c r="C46" s="269"/>
      <c r="D46" s="97"/>
      <c r="E46" s="494"/>
      <c r="F46" s="494"/>
      <c r="G46" s="494"/>
      <c r="H46" s="494"/>
      <c r="I46" s="333"/>
    </row>
    <row r="47" spans="2:9" s="250" customFormat="1" ht="15" customHeight="1" x14ac:dyDescent="0.25">
      <c r="B47" s="486" t="s">
        <v>635</v>
      </c>
      <c r="C47" s="487"/>
      <c r="D47" s="487"/>
      <c r="E47" s="487"/>
      <c r="F47" s="487"/>
      <c r="G47" s="487"/>
      <c r="H47" s="488"/>
      <c r="I47" s="329">
        <f>SUM(I45:I46)</f>
        <v>0</v>
      </c>
    </row>
    <row r="48" spans="2:9" ht="5.0999999999999996" customHeight="1" x14ac:dyDescent="0.25">
      <c r="B48" s="273"/>
      <c r="C48" s="273"/>
      <c r="D48" s="273"/>
      <c r="E48" s="273"/>
      <c r="F48" s="273"/>
      <c r="G48" s="273"/>
      <c r="H48" s="273"/>
      <c r="I48" s="273"/>
    </row>
    <row r="49" spans="2:9" s="250" customFormat="1" ht="15" customHeight="1" x14ac:dyDescent="0.25">
      <c r="B49" s="486" t="s">
        <v>636</v>
      </c>
      <c r="C49" s="487"/>
      <c r="D49" s="487"/>
      <c r="E49" s="487"/>
      <c r="F49" s="487"/>
      <c r="G49" s="487"/>
      <c r="H49" s="488"/>
      <c r="I49" s="329">
        <f>I27+I41+I47</f>
        <v>4481.8999999999996</v>
      </c>
    </row>
  </sheetData>
  <mergeCells count="67">
    <mergeCell ref="E37:F37"/>
    <mergeCell ref="G37:H37"/>
    <mergeCell ref="E38:F38"/>
    <mergeCell ref="G38:H38"/>
    <mergeCell ref="E39:F39"/>
    <mergeCell ref="G39:H39"/>
    <mergeCell ref="E34:F34"/>
    <mergeCell ref="G34:H34"/>
    <mergeCell ref="E35:F35"/>
    <mergeCell ref="G35:H35"/>
    <mergeCell ref="E36:F36"/>
    <mergeCell ref="G36:H36"/>
    <mergeCell ref="B49:H49"/>
    <mergeCell ref="I43:I44"/>
    <mergeCell ref="E45:F45"/>
    <mergeCell ref="G45:H45"/>
    <mergeCell ref="E46:F46"/>
    <mergeCell ref="G46:H46"/>
    <mergeCell ref="B47:H47"/>
    <mergeCell ref="E40:F40"/>
    <mergeCell ref="G40:H40"/>
    <mergeCell ref="B41:H41"/>
    <mergeCell ref="B43:B44"/>
    <mergeCell ref="C43:C44"/>
    <mergeCell ref="D43:D44"/>
    <mergeCell ref="E43:F44"/>
    <mergeCell ref="G43:H44"/>
    <mergeCell ref="I29:I30"/>
    <mergeCell ref="E31:F31"/>
    <mergeCell ref="G31:H31"/>
    <mergeCell ref="E32:F32"/>
    <mergeCell ref="G32:H32"/>
    <mergeCell ref="E33:F33"/>
    <mergeCell ref="G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K50"/>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1" ht="5.0999999999999996" customHeight="1" x14ac:dyDescent="0.25"/>
    <row r="2" spans="2:11" s="210" customFormat="1" ht="14.1" customHeight="1" x14ac:dyDescent="0.2">
      <c r="B2" s="100" t="str">
        <f>DADOS!$B$3</f>
        <v>CLIENTE:</v>
      </c>
      <c r="C2" s="81" t="str">
        <f>DADOS!$C$3</f>
        <v>PREFEITURA MUNICIPAL DE JARDIM / MS</v>
      </c>
      <c r="D2" s="264"/>
      <c r="E2" s="264"/>
      <c r="F2" s="264"/>
      <c r="G2" s="476" t="str">
        <f>Orçamento!K2</f>
        <v>BANCOS</v>
      </c>
      <c r="H2" s="402"/>
      <c r="I2" s="477"/>
    </row>
    <row r="3" spans="2:11"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1" s="210" customFormat="1" ht="14.1" customHeight="1" x14ac:dyDescent="0.25">
      <c r="B4" s="83"/>
      <c r="C4" s="82"/>
      <c r="G4" s="478"/>
      <c r="H4" s="479"/>
      <c r="I4" s="480"/>
      <c r="K4"/>
    </row>
    <row r="5" spans="2:11" s="210" customFormat="1" ht="14.1" customHeight="1" x14ac:dyDescent="0.25">
      <c r="B5" s="101" t="str">
        <f>DADOS!$B$7</f>
        <v>OBRA:</v>
      </c>
      <c r="C5" s="82" t="str">
        <f>DADOS!$C$7</f>
        <v>PAVIMENTAÇÃO ASFÁLTICA E DRENAGEM DE ÁGUAS PLUVIAIS</v>
      </c>
      <c r="G5" s="478"/>
      <c r="H5" s="479"/>
      <c r="I5" s="480"/>
      <c r="K5"/>
    </row>
    <row r="6" spans="2:11" s="210" customFormat="1" ht="14.1" customHeight="1" x14ac:dyDescent="0.25">
      <c r="B6" s="84" t="str">
        <f>DADOS!$B$8</f>
        <v>LOCAL:</v>
      </c>
      <c r="C6" s="85" t="str">
        <f>DADOS!$C$8</f>
        <v>JARDIM PREVISUL, JARDIM / MS</v>
      </c>
      <c r="D6" s="265"/>
      <c r="E6" s="265"/>
      <c r="F6" s="265"/>
      <c r="G6" s="481" t="str">
        <f>Orçamento!H3</f>
        <v>SEM DESONERAÇÃO</v>
      </c>
      <c r="H6" s="396"/>
      <c r="I6" s="482"/>
      <c r="K6"/>
    </row>
    <row r="7" spans="2:11" ht="5.0999999999999996" customHeight="1" x14ac:dyDescent="0.25"/>
    <row r="8" spans="2:11" ht="15" customHeight="1" x14ac:dyDescent="0.25">
      <c r="B8" s="397" t="s">
        <v>603</v>
      </c>
      <c r="C8" s="397"/>
      <c r="D8" s="397"/>
      <c r="E8" s="397"/>
      <c r="F8" s="397"/>
      <c r="G8" s="397"/>
      <c r="H8" s="397"/>
      <c r="I8" s="397"/>
    </row>
    <row r="9" spans="2:11" ht="5.0999999999999996" customHeight="1" x14ac:dyDescent="0.25"/>
    <row r="10" spans="2:11" ht="20.100000000000001" customHeight="1" x14ac:dyDescent="0.25">
      <c r="B10" s="244" t="s">
        <v>50</v>
      </c>
      <c r="C10" s="442" t="s">
        <v>1</v>
      </c>
      <c r="D10" s="442"/>
      <c r="E10" s="442"/>
      <c r="F10" s="442"/>
      <c r="G10" s="244" t="s">
        <v>604</v>
      </c>
      <c r="H10" s="442" t="s">
        <v>605</v>
      </c>
      <c r="I10" s="442"/>
    </row>
    <row r="11" spans="2:11" s="250" customFormat="1" ht="27.95" customHeight="1" x14ac:dyDescent="0.25">
      <c r="B11" s="266" t="s">
        <v>819</v>
      </c>
      <c r="C11" s="483" t="s">
        <v>697</v>
      </c>
      <c r="D11" s="484"/>
      <c r="E11" s="484"/>
      <c r="F11" s="485"/>
      <c r="G11" s="79" t="s">
        <v>15</v>
      </c>
      <c r="H11" s="453">
        <v>1</v>
      </c>
      <c r="I11" s="453"/>
    </row>
    <row r="12" spans="2:11" s="250" customFormat="1" ht="5.0999999999999996" customHeight="1" x14ac:dyDescent="0.25">
      <c r="B12" s="8"/>
      <c r="C12" s="8"/>
      <c r="D12" s="8"/>
      <c r="E12" s="8"/>
      <c r="F12" s="8"/>
      <c r="G12" s="8"/>
      <c r="H12" s="8"/>
      <c r="I12" s="8"/>
    </row>
    <row r="13" spans="2:11" ht="14.1" customHeight="1" x14ac:dyDescent="0.25">
      <c r="B13" s="450" t="s">
        <v>8</v>
      </c>
      <c r="C13" s="442" t="s">
        <v>608</v>
      </c>
      <c r="D13" s="442" t="s">
        <v>609</v>
      </c>
      <c r="E13" s="442"/>
      <c r="F13" s="450" t="s">
        <v>4</v>
      </c>
      <c r="G13" s="442" t="s">
        <v>610</v>
      </c>
      <c r="H13" s="442"/>
      <c r="I13" s="450" t="s">
        <v>611</v>
      </c>
    </row>
    <row r="14" spans="2:11" ht="14.1" customHeight="1" x14ac:dyDescent="0.25">
      <c r="B14" s="450"/>
      <c r="C14" s="442"/>
      <c r="D14" s="244" t="s">
        <v>612</v>
      </c>
      <c r="E14" s="244" t="s">
        <v>613</v>
      </c>
      <c r="F14" s="450"/>
      <c r="G14" s="244" t="s">
        <v>612</v>
      </c>
      <c r="H14" s="244" t="s">
        <v>613</v>
      </c>
      <c r="I14" s="450"/>
    </row>
    <row r="15" spans="2:11" s="250" customFormat="1" ht="14.1" customHeight="1" x14ac:dyDescent="0.25">
      <c r="B15" s="267"/>
      <c r="C15" s="103"/>
      <c r="D15" s="379"/>
      <c r="E15" s="379"/>
      <c r="F15" s="379"/>
      <c r="G15" s="379"/>
      <c r="H15" s="379"/>
      <c r="I15" s="379"/>
    </row>
    <row r="16" spans="2:11" s="250" customFormat="1" ht="14.1" customHeight="1" x14ac:dyDescent="0.25">
      <c r="B16" s="268"/>
      <c r="C16" s="269"/>
      <c r="D16" s="380"/>
      <c r="E16" s="380"/>
      <c r="F16" s="380"/>
      <c r="G16" s="380"/>
      <c r="H16" s="380"/>
      <c r="I16" s="380"/>
    </row>
    <row r="17" spans="2:9" s="250" customFormat="1" ht="15" customHeight="1" x14ac:dyDescent="0.25">
      <c r="B17" s="486" t="s">
        <v>614</v>
      </c>
      <c r="C17" s="487"/>
      <c r="D17" s="487"/>
      <c r="E17" s="487"/>
      <c r="F17" s="487"/>
      <c r="G17" s="487"/>
      <c r="H17" s="488"/>
      <c r="I17" s="378">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249"/>
      <c r="E21" s="493"/>
      <c r="F21" s="493"/>
      <c r="G21" s="508"/>
      <c r="H21" s="508"/>
      <c r="I21" s="219"/>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0</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0</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99" t="s">
        <v>624</v>
      </c>
      <c r="F29" s="499"/>
      <c r="G29" s="499" t="s">
        <v>617</v>
      </c>
      <c r="H29" s="499"/>
      <c r="I29" s="448" t="s">
        <v>625</v>
      </c>
    </row>
    <row r="30" spans="2:9" ht="14.1" customHeight="1" x14ac:dyDescent="0.25">
      <c r="B30" s="475"/>
      <c r="C30" s="502"/>
      <c r="D30" s="475"/>
      <c r="E30" s="502"/>
      <c r="F30" s="502"/>
      <c r="G30" s="502"/>
      <c r="H30" s="502"/>
      <c r="I30" s="475"/>
    </row>
    <row r="31" spans="2:9" s="250" customFormat="1" ht="27.95" customHeight="1" x14ac:dyDescent="0.25">
      <c r="B31" s="290">
        <v>92916</v>
      </c>
      <c r="C31" s="103" t="s">
        <v>888</v>
      </c>
      <c r="D31" s="366" t="s">
        <v>34</v>
      </c>
      <c r="E31" s="493">
        <v>15.3</v>
      </c>
      <c r="F31" s="493"/>
      <c r="G31" s="493">
        <v>34.36</v>
      </c>
      <c r="H31" s="493"/>
      <c r="I31" s="369">
        <f t="shared" ref="I31:I35" si="0">TRUNC((E31*G31),2)</f>
        <v>525.70000000000005</v>
      </c>
    </row>
    <row r="32" spans="2:9" s="250" customFormat="1" ht="27.95" customHeight="1" x14ac:dyDescent="0.25">
      <c r="B32" s="291">
        <v>97083</v>
      </c>
      <c r="C32" s="69" t="s">
        <v>889</v>
      </c>
      <c r="D32" s="73" t="s">
        <v>13</v>
      </c>
      <c r="E32" s="495">
        <v>3.48</v>
      </c>
      <c r="F32" s="495"/>
      <c r="G32" s="495">
        <v>16.239999999999998</v>
      </c>
      <c r="H32" s="495"/>
      <c r="I32" s="371">
        <f t="shared" si="0"/>
        <v>56.51</v>
      </c>
    </row>
    <row r="33" spans="2:9" s="250" customFormat="1" ht="27.95" customHeight="1" x14ac:dyDescent="0.25">
      <c r="B33" s="291">
        <v>94963</v>
      </c>
      <c r="C33" s="69" t="s">
        <v>849</v>
      </c>
      <c r="D33" s="70" t="s">
        <v>16</v>
      </c>
      <c r="E33" s="495">
        <v>444.93</v>
      </c>
      <c r="F33" s="495"/>
      <c r="G33" s="495">
        <v>0.9</v>
      </c>
      <c r="H33" s="495"/>
      <c r="I33" s="371">
        <f t="shared" si="0"/>
        <v>400.43</v>
      </c>
    </row>
    <row r="34" spans="2:9" s="250" customFormat="1" ht="27.95" customHeight="1" x14ac:dyDescent="0.25">
      <c r="B34" s="291">
        <v>94964</v>
      </c>
      <c r="C34" s="69" t="s">
        <v>850</v>
      </c>
      <c r="D34" s="70" t="s">
        <v>16</v>
      </c>
      <c r="E34" s="495">
        <v>491.72</v>
      </c>
      <c r="F34" s="495"/>
      <c r="G34" s="495">
        <v>8.24</v>
      </c>
      <c r="H34" s="495"/>
      <c r="I34" s="371">
        <f t="shared" si="0"/>
        <v>4051.77</v>
      </c>
    </row>
    <row r="35" spans="2:9" s="250" customFormat="1" ht="27.95" customHeight="1" x14ac:dyDescent="0.25">
      <c r="B35" s="291">
        <v>94962</v>
      </c>
      <c r="C35" s="69" t="s">
        <v>890</v>
      </c>
      <c r="D35" s="70" t="s">
        <v>16</v>
      </c>
      <c r="E35" s="495">
        <v>396.68</v>
      </c>
      <c r="F35" s="495"/>
      <c r="G35" s="495">
        <v>0.48</v>
      </c>
      <c r="H35" s="495"/>
      <c r="I35" s="371">
        <f t="shared" si="0"/>
        <v>190.4</v>
      </c>
    </row>
    <row r="36" spans="2:9" s="250" customFormat="1" ht="60" customHeight="1" x14ac:dyDescent="0.25">
      <c r="B36" s="291">
        <v>90107</v>
      </c>
      <c r="C36" s="69" t="s">
        <v>891</v>
      </c>
      <c r="D36" s="70" t="s">
        <v>16</v>
      </c>
      <c r="E36" s="495">
        <v>8.33</v>
      </c>
      <c r="F36" s="495"/>
      <c r="G36" s="495">
        <v>5.68</v>
      </c>
      <c r="H36" s="495"/>
      <c r="I36" s="371">
        <f>TRUNC((E36*G36),2)</f>
        <v>47.31</v>
      </c>
    </row>
    <row r="37" spans="2:9" s="250" customFormat="1" ht="27.95" customHeight="1" x14ac:dyDescent="0.25">
      <c r="B37" s="291">
        <v>101792</v>
      </c>
      <c r="C37" s="69" t="s">
        <v>892</v>
      </c>
      <c r="D37" s="70" t="s">
        <v>16</v>
      </c>
      <c r="E37" s="495">
        <v>16.100000000000001</v>
      </c>
      <c r="F37" s="495"/>
      <c r="G37" s="495">
        <v>3</v>
      </c>
      <c r="H37" s="495"/>
      <c r="I37" s="371">
        <f t="shared" ref="I37:I39" si="1">TRUNC((E37*G37),2)</f>
        <v>48.3</v>
      </c>
    </row>
    <row r="38" spans="2:9" s="250" customFormat="1" ht="27.95" customHeight="1" x14ac:dyDescent="0.25">
      <c r="B38" s="291">
        <v>96533</v>
      </c>
      <c r="C38" s="69" t="s">
        <v>893</v>
      </c>
      <c r="D38" s="70" t="s">
        <v>13</v>
      </c>
      <c r="E38" s="495">
        <v>85.78</v>
      </c>
      <c r="F38" s="495"/>
      <c r="G38" s="495">
        <v>34.299999999999997</v>
      </c>
      <c r="H38" s="495"/>
      <c r="I38" s="371">
        <f t="shared" si="1"/>
        <v>2942.25</v>
      </c>
    </row>
    <row r="39" spans="2:9" s="250" customFormat="1" ht="27.95" customHeight="1" x14ac:dyDescent="0.25">
      <c r="B39" s="291">
        <v>103670</v>
      </c>
      <c r="C39" s="69" t="s">
        <v>307</v>
      </c>
      <c r="D39" s="70" t="s">
        <v>16</v>
      </c>
      <c r="E39" s="495">
        <v>308.54000000000002</v>
      </c>
      <c r="F39" s="495"/>
      <c r="G39" s="495">
        <v>9.14</v>
      </c>
      <c r="H39" s="495"/>
      <c r="I39" s="371">
        <f t="shared" si="1"/>
        <v>2820.05</v>
      </c>
    </row>
    <row r="40" spans="2:9" s="250" customFormat="1" ht="14.1" customHeight="1" x14ac:dyDescent="0.25">
      <c r="B40" s="291">
        <v>93382</v>
      </c>
      <c r="C40" s="69" t="s">
        <v>840</v>
      </c>
      <c r="D40" s="70" t="s">
        <v>16</v>
      </c>
      <c r="E40" s="495">
        <v>27.31</v>
      </c>
      <c r="F40" s="495"/>
      <c r="G40" s="495">
        <v>2.2599999999999998</v>
      </c>
      <c r="H40" s="495"/>
      <c r="I40" s="371">
        <f t="shared" ref="I40" si="2">TRUNC((E40*G40),2)</f>
        <v>61.72</v>
      </c>
    </row>
    <row r="41" spans="2:9" s="250" customFormat="1" ht="14.1" customHeight="1" x14ac:dyDescent="0.25">
      <c r="B41" s="268"/>
      <c r="C41" s="269"/>
      <c r="D41" s="97"/>
      <c r="E41" s="494"/>
      <c r="F41" s="494"/>
      <c r="G41" s="494"/>
      <c r="H41" s="494"/>
      <c r="I41" s="370"/>
    </row>
    <row r="42" spans="2:9" s="250" customFormat="1" ht="15" customHeight="1" x14ac:dyDescent="0.25">
      <c r="B42" s="505" t="s">
        <v>634</v>
      </c>
      <c r="C42" s="506"/>
      <c r="D42" s="506"/>
      <c r="E42" s="506"/>
      <c r="F42" s="506"/>
      <c r="G42" s="506"/>
      <c r="H42" s="507"/>
      <c r="I42" s="374">
        <f>SUM(I31:I41)</f>
        <v>11144.44</v>
      </c>
    </row>
    <row r="43" spans="2:9" ht="5.0999999999999996" customHeight="1" x14ac:dyDescent="0.25">
      <c r="B43" s="273"/>
      <c r="C43" s="273"/>
      <c r="D43" s="273"/>
      <c r="E43" s="273"/>
      <c r="F43" s="273"/>
      <c r="G43" s="273"/>
      <c r="H43" s="273"/>
      <c r="I43" s="273"/>
    </row>
    <row r="44" spans="2:9" ht="14.1" customHeight="1" x14ac:dyDescent="0.25">
      <c r="B44" s="450" t="s">
        <v>8</v>
      </c>
      <c r="C44" s="442" t="s">
        <v>52</v>
      </c>
      <c r="D44" s="450" t="s">
        <v>2</v>
      </c>
      <c r="E44" s="489" t="s">
        <v>624</v>
      </c>
      <c r="F44" s="490"/>
      <c r="G44" s="489" t="s">
        <v>617</v>
      </c>
      <c r="H44" s="490"/>
      <c r="I44" s="450" t="s">
        <v>625</v>
      </c>
    </row>
    <row r="45" spans="2:9" ht="14.1" customHeight="1" x14ac:dyDescent="0.25">
      <c r="B45" s="450"/>
      <c r="C45" s="442"/>
      <c r="D45" s="450"/>
      <c r="E45" s="491"/>
      <c r="F45" s="492"/>
      <c r="G45" s="491"/>
      <c r="H45" s="492"/>
      <c r="I45" s="450"/>
    </row>
    <row r="46" spans="2:9" s="250" customFormat="1" ht="14.1" customHeight="1" x14ac:dyDescent="0.25">
      <c r="B46" s="267"/>
      <c r="C46" s="103"/>
      <c r="D46" s="249"/>
      <c r="E46" s="493"/>
      <c r="F46" s="493"/>
      <c r="G46" s="493"/>
      <c r="H46" s="493"/>
      <c r="I46" s="219"/>
    </row>
    <row r="47" spans="2:9" s="250" customFormat="1" ht="14.1" customHeight="1" x14ac:dyDescent="0.25">
      <c r="B47" s="268"/>
      <c r="C47" s="269"/>
      <c r="D47" s="97"/>
      <c r="E47" s="494"/>
      <c r="F47" s="494"/>
      <c r="G47" s="494"/>
      <c r="H47" s="494"/>
      <c r="I47" s="220"/>
    </row>
    <row r="48" spans="2:9" s="250" customFormat="1" ht="15" customHeight="1" x14ac:dyDescent="0.25">
      <c r="B48" s="486" t="s">
        <v>635</v>
      </c>
      <c r="C48" s="487"/>
      <c r="D48" s="487"/>
      <c r="E48" s="487"/>
      <c r="F48" s="487"/>
      <c r="G48" s="487"/>
      <c r="H48" s="488"/>
      <c r="I48" s="246">
        <f>SUM(I46:I47)</f>
        <v>0</v>
      </c>
    </row>
    <row r="49" spans="2:9" ht="5.0999999999999996" customHeight="1" x14ac:dyDescent="0.25">
      <c r="B49" s="273"/>
      <c r="C49" s="273"/>
      <c r="D49" s="273"/>
      <c r="E49" s="273"/>
      <c r="F49" s="273"/>
      <c r="G49" s="273"/>
      <c r="H49" s="273"/>
      <c r="I49" s="273"/>
    </row>
    <row r="50" spans="2:9" s="250" customFormat="1" ht="15" customHeight="1" x14ac:dyDescent="0.25">
      <c r="B50" s="486" t="s">
        <v>636</v>
      </c>
      <c r="C50" s="487"/>
      <c r="D50" s="487"/>
      <c r="E50" s="487"/>
      <c r="F50" s="487"/>
      <c r="G50" s="487"/>
      <c r="H50" s="488"/>
      <c r="I50" s="246">
        <f>I27+I42+I48</f>
        <v>11144.44</v>
      </c>
    </row>
  </sheetData>
  <mergeCells count="69">
    <mergeCell ref="B50:H50"/>
    <mergeCell ref="B48:H48"/>
    <mergeCell ref="E41:F41"/>
    <mergeCell ref="G41:H41"/>
    <mergeCell ref="B42:H42"/>
    <mergeCell ref="B44:B45"/>
    <mergeCell ref="C44:C45"/>
    <mergeCell ref="D44:D45"/>
    <mergeCell ref="I44:I45"/>
    <mergeCell ref="E46:F46"/>
    <mergeCell ref="G46:H46"/>
    <mergeCell ref="E47:F47"/>
    <mergeCell ref="G47:H47"/>
    <mergeCell ref="E44:F45"/>
    <mergeCell ref="G44:H45"/>
    <mergeCell ref="E40:F40"/>
    <mergeCell ref="G40:H40"/>
    <mergeCell ref="I29:I30"/>
    <mergeCell ref="E31:F31"/>
    <mergeCell ref="G31:H31"/>
    <mergeCell ref="E39:F39"/>
    <mergeCell ref="G39:H39"/>
    <mergeCell ref="E32:F32"/>
    <mergeCell ref="G32:H32"/>
    <mergeCell ref="E33:F33"/>
    <mergeCell ref="G33:H33"/>
    <mergeCell ref="E34:F34"/>
    <mergeCell ref="G34:H34"/>
    <mergeCell ref="E35:F35"/>
    <mergeCell ref="G35:H35"/>
    <mergeCell ref="E36:F36"/>
    <mergeCell ref="B25:H25"/>
    <mergeCell ref="B27:H27"/>
    <mergeCell ref="B29:B30"/>
    <mergeCell ref="C29:C30"/>
    <mergeCell ref="D29:D30"/>
    <mergeCell ref="E29:F30"/>
    <mergeCell ref="G29:H30"/>
    <mergeCell ref="G36:H36"/>
    <mergeCell ref="E37:F37"/>
    <mergeCell ref="G37:H37"/>
    <mergeCell ref="E38:F38"/>
    <mergeCell ref="G38:H38"/>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657</v>
      </c>
      <c r="C11" s="483" t="s">
        <v>656</v>
      </c>
      <c r="D11" s="484"/>
      <c r="E11" s="484"/>
      <c r="F11" s="485"/>
      <c r="G11" s="79"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26.1" customHeight="1" x14ac:dyDescent="0.25">
      <c r="B15" s="267">
        <v>5839</v>
      </c>
      <c r="C15" s="103" t="s">
        <v>655</v>
      </c>
      <c r="D15" s="219">
        <v>9.31</v>
      </c>
      <c r="E15" s="219">
        <v>0</v>
      </c>
      <c r="F15" s="219">
        <v>1</v>
      </c>
      <c r="G15" s="281">
        <v>1.6999999999999999E-3</v>
      </c>
      <c r="H15" s="105">
        <v>0</v>
      </c>
      <c r="I15" s="219">
        <f>TRUNC((D15*F15*G15),2)+TRUNC((E15*F15*H15),2)</f>
        <v>0.01</v>
      </c>
    </row>
    <row r="16" spans="2:15" s="250" customFormat="1" ht="39" customHeight="1" x14ac:dyDescent="0.25">
      <c r="B16" s="67" t="s">
        <v>654</v>
      </c>
      <c r="C16" s="69" t="s">
        <v>653</v>
      </c>
      <c r="D16" s="221">
        <v>268.99</v>
      </c>
      <c r="E16" s="221">
        <v>69.3</v>
      </c>
      <c r="F16" s="221">
        <v>1</v>
      </c>
      <c r="G16" s="114">
        <v>1E-3</v>
      </c>
      <c r="H16" s="114">
        <v>1E-3</v>
      </c>
      <c r="I16" s="221">
        <f>TRUNC((D16*F16*G16),2)+TRUNC((E16*F16*H16),2)</f>
        <v>0.32</v>
      </c>
    </row>
    <row r="17" spans="2:9" s="250" customFormat="1" ht="12.95" customHeight="1" x14ac:dyDescent="0.25">
      <c r="B17" s="67" t="s">
        <v>652</v>
      </c>
      <c r="C17" s="69" t="s">
        <v>651</v>
      </c>
      <c r="D17" s="221">
        <v>128.85</v>
      </c>
      <c r="E17" s="221">
        <v>47.5</v>
      </c>
      <c r="F17" s="221">
        <v>1</v>
      </c>
      <c r="G17" s="280">
        <v>1.6999999999999999E-3</v>
      </c>
      <c r="H17" s="280">
        <v>1.4E-3</v>
      </c>
      <c r="I17" s="221">
        <f>TRUNC((D17*F17*G17),2)+TRUNC((E17*F17*H17),2)</f>
        <v>0.27</v>
      </c>
    </row>
    <row r="18" spans="2:9" s="250" customFormat="1" ht="14.1" customHeight="1" x14ac:dyDescent="0.25">
      <c r="B18" s="268"/>
      <c r="C18" s="269"/>
      <c r="D18" s="220"/>
      <c r="E18" s="220"/>
      <c r="F18" s="220"/>
      <c r="G18" s="220"/>
      <c r="H18" s="220"/>
      <c r="I18" s="220"/>
    </row>
    <row r="19" spans="2:9" s="250" customFormat="1" ht="15" customHeight="1" x14ac:dyDescent="0.25">
      <c r="B19" s="486" t="s">
        <v>614</v>
      </c>
      <c r="C19" s="487"/>
      <c r="D19" s="487"/>
      <c r="E19" s="487"/>
      <c r="F19" s="487"/>
      <c r="G19" s="487"/>
      <c r="H19" s="488"/>
      <c r="I19" s="246">
        <f>SUM(I15:I18)</f>
        <v>0.60000000000000009</v>
      </c>
    </row>
    <row r="20" spans="2:9" s="250" customFormat="1" ht="5.0999999999999996" customHeight="1" x14ac:dyDescent="0.25">
      <c r="B20" s="8"/>
      <c r="C20" s="8"/>
      <c r="D20" s="8"/>
      <c r="E20" s="8"/>
      <c r="F20" s="8"/>
      <c r="G20" s="8"/>
      <c r="H20" s="8"/>
      <c r="I20" s="8"/>
    </row>
    <row r="21" spans="2:9" ht="14.1" customHeight="1" x14ac:dyDescent="0.25">
      <c r="B21" s="450" t="s">
        <v>8</v>
      </c>
      <c r="C21" s="442" t="s">
        <v>615</v>
      </c>
      <c r="D21" s="450" t="s">
        <v>604</v>
      </c>
      <c r="E21" s="489" t="s">
        <v>616</v>
      </c>
      <c r="F21" s="490"/>
      <c r="G21" s="489" t="s">
        <v>617</v>
      </c>
      <c r="H21" s="490"/>
      <c r="I21" s="450" t="s">
        <v>611</v>
      </c>
    </row>
    <row r="22" spans="2:9" ht="14.1" customHeight="1" x14ac:dyDescent="0.25">
      <c r="B22" s="450"/>
      <c r="C22" s="442"/>
      <c r="D22" s="450"/>
      <c r="E22" s="491"/>
      <c r="F22" s="492"/>
      <c r="G22" s="491"/>
      <c r="H22" s="492"/>
      <c r="I22" s="450"/>
    </row>
    <row r="23" spans="2:9" s="8" customFormat="1" ht="14.1" customHeight="1" x14ac:dyDescent="0.25">
      <c r="B23" s="267">
        <v>88316</v>
      </c>
      <c r="C23" s="103" t="s">
        <v>619</v>
      </c>
      <c r="D23" s="249" t="s">
        <v>51</v>
      </c>
      <c r="E23" s="493">
        <v>22.76</v>
      </c>
      <c r="F23" s="493"/>
      <c r="G23" s="515">
        <v>2E-3</v>
      </c>
      <c r="H23" s="515"/>
      <c r="I23" s="219">
        <f>TRUNC((E23*G23),2)</f>
        <v>0.04</v>
      </c>
    </row>
    <row r="24" spans="2:9" s="250" customFormat="1" ht="14.1" customHeight="1" x14ac:dyDescent="0.25">
      <c r="B24" s="268"/>
      <c r="C24" s="269"/>
      <c r="D24" s="97"/>
      <c r="E24" s="494"/>
      <c r="F24" s="494"/>
      <c r="G24" s="494"/>
      <c r="H24" s="494"/>
      <c r="I24" s="220"/>
    </row>
    <row r="25" spans="2:9" s="250" customFormat="1" ht="15" customHeight="1" x14ac:dyDescent="0.25">
      <c r="B25" s="486" t="s">
        <v>620</v>
      </c>
      <c r="C25" s="487"/>
      <c r="D25" s="487"/>
      <c r="E25" s="487"/>
      <c r="F25" s="487"/>
      <c r="G25" s="487"/>
      <c r="H25" s="488"/>
      <c r="I25" s="246">
        <f>SUM(I23:I24)</f>
        <v>0.04</v>
      </c>
    </row>
    <row r="26" spans="2:9" s="250" customFormat="1" ht="5.0999999999999996" customHeight="1" x14ac:dyDescent="0.25">
      <c r="B26" s="9"/>
      <c r="C26" s="8"/>
      <c r="D26" s="8"/>
      <c r="E26" s="8"/>
      <c r="F26" s="8"/>
      <c r="G26" s="8"/>
      <c r="H26" s="8"/>
      <c r="I26" s="8"/>
    </row>
    <row r="27" spans="2:9" s="250" customFormat="1" ht="15" customHeight="1" x14ac:dyDescent="0.25">
      <c r="B27" s="486" t="s">
        <v>621</v>
      </c>
      <c r="C27" s="487"/>
      <c r="D27" s="487"/>
      <c r="E27" s="487"/>
      <c r="F27" s="487"/>
      <c r="G27" s="487"/>
      <c r="H27" s="488"/>
      <c r="I27" s="246">
        <f>I19+I25</f>
        <v>0.64000000000000012</v>
      </c>
    </row>
    <row r="28" spans="2:9" ht="5.0999999999999996" customHeight="1" x14ac:dyDescent="0.25">
      <c r="B28" s="273"/>
      <c r="C28" s="273"/>
      <c r="D28" s="273"/>
      <c r="E28" s="273"/>
      <c r="F28" s="273"/>
      <c r="G28" s="273"/>
      <c r="H28" s="273"/>
      <c r="I28" s="273"/>
    </row>
    <row r="29" spans="2:9" s="250" customFormat="1" ht="15" customHeight="1" x14ac:dyDescent="0.25">
      <c r="B29" s="486" t="s">
        <v>622</v>
      </c>
      <c r="C29" s="487"/>
      <c r="D29" s="487"/>
      <c r="E29" s="487"/>
      <c r="F29" s="487"/>
      <c r="G29" s="487"/>
      <c r="H29" s="488"/>
      <c r="I29" s="246">
        <f>ROUND((I27/H11),2)</f>
        <v>0.64</v>
      </c>
    </row>
    <row r="30" spans="2:9" ht="5.0999999999999996" customHeight="1" x14ac:dyDescent="0.25">
      <c r="B30" s="273"/>
      <c r="C30" s="273"/>
      <c r="D30" s="273"/>
      <c r="E30" s="273"/>
      <c r="F30" s="273"/>
      <c r="G30" s="273"/>
      <c r="H30" s="273"/>
      <c r="I30" s="273"/>
    </row>
    <row r="31" spans="2:9" ht="14.1" customHeight="1" x14ac:dyDescent="0.25">
      <c r="B31" s="448" t="s">
        <v>8</v>
      </c>
      <c r="C31" s="499" t="s">
        <v>623</v>
      </c>
      <c r="D31" s="448" t="s">
        <v>604</v>
      </c>
      <c r="E31" s="489" t="s">
        <v>624</v>
      </c>
      <c r="F31" s="490"/>
      <c r="G31" s="489" t="s">
        <v>617</v>
      </c>
      <c r="H31" s="490"/>
      <c r="I31" s="448" t="s">
        <v>625</v>
      </c>
    </row>
    <row r="32" spans="2:9" ht="14.1" customHeight="1" x14ac:dyDescent="0.25">
      <c r="B32" s="449"/>
      <c r="C32" s="500"/>
      <c r="D32" s="449"/>
      <c r="E32" s="491"/>
      <c r="F32" s="492"/>
      <c r="G32" s="491"/>
      <c r="H32" s="492"/>
      <c r="I32" s="449"/>
    </row>
    <row r="33" spans="2:9" s="275" customFormat="1" ht="14.1" customHeight="1" x14ac:dyDescent="0.25">
      <c r="B33" s="279"/>
      <c r="C33" s="278"/>
      <c r="D33" s="277"/>
      <c r="E33" s="514"/>
      <c r="F33" s="514"/>
      <c r="G33" s="514"/>
      <c r="H33" s="514"/>
      <c r="I33" s="276"/>
    </row>
    <row r="34" spans="2:9" s="250" customFormat="1" ht="14.1" customHeight="1" x14ac:dyDescent="0.25">
      <c r="B34" s="268"/>
      <c r="C34" s="269"/>
      <c r="D34" s="97"/>
      <c r="E34" s="494"/>
      <c r="F34" s="494"/>
      <c r="G34" s="494"/>
      <c r="H34" s="494"/>
      <c r="I34" s="220"/>
    </row>
    <row r="35" spans="2:9" s="250" customFormat="1" ht="15" customHeight="1" x14ac:dyDescent="0.25">
      <c r="B35" s="486" t="s">
        <v>634</v>
      </c>
      <c r="C35" s="487"/>
      <c r="D35" s="487"/>
      <c r="E35" s="487"/>
      <c r="F35" s="487"/>
      <c r="G35" s="487"/>
      <c r="H35" s="488"/>
      <c r="I35" s="246">
        <f>SUM(I33:I34)</f>
        <v>0</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249"/>
      <c r="E39" s="493"/>
      <c r="F39" s="493"/>
      <c r="G39" s="493"/>
      <c r="H39" s="493"/>
      <c r="I39" s="219"/>
    </row>
    <row r="40" spans="2:9" s="250" customFormat="1" ht="14.1" customHeight="1" x14ac:dyDescent="0.25">
      <c r="B40" s="268"/>
      <c r="C40" s="269"/>
      <c r="D40" s="97"/>
      <c r="E40" s="494"/>
      <c r="F40" s="494"/>
      <c r="G40" s="494"/>
      <c r="H40" s="494"/>
      <c r="I40" s="220"/>
    </row>
    <row r="41" spans="2:9" s="250" customFormat="1" ht="15" customHeight="1" x14ac:dyDescent="0.25">
      <c r="B41" s="486" t="s">
        <v>635</v>
      </c>
      <c r="C41" s="487"/>
      <c r="D41" s="487"/>
      <c r="E41" s="487"/>
      <c r="F41" s="487"/>
      <c r="G41" s="487"/>
      <c r="H41" s="488"/>
      <c r="I41" s="246">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246">
        <f>I29+I35+I41</f>
        <v>0.64</v>
      </c>
    </row>
  </sheetData>
  <mergeCells count="51">
    <mergeCell ref="B8:I8"/>
    <mergeCell ref="G2:I2"/>
    <mergeCell ref="G3:I5"/>
    <mergeCell ref="G6:I6"/>
    <mergeCell ref="C10:F10"/>
    <mergeCell ref="H10:I10"/>
    <mergeCell ref="C11:F11"/>
    <mergeCell ref="H11:I11"/>
    <mergeCell ref="B13:B14"/>
    <mergeCell ref="C13:C14"/>
    <mergeCell ref="D13:E13"/>
    <mergeCell ref="F13:F14"/>
    <mergeCell ref="G13:H13"/>
    <mergeCell ref="I13:I14"/>
    <mergeCell ref="B19:H19"/>
    <mergeCell ref="B21:B22"/>
    <mergeCell ref="C21:C22"/>
    <mergeCell ref="D21:D22"/>
    <mergeCell ref="E21:F22"/>
    <mergeCell ref="G21:H22"/>
    <mergeCell ref="I21:I22"/>
    <mergeCell ref="E23:F23"/>
    <mergeCell ref="G23:H23"/>
    <mergeCell ref="E24:F24"/>
    <mergeCell ref="G24:H24"/>
    <mergeCell ref="B25:H25"/>
    <mergeCell ref="B27:H27"/>
    <mergeCell ref="B29:H29"/>
    <mergeCell ref="B31:B32"/>
    <mergeCell ref="C31:C32"/>
    <mergeCell ref="D31:D32"/>
    <mergeCell ref="E31:F32"/>
    <mergeCell ref="G31:H32"/>
    <mergeCell ref="I37:I38"/>
    <mergeCell ref="I31:I32"/>
    <mergeCell ref="E33:F33"/>
    <mergeCell ref="G33:H33"/>
    <mergeCell ref="E34:F34"/>
    <mergeCell ref="G34:H34"/>
    <mergeCell ref="B35:H35"/>
    <mergeCell ref="B43:H43"/>
    <mergeCell ref="B37:B38"/>
    <mergeCell ref="C37:C38"/>
    <mergeCell ref="D37:D38"/>
    <mergeCell ref="E37:F38"/>
    <mergeCell ref="G37:H38"/>
    <mergeCell ref="E39:F39"/>
    <mergeCell ref="G39:H39"/>
    <mergeCell ref="E40:F40"/>
    <mergeCell ref="G40:H40"/>
    <mergeCell ref="B41:H41"/>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5"/>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668</v>
      </c>
      <c r="C11" s="483" t="s">
        <v>467</v>
      </c>
      <c r="D11" s="484"/>
      <c r="E11" s="484"/>
      <c r="F11" s="485"/>
      <c r="G11" s="79" t="s">
        <v>465</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27.95" customHeight="1" x14ac:dyDescent="0.25">
      <c r="B15" s="267" t="s">
        <v>667</v>
      </c>
      <c r="C15" s="103" t="s">
        <v>666</v>
      </c>
      <c r="D15" s="286">
        <v>384.51</v>
      </c>
      <c r="E15" s="286">
        <v>151.91999999999999</v>
      </c>
      <c r="F15" s="219">
        <v>1</v>
      </c>
      <c r="G15" s="285">
        <v>1.8162000000000001E-2</v>
      </c>
      <c r="H15" s="285">
        <v>3.7145999999999998E-2</v>
      </c>
      <c r="I15" s="219">
        <f>TRUNC((D15*F15*G15),2)+TRUNC((E15*F15*H15),2)</f>
        <v>12.620000000000001</v>
      </c>
    </row>
    <row r="16" spans="2:15" s="250" customFormat="1" ht="42" customHeight="1" x14ac:dyDescent="0.25">
      <c r="B16" s="67">
        <v>91386</v>
      </c>
      <c r="C16" s="69" t="s">
        <v>665</v>
      </c>
      <c r="D16" s="284">
        <v>270.25</v>
      </c>
      <c r="E16" s="284">
        <v>0</v>
      </c>
      <c r="F16" s="221">
        <v>1</v>
      </c>
      <c r="G16" s="283">
        <v>1.8162000000000001E-2</v>
      </c>
      <c r="H16" s="221">
        <v>0</v>
      </c>
      <c r="I16" s="221">
        <f>TRUNC((D16*F16*G16),2)+TRUNC((E16*F16*H16),2)</f>
        <v>4.9000000000000004</v>
      </c>
    </row>
    <row r="17" spans="2:9" s="250" customFormat="1" ht="27.95" customHeight="1" x14ac:dyDescent="0.25">
      <c r="B17" s="67" t="s">
        <v>664</v>
      </c>
      <c r="C17" s="69" t="s">
        <v>663</v>
      </c>
      <c r="D17" s="284">
        <v>231.41</v>
      </c>
      <c r="E17" s="284">
        <v>85.83</v>
      </c>
      <c r="F17" s="221">
        <v>1</v>
      </c>
      <c r="G17" s="283">
        <v>3.1509000000000002E-2</v>
      </c>
      <c r="H17" s="283">
        <v>2.3758999999999999E-2</v>
      </c>
      <c r="I17" s="221">
        <f>TRUNC((D17*F17*G17),2)+TRUNC((E17*F17*H17),2)</f>
        <v>9.32</v>
      </c>
    </row>
    <row r="18" spans="2:9" s="250" customFormat="1" ht="27.95" customHeight="1" x14ac:dyDescent="0.25">
      <c r="B18" s="67" t="s">
        <v>662</v>
      </c>
      <c r="C18" s="69" t="s">
        <v>661</v>
      </c>
      <c r="D18" s="284">
        <v>137.18</v>
      </c>
      <c r="E18" s="284">
        <v>51.97</v>
      </c>
      <c r="F18" s="221">
        <v>1</v>
      </c>
      <c r="G18" s="283">
        <v>1.3346999999999999E-2</v>
      </c>
      <c r="H18" s="283">
        <v>4.1921E-2</v>
      </c>
      <c r="I18" s="221">
        <f>TRUNC((D18*F18*G18),2)+TRUNC((E18*F18*H18),2)</f>
        <v>4</v>
      </c>
    </row>
    <row r="19" spans="2:9" s="250" customFormat="1" ht="27.95" customHeight="1" x14ac:dyDescent="0.25">
      <c r="B19" s="67" t="s">
        <v>660</v>
      </c>
      <c r="C19" s="69" t="s">
        <v>659</v>
      </c>
      <c r="D19" s="284">
        <v>218.59</v>
      </c>
      <c r="E19" s="284">
        <v>92.1</v>
      </c>
      <c r="F19" s="221">
        <v>1</v>
      </c>
      <c r="G19" s="283">
        <v>1.6400999999999999E-2</v>
      </c>
      <c r="H19" s="283">
        <v>3.8751000000000001E-2</v>
      </c>
      <c r="I19" s="221">
        <f>TRUNC((D19*F19*G19),2)+TRUNC((E19*F19*H19),2)</f>
        <v>7.1400000000000006</v>
      </c>
    </row>
    <row r="20" spans="2:9" s="250" customFormat="1" ht="14.1" customHeight="1" x14ac:dyDescent="0.25">
      <c r="B20" s="268"/>
      <c r="C20" s="269"/>
      <c r="D20" s="282"/>
      <c r="E20" s="282"/>
      <c r="F20" s="220"/>
      <c r="G20" s="220"/>
      <c r="H20" s="220"/>
      <c r="I20" s="220"/>
    </row>
    <row r="21" spans="2:9" s="250" customFormat="1" ht="15" customHeight="1" x14ac:dyDescent="0.25">
      <c r="B21" s="486" t="s">
        <v>614</v>
      </c>
      <c r="C21" s="487"/>
      <c r="D21" s="487"/>
      <c r="E21" s="487"/>
      <c r="F21" s="487"/>
      <c r="G21" s="487"/>
      <c r="H21" s="488"/>
      <c r="I21" s="246">
        <f>SUM(I15:I20)</f>
        <v>37.980000000000004</v>
      </c>
    </row>
    <row r="22" spans="2:9" s="250" customFormat="1" ht="5.0999999999999996" customHeight="1" x14ac:dyDescent="0.25">
      <c r="B22" s="8"/>
      <c r="C22" s="8"/>
      <c r="D22" s="8"/>
      <c r="E22" s="8"/>
      <c r="F22" s="8"/>
      <c r="G22" s="8"/>
      <c r="H22" s="8"/>
      <c r="I22" s="8"/>
    </row>
    <row r="23" spans="2:9" ht="14.1" customHeight="1" x14ac:dyDescent="0.25">
      <c r="B23" s="450" t="s">
        <v>8</v>
      </c>
      <c r="C23" s="442" t="s">
        <v>615</v>
      </c>
      <c r="D23" s="450" t="s">
        <v>604</v>
      </c>
      <c r="E23" s="489" t="s">
        <v>616</v>
      </c>
      <c r="F23" s="490"/>
      <c r="G23" s="489" t="s">
        <v>617</v>
      </c>
      <c r="H23" s="490"/>
      <c r="I23" s="450" t="s">
        <v>611</v>
      </c>
    </row>
    <row r="24" spans="2:9" ht="14.1" customHeight="1" x14ac:dyDescent="0.25">
      <c r="B24" s="450"/>
      <c r="C24" s="442"/>
      <c r="D24" s="450"/>
      <c r="E24" s="491"/>
      <c r="F24" s="492"/>
      <c r="G24" s="491"/>
      <c r="H24" s="492"/>
      <c r="I24" s="450"/>
    </row>
    <row r="25" spans="2:9" s="8" customFormat="1" ht="14.1" customHeight="1" x14ac:dyDescent="0.25">
      <c r="B25" s="267">
        <v>88314</v>
      </c>
      <c r="C25" s="103" t="s">
        <v>658</v>
      </c>
      <c r="D25" s="249" t="s">
        <v>51</v>
      </c>
      <c r="E25" s="493">
        <v>24.82</v>
      </c>
      <c r="F25" s="493"/>
      <c r="G25" s="516">
        <v>0.44234400000000001</v>
      </c>
      <c r="H25" s="516"/>
      <c r="I25" s="219">
        <f>TRUNC((E25*G25),2)</f>
        <v>10.97</v>
      </c>
    </row>
    <row r="26" spans="2:9" s="250" customFormat="1" ht="14.1" customHeight="1" x14ac:dyDescent="0.25">
      <c r="B26" s="268"/>
      <c r="C26" s="269"/>
      <c r="D26" s="97"/>
      <c r="E26" s="494"/>
      <c r="F26" s="494"/>
      <c r="G26" s="494"/>
      <c r="H26" s="494"/>
      <c r="I26" s="220"/>
    </row>
    <row r="27" spans="2:9" s="250" customFormat="1" ht="15" customHeight="1" x14ac:dyDescent="0.25">
      <c r="B27" s="486" t="s">
        <v>620</v>
      </c>
      <c r="C27" s="487"/>
      <c r="D27" s="487"/>
      <c r="E27" s="487"/>
      <c r="F27" s="487"/>
      <c r="G27" s="487"/>
      <c r="H27" s="488"/>
      <c r="I27" s="246">
        <f>SUM(I25:I26)</f>
        <v>10.97</v>
      </c>
    </row>
    <row r="28" spans="2:9" s="250" customFormat="1" ht="5.0999999999999996" customHeight="1" x14ac:dyDescent="0.25">
      <c r="B28" s="9"/>
      <c r="C28" s="8"/>
      <c r="D28" s="8"/>
      <c r="E28" s="8"/>
      <c r="F28" s="8"/>
      <c r="G28" s="8"/>
      <c r="H28" s="8"/>
      <c r="I28" s="8"/>
    </row>
    <row r="29" spans="2:9" s="250" customFormat="1" ht="15" customHeight="1" x14ac:dyDescent="0.25">
      <c r="B29" s="486" t="s">
        <v>621</v>
      </c>
      <c r="C29" s="487"/>
      <c r="D29" s="487"/>
      <c r="E29" s="487"/>
      <c r="F29" s="487"/>
      <c r="G29" s="487"/>
      <c r="H29" s="488"/>
      <c r="I29" s="246">
        <f>I21+I27</f>
        <v>48.95</v>
      </c>
    </row>
    <row r="30" spans="2:9" ht="5.0999999999999996" customHeight="1" x14ac:dyDescent="0.25">
      <c r="B30" s="273"/>
      <c r="C30" s="273"/>
      <c r="D30" s="273"/>
      <c r="E30" s="273"/>
      <c r="F30" s="273"/>
      <c r="G30" s="273"/>
      <c r="H30" s="273"/>
      <c r="I30" s="273"/>
    </row>
    <row r="31" spans="2:9" s="250" customFormat="1" ht="15" customHeight="1" x14ac:dyDescent="0.25">
      <c r="B31" s="486" t="s">
        <v>622</v>
      </c>
      <c r="C31" s="487"/>
      <c r="D31" s="487"/>
      <c r="E31" s="487"/>
      <c r="F31" s="487"/>
      <c r="G31" s="487"/>
      <c r="H31" s="488"/>
      <c r="I31" s="246">
        <f>ROUND((I29/H11),2)</f>
        <v>48.95</v>
      </c>
    </row>
    <row r="32" spans="2:9" ht="5.0999999999999996" customHeight="1" x14ac:dyDescent="0.25">
      <c r="B32" s="273"/>
      <c r="C32" s="273"/>
      <c r="D32" s="273"/>
      <c r="E32" s="273"/>
      <c r="F32" s="273"/>
      <c r="G32" s="273"/>
      <c r="H32" s="273"/>
      <c r="I32" s="273"/>
    </row>
    <row r="33" spans="2:9" ht="14.1" customHeight="1" x14ac:dyDescent="0.25">
      <c r="B33" s="448" t="s">
        <v>8</v>
      </c>
      <c r="C33" s="499" t="s">
        <v>623</v>
      </c>
      <c r="D33" s="448" t="s">
        <v>604</v>
      </c>
      <c r="E33" s="489" t="s">
        <v>624</v>
      </c>
      <c r="F33" s="490"/>
      <c r="G33" s="489" t="s">
        <v>617</v>
      </c>
      <c r="H33" s="490"/>
      <c r="I33" s="448" t="s">
        <v>625</v>
      </c>
    </row>
    <row r="34" spans="2:9" ht="14.1" customHeight="1" x14ac:dyDescent="0.25">
      <c r="B34" s="449"/>
      <c r="C34" s="500"/>
      <c r="D34" s="449"/>
      <c r="E34" s="491"/>
      <c r="F34" s="492"/>
      <c r="G34" s="491"/>
      <c r="H34" s="492"/>
      <c r="I34" s="449"/>
    </row>
    <row r="35" spans="2:9" s="275" customFormat="1" ht="14.1" customHeight="1" x14ac:dyDescent="0.25">
      <c r="B35" s="279"/>
      <c r="C35" s="278"/>
      <c r="D35" s="277"/>
      <c r="E35" s="514"/>
      <c r="F35" s="514"/>
      <c r="G35" s="514"/>
      <c r="H35" s="514"/>
      <c r="I35" s="276"/>
    </row>
    <row r="36" spans="2:9" s="250" customFormat="1" ht="14.1" customHeight="1" x14ac:dyDescent="0.25">
      <c r="B36" s="268"/>
      <c r="C36" s="269"/>
      <c r="D36" s="97"/>
      <c r="E36" s="494"/>
      <c r="F36" s="494"/>
      <c r="G36" s="494"/>
      <c r="H36" s="494"/>
      <c r="I36" s="220"/>
    </row>
    <row r="37" spans="2:9" s="250" customFormat="1" ht="15" customHeight="1" x14ac:dyDescent="0.25">
      <c r="B37" s="486" t="s">
        <v>634</v>
      </c>
      <c r="C37" s="487"/>
      <c r="D37" s="487"/>
      <c r="E37" s="487"/>
      <c r="F37" s="487"/>
      <c r="G37" s="487"/>
      <c r="H37" s="488"/>
      <c r="I37" s="246">
        <f>SUM(I35:I36)</f>
        <v>0</v>
      </c>
    </row>
    <row r="38" spans="2:9" ht="5.0999999999999996" customHeight="1" x14ac:dyDescent="0.25">
      <c r="B38" s="273"/>
      <c r="C38" s="273"/>
      <c r="D38" s="273"/>
      <c r="E38" s="273"/>
      <c r="F38" s="273"/>
      <c r="G38" s="273"/>
      <c r="H38" s="273"/>
      <c r="I38" s="273"/>
    </row>
    <row r="39" spans="2:9" ht="14.1" customHeight="1" x14ac:dyDescent="0.25">
      <c r="B39" s="450" t="s">
        <v>8</v>
      </c>
      <c r="C39" s="442" t="s">
        <v>52</v>
      </c>
      <c r="D39" s="450" t="s">
        <v>2</v>
      </c>
      <c r="E39" s="489" t="s">
        <v>624</v>
      </c>
      <c r="F39" s="490"/>
      <c r="G39" s="489" t="s">
        <v>617</v>
      </c>
      <c r="H39" s="490"/>
      <c r="I39" s="450" t="s">
        <v>625</v>
      </c>
    </row>
    <row r="40" spans="2:9" ht="14.1" customHeight="1" x14ac:dyDescent="0.25">
      <c r="B40" s="450"/>
      <c r="C40" s="442"/>
      <c r="D40" s="450"/>
      <c r="E40" s="491"/>
      <c r="F40" s="492"/>
      <c r="G40" s="491"/>
      <c r="H40" s="492"/>
      <c r="I40" s="450"/>
    </row>
    <row r="41" spans="2:9" s="250" customFormat="1" ht="14.1" customHeight="1" x14ac:dyDescent="0.25">
      <c r="B41" s="267"/>
      <c r="C41" s="103"/>
      <c r="D41" s="249"/>
      <c r="E41" s="493"/>
      <c r="F41" s="493"/>
      <c r="G41" s="493"/>
      <c r="H41" s="493"/>
      <c r="I41" s="219"/>
    </row>
    <row r="42" spans="2:9" s="250" customFormat="1" ht="14.1" customHeight="1" x14ac:dyDescent="0.25">
      <c r="B42" s="268"/>
      <c r="C42" s="269"/>
      <c r="D42" s="97"/>
      <c r="E42" s="494"/>
      <c r="F42" s="494"/>
      <c r="G42" s="494"/>
      <c r="H42" s="494"/>
      <c r="I42" s="220"/>
    </row>
    <row r="43" spans="2:9" s="250" customFormat="1" ht="15" customHeight="1" x14ac:dyDescent="0.25">
      <c r="B43" s="486" t="s">
        <v>635</v>
      </c>
      <c r="C43" s="487"/>
      <c r="D43" s="487"/>
      <c r="E43" s="487"/>
      <c r="F43" s="487"/>
      <c r="G43" s="487"/>
      <c r="H43" s="488"/>
      <c r="I43" s="246">
        <f>SUM(I41:I42)</f>
        <v>0</v>
      </c>
    </row>
    <row r="44" spans="2:9" ht="5.0999999999999996" customHeight="1" x14ac:dyDescent="0.25">
      <c r="B44" s="273"/>
      <c r="C44" s="273"/>
      <c r="D44" s="273"/>
      <c r="E44" s="273"/>
      <c r="F44" s="273"/>
      <c r="G44" s="273"/>
      <c r="H44" s="273"/>
      <c r="I44" s="273"/>
    </row>
    <row r="45" spans="2:9" s="250" customFormat="1" ht="15" customHeight="1" x14ac:dyDescent="0.25">
      <c r="B45" s="486" t="s">
        <v>636</v>
      </c>
      <c r="C45" s="487"/>
      <c r="D45" s="487"/>
      <c r="E45" s="487"/>
      <c r="F45" s="487"/>
      <c r="G45" s="487"/>
      <c r="H45" s="488"/>
      <c r="I45" s="246">
        <f>I31+I37+I43</f>
        <v>48.95</v>
      </c>
    </row>
  </sheetData>
  <mergeCells count="51">
    <mergeCell ref="B43:H43"/>
    <mergeCell ref="B45:H45"/>
    <mergeCell ref="B39:B40"/>
    <mergeCell ref="C39:C40"/>
    <mergeCell ref="D39:D40"/>
    <mergeCell ref="E39:F40"/>
    <mergeCell ref="G39:H40"/>
    <mergeCell ref="E41:F41"/>
    <mergeCell ref="G41:H41"/>
    <mergeCell ref="E42:F42"/>
    <mergeCell ref="G42:H42"/>
    <mergeCell ref="I39:I40"/>
    <mergeCell ref="I33:I34"/>
    <mergeCell ref="E35:F35"/>
    <mergeCell ref="G35:H35"/>
    <mergeCell ref="E36:F36"/>
    <mergeCell ref="G36:H36"/>
    <mergeCell ref="B37:H37"/>
    <mergeCell ref="B31:H31"/>
    <mergeCell ref="B33:B34"/>
    <mergeCell ref="C33:C34"/>
    <mergeCell ref="D33:D34"/>
    <mergeCell ref="E33:F34"/>
    <mergeCell ref="G33:H34"/>
    <mergeCell ref="I23:I24"/>
    <mergeCell ref="E25:F25"/>
    <mergeCell ref="G25:H25"/>
    <mergeCell ref="E26:F26"/>
    <mergeCell ref="G26:H26"/>
    <mergeCell ref="B29:H29"/>
    <mergeCell ref="B27:H27"/>
    <mergeCell ref="B21:H21"/>
    <mergeCell ref="B23:B24"/>
    <mergeCell ref="C23:C24"/>
    <mergeCell ref="D23:D24"/>
    <mergeCell ref="E23:F24"/>
    <mergeCell ref="G23:H24"/>
    <mergeCell ref="C11:F11"/>
    <mergeCell ref="H11:I11"/>
    <mergeCell ref="B13:B14"/>
    <mergeCell ref="C13:C14"/>
    <mergeCell ref="D13:E13"/>
    <mergeCell ref="F13:F14"/>
    <mergeCell ref="G13:H13"/>
    <mergeCell ref="I13:I14"/>
    <mergeCell ref="C10:F10"/>
    <mergeCell ref="H10:I10"/>
    <mergeCell ref="G2:I2"/>
    <mergeCell ref="B8:I8"/>
    <mergeCell ref="G3:I5"/>
    <mergeCell ref="G6:I6"/>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6"/>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27.95" customHeight="1" x14ac:dyDescent="0.25">
      <c r="B11" s="266" t="s">
        <v>669</v>
      </c>
      <c r="C11" s="483" t="s">
        <v>832</v>
      </c>
      <c r="D11" s="484"/>
      <c r="E11" s="484"/>
      <c r="F11" s="485"/>
      <c r="G11" s="79" t="s">
        <v>14</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105"/>
      <c r="H15" s="219"/>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c r="C21" s="103"/>
      <c r="D21" s="249"/>
      <c r="E21" s="493"/>
      <c r="F21" s="493"/>
      <c r="G21" s="493"/>
      <c r="H21" s="493"/>
      <c r="I21" s="219"/>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0</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0</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0</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27.95" customHeight="1" x14ac:dyDescent="0.25">
      <c r="B31" s="67">
        <v>94964</v>
      </c>
      <c r="C31" s="69" t="s">
        <v>820</v>
      </c>
      <c r="D31" s="70" t="s">
        <v>13</v>
      </c>
      <c r="E31" s="509">
        <v>491.72</v>
      </c>
      <c r="F31" s="509"/>
      <c r="G31" s="495" t="s">
        <v>824</v>
      </c>
      <c r="H31" s="495"/>
      <c r="I31" s="334">
        <f t="shared" ref="I31:I36" si="0">TRUNC((E31*G31),2)</f>
        <v>30.24</v>
      </c>
    </row>
    <row r="32" spans="2:9" s="250" customFormat="1" ht="14.1" customHeight="1" x14ac:dyDescent="0.25">
      <c r="B32" s="67">
        <v>93358</v>
      </c>
      <c r="C32" s="69" t="s">
        <v>821</v>
      </c>
      <c r="D32" s="70" t="s">
        <v>16</v>
      </c>
      <c r="E32" s="509">
        <v>90.03</v>
      </c>
      <c r="F32" s="509"/>
      <c r="G32" s="495" t="s">
        <v>825</v>
      </c>
      <c r="H32" s="495"/>
      <c r="I32" s="221">
        <f t="shared" si="0"/>
        <v>4.1500000000000004</v>
      </c>
    </row>
    <row r="33" spans="2:9" s="250" customFormat="1" ht="27.95" customHeight="1" x14ac:dyDescent="0.25">
      <c r="B33" s="67">
        <v>96536</v>
      </c>
      <c r="C33" s="69" t="s">
        <v>822</v>
      </c>
      <c r="D33" s="70" t="s">
        <v>13</v>
      </c>
      <c r="E33" s="509">
        <v>63.35</v>
      </c>
      <c r="F33" s="509"/>
      <c r="G33" s="495" t="s">
        <v>826</v>
      </c>
      <c r="H33" s="495"/>
      <c r="I33" s="334">
        <f t="shared" si="0"/>
        <v>3.26</v>
      </c>
    </row>
    <row r="34" spans="2:9" s="250" customFormat="1" ht="27.95" customHeight="1" x14ac:dyDescent="0.25">
      <c r="B34" s="67">
        <v>103670</v>
      </c>
      <c r="C34" s="69" t="s">
        <v>307</v>
      </c>
      <c r="D34" s="70" t="s">
        <v>13</v>
      </c>
      <c r="E34" s="509">
        <v>308.54000000000002</v>
      </c>
      <c r="F34" s="509"/>
      <c r="G34" s="495" t="s">
        <v>824</v>
      </c>
      <c r="H34" s="495"/>
      <c r="I34" s="334">
        <f t="shared" si="0"/>
        <v>18.97</v>
      </c>
    </row>
    <row r="35" spans="2:9" s="250" customFormat="1" ht="14.1" customHeight="1" x14ac:dyDescent="0.25">
      <c r="B35" s="67">
        <v>102498</v>
      </c>
      <c r="C35" s="69" t="s">
        <v>823</v>
      </c>
      <c r="D35" s="70" t="s">
        <v>16</v>
      </c>
      <c r="E35" s="509">
        <v>1.69</v>
      </c>
      <c r="F35" s="509"/>
      <c r="G35" s="495" t="s">
        <v>827</v>
      </c>
      <c r="H35" s="495"/>
      <c r="I35" s="221">
        <f t="shared" si="0"/>
        <v>0.42</v>
      </c>
    </row>
    <row r="36" spans="2:9" s="250" customFormat="1" ht="27.95" customHeight="1" x14ac:dyDescent="0.25">
      <c r="B36" s="274" t="str">
        <f>'EEA-PR-01 - Comp. Recorte'!$B$11</f>
        <v>EEA-PR-01</v>
      </c>
      <c r="C36" s="69" t="str">
        <f>'EEA-PR-01 - Comp. Recorte'!$C$11</f>
        <v>Recorte mecânico de pavimento asfáltico ou piso de concreto, com serra de disco diamantado para piso / asfalto</v>
      </c>
      <c r="D36" s="70" t="str">
        <f>'EEA-PR-01 - Comp. Recorte'!$G$11</f>
        <v>m</v>
      </c>
      <c r="E36" s="509">
        <f>'EEA-PR-01 - Comp. Recorte'!$I$41</f>
        <v>3.21</v>
      </c>
      <c r="F36" s="509"/>
      <c r="G36" s="495">
        <v>1</v>
      </c>
      <c r="H36" s="495"/>
      <c r="I36" s="221">
        <f t="shared" si="0"/>
        <v>3.21</v>
      </c>
    </row>
    <row r="37" spans="2:9" s="250" customFormat="1" ht="14.1" customHeight="1" x14ac:dyDescent="0.25">
      <c r="B37" s="268"/>
      <c r="C37" s="269"/>
      <c r="D37" s="97"/>
      <c r="E37" s="494"/>
      <c r="F37" s="494"/>
      <c r="G37" s="494"/>
      <c r="H37" s="494"/>
      <c r="I37" s="220"/>
    </row>
    <row r="38" spans="2:9" s="250" customFormat="1" ht="15" customHeight="1" x14ac:dyDescent="0.25">
      <c r="B38" s="486" t="s">
        <v>634</v>
      </c>
      <c r="C38" s="487"/>
      <c r="D38" s="487"/>
      <c r="E38" s="487"/>
      <c r="F38" s="487"/>
      <c r="G38" s="487"/>
      <c r="H38" s="488"/>
      <c r="I38" s="246">
        <f>SUM(I31:I37)</f>
        <v>60.25</v>
      </c>
    </row>
    <row r="39" spans="2:9" ht="5.0999999999999996" customHeight="1" x14ac:dyDescent="0.25">
      <c r="B39" s="273"/>
      <c r="C39" s="273"/>
      <c r="D39" s="273"/>
      <c r="E39" s="273"/>
      <c r="F39" s="273"/>
      <c r="G39" s="273"/>
      <c r="H39" s="273"/>
      <c r="I39" s="273"/>
    </row>
    <row r="40" spans="2:9" ht="14.1" customHeight="1" x14ac:dyDescent="0.25">
      <c r="B40" s="450" t="s">
        <v>8</v>
      </c>
      <c r="C40" s="442" t="s">
        <v>52</v>
      </c>
      <c r="D40" s="450" t="s">
        <v>2</v>
      </c>
      <c r="E40" s="489" t="s">
        <v>624</v>
      </c>
      <c r="F40" s="490"/>
      <c r="G40" s="489" t="s">
        <v>617</v>
      </c>
      <c r="H40" s="490"/>
      <c r="I40" s="450" t="s">
        <v>625</v>
      </c>
    </row>
    <row r="41" spans="2:9" ht="14.1" customHeight="1" x14ac:dyDescent="0.25">
      <c r="B41" s="450"/>
      <c r="C41" s="442"/>
      <c r="D41" s="450"/>
      <c r="E41" s="491"/>
      <c r="F41" s="492"/>
      <c r="G41" s="491"/>
      <c r="H41" s="492"/>
      <c r="I41" s="450"/>
    </row>
    <row r="42" spans="2:9" s="250" customFormat="1" ht="14.1" customHeight="1" x14ac:dyDescent="0.25">
      <c r="B42" s="267"/>
      <c r="C42" s="103"/>
      <c r="D42" s="249"/>
      <c r="E42" s="493"/>
      <c r="F42" s="493"/>
      <c r="G42" s="493"/>
      <c r="H42" s="493"/>
      <c r="I42" s="219"/>
    </row>
    <row r="43" spans="2:9" s="250" customFormat="1" ht="14.1" customHeight="1" x14ac:dyDescent="0.25">
      <c r="B43" s="268"/>
      <c r="C43" s="269"/>
      <c r="D43" s="97"/>
      <c r="E43" s="494"/>
      <c r="F43" s="494"/>
      <c r="G43" s="494"/>
      <c r="H43" s="494"/>
      <c r="I43" s="220"/>
    </row>
    <row r="44" spans="2:9" s="250" customFormat="1" ht="15" customHeight="1" x14ac:dyDescent="0.25">
      <c r="B44" s="486" t="s">
        <v>635</v>
      </c>
      <c r="C44" s="487"/>
      <c r="D44" s="487"/>
      <c r="E44" s="487"/>
      <c r="F44" s="487"/>
      <c r="G44" s="487"/>
      <c r="H44" s="488"/>
      <c r="I44" s="246">
        <f>SUM(I42:I43)</f>
        <v>0</v>
      </c>
    </row>
    <row r="45" spans="2:9" ht="5.0999999999999996" customHeight="1" x14ac:dyDescent="0.25">
      <c r="B45" s="273"/>
      <c r="C45" s="273"/>
      <c r="D45" s="273"/>
      <c r="E45" s="273"/>
      <c r="F45" s="273"/>
      <c r="G45" s="273"/>
      <c r="H45" s="273"/>
      <c r="I45" s="273"/>
    </row>
    <row r="46" spans="2:9" s="250" customFormat="1" ht="15" customHeight="1" x14ac:dyDescent="0.25">
      <c r="B46" s="486" t="s">
        <v>636</v>
      </c>
      <c r="C46" s="487"/>
      <c r="D46" s="487"/>
      <c r="E46" s="487"/>
      <c r="F46" s="487"/>
      <c r="G46" s="487"/>
      <c r="H46" s="488"/>
      <c r="I46" s="246">
        <f>I27+I38+I44</f>
        <v>60.25</v>
      </c>
    </row>
  </sheetData>
  <mergeCells count="61">
    <mergeCell ref="B46:H46"/>
    <mergeCell ref="I40:I41"/>
    <mergeCell ref="E42:F42"/>
    <mergeCell ref="G42:H42"/>
    <mergeCell ref="E43:F43"/>
    <mergeCell ref="G43:H43"/>
    <mergeCell ref="B44:H44"/>
    <mergeCell ref="B40:B41"/>
    <mergeCell ref="C40:C41"/>
    <mergeCell ref="D40:D41"/>
    <mergeCell ref="E40:F41"/>
    <mergeCell ref="G40:H41"/>
    <mergeCell ref="E36:F36"/>
    <mergeCell ref="G36:H36"/>
    <mergeCell ref="E37:F37"/>
    <mergeCell ref="G37:H37"/>
    <mergeCell ref="B38:H38"/>
    <mergeCell ref="E32:F32"/>
    <mergeCell ref="G32:H32"/>
    <mergeCell ref="E34:F34"/>
    <mergeCell ref="G34:H34"/>
    <mergeCell ref="E35:F35"/>
    <mergeCell ref="G35:H35"/>
    <mergeCell ref="E33:F33"/>
    <mergeCell ref="G33:H33"/>
    <mergeCell ref="E31:F31"/>
    <mergeCell ref="G31:H31"/>
    <mergeCell ref="I19:I20"/>
    <mergeCell ref="E21:F21"/>
    <mergeCell ref="G21:H21"/>
    <mergeCell ref="E22:F22"/>
    <mergeCell ref="G22:H22"/>
    <mergeCell ref="B25:H25"/>
    <mergeCell ref="B27:H27"/>
    <mergeCell ref="B29:B30"/>
    <mergeCell ref="B23:H23"/>
    <mergeCell ref="C29:C30"/>
    <mergeCell ref="D29:D30"/>
    <mergeCell ref="E29:F30"/>
    <mergeCell ref="G29:H30"/>
    <mergeCell ref="I29:I30"/>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671</v>
      </c>
      <c r="C11" s="483" t="s">
        <v>670</v>
      </c>
      <c r="D11" s="484"/>
      <c r="E11" s="484"/>
      <c r="F11" s="485"/>
      <c r="G11" s="79" t="s">
        <v>14</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105"/>
      <c r="H15" s="219"/>
      <c r="I15" s="219"/>
    </row>
    <row r="16" spans="2:15" s="250" customFormat="1" ht="14.1" customHeight="1" x14ac:dyDescent="0.25">
      <c r="B16" s="268"/>
      <c r="C16" s="269"/>
      <c r="D16" s="220"/>
      <c r="E16" s="220"/>
      <c r="F16" s="220"/>
      <c r="G16" s="220"/>
      <c r="H16" s="220"/>
      <c r="I16" s="220"/>
    </row>
    <row r="17" spans="2:12" s="250" customFormat="1" ht="15" customHeight="1" x14ac:dyDescent="0.25">
      <c r="B17" s="486" t="s">
        <v>614</v>
      </c>
      <c r="C17" s="487"/>
      <c r="D17" s="487"/>
      <c r="E17" s="487"/>
      <c r="F17" s="487"/>
      <c r="G17" s="487"/>
      <c r="H17" s="488"/>
      <c r="I17" s="246">
        <f>SUM(I15:I16)</f>
        <v>0</v>
      </c>
    </row>
    <row r="18" spans="2:12" s="250" customFormat="1" ht="5.0999999999999996" customHeight="1" x14ac:dyDescent="0.25">
      <c r="B18" s="8"/>
      <c r="C18" s="8"/>
      <c r="D18" s="8"/>
      <c r="E18" s="8"/>
      <c r="F18" s="8"/>
      <c r="G18" s="8"/>
      <c r="H18" s="8"/>
      <c r="I18" s="8"/>
    </row>
    <row r="19" spans="2:12" ht="14.1" customHeight="1" x14ac:dyDescent="0.25">
      <c r="B19" s="450" t="s">
        <v>8</v>
      </c>
      <c r="C19" s="442" t="s">
        <v>615</v>
      </c>
      <c r="D19" s="450" t="s">
        <v>604</v>
      </c>
      <c r="E19" s="489" t="s">
        <v>616</v>
      </c>
      <c r="F19" s="490"/>
      <c r="G19" s="489" t="s">
        <v>617</v>
      </c>
      <c r="H19" s="490"/>
      <c r="I19" s="450" t="s">
        <v>611</v>
      </c>
    </row>
    <row r="20" spans="2:12" ht="14.1" customHeight="1" x14ac:dyDescent="0.25">
      <c r="B20" s="450"/>
      <c r="C20" s="442"/>
      <c r="D20" s="450"/>
      <c r="E20" s="491"/>
      <c r="F20" s="492"/>
      <c r="G20" s="491"/>
      <c r="H20" s="492"/>
      <c r="I20" s="450"/>
    </row>
    <row r="21" spans="2:12" s="8" customFormat="1" ht="14.1" customHeight="1" x14ac:dyDescent="0.25">
      <c r="B21" s="267">
        <v>88316</v>
      </c>
      <c r="C21" s="350" t="s">
        <v>619</v>
      </c>
      <c r="D21" s="249" t="s">
        <v>51</v>
      </c>
      <c r="E21" s="493">
        <v>22.76</v>
      </c>
      <c r="F21" s="493"/>
      <c r="G21" s="493">
        <v>0.25</v>
      </c>
      <c r="H21" s="493"/>
      <c r="I21" s="332">
        <f>TRUNC((E21*G21),2)</f>
        <v>5.69</v>
      </c>
      <c r="K21" s="349"/>
    </row>
    <row r="22" spans="2:12" s="250" customFormat="1" ht="14.1" customHeight="1" x14ac:dyDescent="0.25">
      <c r="B22" s="268"/>
      <c r="C22" s="269"/>
      <c r="D22" s="97"/>
      <c r="E22" s="494"/>
      <c r="F22" s="494"/>
      <c r="G22" s="494"/>
      <c r="H22" s="494"/>
      <c r="I22" s="220"/>
      <c r="K22" s="348"/>
      <c r="L22" s="8"/>
    </row>
    <row r="23" spans="2:12" s="250" customFormat="1" ht="15" customHeight="1" x14ac:dyDescent="0.25">
      <c r="B23" s="486" t="s">
        <v>620</v>
      </c>
      <c r="C23" s="487"/>
      <c r="D23" s="487"/>
      <c r="E23" s="487"/>
      <c r="F23" s="487"/>
      <c r="G23" s="487"/>
      <c r="H23" s="488"/>
      <c r="I23" s="246">
        <f>SUM(I21:I22)</f>
        <v>5.69</v>
      </c>
      <c r="K23" s="348"/>
      <c r="L23" s="8"/>
    </row>
    <row r="24" spans="2:12" s="250" customFormat="1" ht="5.0999999999999996" customHeight="1" x14ac:dyDescent="0.25">
      <c r="B24" s="9"/>
      <c r="C24" s="8"/>
      <c r="D24" s="8"/>
      <c r="E24" s="8"/>
      <c r="F24" s="8"/>
      <c r="G24" s="8"/>
      <c r="H24" s="8"/>
      <c r="I24" s="8"/>
      <c r="K24" s="348"/>
      <c r="L24" s="8"/>
    </row>
    <row r="25" spans="2:12" s="250" customFormat="1" ht="15" customHeight="1" x14ac:dyDescent="0.25">
      <c r="B25" s="486" t="s">
        <v>621</v>
      </c>
      <c r="C25" s="487"/>
      <c r="D25" s="487"/>
      <c r="E25" s="487"/>
      <c r="F25" s="487"/>
      <c r="G25" s="487"/>
      <c r="H25" s="488"/>
      <c r="I25" s="246">
        <f>I17+I23</f>
        <v>5.69</v>
      </c>
      <c r="K25" s="348"/>
      <c r="L25" s="8"/>
    </row>
    <row r="26" spans="2:12" ht="5.0999999999999996" customHeight="1" x14ac:dyDescent="0.25">
      <c r="B26" s="273"/>
      <c r="C26" s="273"/>
      <c r="D26" s="273"/>
      <c r="E26" s="273"/>
      <c r="F26" s="273"/>
      <c r="G26" s="273"/>
      <c r="H26" s="273"/>
      <c r="I26" s="273"/>
      <c r="K26" s="345"/>
      <c r="L26" s="8"/>
    </row>
    <row r="27" spans="2:12" s="250" customFormat="1" ht="15" customHeight="1" x14ac:dyDescent="0.25">
      <c r="B27" s="486" t="s">
        <v>622</v>
      </c>
      <c r="C27" s="487"/>
      <c r="D27" s="487"/>
      <c r="E27" s="487"/>
      <c r="F27" s="487"/>
      <c r="G27" s="487"/>
      <c r="H27" s="488"/>
      <c r="I27" s="246">
        <f>ROUND((I25/H11),2)</f>
        <v>5.69</v>
      </c>
      <c r="K27" s="348"/>
      <c r="L27" s="8"/>
    </row>
    <row r="28" spans="2:12" ht="5.0999999999999996" customHeight="1" x14ac:dyDescent="0.25">
      <c r="B28" s="273"/>
      <c r="C28" s="273"/>
      <c r="D28" s="273"/>
      <c r="E28" s="273"/>
      <c r="F28" s="273"/>
      <c r="G28" s="273"/>
      <c r="H28" s="273"/>
      <c r="I28" s="273"/>
      <c r="K28" s="345"/>
      <c r="L28" s="8"/>
    </row>
    <row r="29" spans="2:12" ht="14.1" customHeight="1" x14ac:dyDescent="0.25">
      <c r="B29" s="448" t="s">
        <v>8</v>
      </c>
      <c r="C29" s="499" t="s">
        <v>623</v>
      </c>
      <c r="D29" s="448" t="s">
        <v>604</v>
      </c>
      <c r="E29" s="489" t="s">
        <v>624</v>
      </c>
      <c r="F29" s="490"/>
      <c r="G29" s="489" t="s">
        <v>617</v>
      </c>
      <c r="H29" s="490"/>
      <c r="I29" s="448" t="s">
        <v>625</v>
      </c>
      <c r="K29" s="345"/>
      <c r="L29" s="8"/>
    </row>
    <row r="30" spans="2:12" ht="14.1" customHeight="1" x14ac:dyDescent="0.25">
      <c r="B30" s="449"/>
      <c r="C30" s="500"/>
      <c r="D30" s="449"/>
      <c r="E30" s="491"/>
      <c r="F30" s="492"/>
      <c r="G30" s="491"/>
      <c r="H30" s="492"/>
      <c r="I30" s="449"/>
      <c r="K30" s="345"/>
      <c r="L30" s="8"/>
    </row>
    <row r="31" spans="2:12" s="250" customFormat="1" ht="27.95" customHeight="1" x14ac:dyDescent="0.25">
      <c r="B31" s="267">
        <v>94964</v>
      </c>
      <c r="C31" s="103" t="s">
        <v>814</v>
      </c>
      <c r="D31" s="344" t="s">
        <v>16</v>
      </c>
      <c r="E31" s="517">
        <v>491.72</v>
      </c>
      <c r="F31" s="517"/>
      <c r="G31" s="493">
        <v>3.3000000000000002E-2</v>
      </c>
      <c r="H31" s="493"/>
      <c r="I31" s="219">
        <f>TRUNC((E31*G31),2)</f>
        <v>16.22</v>
      </c>
      <c r="K31" s="348"/>
      <c r="L31" s="8"/>
    </row>
    <row r="32" spans="2:12" s="250" customFormat="1" ht="14.1" customHeight="1" x14ac:dyDescent="0.25">
      <c r="B32" s="67">
        <v>93358</v>
      </c>
      <c r="C32" s="69" t="s">
        <v>821</v>
      </c>
      <c r="D32" s="70" t="s">
        <v>16</v>
      </c>
      <c r="E32" s="509">
        <v>90.03</v>
      </c>
      <c r="F32" s="509"/>
      <c r="G32" s="496">
        <v>3.3000000000000002E-2</v>
      </c>
      <c r="H32" s="496"/>
      <c r="I32" s="221">
        <f>TRUNC((E32*G32),2)</f>
        <v>2.97</v>
      </c>
      <c r="K32" s="348"/>
      <c r="L32" s="8"/>
    </row>
    <row r="33" spans="2:12" s="250" customFormat="1" ht="27.95" customHeight="1" x14ac:dyDescent="0.25">
      <c r="B33" s="67">
        <v>103670</v>
      </c>
      <c r="C33" s="69" t="s">
        <v>828</v>
      </c>
      <c r="D33" s="70" t="s">
        <v>16</v>
      </c>
      <c r="E33" s="509">
        <v>308.54000000000002</v>
      </c>
      <c r="F33" s="509"/>
      <c r="G33" s="496">
        <v>3.3000000000000002E-2</v>
      </c>
      <c r="H33" s="496"/>
      <c r="I33" s="221">
        <f>TRUNC((E33*G33),2)</f>
        <v>10.18</v>
      </c>
      <c r="K33" s="348"/>
      <c r="L33" s="8"/>
    </row>
    <row r="34" spans="2:12" s="250" customFormat="1" ht="14.1" customHeight="1" x14ac:dyDescent="0.25">
      <c r="B34" s="268"/>
      <c r="C34" s="269"/>
      <c r="D34" s="97"/>
      <c r="E34" s="509"/>
      <c r="F34" s="509"/>
      <c r="G34" s="494"/>
      <c r="H34" s="494"/>
      <c r="I34" s="220"/>
    </row>
    <row r="35" spans="2:12" s="250" customFormat="1" ht="15" customHeight="1" x14ac:dyDescent="0.25">
      <c r="B35" s="486" t="s">
        <v>634</v>
      </c>
      <c r="C35" s="487"/>
      <c r="D35" s="487"/>
      <c r="E35" s="487"/>
      <c r="F35" s="487"/>
      <c r="G35" s="487"/>
      <c r="H35" s="488"/>
      <c r="I35" s="246">
        <f>SUM(I31:I34)</f>
        <v>29.369999999999997</v>
      </c>
    </row>
    <row r="36" spans="2:12" ht="5.0999999999999996" customHeight="1" x14ac:dyDescent="0.25">
      <c r="B36" s="273"/>
      <c r="C36" s="273"/>
      <c r="D36" s="273"/>
      <c r="E36" s="273"/>
      <c r="F36" s="273"/>
      <c r="G36" s="273"/>
      <c r="H36" s="273"/>
      <c r="I36" s="273"/>
    </row>
    <row r="37" spans="2:12" ht="14.1" customHeight="1" x14ac:dyDescent="0.25">
      <c r="B37" s="450" t="s">
        <v>8</v>
      </c>
      <c r="C37" s="442" t="s">
        <v>52</v>
      </c>
      <c r="D37" s="450" t="s">
        <v>2</v>
      </c>
      <c r="E37" s="489" t="s">
        <v>624</v>
      </c>
      <c r="F37" s="490"/>
      <c r="G37" s="489" t="s">
        <v>617</v>
      </c>
      <c r="H37" s="490"/>
      <c r="I37" s="450" t="s">
        <v>625</v>
      </c>
    </row>
    <row r="38" spans="2:12" ht="14.1" customHeight="1" x14ac:dyDescent="0.25">
      <c r="B38" s="450"/>
      <c r="C38" s="442"/>
      <c r="D38" s="450"/>
      <c r="E38" s="491"/>
      <c r="F38" s="492"/>
      <c r="G38" s="491"/>
      <c r="H38" s="492"/>
      <c r="I38" s="450"/>
    </row>
    <row r="39" spans="2:12" s="250" customFormat="1" ht="14.1" customHeight="1" x14ac:dyDescent="0.25">
      <c r="B39" s="267"/>
      <c r="C39" s="103"/>
      <c r="D39" s="249"/>
      <c r="E39" s="493"/>
      <c r="F39" s="493"/>
      <c r="G39" s="493"/>
      <c r="H39" s="493"/>
      <c r="I39" s="219"/>
    </row>
    <row r="40" spans="2:12" s="250" customFormat="1" ht="14.1" customHeight="1" x14ac:dyDescent="0.25">
      <c r="B40" s="268"/>
      <c r="C40" s="269"/>
      <c r="D40" s="97"/>
      <c r="E40" s="494"/>
      <c r="F40" s="494"/>
      <c r="G40" s="494"/>
      <c r="H40" s="494"/>
      <c r="I40" s="220"/>
    </row>
    <row r="41" spans="2:12" s="250" customFormat="1" ht="15" customHeight="1" x14ac:dyDescent="0.25">
      <c r="B41" s="486" t="s">
        <v>635</v>
      </c>
      <c r="C41" s="487"/>
      <c r="D41" s="487"/>
      <c r="E41" s="487"/>
      <c r="F41" s="487"/>
      <c r="G41" s="487"/>
      <c r="H41" s="488"/>
      <c r="I41" s="246">
        <f>SUM(I39:I40)</f>
        <v>0</v>
      </c>
    </row>
    <row r="42" spans="2:12" ht="5.0999999999999996" customHeight="1" x14ac:dyDescent="0.25">
      <c r="B42" s="273"/>
      <c r="C42" s="273"/>
      <c r="D42" s="273"/>
      <c r="E42" s="273"/>
      <c r="F42" s="273"/>
      <c r="G42" s="273"/>
      <c r="H42" s="273"/>
      <c r="I42" s="273"/>
    </row>
    <row r="43" spans="2:12" s="250" customFormat="1" ht="15" customHeight="1" x14ac:dyDescent="0.25">
      <c r="B43" s="486" t="s">
        <v>636</v>
      </c>
      <c r="C43" s="487"/>
      <c r="D43" s="487"/>
      <c r="E43" s="487"/>
      <c r="F43" s="487"/>
      <c r="G43" s="487"/>
      <c r="H43" s="488"/>
      <c r="I43" s="246">
        <f>I27+I35+I41</f>
        <v>35.059999999999995</v>
      </c>
    </row>
  </sheetData>
  <mergeCells count="55">
    <mergeCell ref="B41:H41"/>
    <mergeCell ref="B43:H43"/>
    <mergeCell ref="B37:B38"/>
    <mergeCell ref="C37:C38"/>
    <mergeCell ref="D37:D38"/>
    <mergeCell ref="E37:F38"/>
    <mergeCell ref="G37:H38"/>
    <mergeCell ref="E39:F39"/>
    <mergeCell ref="G39:H39"/>
    <mergeCell ref="E40:F40"/>
    <mergeCell ref="G40:H40"/>
    <mergeCell ref="I37:I38"/>
    <mergeCell ref="I29:I30"/>
    <mergeCell ref="E31:F31"/>
    <mergeCell ref="G31:H31"/>
    <mergeCell ref="E34:F34"/>
    <mergeCell ref="G34:H34"/>
    <mergeCell ref="B35:H35"/>
    <mergeCell ref="E32:F32"/>
    <mergeCell ref="G32:H32"/>
    <mergeCell ref="E33:F33"/>
    <mergeCell ref="G33:H33"/>
    <mergeCell ref="B27:H27"/>
    <mergeCell ref="B29:B30"/>
    <mergeCell ref="C29:C30"/>
    <mergeCell ref="D29:D30"/>
    <mergeCell ref="E29:F30"/>
    <mergeCell ref="G29:H30"/>
    <mergeCell ref="I19:I20"/>
    <mergeCell ref="E21:F21"/>
    <mergeCell ref="G21:H21"/>
    <mergeCell ref="E22:F22"/>
    <mergeCell ref="G22:H22"/>
    <mergeCell ref="B25:H25"/>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honeticPr fontId="34" type="noConversion"/>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1"/>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675</v>
      </c>
      <c r="C11" s="483" t="s">
        <v>47</v>
      </c>
      <c r="D11" s="484"/>
      <c r="E11" s="484"/>
      <c r="F11" s="485"/>
      <c r="G11" s="79"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379"/>
      <c r="E15" s="379"/>
      <c r="F15" s="379"/>
      <c r="G15" s="381"/>
      <c r="H15" s="379"/>
      <c r="I15" s="379"/>
    </row>
    <row r="16" spans="2:15" s="250" customFormat="1" ht="14.1" customHeight="1" x14ac:dyDescent="0.25">
      <c r="B16" s="268"/>
      <c r="C16" s="269"/>
      <c r="D16" s="380"/>
      <c r="E16" s="380"/>
      <c r="F16" s="380"/>
      <c r="G16" s="380"/>
      <c r="H16" s="380"/>
      <c r="I16" s="380"/>
    </row>
    <row r="17" spans="2:9" s="250" customFormat="1" ht="15" customHeight="1" x14ac:dyDescent="0.25">
      <c r="B17" s="486" t="s">
        <v>614</v>
      </c>
      <c r="C17" s="487"/>
      <c r="D17" s="487"/>
      <c r="E17" s="487"/>
      <c r="F17" s="487"/>
      <c r="G17" s="487"/>
      <c r="H17" s="488"/>
      <c r="I17" s="378">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88316</v>
      </c>
      <c r="C21" s="103" t="s">
        <v>619</v>
      </c>
      <c r="D21" s="249" t="s">
        <v>51</v>
      </c>
      <c r="E21" s="493">
        <v>22.76</v>
      </c>
      <c r="F21" s="493"/>
      <c r="G21" s="493">
        <v>0.4</v>
      </c>
      <c r="H21" s="493"/>
      <c r="I21" s="219">
        <f>TRUNC((E21*G21),2)</f>
        <v>9.1</v>
      </c>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9.1</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9.1</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9.1</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14.1" customHeight="1" x14ac:dyDescent="0.25">
      <c r="B31" s="267"/>
      <c r="C31" s="103"/>
      <c r="D31" s="249"/>
      <c r="E31" s="493"/>
      <c r="F31" s="493"/>
      <c r="G31" s="493"/>
      <c r="H31" s="493"/>
      <c r="I31" s="219"/>
    </row>
    <row r="32" spans="2:9" s="250" customFormat="1" ht="14.1" customHeight="1" x14ac:dyDescent="0.25">
      <c r="B32" s="268"/>
      <c r="C32" s="269"/>
      <c r="D32" s="97"/>
      <c r="E32" s="494"/>
      <c r="F32" s="494"/>
      <c r="G32" s="494"/>
      <c r="H32" s="494"/>
      <c r="I32" s="220"/>
    </row>
    <row r="33" spans="2:9" s="250" customFormat="1" ht="15" customHeight="1" x14ac:dyDescent="0.25">
      <c r="B33" s="486" t="s">
        <v>634</v>
      </c>
      <c r="C33" s="487"/>
      <c r="D33" s="487"/>
      <c r="E33" s="487"/>
      <c r="F33" s="487"/>
      <c r="G33" s="487"/>
      <c r="H33" s="488"/>
      <c r="I33" s="246">
        <f>SUM(I31:I32)</f>
        <v>0</v>
      </c>
    </row>
    <row r="34" spans="2:9" ht="5.0999999999999996" customHeight="1" x14ac:dyDescent="0.25">
      <c r="B34" s="273"/>
      <c r="C34" s="273"/>
      <c r="D34" s="273"/>
      <c r="E34" s="273"/>
      <c r="F34" s="273"/>
      <c r="G34" s="273"/>
      <c r="H34" s="273"/>
      <c r="I34" s="273"/>
    </row>
    <row r="35" spans="2:9" ht="14.1" customHeight="1" x14ac:dyDescent="0.25">
      <c r="B35" s="450" t="s">
        <v>8</v>
      </c>
      <c r="C35" s="442" t="s">
        <v>52</v>
      </c>
      <c r="D35" s="450" t="s">
        <v>2</v>
      </c>
      <c r="E35" s="489" t="s">
        <v>624</v>
      </c>
      <c r="F35" s="490"/>
      <c r="G35" s="489" t="s">
        <v>617</v>
      </c>
      <c r="H35" s="490"/>
      <c r="I35" s="450" t="s">
        <v>625</v>
      </c>
    </row>
    <row r="36" spans="2:9" ht="14.1" customHeight="1" x14ac:dyDescent="0.25">
      <c r="B36" s="450"/>
      <c r="C36" s="442"/>
      <c r="D36" s="450"/>
      <c r="E36" s="491"/>
      <c r="F36" s="492"/>
      <c r="G36" s="491"/>
      <c r="H36" s="492"/>
      <c r="I36" s="450"/>
    </row>
    <row r="37" spans="2:9" s="250" customFormat="1" ht="14.1" customHeight="1" x14ac:dyDescent="0.25">
      <c r="B37" s="267"/>
      <c r="C37" s="103"/>
      <c r="D37" s="249"/>
      <c r="E37" s="493"/>
      <c r="F37" s="493"/>
      <c r="G37" s="493"/>
      <c r="H37" s="493"/>
      <c r="I37" s="219"/>
    </row>
    <row r="38" spans="2:9" s="250" customFormat="1" ht="14.1" customHeight="1" x14ac:dyDescent="0.25">
      <c r="B38" s="268"/>
      <c r="C38" s="269"/>
      <c r="D38" s="97"/>
      <c r="E38" s="494"/>
      <c r="F38" s="494"/>
      <c r="G38" s="494"/>
      <c r="H38" s="494"/>
      <c r="I38" s="220"/>
    </row>
    <row r="39" spans="2:9" s="250" customFormat="1" ht="15" customHeight="1" x14ac:dyDescent="0.25">
      <c r="B39" s="486" t="s">
        <v>635</v>
      </c>
      <c r="C39" s="487"/>
      <c r="D39" s="487"/>
      <c r="E39" s="487"/>
      <c r="F39" s="487"/>
      <c r="G39" s="487"/>
      <c r="H39" s="488"/>
      <c r="I39" s="246">
        <f>SUM(I37:I38)</f>
        <v>0</v>
      </c>
    </row>
    <row r="40" spans="2:9" ht="5.0999999999999996" customHeight="1" x14ac:dyDescent="0.25">
      <c r="B40" s="273"/>
      <c r="C40" s="273"/>
      <c r="D40" s="273"/>
      <c r="E40" s="273"/>
      <c r="F40" s="273"/>
      <c r="G40" s="273"/>
      <c r="H40" s="273"/>
      <c r="I40" s="273"/>
    </row>
    <row r="41" spans="2:9" s="250" customFormat="1" ht="15" customHeight="1" x14ac:dyDescent="0.25">
      <c r="B41" s="486" t="s">
        <v>636</v>
      </c>
      <c r="C41" s="487"/>
      <c r="D41" s="487"/>
      <c r="E41" s="487"/>
      <c r="F41" s="487"/>
      <c r="G41" s="487"/>
      <c r="H41" s="488"/>
      <c r="I41" s="246">
        <f>I27+I33+I39</f>
        <v>9.1</v>
      </c>
    </row>
  </sheetData>
  <mergeCells count="51">
    <mergeCell ref="E38:F38"/>
    <mergeCell ref="G38:H38"/>
    <mergeCell ref="B41:H41"/>
    <mergeCell ref="I29:I30"/>
    <mergeCell ref="E31:F31"/>
    <mergeCell ref="G31:H31"/>
    <mergeCell ref="E32:F32"/>
    <mergeCell ref="G32:H32"/>
    <mergeCell ref="B33:H33"/>
    <mergeCell ref="B39:H39"/>
    <mergeCell ref="B35:B36"/>
    <mergeCell ref="C35:C36"/>
    <mergeCell ref="D35:D36"/>
    <mergeCell ref="E35:F36"/>
    <mergeCell ref="G35:H36"/>
    <mergeCell ref="I35:I36"/>
    <mergeCell ref="E37:F37"/>
    <mergeCell ref="G37:H37"/>
    <mergeCell ref="B27:H27"/>
    <mergeCell ref="B29:B30"/>
    <mergeCell ref="C29:C30"/>
    <mergeCell ref="D29:D30"/>
    <mergeCell ref="E29:F30"/>
    <mergeCell ref="G29:H30"/>
    <mergeCell ref="I19:I20"/>
    <mergeCell ref="E21:F21"/>
    <mergeCell ref="G21:H21"/>
    <mergeCell ref="E22:F22"/>
    <mergeCell ref="G22:H22"/>
    <mergeCell ref="B25:H25"/>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M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3" ht="5.0999999999999996" customHeight="1" x14ac:dyDescent="0.25"/>
    <row r="2" spans="2:13" s="210" customFormat="1" ht="14.1" customHeight="1" x14ac:dyDescent="0.2">
      <c r="B2" s="100" t="str">
        <f>DADOS!$B$3</f>
        <v>CLIENTE:</v>
      </c>
      <c r="C2" s="81" t="str">
        <f>DADOS!$C$3</f>
        <v>PREFEITURA MUNICIPAL DE JARDIM / MS</v>
      </c>
      <c r="D2" s="264"/>
      <c r="E2" s="264"/>
      <c r="F2" s="264"/>
      <c r="G2" s="476" t="str">
        <f>Orçamento!K2</f>
        <v>BANCOS</v>
      </c>
      <c r="H2" s="402"/>
      <c r="I2" s="477"/>
    </row>
    <row r="3" spans="2:13"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3" s="210" customFormat="1" ht="14.1" customHeight="1" x14ac:dyDescent="0.25">
      <c r="B4" s="83"/>
      <c r="C4" s="82"/>
      <c r="G4" s="478"/>
      <c r="H4" s="479"/>
      <c r="I4" s="480"/>
      <c r="M4"/>
    </row>
    <row r="5" spans="2:13" s="210" customFormat="1" ht="14.1" customHeight="1" x14ac:dyDescent="0.25">
      <c r="B5" s="101" t="str">
        <f>DADOS!$B$7</f>
        <v>OBRA:</v>
      </c>
      <c r="C5" s="82" t="str">
        <f>DADOS!$C$7</f>
        <v>PAVIMENTAÇÃO ASFÁLTICA E DRENAGEM DE ÁGUAS PLUVIAIS</v>
      </c>
      <c r="G5" s="478"/>
      <c r="H5" s="479"/>
      <c r="I5" s="480"/>
      <c r="M5"/>
    </row>
    <row r="6" spans="2:13" s="210" customFormat="1" ht="14.1" customHeight="1" x14ac:dyDescent="0.25">
      <c r="B6" s="84" t="str">
        <f>DADOS!$B$8</f>
        <v>LOCAL:</v>
      </c>
      <c r="C6" s="85" t="str">
        <f>DADOS!$C$8</f>
        <v>JARDIM PREVISUL, JARDIM / MS</v>
      </c>
      <c r="D6" s="265"/>
      <c r="E6" s="265"/>
      <c r="F6" s="265"/>
      <c r="G6" s="481" t="str">
        <f>Orçamento!H3</f>
        <v>SEM DESONERAÇÃO</v>
      </c>
      <c r="H6" s="396"/>
      <c r="I6" s="482"/>
      <c r="M6"/>
    </row>
    <row r="7" spans="2:13" ht="5.0999999999999996" customHeight="1" x14ac:dyDescent="0.25"/>
    <row r="8" spans="2:13" ht="15" customHeight="1" x14ac:dyDescent="0.25">
      <c r="B8" s="397" t="s">
        <v>603</v>
      </c>
      <c r="C8" s="397"/>
      <c r="D8" s="397"/>
      <c r="E8" s="397"/>
      <c r="F8" s="397"/>
      <c r="G8" s="397"/>
      <c r="H8" s="397"/>
      <c r="I8" s="397"/>
    </row>
    <row r="9" spans="2:13" ht="5.0999999999999996" customHeight="1" x14ac:dyDescent="0.25"/>
    <row r="10" spans="2:13" ht="20.100000000000001" customHeight="1" x14ac:dyDescent="0.25">
      <c r="B10" s="244" t="s">
        <v>50</v>
      </c>
      <c r="C10" s="442" t="s">
        <v>1</v>
      </c>
      <c r="D10" s="442"/>
      <c r="E10" s="442"/>
      <c r="F10" s="442"/>
      <c r="G10" s="244" t="s">
        <v>604</v>
      </c>
      <c r="H10" s="442" t="s">
        <v>605</v>
      </c>
      <c r="I10" s="442"/>
    </row>
    <row r="11" spans="2:13" s="250" customFormat="1" ht="14.1" customHeight="1" x14ac:dyDescent="0.25">
      <c r="B11" s="266" t="s">
        <v>829</v>
      </c>
      <c r="C11" s="483" t="s">
        <v>833</v>
      </c>
      <c r="D11" s="484"/>
      <c r="E11" s="484"/>
      <c r="F11" s="485"/>
      <c r="G11" s="79" t="s">
        <v>607</v>
      </c>
      <c r="H11" s="453">
        <v>1</v>
      </c>
      <c r="I11" s="453"/>
    </row>
    <row r="12" spans="2:13" s="250" customFormat="1" ht="5.0999999999999996" customHeight="1" x14ac:dyDescent="0.25">
      <c r="B12" s="8"/>
      <c r="C12" s="8"/>
      <c r="D12" s="8"/>
      <c r="E12" s="8"/>
      <c r="F12" s="8"/>
      <c r="G12" s="8"/>
      <c r="H12" s="8"/>
      <c r="I12" s="8"/>
    </row>
    <row r="13" spans="2:13" ht="14.1" customHeight="1" x14ac:dyDescent="0.25">
      <c r="B13" s="450" t="s">
        <v>8</v>
      </c>
      <c r="C13" s="442" t="s">
        <v>608</v>
      </c>
      <c r="D13" s="442" t="s">
        <v>609</v>
      </c>
      <c r="E13" s="442"/>
      <c r="F13" s="450" t="s">
        <v>4</v>
      </c>
      <c r="G13" s="442" t="s">
        <v>610</v>
      </c>
      <c r="H13" s="442"/>
      <c r="I13" s="450" t="s">
        <v>611</v>
      </c>
    </row>
    <row r="14" spans="2:13" ht="14.1" customHeight="1" x14ac:dyDescent="0.25">
      <c r="B14" s="450"/>
      <c r="C14" s="442"/>
      <c r="D14" s="244" t="s">
        <v>612</v>
      </c>
      <c r="E14" s="244" t="s">
        <v>613</v>
      </c>
      <c r="F14" s="450"/>
      <c r="G14" s="244" t="s">
        <v>612</v>
      </c>
      <c r="H14" s="244" t="s">
        <v>613</v>
      </c>
      <c r="I14" s="450"/>
    </row>
    <row r="15" spans="2:13" s="250" customFormat="1" ht="14.1" customHeight="1" x14ac:dyDescent="0.25">
      <c r="B15" s="267"/>
      <c r="C15" s="103"/>
      <c r="D15" s="379"/>
      <c r="E15" s="379"/>
      <c r="F15" s="379"/>
      <c r="G15" s="381"/>
      <c r="H15" s="379"/>
      <c r="I15" s="379"/>
    </row>
    <row r="16" spans="2:13" s="250" customFormat="1" ht="14.1" customHeight="1" x14ac:dyDescent="0.25">
      <c r="B16" s="268"/>
      <c r="C16" s="269"/>
      <c r="D16" s="380"/>
      <c r="E16" s="380"/>
      <c r="F16" s="380"/>
      <c r="G16" s="380"/>
      <c r="H16" s="380"/>
      <c r="I16" s="380"/>
    </row>
    <row r="17" spans="2:9" s="250" customFormat="1" ht="15" customHeight="1" x14ac:dyDescent="0.25">
      <c r="B17" s="486" t="s">
        <v>614</v>
      </c>
      <c r="C17" s="487"/>
      <c r="D17" s="487"/>
      <c r="E17" s="487"/>
      <c r="F17" s="487"/>
      <c r="G17" s="487"/>
      <c r="H17" s="488"/>
      <c r="I17" s="378">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250" customFormat="1" ht="14.1" customHeight="1" x14ac:dyDescent="0.25">
      <c r="B21" s="268"/>
      <c r="C21" s="269"/>
      <c r="D21" s="97"/>
      <c r="E21" s="494"/>
      <c r="F21" s="494"/>
      <c r="G21" s="494"/>
      <c r="H21" s="494"/>
      <c r="I21" s="220"/>
    </row>
    <row r="22" spans="2:9" s="250" customFormat="1" ht="15" customHeight="1" x14ac:dyDescent="0.25">
      <c r="B22" s="486" t="s">
        <v>620</v>
      </c>
      <c r="C22" s="487"/>
      <c r="D22" s="487"/>
      <c r="E22" s="487"/>
      <c r="F22" s="487"/>
      <c r="G22" s="487"/>
      <c r="H22" s="488"/>
      <c r="I22" s="246">
        <f>SUM(I21:I21)</f>
        <v>0</v>
      </c>
    </row>
    <row r="23" spans="2:9" s="250" customFormat="1" ht="5.0999999999999996" customHeight="1" x14ac:dyDescent="0.25">
      <c r="B23" s="9"/>
      <c r="C23" s="8"/>
      <c r="D23" s="8"/>
      <c r="E23" s="8"/>
      <c r="F23" s="8"/>
      <c r="G23" s="8"/>
      <c r="H23" s="8"/>
      <c r="I23" s="8"/>
    </row>
    <row r="24" spans="2:9" s="250" customFormat="1" ht="15" customHeight="1" x14ac:dyDescent="0.25">
      <c r="B24" s="486" t="s">
        <v>621</v>
      </c>
      <c r="C24" s="487"/>
      <c r="D24" s="487"/>
      <c r="E24" s="487"/>
      <c r="F24" s="487"/>
      <c r="G24" s="487"/>
      <c r="H24" s="488"/>
      <c r="I24" s="246">
        <f>I17+I22</f>
        <v>0</v>
      </c>
    </row>
    <row r="25" spans="2:9" ht="5.0999999999999996" customHeight="1" x14ac:dyDescent="0.25">
      <c r="B25" s="273"/>
      <c r="C25" s="273"/>
      <c r="D25" s="273"/>
      <c r="E25" s="273"/>
      <c r="F25" s="273"/>
      <c r="G25" s="273"/>
      <c r="H25" s="273"/>
      <c r="I25" s="273"/>
    </row>
    <row r="26" spans="2:9" s="250" customFormat="1" ht="15" customHeight="1" x14ac:dyDescent="0.25">
      <c r="B26" s="486" t="s">
        <v>622</v>
      </c>
      <c r="C26" s="487"/>
      <c r="D26" s="487"/>
      <c r="E26" s="487"/>
      <c r="F26" s="487"/>
      <c r="G26" s="487"/>
      <c r="H26" s="488"/>
      <c r="I26" s="246">
        <f>ROUND((I24/H11),2)</f>
        <v>0</v>
      </c>
    </row>
    <row r="27" spans="2:9" ht="5.0999999999999996" customHeight="1" x14ac:dyDescent="0.25">
      <c r="B27" s="273"/>
      <c r="C27" s="273"/>
      <c r="D27" s="273"/>
      <c r="E27" s="273"/>
      <c r="F27" s="273"/>
      <c r="G27" s="273"/>
      <c r="H27" s="273"/>
      <c r="I27" s="273"/>
    </row>
    <row r="28" spans="2:9" ht="14.1" customHeight="1" x14ac:dyDescent="0.25">
      <c r="B28" s="448" t="s">
        <v>8</v>
      </c>
      <c r="C28" s="499" t="s">
        <v>623</v>
      </c>
      <c r="D28" s="448" t="s">
        <v>604</v>
      </c>
      <c r="E28" s="499" t="s">
        <v>624</v>
      </c>
      <c r="F28" s="499"/>
      <c r="G28" s="499" t="s">
        <v>617</v>
      </c>
      <c r="H28" s="499"/>
      <c r="I28" s="448" t="s">
        <v>625</v>
      </c>
    </row>
    <row r="29" spans="2:9" ht="14.1" customHeight="1" x14ac:dyDescent="0.25">
      <c r="B29" s="449"/>
      <c r="C29" s="500"/>
      <c r="D29" s="449"/>
      <c r="E29" s="500"/>
      <c r="F29" s="500"/>
      <c r="G29" s="500"/>
      <c r="H29" s="500"/>
      <c r="I29" s="449"/>
    </row>
    <row r="30" spans="2:9" s="250" customFormat="1" ht="27.95" customHeight="1" x14ac:dyDescent="0.25">
      <c r="B30" s="291">
        <v>94970</v>
      </c>
      <c r="C30" s="69" t="s">
        <v>700</v>
      </c>
      <c r="D30" s="70" t="s">
        <v>16</v>
      </c>
      <c r="E30" s="497">
        <v>476.52</v>
      </c>
      <c r="F30" s="498"/>
      <c r="G30" s="512">
        <v>0.66700000000000004</v>
      </c>
      <c r="H30" s="513"/>
      <c r="I30" s="371">
        <f>TRUNC(E30*G30,2)</f>
        <v>317.83</v>
      </c>
    </row>
    <row r="31" spans="2:9" s="250" customFormat="1" ht="27.95" customHeight="1" x14ac:dyDescent="0.25">
      <c r="B31" s="291">
        <v>96536</v>
      </c>
      <c r="C31" s="69" t="s">
        <v>701</v>
      </c>
      <c r="D31" s="70" t="s">
        <v>13</v>
      </c>
      <c r="E31" s="497">
        <v>63.35</v>
      </c>
      <c r="F31" s="498"/>
      <c r="G31" s="497">
        <v>0.99</v>
      </c>
      <c r="H31" s="498"/>
      <c r="I31" s="221">
        <f>TRUNC(E31*G31,2)</f>
        <v>62.71</v>
      </c>
    </row>
    <row r="32" spans="2:9" s="250" customFormat="1" ht="27.95" customHeight="1" x14ac:dyDescent="0.25">
      <c r="B32" s="291">
        <v>103670</v>
      </c>
      <c r="C32" s="69" t="s">
        <v>702</v>
      </c>
      <c r="D32" s="70" t="s">
        <v>16</v>
      </c>
      <c r="E32" s="497">
        <v>308.54000000000002</v>
      </c>
      <c r="F32" s="498"/>
      <c r="G32" s="512">
        <v>0.66700000000000004</v>
      </c>
      <c r="H32" s="513"/>
      <c r="I32" s="221">
        <f t="shared" ref="I32" si="0">TRUNC(E32*G32,2)</f>
        <v>205.79</v>
      </c>
    </row>
    <row r="33" spans="2:9" s="250" customFormat="1" ht="14.1" customHeight="1" x14ac:dyDescent="0.25">
      <c r="B33" s="274" t="str">
        <f>'EEA-SD-04 - Regula. Manual'!$B$11</f>
        <v>EEA-SD-04</v>
      </c>
      <c r="C33" s="69" t="str">
        <f>'EEA-SD-04 - Regula. Manual'!$C$11</f>
        <v>Regularização manual e compactação mecânica de terreno</v>
      </c>
      <c r="D33" s="70" t="str">
        <f>'EEA-SD-04 - Regula. Manual'!$G$11</f>
        <v>m²</v>
      </c>
      <c r="E33" s="497">
        <f>'EEA-SD-04 - Regula. Manual'!$I$40</f>
        <v>7.56</v>
      </c>
      <c r="F33" s="498"/>
      <c r="G33" s="497">
        <v>9.02</v>
      </c>
      <c r="H33" s="498"/>
      <c r="I33" s="221">
        <f>TRUNC(E33*G33,2)</f>
        <v>68.19</v>
      </c>
    </row>
    <row r="34" spans="2:9" s="250" customFormat="1" ht="14.1" customHeight="1" x14ac:dyDescent="0.25">
      <c r="B34" s="268"/>
      <c r="C34" s="269"/>
      <c r="D34" s="97"/>
      <c r="E34" s="494"/>
      <c r="F34" s="494"/>
      <c r="G34" s="494"/>
      <c r="H34" s="494"/>
      <c r="I34" s="220"/>
    </row>
    <row r="35" spans="2:9" s="250" customFormat="1" ht="15" customHeight="1" x14ac:dyDescent="0.25">
      <c r="B35" s="486" t="s">
        <v>634</v>
      </c>
      <c r="C35" s="487"/>
      <c r="D35" s="487"/>
      <c r="E35" s="487"/>
      <c r="F35" s="487"/>
      <c r="G35" s="487"/>
      <c r="H35" s="488"/>
      <c r="I35" s="246">
        <f>SUM(I30:I34)</f>
        <v>654.52</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249"/>
      <c r="E39" s="493"/>
      <c r="F39" s="493"/>
      <c r="G39" s="493"/>
      <c r="H39" s="493"/>
      <c r="I39" s="219"/>
    </row>
    <row r="40" spans="2:9" s="250" customFormat="1" ht="14.1" customHeight="1" x14ac:dyDescent="0.25">
      <c r="B40" s="268"/>
      <c r="C40" s="269"/>
      <c r="D40" s="97"/>
      <c r="E40" s="494"/>
      <c r="F40" s="494"/>
      <c r="G40" s="494"/>
      <c r="H40" s="494"/>
      <c r="I40" s="220"/>
    </row>
    <row r="41" spans="2:9" s="250" customFormat="1" ht="15" customHeight="1" x14ac:dyDescent="0.25">
      <c r="B41" s="486" t="s">
        <v>635</v>
      </c>
      <c r="C41" s="487"/>
      <c r="D41" s="487"/>
      <c r="E41" s="487"/>
      <c r="F41" s="487"/>
      <c r="G41" s="487"/>
      <c r="H41" s="488"/>
      <c r="I41" s="246">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246">
        <f>I26+I35+I41</f>
        <v>654.52</v>
      </c>
    </row>
  </sheetData>
  <mergeCells count="55">
    <mergeCell ref="E40:F40"/>
    <mergeCell ref="G40:H40"/>
    <mergeCell ref="B41:H41"/>
    <mergeCell ref="B43:H43"/>
    <mergeCell ref="B37:B38"/>
    <mergeCell ref="C37:C38"/>
    <mergeCell ref="D37:D38"/>
    <mergeCell ref="E37:F38"/>
    <mergeCell ref="G37:H38"/>
    <mergeCell ref="E39:F39"/>
    <mergeCell ref="G39:H39"/>
    <mergeCell ref="I37:I38"/>
    <mergeCell ref="I28:I29"/>
    <mergeCell ref="E30:F30"/>
    <mergeCell ref="G30:H30"/>
    <mergeCell ref="E34:F34"/>
    <mergeCell ref="G34:H34"/>
    <mergeCell ref="B35:H35"/>
    <mergeCell ref="E32:F32"/>
    <mergeCell ref="G32:H32"/>
    <mergeCell ref="E33:F33"/>
    <mergeCell ref="E31:F31"/>
    <mergeCell ref="G33:H33"/>
    <mergeCell ref="G31:H31"/>
    <mergeCell ref="B24:H24"/>
    <mergeCell ref="B26:H26"/>
    <mergeCell ref="B28:B29"/>
    <mergeCell ref="C28:C29"/>
    <mergeCell ref="D28:D29"/>
    <mergeCell ref="E28:F29"/>
    <mergeCell ref="G28:H29"/>
    <mergeCell ref="I19:I20"/>
    <mergeCell ref="E21:F21"/>
    <mergeCell ref="G21:H21"/>
    <mergeCell ref="B22:H22"/>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M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3" ht="5.0999999999999996" customHeight="1" x14ac:dyDescent="0.25"/>
    <row r="2" spans="2:13" s="210" customFormat="1" ht="14.1" customHeight="1" x14ac:dyDescent="0.2">
      <c r="B2" s="100" t="str">
        <f>DADOS!$B$3</f>
        <v>CLIENTE:</v>
      </c>
      <c r="C2" s="81" t="str">
        <f>DADOS!$C$3</f>
        <v>PREFEITURA MUNICIPAL DE JARDIM / MS</v>
      </c>
      <c r="D2" s="264"/>
      <c r="E2" s="264"/>
      <c r="F2" s="264"/>
      <c r="G2" s="476" t="str">
        <f>Orçamento!K2</f>
        <v>BANCOS</v>
      </c>
      <c r="H2" s="402"/>
      <c r="I2" s="477"/>
    </row>
    <row r="3" spans="2:13"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3" s="210" customFormat="1" ht="14.1" customHeight="1" x14ac:dyDescent="0.25">
      <c r="B4" s="83"/>
      <c r="C4" s="82"/>
      <c r="G4" s="478"/>
      <c r="H4" s="479"/>
      <c r="I4" s="480"/>
      <c r="M4"/>
    </row>
    <row r="5" spans="2:13" s="210" customFormat="1" ht="14.1" customHeight="1" x14ac:dyDescent="0.25">
      <c r="B5" s="101" t="str">
        <f>DADOS!$B$7</f>
        <v>OBRA:</v>
      </c>
      <c r="C5" s="82" t="str">
        <f>DADOS!$C$7</f>
        <v>PAVIMENTAÇÃO ASFÁLTICA E DRENAGEM DE ÁGUAS PLUVIAIS</v>
      </c>
      <c r="G5" s="478"/>
      <c r="H5" s="479"/>
      <c r="I5" s="480"/>
      <c r="M5"/>
    </row>
    <row r="6" spans="2:13" s="210" customFormat="1" ht="14.1" customHeight="1" x14ac:dyDescent="0.25">
      <c r="B6" s="84" t="str">
        <f>DADOS!$B$8</f>
        <v>LOCAL:</v>
      </c>
      <c r="C6" s="85" t="str">
        <f>DADOS!$C$8</f>
        <v>JARDIM PREVISUL, JARDIM / MS</v>
      </c>
      <c r="D6" s="265"/>
      <c r="E6" s="265"/>
      <c r="F6" s="265"/>
      <c r="G6" s="481" t="str">
        <f>Orçamento!H3</f>
        <v>SEM DESONERAÇÃO</v>
      </c>
      <c r="H6" s="396"/>
      <c r="I6" s="482"/>
      <c r="M6"/>
    </row>
    <row r="7" spans="2:13" ht="5.0999999999999996" customHeight="1" x14ac:dyDescent="0.25"/>
    <row r="8" spans="2:13" ht="15" customHeight="1" x14ac:dyDescent="0.25">
      <c r="B8" s="397" t="s">
        <v>603</v>
      </c>
      <c r="C8" s="397"/>
      <c r="D8" s="397"/>
      <c r="E8" s="397"/>
      <c r="F8" s="397"/>
      <c r="G8" s="397"/>
      <c r="H8" s="397"/>
      <c r="I8" s="397"/>
    </row>
    <row r="9" spans="2:13" ht="5.0999999999999996" customHeight="1" x14ac:dyDescent="0.25"/>
    <row r="10" spans="2:13" ht="20.100000000000001" customHeight="1" x14ac:dyDescent="0.25">
      <c r="B10" s="244" t="s">
        <v>50</v>
      </c>
      <c r="C10" s="442" t="s">
        <v>1</v>
      </c>
      <c r="D10" s="442"/>
      <c r="E10" s="442"/>
      <c r="F10" s="442"/>
      <c r="G10" s="244" t="s">
        <v>604</v>
      </c>
      <c r="H10" s="442" t="s">
        <v>605</v>
      </c>
      <c r="I10" s="442"/>
    </row>
    <row r="11" spans="2:13" s="250" customFormat="1" ht="39.950000000000003" customHeight="1" x14ac:dyDescent="0.25">
      <c r="B11" s="266" t="s">
        <v>830</v>
      </c>
      <c r="C11" s="483" t="s">
        <v>876</v>
      </c>
      <c r="D11" s="484"/>
      <c r="E11" s="484"/>
      <c r="F11" s="485"/>
      <c r="G11" s="79" t="s">
        <v>14</v>
      </c>
      <c r="H11" s="453">
        <v>1</v>
      </c>
      <c r="I11" s="453"/>
    </row>
    <row r="12" spans="2:13" s="250" customFormat="1" ht="5.0999999999999996" customHeight="1" x14ac:dyDescent="0.25">
      <c r="B12" s="8"/>
      <c r="C12" s="8"/>
      <c r="D12" s="8"/>
      <c r="E12" s="8"/>
      <c r="F12" s="8"/>
      <c r="G12" s="8"/>
      <c r="H12" s="8"/>
      <c r="I12" s="8"/>
    </row>
    <row r="13" spans="2:13" ht="14.1" customHeight="1" x14ac:dyDescent="0.25">
      <c r="B13" s="450" t="s">
        <v>8</v>
      </c>
      <c r="C13" s="442" t="s">
        <v>608</v>
      </c>
      <c r="D13" s="442" t="s">
        <v>609</v>
      </c>
      <c r="E13" s="442"/>
      <c r="F13" s="450" t="s">
        <v>4</v>
      </c>
      <c r="G13" s="442" t="s">
        <v>610</v>
      </c>
      <c r="H13" s="442"/>
      <c r="I13" s="450" t="s">
        <v>611</v>
      </c>
    </row>
    <row r="14" spans="2:13" ht="14.1" customHeight="1" x14ac:dyDescent="0.25">
      <c r="B14" s="450"/>
      <c r="C14" s="442"/>
      <c r="D14" s="244" t="s">
        <v>612</v>
      </c>
      <c r="E14" s="244" t="s">
        <v>613</v>
      </c>
      <c r="F14" s="450"/>
      <c r="G14" s="244" t="s">
        <v>612</v>
      </c>
      <c r="H14" s="244" t="s">
        <v>613</v>
      </c>
      <c r="I14" s="450"/>
    </row>
    <row r="15" spans="2:13" s="250" customFormat="1" ht="14.1" customHeight="1" x14ac:dyDescent="0.25">
      <c r="B15" s="267"/>
      <c r="C15" s="103"/>
      <c r="D15" s="379"/>
      <c r="E15" s="379"/>
      <c r="F15" s="379"/>
      <c r="G15" s="381"/>
      <c r="H15" s="379"/>
      <c r="I15" s="379"/>
    </row>
    <row r="16" spans="2:13" s="250" customFormat="1" ht="14.1" customHeight="1" x14ac:dyDescent="0.25">
      <c r="B16" s="268"/>
      <c r="C16" s="269"/>
      <c r="D16" s="380"/>
      <c r="E16" s="380"/>
      <c r="F16" s="380"/>
      <c r="G16" s="380"/>
      <c r="H16" s="380"/>
      <c r="I16" s="380"/>
    </row>
    <row r="17" spans="2:9" s="250" customFormat="1" ht="15" customHeight="1" x14ac:dyDescent="0.25">
      <c r="B17" s="486" t="s">
        <v>614</v>
      </c>
      <c r="C17" s="487"/>
      <c r="D17" s="487"/>
      <c r="E17" s="487"/>
      <c r="F17" s="487"/>
      <c r="G17" s="487"/>
      <c r="H17" s="488"/>
      <c r="I17" s="378">
        <f>SUM(I15:I16)</f>
        <v>0</v>
      </c>
    </row>
    <row r="18" spans="2:9" s="250" customFormat="1" ht="5.0999999999999996" customHeight="1" x14ac:dyDescent="0.25">
      <c r="B18" s="8"/>
      <c r="C18" s="8"/>
      <c r="D18" s="8"/>
      <c r="E18" s="8"/>
      <c r="F18" s="8"/>
      <c r="G18" s="8"/>
      <c r="H18" s="8"/>
      <c r="I18" s="8"/>
    </row>
    <row r="19" spans="2:9" ht="14.1" customHeight="1" x14ac:dyDescent="0.25">
      <c r="B19" s="448" t="s">
        <v>8</v>
      </c>
      <c r="C19" s="499" t="s">
        <v>615</v>
      </c>
      <c r="D19" s="448" t="s">
        <v>604</v>
      </c>
      <c r="E19" s="499" t="s">
        <v>616</v>
      </c>
      <c r="F19" s="499"/>
      <c r="G19" s="499" t="s">
        <v>617</v>
      </c>
      <c r="H19" s="499"/>
      <c r="I19" s="448" t="s">
        <v>611</v>
      </c>
    </row>
    <row r="20" spans="2:9" ht="14.1" customHeight="1" x14ac:dyDescent="0.25">
      <c r="B20" s="449"/>
      <c r="C20" s="500"/>
      <c r="D20" s="449"/>
      <c r="E20" s="500"/>
      <c r="F20" s="500"/>
      <c r="G20" s="500"/>
      <c r="H20" s="500"/>
      <c r="I20" s="449"/>
    </row>
    <row r="21" spans="2:9" s="250" customFormat="1" ht="14.1" customHeight="1" x14ac:dyDescent="0.25">
      <c r="B21" s="267">
        <v>88316</v>
      </c>
      <c r="C21" s="103" t="s">
        <v>619</v>
      </c>
      <c r="D21" s="249" t="s">
        <v>51</v>
      </c>
      <c r="E21" s="493">
        <v>22.76</v>
      </c>
      <c r="F21" s="493"/>
      <c r="G21" s="493">
        <v>0.15</v>
      </c>
      <c r="H21" s="493"/>
      <c r="I21" s="219">
        <f>TRUNC(E21*G21,2)</f>
        <v>3.41</v>
      </c>
    </row>
    <row r="22" spans="2:9" s="250" customFormat="1" ht="14.1" customHeight="1" x14ac:dyDescent="0.25">
      <c r="B22" s="67">
        <v>88309</v>
      </c>
      <c r="C22" s="69" t="s">
        <v>679</v>
      </c>
      <c r="D22" s="70" t="s">
        <v>51</v>
      </c>
      <c r="E22" s="497">
        <v>28.5</v>
      </c>
      <c r="F22" s="498"/>
      <c r="G22" s="497">
        <v>0.15</v>
      </c>
      <c r="H22" s="498"/>
      <c r="I22" s="371">
        <f>TRUNC(E22*G22,2)</f>
        <v>4.2699999999999996</v>
      </c>
    </row>
    <row r="23" spans="2:9" s="250" customFormat="1" ht="14.1" customHeight="1" x14ac:dyDescent="0.25">
      <c r="B23" s="268"/>
      <c r="C23" s="269"/>
      <c r="D23" s="97"/>
      <c r="E23" s="518"/>
      <c r="F23" s="519"/>
      <c r="G23" s="518"/>
      <c r="H23" s="519"/>
      <c r="I23" s="220"/>
    </row>
    <row r="24" spans="2:9" s="250" customFormat="1" ht="15" customHeight="1" x14ac:dyDescent="0.25">
      <c r="B24" s="486" t="s">
        <v>620</v>
      </c>
      <c r="C24" s="487"/>
      <c r="D24" s="487"/>
      <c r="E24" s="487"/>
      <c r="F24" s="487"/>
      <c r="G24" s="487"/>
      <c r="H24" s="488"/>
      <c r="I24" s="246">
        <f>SUM(I21:I23)</f>
        <v>7.68</v>
      </c>
    </row>
    <row r="25" spans="2:9" s="250" customFormat="1" ht="5.0999999999999996" customHeight="1" x14ac:dyDescent="0.25">
      <c r="B25" s="9"/>
      <c r="C25" s="8"/>
      <c r="D25" s="8"/>
      <c r="E25" s="8"/>
      <c r="F25" s="8"/>
      <c r="G25" s="8"/>
      <c r="H25" s="8"/>
      <c r="I25" s="8"/>
    </row>
    <row r="26" spans="2:9" s="250" customFormat="1" ht="15" customHeight="1" x14ac:dyDescent="0.25">
      <c r="B26" s="486" t="s">
        <v>621</v>
      </c>
      <c r="C26" s="487"/>
      <c r="D26" s="487"/>
      <c r="E26" s="487"/>
      <c r="F26" s="487"/>
      <c r="G26" s="487"/>
      <c r="H26" s="488"/>
      <c r="I26" s="246">
        <f>I17+I24</f>
        <v>7.68</v>
      </c>
    </row>
    <row r="27" spans="2:9" ht="5.0999999999999996" customHeight="1" x14ac:dyDescent="0.25">
      <c r="B27" s="273"/>
      <c r="C27" s="273"/>
      <c r="D27" s="273"/>
      <c r="E27" s="273"/>
      <c r="F27" s="273"/>
      <c r="G27" s="273"/>
      <c r="H27" s="273"/>
      <c r="I27" s="273"/>
    </row>
    <row r="28" spans="2:9" s="250" customFormat="1" ht="15" customHeight="1" x14ac:dyDescent="0.25">
      <c r="B28" s="486" t="s">
        <v>622</v>
      </c>
      <c r="C28" s="487"/>
      <c r="D28" s="487"/>
      <c r="E28" s="487"/>
      <c r="F28" s="487"/>
      <c r="G28" s="487"/>
      <c r="H28" s="488"/>
      <c r="I28" s="246">
        <f>ROUND((I26/H11),2)</f>
        <v>7.68</v>
      </c>
    </row>
    <row r="29" spans="2:9" ht="5.0999999999999996" customHeight="1" x14ac:dyDescent="0.25">
      <c r="B29" s="273"/>
      <c r="C29" s="273"/>
      <c r="D29" s="273"/>
      <c r="E29" s="273"/>
      <c r="F29" s="273"/>
      <c r="G29" s="273"/>
      <c r="H29" s="273"/>
      <c r="I29" s="273"/>
    </row>
    <row r="30" spans="2:9" ht="14.1" customHeight="1" x14ac:dyDescent="0.25">
      <c r="B30" s="448" t="s">
        <v>8</v>
      </c>
      <c r="C30" s="499" t="s">
        <v>623</v>
      </c>
      <c r="D30" s="448" t="s">
        <v>604</v>
      </c>
      <c r="E30" s="499" t="s">
        <v>624</v>
      </c>
      <c r="F30" s="499"/>
      <c r="G30" s="499" t="s">
        <v>617</v>
      </c>
      <c r="H30" s="499"/>
      <c r="I30" s="448" t="s">
        <v>625</v>
      </c>
    </row>
    <row r="31" spans="2:9" ht="14.1" customHeight="1" x14ac:dyDescent="0.25">
      <c r="B31" s="449"/>
      <c r="C31" s="500"/>
      <c r="D31" s="449"/>
      <c r="E31" s="500"/>
      <c r="F31" s="500"/>
      <c r="G31" s="500"/>
      <c r="H31" s="500"/>
      <c r="I31" s="449"/>
    </row>
    <row r="32" spans="2:9" s="250" customFormat="1" ht="14.1" customHeight="1" x14ac:dyDescent="0.25">
      <c r="B32" s="291" t="s">
        <v>844</v>
      </c>
      <c r="C32" s="69" t="s">
        <v>872</v>
      </c>
      <c r="D32" s="70" t="s">
        <v>34</v>
      </c>
      <c r="E32" s="497">
        <v>0.95</v>
      </c>
      <c r="F32" s="498"/>
      <c r="G32" s="497">
        <v>1.1000000000000001</v>
      </c>
      <c r="H32" s="498"/>
      <c r="I32" s="371">
        <f>TRUNC(E32*G32,2)</f>
        <v>1.04</v>
      </c>
    </row>
    <row r="33" spans="2:9" s="250" customFormat="1" ht="27.95" customHeight="1" x14ac:dyDescent="0.25">
      <c r="B33" s="375" t="s">
        <v>875</v>
      </c>
      <c r="C33" s="69" t="s">
        <v>873</v>
      </c>
      <c r="D33" s="73" t="s">
        <v>15</v>
      </c>
      <c r="E33" s="497">
        <f>9.33</f>
        <v>9.33</v>
      </c>
      <c r="F33" s="498"/>
      <c r="G33" s="512">
        <v>4.2</v>
      </c>
      <c r="H33" s="513"/>
      <c r="I33" s="221">
        <f t="shared" ref="I33" si="0">TRUNC(E33*G33,2)</f>
        <v>39.18</v>
      </c>
    </row>
    <row r="34" spans="2:9" s="250" customFormat="1" ht="14.1" customHeight="1" x14ac:dyDescent="0.25">
      <c r="B34" s="268"/>
      <c r="C34" s="269"/>
      <c r="D34" s="97"/>
      <c r="E34" s="494"/>
      <c r="F34" s="494"/>
      <c r="G34" s="494"/>
      <c r="H34" s="494"/>
      <c r="I34" s="220"/>
    </row>
    <row r="35" spans="2:9" s="250" customFormat="1" ht="15" customHeight="1" x14ac:dyDescent="0.25">
      <c r="B35" s="486" t="s">
        <v>634</v>
      </c>
      <c r="C35" s="487"/>
      <c r="D35" s="487"/>
      <c r="E35" s="487"/>
      <c r="F35" s="487"/>
      <c r="G35" s="487"/>
      <c r="H35" s="488"/>
      <c r="I35" s="246">
        <f>SUM(I32:I34)</f>
        <v>40.22</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249"/>
      <c r="E39" s="493"/>
      <c r="F39" s="493"/>
      <c r="G39" s="493"/>
      <c r="H39" s="493"/>
      <c r="I39" s="219"/>
    </row>
    <row r="40" spans="2:9" s="250" customFormat="1" ht="14.1" customHeight="1" x14ac:dyDescent="0.25">
      <c r="B40" s="268"/>
      <c r="C40" s="269"/>
      <c r="D40" s="97"/>
      <c r="E40" s="494"/>
      <c r="F40" s="494"/>
      <c r="G40" s="494"/>
      <c r="H40" s="494"/>
      <c r="I40" s="220"/>
    </row>
    <row r="41" spans="2:9" s="250" customFormat="1" ht="15" customHeight="1" x14ac:dyDescent="0.25">
      <c r="B41" s="486" t="s">
        <v>635</v>
      </c>
      <c r="C41" s="487"/>
      <c r="D41" s="487"/>
      <c r="E41" s="487"/>
      <c r="F41" s="487"/>
      <c r="G41" s="487"/>
      <c r="H41" s="488"/>
      <c r="I41" s="246">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246">
        <f>I28+I35+I41</f>
        <v>47.9</v>
      </c>
    </row>
  </sheetData>
  <mergeCells count="55">
    <mergeCell ref="B43:H43"/>
    <mergeCell ref="E23:F23"/>
    <mergeCell ref="G23:H23"/>
    <mergeCell ref="I37:I38"/>
    <mergeCell ref="E39:F39"/>
    <mergeCell ref="G39:H39"/>
    <mergeCell ref="E40:F40"/>
    <mergeCell ref="G40:H40"/>
    <mergeCell ref="B41:H41"/>
    <mergeCell ref="B35:H35"/>
    <mergeCell ref="B37:B38"/>
    <mergeCell ref="C37:C38"/>
    <mergeCell ref="D37:D38"/>
    <mergeCell ref="E37:F38"/>
    <mergeCell ref="G37:H38"/>
    <mergeCell ref="E34:F34"/>
    <mergeCell ref="G34:H34"/>
    <mergeCell ref="E32:F32"/>
    <mergeCell ref="G32:H32"/>
    <mergeCell ref="E33:F33"/>
    <mergeCell ref="G33:H33"/>
    <mergeCell ref="I30:I31"/>
    <mergeCell ref="I19:I20"/>
    <mergeCell ref="E21:F21"/>
    <mergeCell ref="G21:H21"/>
    <mergeCell ref="B24:H24"/>
    <mergeCell ref="B26:H26"/>
    <mergeCell ref="B28:H28"/>
    <mergeCell ref="B30:B31"/>
    <mergeCell ref="C30:C31"/>
    <mergeCell ref="D30:D31"/>
    <mergeCell ref="E30:F31"/>
    <mergeCell ref="G30:H31"/>
    <mergeCell ref="E22:F22"/>
    <mergeCell ref="G22:H22"/>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7"/>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27.95" customHeight="1" x14ac:dyDescent="0.25">
      <c r="B11" s="266" t="s">
        <v>681</v>
      </c>
      <c r="C11" s="483" t="s">
        <v>55</v>
      </c>
      <c r="D11" s="484"/>
      <c r="E11" s="484"/>
      <c r="F11" s="485"/>
      <c r="G11" s="79" t="s">
        <v>15</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42" customHeight="1" x14ac:dyDescent="0.25">
      <c r="B15" s="267">
        <v>73467</v>
      </c>
      <c r="C15" s="103" t="s">
        <v>680</v>
      </c>
      <c r="D15" s="219">
        <v>248.87</v>
      </c>
      <c r="E15" s="219">
        <v>0</v>
      </c>
      <c r="F15" s="219">
        <v>1</v>
      </c>
      <c r="G15" s="219">
        <v>0.01</v>
      </c>
      <c r="H15" s="219">
        <v>0</v>
      </c>
      <c r="I15" s="219">
        <f>TRUNC((D15*F15*G15),2)+TRUNC((E15*F15*H15),2)</f>
        <v>2.48</v>
      </c>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2.48</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88309</v>
      </c>
      <c r="C21" s="103" t="s">
        <v>679</v>
      </c>
      <c r="D21" s="249" t="s">
        <v>51</v>
      </c>
      <c r="E21" s="493">
        <v>28.5</v>
      </c>
      <c r="F21" s="493"/>
      <c r="G21" s="493">
        <v>0.2</v>
      </c>
      <c r="H21" s="493"/>
      <c r="I21" s="219">
        <f>TRUNC((E21*G21),2)</f>
        <v>5.7</v>
      </c>
    </row>
    <row r="22" spans="2:9" s="8" customFormat="1" ht="14.1" customHeight="1" x14ac:dyDescent="0.25">
      <c r="B22" s="67">
        <v>88316</v>
      </c>
      <c r="C22" s="69" t="s">
        <v>619</v>
      </c>
      <c r="D22" s="70" t="s">
        <v>51</v>
      </c>
      <c r="E22" s="495">
        <v>22.76</v>
      </c>
      <c r="F22" s="495"/>
      <c r="G22" s="495">
        <v>0.2</v>
      </c>
      <c r="H22" s="495"/>
      <c r="I22" s="221">
        <f>TRUNC((E22*G22),2)</f>
        <v>4.55</v>
      </c>
    </row>
    <row r="23" spans="2:9" s="250" customFormat="1" ht="14.1" customHeight="1" x14ac:dyDescent="0.25">
      <c r="B23" s="268"/>
      <c r="C23" s="269"/>
      <c r="D23" s="97"/>
      <c r="E23" s="494"/>
      <c r="F23" s="494"/>
      <c r="G23" s="494"/>
      <c r="H23" s="494"/>
      <c r="I23" s="220"/>
    </row>
    <row r="24" spans="2:9" s="250" customFormat="1" ht="15" customHeight="1" x14ac:dyDescent="0.25">
      <c r="B24" s="486" t="s">
        <v>620</v>
      </c>
      <c r="C24" s="487"/>
      <c r="D24" s="487"/>
      <c r="E24" s="487"/>
      <c r="F24" s="487"/>
      <c r="G24" s="487"/>
      <c r="H24" s="488"/>
      <c r="I24" s="246">
        <f>SUM(I21:I23)</f>
        <v>10.25</v>
      </c>
    </row>
    <row r="25" spans="2:9" s="250" customFormat="1" ht="5.0999999999999996" customHeight="1" x14ac:dyDescent="0.25">
      <c r="B25" s="9"/>
      <c r="C25" s="8"/>
      <c r="D25" s="8"/>
      <c r="E25" s="8"/>
      <c r="F25" s="8"/>
      <c r="G25" s="8"/>
      <c r="H25" s="8"/>
      <c r="I25" s="8"/>
    </row>
    <row r="26" spans="2:9" s="250" customFormat="1" ht="15" customHeight="1" x14ac:dyDescent="0.25">
      <c r="B26" s="486" t="s">
        <v>621</v>
      </c>
      <c r="C26" s="487"/>
      <c r="D26" s="487"/>
      <c r="E26" s="487"/>
      <c r="F26" s="487"/>
      <c r="G26" s="487"/>
      <c r="H26" s="488"/>
      <c r="I26" s="246">
        <f>I17+I24</f>
        <v>12.73</v>
      </c>
    </row>
    <row r="27" spans="2:9" ht="5.0999999999999996" customHeight="1" x14ac:dyDescent="0.25">
      <c r="B27" s="273"/>
      <c r="C27" s="273"/>
      <c r="D27" s="273"/>
      <c r="E27" s="273"/>
      <c r="F27" s="273"/>
      <c r="G27" s="273"/>
      <c r="H27" s="273"/>
      <c r="I27" s="273"/>
    </row>
    <row r="28" spans="2:9" s="250" customFormat="1" ht="15" customHeight="1" x14ac:dyDescent="0.25">
      <c r="B28" s="486" t="s">
        <v>622</v>
      </c>
      <c r="C28" s="487"/>
      <c r="D28" s="487"/>
      <c r="E28" s="487"/>
      <c r="F28" s="487"/>
      <c r="G28" s="487"/>
      <c r="H28" s="488"/>
      <c r="I28" s="246">
        <f>ROUND((I26/H11),2)</f>
        <v>12.73</v>
      </c>
    </row>
    <row r="29" spans="2:9" ht="5.0999999999999996" customHeight="1" x14ac:dyDescent="0.25">
      <c r="B29" s="273"/>
      <c r="C29" s="273"/>
      <c r="D29" s="273"/>
      <c r="E29" s="273"/>
      <c r="F29" s="273"/>
      <c r="G29" s="273"/>
      <c r="H29" s="273"/>
      <c r="I29" s="273"/>
    </row>
    <row r="30" spans="2:9" ht="14.1" customHeight="1" x14ac:dyDescent="0.25">
      <c r="B30" s="450" t="s">
        <v>8</v>
      </c>
      <c r="C30" s="442" t="s">
        <v>623</v>
      </c>
      <c r="D30" s="450" t="s">
        <v>604</v>
      </c>
      <c r="E30" s="489" t="s">
        <v>624</v>
      </c>
      <c r="F30" s="490"/>
      <c r="G30" s="489" t="s">
        <v>617</v>
      </c>
      <c r="H30" s="490"/>
      <c r="I30" s="450" t="s">
        <v>625</v>
      </c>
    </row>
    <row r="31" spans="2:9" ht="14.1" customHeight="1" x14ac:dyDescent="0.25">
      <c r="B31" s="450"/>
      <c r="C31" s="442"/>
      <c r="D31" s="450"/>
      <c r="E31" s="491"/>
      <c r="F31" s="492"/>
      <c r="G31" s="491"/>
      <c r="H31" s="492"/>
      <c r="I31" s="450"/>
    </row>
    <row r="32" spans="2:9" s="250" customFormat="1" ht="27.95" customHeight="1" x14ac:dyDescent="0.25">
      <c r="B32" s="267" t="s">
        <v>628</v>
      </c>
      <c r="C32" s="103" t="s">
        <v>678</v>
      </c>
      <c r="D32" s="249" t="s">
        <v>14</v>
      </c>
      <c r="E32" s="493">
        <v>28.12</v>
      </c>
      <c r="F32" s="493"/>
      <c r="G32" s="493">
        <v>4</v>
      </c>
      <c r="H32" s="493"/>
      <c r="I32" s="219">
        <f t="shared" ref="I32:I37" si="0">TRUNC((E32*G32),2)</f>
        <v>112.48</v>
      </c>
    </row>
    <row r="33" spans="2:9" s="250" customFormat="1" ht="14.1" customHeight="1" x14ac:dyDescent="0.25">
      <c r="B33" s="67" t="s">
        <v>677</v>
      </c>
      <c r="C33" s="69" t="s">
        <v>676</v>
      </c>
      <c r="D33" s="70" t="s">
        <v>13</v>
      </c>
      <c r="E33" s="495">
        <v>924</v>
      </c>
      <c r="F33" s="495"/>
      <c r="G33" s="495">
        <v>0.36</v>
      </c>
      <c r="H33" s="495"/>
      <c r="I33" s="221">
        <f t="shared" si="0"/>
        <v>332.64</v>
      </c>
    </row>
    <row r="34" spans="2:9" s="250" customFormat="1" ht="27.95" customHeight="1" x14ac:dyDescent="0.25">
      <c r="B34" s="289" t="str">
        <f>'EEA-SD-07 - Conc não estrutural'!$B$11</f>
        <v>EEA-SD-07</v>
      </c>
      <c r="C34" s="69" t="str">
        <f>'EEA-SD-07 - Conc não estrutural'!$C$11</f>
        <v>Concreto não estrutural, consumo 210 kg/m³, preparo com betoneira, sem lançamento</v>
      </c>
      <c r="D34" s="70" t="str">
        <f>'EEA-SD-07 - Conc não estrutural'!$G$11</f>
        <v>m³</v>
      </c>
      <c r="E34" s="495">
        <f>'EEA-SD-07 - Conc não estrutural'!$I$43</f>
        <v>454.34000000000003</v>
      </c>
      <c r="F34" s="495"/>
      <c r="G34" s="495">
        <v>0.03</v>
      </c>
      <c r="H34" s="495"/>
      <c r="I34" s="221">
        <f t="shared" si="0"/>
        <v>13.63</v>
      </c>
    </row>
    <row r="35" spans="2:9" s="250" customFormat="1" ht="14.1" customHeight="1" x14ac:dyDescent="0.25">
      <c r="B35" s="289" t="str">
        <f>'EEA-SD-05 - Esc. Manual'!$B$11</f>
        <v>EEA-SD-05</v>
      </c>
      <c r="C35" s="69" t="str">
        <f>'EEA-SD-05 - Esc. Manual'!$C$11</f>
        <v>Escavação manual em solo prof. até 1,50m</v>
      </c>
      <c r="D35" s="70" t="str">
        <f>'EEA-SD-05 - Esc. Manual'!$G$11</f>
        <v>m³</v>
      </c>
      <c r="E35" s="497">
        <f>'EEA-SD-05 - Esc. Manual'!$I$40</f>
        <v>45.52</v>
      </c>
      <c r="F35" s="498"/>
      <c r="G35" s="495">
        <v>0.03</v>
      </c>
      <c r="H35" s="495"/>
      <c r="I35" s="221">
        <f t="shared" si="0"/>
        <v>1.36</v>
      </c>
    </row>
    <row r="36" spans="2:9" s="250" customFormat="1" ht="27.95" customHeight="1" x14ac:dyDescent="0.25">
      <c r="B36" s="67">
        <v>103670</v>
      </c>
      <c r="C36" s="69" t="s">
        <v>307</v>
      </c>
      <c r="D36" s="70" t="s">
        <v>16</v>
      </c>
      <c r="E36" s="495">
        <v>308.54000000000002</v>
      </c>
      <c r="F36" s="495"/>
      <c r="G36" s="495">
        <v>0.03</v>
      </c>
      <c r="H36" s="495"/>
      <c r="I36" s="221">
        <f t="shared" si="0"/>
        <v>9.25</v>
      </c>
    </row>
    <row r="37" spans="2:9" s="250" customFormat="1" ht="14.1" customHeight="1" x14ac:dyDescent="0.25">
      <c r="B37" s="289" t="str">
        <f>'EEA-SD-08 - Pintura a base'!$B$11</f>
        <v>EEA-SD-08</v>
      </c>
      <c r="C37" s="69" t="str">
        <f>'EEA-SD-08 - Pintura a base'!$C$11</f>
        <v>Pintura a base de cal e fixador a base de cola, duas demãos</v>
      </c>
      <c r="D37" s="70" t="str">
        <f>'EEA-SD-08 - Pintura a base'!$G$11</f>
        <v>m²</v>
      </c>
      <c r="E37" s="495">
        <f>'EEA-SD-08 - Pintura a base'!$I$42</f>
        <v>10.16</v>
      </c>
      <c r="F37" s="495"/>
      <c r="G37" s="495">
        <v>0.5</v>
      </c>
      <c r="H37" s="495"/>
      <c r="I37" s="221">
        <f t="shared" si="0"/>
        <v>5.08</v>
      </c>
    </row>
    <row r="38" spans="2:9" s="250" customFormat="1" ht="14.1" customHeight="1" x14ac:dyDescent="0.25">
      <c r="B38" s="268"/>
      <c r="C38" s="269"/>
      <c r="D38" s="97"/>
      <c r="E38" s="494"/>
      <c r="F38" s="494"/>
      <c r="G38" s="494"/>
      <c r="H38" s="494"/>
      <c r="I38" s="220"/>
    </row>
    <row r="39" spans="2:9" s="250" customFormat="1" ht="15" customHeight="1" x14ac:dyDescent="0.25">
      <c r="B39" s="486" t="s">
        <v>634</v>
      </c>
      <c r="C39" s="487"/>
      <c r="D39" s="487"/>
      <c r="E39" s="487"/>
      <c r="F39" s="487"/>
      <c r="G39" s="487"/>
      <c r="H39" s="488"/>
      <c r="I39" s="246">
        <f>SUM(I32:I38)</f>
        <v>474.44</v>
      </c>
    </row>
    <row r="40" spans="2:9" ht="5.0999999999999996" customHeight="1" x14ac:dyDescent="0.25">
      <c r="B40" s="273"/>
      <c r="C40" s="273"/>
      <c r="D40" s="273"/>
      <c r="E40" s="273"/>
      <c r="F40" s="273"/>
      <c r="G40" s="273"/>
      <c r="H40" s="273"/>
      <c r="I40" s="273"/>
    </row>
    <row r="41" spans="2:9" ht="14.1" customHeight="1" x14ac:dyDescent="0.25">
      <c r="B41" s="450" t="s">
        <v>8</v>
      </c>
      <c r="C41" s="442" t="s">
        <v>52</v>
      </c>
      <c r="D41" s="450" t="s">
        <v>2</v>
      </c>
      <c r="E41" s="489" t="s">
        <v>624</v>
      </c>
      <c r="F41" s="490"/>
      <c r="G41" s="489" t="s">
        <v>617</v>
      </c>
      <c r="H41" s="490"/>
      <c r="I41" s="450" t="s">
        <v>625</v>
      </c>
    </row>
    <row r="42" spans="2:9" ht="14.1" customHeight="1" x14ac:dyDescent="0.25">
      <c r="B42" s="450"/>
      <c r="C42" s="442"/>
      <c r="D42" s="450"/>
      <c r="E42" s="491"/>
      <c r="F42" s="492"/>
      <c r="G42" s="491"/>
      <c r="H42" s="492"/>
      <c r="I42" s="450"/>
    </row>
    <row r="43" spans="2:9" s="250" customFormat="1" ht="14.1" customHeight="1" x14ac:dyDescent="0.25">
      <c r="B43" s="267"/>
      <c r="C43" s="103"/>
      <c r="D43" s="249"/>
      <c r="E43" s="493"/>
      <c r="F43" s="493"/>
      <c r="G43" s="493"/>
      <c r="H43" s="493"/>
      <c r="I43" s="219"/>
    </row>
    <row r="44" spans="2:9" s="250" customFormat="1" ht="14.1" customHeight="1" x14ac:dyDescent="0.25">
      <c r="B44" s="268"/>
      <c r="C44" s="269"/>
      <c r="D44" s="97"/>
      <c r="E44" s="494"/>
      <c r="F44" s="494"/>
      <c r="G44" s="494"/>
      <c r="H44" s="494"/>
      <c r="I44" s="220"/>
    </row>
    <row r="45" spans="2:9" s="250" customFormat="1" ht="15" customHeight="1" x14ac:dyDescent="0.25">
      <c r="B45" s="486" t="s">
        <v>635</v>
      </c>
      <c r="C45" s="487"/>
      <c r="D45" s="487"/>
      <c r="E45" s="487"/>
      <c r="F45" s="487"/>
      <c r="G45" s="487"/>
      <c r="H45" s="488"/>
      <c r="I45" s="246">
        <f>SUM(I43:I44)</f>
        <v>0</v>
      </c>
    </row>
    <row r="46" spans="2:9" ht="5.0999999999999996" customHeight="1" x14ac:dyDescent="0.25">
      <c r="B46" s="273"/>
      <c r="C46" s="273"/>
      <c r="D46" s="273"/>
      <c r="E46" s="273"/>
      <c r="F46" s="273"/>
      <c r="G46" s="273"/>
      <c r="H46" s="273"/>
      <c r="I46" s="273"/>
    </row>
    <row r="47" spans="2:9" s="250" customFormat="1" ht="15" customHeight="1" x14ac:dyDescent="0.25">
      <c r="B47" s="486" t="s">
        <v>636</v>
      </c>
      <c r="C47" s="487"/>
      <c r="D47" s="487"/>
      <c r="E47" s="487"/>
      <c r="F47" s="487"/>
      <c r="G47" s="487"/>
      <c r="H47" s="488"/>
      <c r="I47" s="246">
        <f>I28+I39+I45</f>
        <v>487.17</v>
      </c>
    </row>
  </sheetData>
  <mergeCells count="63">
    <mergeCell ref="D41:D42"/>
    <mergeCell ref="B47:H47"/>
    <mergeCell ref="E35:F35"/>
    <mergeCell ref="G35:H35"/>
    <mergeCell ref="E36:F36"/>
    <mergeCell ref="E38:F38"/>
    <mergeCell ref="G38:H38"/>
    <mergeCell ref="G36:H36"/>
    <mergeCell ref="B45:H45"/>
    <mergeCell ref="E37:F37"/>
    <mergeCell ref="G37:H37"/>
    <mergeCell ref="B39:H39"/>
    <mergeCell ref="B41:B42"/>
    <mergeCell ref="C41:C42"/>
    <mergeCell ref="E32:F32"/>
    <mergeCell ref="G32:H32"/>
    <mergeCell ref="E33:F33"/>
    <mergeCell ref="G33:H33"/>
    <mergeCell ref="E34:F34"/>
    <mergeCell ref="G34:H34"/>
    <mergeCell ref="I41:I42"/>
    <mergeCell ref="E43:F43"/>
    <mergeCell ref="G43:H43"/>
    <mergeCell ref="E44:F44"/>
    <mergeCell ref="G44:H44"/>
    <mergeCell ref="E41:F42"/>
    <mergeCell ref="G41:H42"/>
    <mergeCell ref="I30:I31"/>
    <mergeCell ref="I19:I20"/>
    <mergeCell ref="E21:F21"/>
    <mergeCell ref="G21:H21"/>
    <mergeCell ref="E23:F23"/>
    <mergeCell ref="G23:H23"/>
    <mergeCell ref="B28:H28"/>
    <mergeCell ref="B24:H24"/>
    <mergeCell ref="B26:H26"/>
    <mergeCell ref="B30:B31"/>
    <mergeCell ref="C30:C31"/>
    <mergeCell ref="D30:D31"/>
    <mergeCell ref="E30:F31"/>
    <mergeCell ref="G30:H31"/>
    <mergeCell ref="E22:F22"/>
    <mergeCell ref="G22:H22"/>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686</v>
      </c>
      <c r="C11" s="483" t="s">
        <v>843</v>
      </c>
      <c r="D11" s="484"/>
      <c r="E11" s="484"/>
      <c r="F11" s="485"/>
      <c r="G11" s="79" t="s">
        <v>15</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288"/>
      <c r="H15" s="288"/>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88316</v>
      </c>
      <c r="C21" s="103" t="s">
        <v>619</v>
      </c>
      <c r="D21" s="249" t="s">
        <v>51</v>
      </c>
      <c r="E21" s="493">
        <v>22.76</v>
      </c>
      <c r="F21" s="493"/>
      <c r="G21" s="493">
        <v>0.4</v>
      </c>
      <c r="H21" s="493"/>
      <c r="I21" s="219">
        <f>TRUNC((E21*G21),2)</f>
        <v>9.1</v>
      </c>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9.1</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9.1</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9.1</v>
      </c>
    </row>
    <row r="28" spans="2:9" ht="5.0999999999999996" customHeight="1" x14ac:dyDescent="0.25">
      <c r="B28" s="273"/>
      <c r="C28" s="273"/>
      <c r="D28" s="273"/>
      <c r="E28" s="273"/>
      <c r="F28" s="273"/>
      <c r="G28" s="273"/>
      <c r="H28" s="273"/>
      <c r="I28" s="273"/>
    </row>
    <row r="29" spans="2:9" ht="14.1" customHeight="1" x14ac:dyDescent="0.25">
      <c r="B29" s="450" t="s">
        <v>8</v>
      </c>
      <c r="C29" s="442" t="s">
        <v>623</v>
      </c>
      <c r="D29" s="450" t="s">
        <v>604</v>
      </c>
      <c r="E29" s="489" t="s">
        <v>624</v>
      </c>
      <c r="F29" s="490"/>
      <c r="G29" s="489" t="s">
        <v>617</v>
      </c>
      <c r="H29" s="490"/>
      <c r="I29" s="450" t="s">
        <v>625</v>
      </c>
    </row>
    <row r="30" spans="2:9" ht="14.1" customHeight="1" x14ac:dyDescent="0.25">
      <c r="B30" s="450"/>
      <c r="C30" s="442"/>
      <c r="D30" s="450"/>
      <c r="E30" s="491"/>
      <c r="F30" s="492"/>
      <c r="G30" s="491"/>
      <c r="H30" s="492"/>
      <c r="I30" s="450"/>
    </row>
    <row r="31" spans="2:9" s="250" customFormat="1" ht="14.1" customHeight="1" x14ac:dyDescent="0.25">
      <c r="B31" s="267" t="s">
        <v>685</v>
      </c>
      <c r="C31" s="103" t="s">
        <v>684</v>
      </c>
      <c r="D31" s="287" t="s">
        <v>15</v>
      </c>
      <c r="E31" s="493">
        <v>132</v>
      </c>
      <c r="F31" s="493"/>
      <c r="G31" s="493">
        <v>1</v>
      </c>
      <c r="H31" s="493"/>
      <c r="I31" s="219">
        <f>TRUNC((E31*G31),2)</f>
        <v>132</v>
      </c>
    </row>
    <row r="32" spans="2:9" s="250" customFormat="1" ht="27.95" customHeight="1" x14ac:dyDescent="0.25">
      <c r="B32" s="67" t="s">
        <v>683</v>
      </c>
      <c r="C32" s="69" t="s">
        <v>682</v>
      </c>
      <c r="D32" s="73" t="s">
        <v>15</v>
      </c>
      <c r="E32" s="495">
        <v>0.14000000000000001</v>
      </c>
      <c r="F32" s="495"/>
      <c r="G32" s="495">
        <v>4</v>
      </c>
      <c r="H32" s="495"/>
      <c r="I32" s="221">
        <f>TRUNC((E32*G32),2)</f>
        <v>0.56000000000000005</v>
      </c>
    </row>
    <row r="33" spans="2:9" s="250" customFormat="1" ht="14.1" customHeight="1" x14ac:dyDescent="0.25">
      <c r="B33" s="268"/>
      <c r="C33" s="269"/>
      <c r="D33" s="97"/>
      <c r="E33" s="494"/>
      <c r="F33" s="494"/>
      <c r="G33" s="494"/>
      <c r="H33" s="494"/>
      <c r="I33" s="220"/>
    </row>
    <row r="34" spans="2:9" s="250" customFormat="1" ht="15" customHeight="1" x14ac:dyDescent="0.25">
      <c r="B34" s="486" t="s">
        <v>634</v>
      </c>
      <c r="C34" s="487"/>
      <c r="D34" s="487"/>
      <c r="E34" s="487"/>
      <c r="F34" s="487"/>
      <c r="G34" s="487"/>
      <c r="H34" s="488"/>
      <c r="I34" s="246">
        <f>SUM(I31:I33)</f>
        <v>132.56</v>
      </c>
    </row>
    <row r="35" spans="2:9" ht="5.0999999999999996" customHeight="1" x14ac:dyDescent="0.25">
      <c r="B35" s="273"/>
      <c r="C35" s="273"/>
      <c r="D35" s="273"/>
      <c r="E35" s="273"/>
      <c r="F35" s="273"/>
      <c r="G35" s="273"/>
      <c r="H35" s="273"/>
      <c r="I35" s="273"/>
    </row>
    <row r="36" spans="2:9" ht="14.1" customHeight="1" x14ac:dyDescent="0.25">
      <c r="B36" s="450" t="s">
        <v>8</v>
      </c>
      <c r="C36" s="442" t="s">
        <v>52</v>
      </c>
      <c r="D36" s="450" t="s">
        <v>2</v>
      </c>
      <c r="E36" s="489" t="s">
        <v>624</v>
      </c>
      <c r="F36" s="490"/>
      <c r="G36" s="489" t="s">
        <v>617</v>
      </c>
      <c r="H36" s="490"/>
      <c r="I36" s="450" t="s">
        <v>625</v>
      </c>
    </row>
    <row r="37" spans="2:9" ht="14.1" customHeight="1" x14ac:dyDescent="0.25">
      <c r="B37" s="450"/>
      <c r="C37" s="442"/>
      <c r="D37" s="450"/>
      <c r="E37" s="491"/>
      <c r="F37" s="492"/>
      <c r="G37" s="491"/>
      <c r="H37" s="492"/>
      <c r="I37" s="450"/>
    </row>
    <row r="38" spans="2:9" s="250" customFormat="1" ht="14.1" customHeight="1" x14ac:dyDescent="0.25">
      <c r="B38" s="267"/>
      <c r="C38" s="103"/>
      <c r="D38" s="249"/>
      <c r="E38" s="493"/>
      <c r="F38" s="493"/>
      <c r="G38" s="493"/>
      <c r="H38" s="493"/>
      <c r="I38" s="219"/>
    </row>
    <row r="39" spans="2:9" s="250" customFormat="1" ht="14.1" customHeight="1" x14ac:dyDescent="0.25">
      <c r="B39" s="268"/>
      <c r="C39" s="269"/>
      <c r="D39" s="97"/>
      <c r="E39" s="494"/>
      <c r="F39" s="494"/>
      <c r="G39" s="494"/>
      <c r="H39" s="494"/>
      <c r="I39" s="220"/>
    </row>
    <row r="40" spans="2:9" s="250" customFormat="1" ht="15" customHeight="1" x14ac:dyDescent="0.25">
      <c r="B40" s="486" t="s">
        <v>635</v>
      </c>
      <c r="C40" s="487"/>
      <c r="D40" s="487"/>
      <c r="E40" s="487"/>
      <c r="F40" s="487"/>
      <c r="G40" s="487"/>
      <c r="H40" s="488"/>
      <c r="I40" s="246">
        <f>SUM(I38:I39)</f>
        <v>0</v>
      </c>
    </row>
    <row r="41" spans="2:9" ht="5.0999999999999996" customHeight="1" x14ac:dyDescent="0.25">
      <c r="B41" s="273"/>
      <c r="C41" s="273"/>
      <c r="D41" s="273"/>
      <c r="E41" s="273"/>
      <c r="F41" s="273"/>
      <c r="G41" s="273"/>
      <c r="H41" s="273"/>
      <c r="I41" s="273"/>
    </row>
    <row r="42" spans="2:9" s="250" customFormat="1" ht="15" customHeight="1" x14ac:dyDescent="0.25">
      <c r="B42" s="486" t="s">
        <v>636</v>
      </c>
      <c r="C42" s="487"/>
      <c r="D42" s="487"/>
      <c r="E42" s="487"/>
      <c r="F42" s="487"/>
      <c r="G42" s="487"/>
      <c r="H42" s="488"/>
      <c r="I42" s="246">
        <f>I27+I34+I40</f>
        <v>141.66</v>
      </c>
    </row>
  </sheetData>
  <mergeCells count="53">
    <mergeCell ref="B42:H42"/>
    <mergeCell ref="I36:I37"/>
    <mergeCell ref="E38:F38"/>
    <mergeCell ref="G38:H38"/>
    <mergeCell ref="E39:F39"/>
    <mergeCell ref="G39:H39"/>
    <mergeCell ref="B40:H40"/>
    <mergeCell ref="B34:H34"/>
    <mergeCell ref="B36:B37"/>
    <mergeCell ref="C36:C37"/>
    <mergeCell ref="D36:D37"/>
    <mergeCell ref="E36:F37"/>
    <mergeCell ref="G36:H37"/>
    <mergeCell ref="I29:I30"/>
    <mergeCell ref="E31:F31"/>
    <mergeCell ref="G31:H31"/>
    <mergeCell ref="E32:F32"/>
    <mergeCell ref="G32:H32"/>
    <mergeCell ref="E33:F33"/>
    <mergeCell ref="G33:H33"/>
    <mergeCell ref="B29:B30"/>
    <mergeCell ref="C29:C30"/>
    <mergeCell ref="D29:D30"/>
    <mergeCell ref="E29:F30"/>
    <mergeCell ref="G29:H30"/>
    <mergeCell ref="E22:F22"/>
    <mergeCell ref="G22:H22"/>
    <mergeCell ref="B23:H23"/>
    <mergeCell ref="B25:H25"/>
    <mergeCell ref="B27:H27"/>
    <mergeCell ref="I19:I20"/>
    <mergeCell ref="E21:F21"/>
    <mergeCell ref="G21:H21"/>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5"/>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694</v>
      </c>
      <c r="C11" s="483" t="s">
        <v>693</v>
      </c>
      <c r="D11" s="484"/>
      <c r="E11" s="484"/>
      <c r="F11" s="485"/>
      <c r="G11" s="79" t="s">
        <v>15</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14.1" customHeight="1" x14ac:dyDescent="0.25">
      <c r="B15" s="267"/>
      <c r="C15" s="103"/>
      <c r="D15" s="219"/>
      <c r="E15" s="219"/>
      <c r="F15" s="219"/>
      <c r="G15" s="288"/>
      <c r="H15" s="288"/>
      <c r="I15" s="219"/>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250" customFormat="1" ht="14.1" customHeight="1" x14ac:dyDescent="0.25">
      <c r="B21" s="267">
        <v>88262</v>
      </c>
      <c r="C21" s="103" t="s">
        <v>618</v>
      </c>
      <c r="D21" s="249" t="s">
        <v>51</v>
      </c>
      <c r="E21" s="493">
        <v>27.74</v>
      </c>
      <c r="F21" s="493"/>
      <c r="G21" s="493">
        <v>0.25</v>
      </c>
      <c r="H21" s="493"/>
      <c r="I21" s="219">
        <f>TRUNC((E21*G21),2)</f>
        <v>6.93</v>
      </c>
    </row>
    <row r="22" spans="2:9" s="250" customFormat="1" ht="14.1" customHeight="1" x14ac:dyDescent="0.25">
      <c r="B22" s="67">
        <v>88310</v>
      </c>
      <c r="C22" s="69" t="s">
        <v>692</v>
      </c>
      <c r="D22" s="70" t="s">
        <v>51</v>
      </c>
      <c r="E22" s="495">
        <v>30.21</v>
      </c>
      <c r="F22" s="495"/>
      <c r="G22" s="495">
        <v>0.125</v>
      </c>
      <c r="H22" s="495"/>
      <c r="I22" s="221">
        <f>TRUNC((E22*G22),2)</f>
        <v>3.77</v>
      </c>
    </row>
    <row r="23" spans="2:9" s="250" customFormat="1" ht="14.1" customHeight="1" x14ac:dyDescent="0.25">
      <c r="B23" s="67">
        <v>88316</v>
      </c>
      <c r="C23" s="69" t="s">
        <v>619</v>
      </c>
      <c r="D23" s="70" t="s">
        <v>51</v>
      </c>
      <c r="E23" s="495">
        <v>22.76</v>
      </c>
      <c r="F23" s="495"/>
      <c r="G23" s="495">
        <v>0.5</v>
      </c>
      <c r="H23" s="495"/>
      <c r="I23" s="221">
        <f>TRUNC((E23*G23),2)</f>
        <v>11.38</v>
      </c>
    </row>
    <row r="24" spans="2:9" s="250" customFormat="1" ht="14.1" customHeight="1" x14ac:dyDescent="0.25">
      <c r="B24" s="268"/>
      <c r="C24" s="269"/>
      <c r="D24" s="97"/>
      <c r="E24" s="494"/>
      <c r="F24" s="494"/>
      <c r="G24" s="494"/>
      <c r="H24" s="494"/>
      <c r="I24" s="220"/>
    </row>
    <row r="25" spans="2:9" s="250" customFormat="1" ht="15" customHeight="1" x14ac:dyDescent="0.25">
      <c r="B25" s="486" t="s">
        <v>620</v>
      </c>
      <c r="C25" s="487"/>
      <c r="D25" s="487"/>
      <c r="E25" s="487"/>
      <c r="F25" s="487"/>
      <c r="G25" s="487"/>
      <c r="H25" s="488"/>
      <c r="I25" s="246">
        <f>SUM(I21:I24)</f>
        <v>22.08</v>
      </c>
    </row>
    <row r="26" spans="2:9" s="250" customFormat="1" ht="5.0999999999999996" customHeight="1" x14ac:dyDescent="0.25">
      <c r="B26" s="9"/>
      <c r="C26" s="8"/>
      <c r="D26" s="8"/>
      <c r="E26" s="8"/>
      <c r="F26" s="8"/>
      <c r="G26" s="8"/>
      <c r="H26" s="8"/>
      <c r="I26" s="8"/>
    </row>
    <row r="27" spans="2:9" s="250" customFormat="1" ht="15" customHeight="1" x14ac:dyDescent="0.25">
      <c r="B27" s="486" t="s">
        <v>621</v>
      </c>
      <c r="C27" s="487"/>
      <c r="D27" s="487"/>
      <c r="E27" s="487"/>
      <c r="F27" s="487"/>
      <c r="G27" s="487"/>
      <c r="H27" s="488"/>
      <c r="I27" s="246">
        <f>I17+I25</f>
        <v>22.08</v>
      </c>
    </row>
    <row r="28" spans="2:9" ht="5.0999999999999996" customHeight="1" x14ac:dyDescent="0.25">
      <c r="B28" s="273"/>
      <c r="C28" s="273"/>
      <c r="D28" s="273"/>
      <c r="E28" s="273"/>
      <c r="F28" s="273"/>
      <c r="G28" s="273"/>
      <c r="H28" s="273"/>
      <c r="I28" s="273"/>
    </row>
    <row r="29" spans="2:9" s="250" customFormat="1" ht="15" customHeight="1" x14ac:dyDescent="0.25">
      <c r="B29" s="486" t="s">
        <v>622</v>
      </c>
      <c r="C29" s="487"/>
      <c r="D29" s="487"/>
      <c r="E29" s="487"/>
      <c r="F29" s="487"/>
      <c r="G29" s="487"/>
      <c r="H29" s="488"/>
      <c r="I29" s="246">
        <f>ROUND((I27/H11),2)</f>
        <v>22.08</v>
      </c>
    </row>
    <row r="30" spans="2:9" ht="5.0999999999999996" customHeight="1" x14ac:dyDescent="0.25">
      <c r="B30" s="273"/>
      <c r="C30" s="273"/>
      <c r="D30" s="273"/>
      <c r="E30" s="273"/>
      <c r="F30" s="273"/>
      <c r="G30" s="273"/>
      <c r="H30" s="273"/>
      <c r="I30" s="273"/>
    </row>
    <row r="31" spans="2:9" ht="14.1" customHeight="1" x14ac:dyDescent="0.25">
      <c r="B31" s="450" t="s">
        <v>8</v>
      </c>
      <c r="C31" s="442" t="s">
        <v>623</v>
      </c>
      <c r="D31" s="450" t="s">
        <v>604</v>
      </c>
      <c r="E31" s="489" t="s">
        <v>624</v>
      </c>
      <c r="F31" s="490"/>
      <c r="G31" s="489" t="s">
        <v>617</v>
      </c>
      <c r="H31" s="490"/>
      <c r="I31" s="450" t="s">
        <v>625</v>
      </c>
    </row>
    <row r="32" spans="2:9" ht="14.1" customHeight="1" x14ac:dyDescent="0.25">
      <c r="B32" s="450"/>
      <c r="C32" s="442"/>
      <c r="D32" s="450"/>
      <c r="E32" s="491"/>
      <c r="F32" s="492"/>
      <c r="G32" s="491"/>
      <c r="H32" s="492"/>
      <c r="I32" s="450"/>
    </row>
    <row r="33" spans="2:9" s="250" customFormat="1" ht="27.95" customHeight="1" x14ac:dyDescent="0.25">
      <c r="B33" s="267" t="s">
        <v>628</v>
      </c>
      <c r="C33" s="103" t="s">
        <v>678</v>
      </c>
      <c r="D33" s="249" t="s">
        <v>14</v>
      </c>
      <c r="E33" s="493">
        <v>28.12</v>
      </c>
      <c r="F33" s="493"/>
      <c r="G33" s="493">
        <v>3.2</v>
      </c>
      <c r="H33" s="493"/>
      <c r="I33" s="219">
        <f>TRUNC((E33*G33),2)</f>
        <v>89.98</v>
      </c>
    </row>
    <row r="34" spans="2:9" s="250" customFormat="1" ht="27.95" customHeight="1" x14ac:dyDescent="0.25">
      <c r="B34" s="67" t="s">
        <v>691</v>
      </c>
      <c r="C34" s="69" t="s">
        <v>690</v>
      </c>
      <c r="D34" s="70" t="s">
        <v>14</v>
      </c>
      <c r="E34" s="495">
        <v>10.15</v>
      </c>
      <c r="F34" s="495"/>
      <c r="G34" s="495">
        <v>1.4</v>
      </c>
      <c r="H34" s="495"/>
      <c r="I34" s="221">
        <f>TRUNC((E34*G34),2)</f>
        <v>14.21</v>
      </c>
    </row>
    <row r="35" spans="2:9" s="250" customFormat="1" ht="14.1" customHeight="1" x14ac:dyDescent="0.25">
      <c r="B35" s="67" t="s">
        <v>689</v>
      </c>
      <c r="C35" s="69" t="s">
        <v>688</v>
      </c>
      <c r="D35" s="70" t="s">
        <v>687</v>
      </c>
      <c r="E35" s="495">
        <v>37.74</v>
      </c>
      <c r="F35" s="495"/>
      <c r="G35" s="495">
        <v>0.33</v>
      </c>
      <c r="H35" s="495"/>
      <c r="I35" s="221">
        <f>TRUNC((E35*G35),2)</f>
        <v>12.45</v>
      </c>
    </row>
    <row r="36" spans="2:9" s="250" customFormat="1" ht="14.1" customHeight="1" x14ac:dyDescent="0.25">
      <c r="B36" s="268"/>
      <c r="C36" s="269"/>
      <c r="D36" s="97"/>
      <c r="E36" s="494"/>
      <c r="F36" s="494"/>
      <c r="G36" s="494"/>
      <c r="H36" s="494"/>
      <c r="I36" s="220"/>
    </row>
    <row r="37" spans="2:9" s="250" customFormat="1" ht="15" customHeight="1" x14ac:dyDescent="0.25">
      <c r="B37" s="486" t="s">
        <v>634</v>
      </c>
      <c r="C37" s="487"/>
      <c r="D37" s="487"/>
      <c r="E37" s="487"/>
      <c r="F37" s="487"/>
      <c r="G37" s="487"/>
      <c r="H37" s="488"/>
      <c r="I37" s="246">
        <f>SUM(I33:I36)</f>
        <v>116.64</v>
      </c>
    </row>
    <row r="38" spans="2:9" ht="5.0999999999999996" customHeight="1" x14ac:dyDescent="0.25">
      <c r="B38" s="273"/>
      <c r="C38" s="273"/>
      <c r="D38" s="273"/>
      <c r="E38" s="273"/>
      <c r="F38" s="273"/>
      <c r="G38" s="273"/>
      <c r="H38" s="273"/>
      <c r="I38" s="273"/>
    </row>
    <row r="39" spans="2:9" ht="14.1" customHeight="1" x14ac:dyDescent="0.25">
      <c r="B39" s="450" t="s">
        <v>8</v>
      </c>
      <c r="C39" s="442" t="s">
        <v>52</v>
      </c>
      <c r="D39" s="450" t="s">
        <v>2</v>
      </c>
      <c r="E39" s="489" t="s">
        <v>624</v>
      </c>
      <c r="F39" s="490"/>
      <c r="G39" s="489" t="s">
        <v>617</v>
      </c>
      <c r="H39" s="490"/>
      <c r="I39" s="450" t="s">
        <v>625</v>
      </c>
    </row>
    <row r="40" spans="2:9" ht="14.1" customHeight="1" x14ac:dyDescent="0.25">
      <c r="B40" s="450"/>
      <c r="C40" s="442"/>
      <c r="D40" s="450"/>
      <c r="E40" s="491"/>
      <c r="F40" s="492"/>
      <c r="G40" s="491"/>
      <c r="H40" s="492"/>
      <c r="I40" s="450"/>
    </row>
    <row r="41" spans="2:9" s="250" customFormat="1" ht="14.1" customHeight="1" x14ac:dyDescent="0.25">
      <c r="B41" s="267"/>
      <c r="C41" s="103"/>
      <c r="D41" s="249"/>
      <c r="E41" s="493"/>
      <c r="F41" s="493"/>
      <c r="G41" s="493"/>
      <c r="H41" s="493"/>
      <c r="I41" s="219"/>
    </row>
    <row r="42" spans="2:9" s="250" customFormat="1" ht="14.1" customHeight="1" x14ac:dyDescent="0.25">
      <c r="B42" s="268"/>
      <c r="C42" s="269"/>
      <c r="D42" s="97"/>
      <c r="E42" s="494"/>
      <c r="F42" s="494"/>
      <c r="G42" s="494"/>
      <c r="H42" s="494"/>
      <c r="I42" s="220"/>
    </row>
    <row r="43" spans="2:9" s="250" customFormat="1" ht="15" customHeight="1" x14ac:dyDescent="0.25">
      <c r="B43" s="486" t="s">
        <v>635</v>
      </c>
      <c r="C43" s="487"/>
      <c r="D43" s="487"/>
      <c r="E43" s="487"/>
      <c r="F43" s="487"/>
      <c r="G43" s="487"/>
      <c r="H43" s="488"/>
      <c r="I43" s="246">
        <f>SUM(I41:I42)</f>
        <v>0</v>
      </c>
    </row>
    <row r="44" spans="2:9" ht="5.0999999999999996" customHeight="1" x14ac:dyDescent="0.25">
      <c r="B44" s="273"/>
      <c r="C44" s="273"/>
      <c r="D44" s="273"/>
      <c r="E44" s="273"/>
      <c r="F44" s="273"/>
      <c r="G44" s="273"/>
      <c r="H44" s="273"/>
      <c r="I44" s="273"/>
    </row>
    <row r="45" spans="2:9" s="250" customFormat="1" ht="15" customHeight="1" x14ac:dyDescent="0.25">
      <c r="B45" s="486" t="s">
        <v>636</v>
      </c>
      <c r="C45" s="487"/>
      <c r="D45" s="487"/>
      <c r="E45" s="487"/>
      <c r="F45" s="487"/>
      <c r="G45" s="487"/>
      <c r="H45" s="488"/>
      <c r="I45" s="246">
        <f>I29+I37+I43</f>
        <v>138.72</v>
      </c>
    </row>
  </sheetData>
  <mergeCells count="59">
    <mergeCell ref="G42:H42"/>
    <mergeCell ref="B43:H43"/>
    <mergeCell ref="G35:H35"/>
    <mergeCell ref="B45:H45"/>
    <mergeCell ref="B39:B40"/>
    <mergeCell ref="C39:C40"/>
    <mergeCell ref="D39:D40"/>
    <mergeCell ref="E39:F40"/>
    <mergeCell ref="G39:H40"/>
    <mergeCell ref="E41:F41"/>
    <mergeCell ref="G41:H41"/>
    <mergeCell ref="E42:F42"/>
    <mergeCell ref="I39:I40"/>
    <mergeCell ref="I31:I32"/>
    <mergeCell ref="E33:F33"/>
    <mergeCell ref="G33:H33"/>
    <mergeCell ref="E36:F36"/>
    <mergeCell ref="G36:H36"/>
    <mergeCell ref="B37:H37"/>
    <mergeCell ref="E34:F34"/>
    <mergeCell ref="G34:H34"/>
    <mergeCell ref="E35:F35"/>
    <mergeCell ref="B27:H27"/>
    <mergeCell ref="B29:H29"/>
    <mergeCell ref="B31:B32"/>
    <mergeCell ref="C31:C32"/>
    <mergeCell ref="D31:D32"/>
    <mergeCell ref="E31:F32"/>
    <mergeCell ref="G31:H32"/>
    <mergeCell ref="B25:H25"/>
    <mergeCell ref="E22:F22"/>
    <mergeCell ref="G22:H22"/>
    <mergeCell ref="E23:F23"/>
    <mergeCell ref="G23:H23"/>
    <mergeCell ref="I19:I20"/>
    <mergeCell ref="E21:F21"/>
    <mergeCell ref="G21:H21"/>
    <mergeCell ref="E24:F24"/>
    <mergeCell ref="G24:H24"/>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B8:I8"/>
    <mergeCell ref="G2:I2"/>
    <mergeCell ref="G3:I5"/>
    <mergeCell ref="G6:I6"/>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1"/>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695</v>
      </c>
      <c r="C11" s="483" t="s">
        <v>696</v>
      </c>
      <c r="D11" s="484"/>
      <c r="E11" s="484"/>
      <c r="F11" s="485"/>
      <c r="G11" s="79" t="s">
        <v>14</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42" customHeight="1" x14ac:dyDescent="0.25">
      <c r="B15" s="267">
        <v>91283</v>
      </c>
      <c r="C15" s="103" t="s">
        <v>674</v>
      </c>
      <c r="D15" s="219">
        <v>10.06</v>
      </c>
      <c r="E15" s="219">
        <v>0</v>
      </c>
      <c r="F15" s="219">
        <v>1</v>
      </c>
      <c r="G15" s="219">
        <v>8.3000000000000004E-2</v>
      </c>
      <c r="H15" s="219">
        <v>0</v>
      </c>
      <c r="I15" s="219">
        <f>TRUNC((D15*F15*G15),2)+TRUNC((E15*F15*H15),2)</f>
        <v>0.83</v>
      </c>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0.83</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88316</v>
      </c>
      <c r="C21" s="103" t="s">
        <v>619</v>
      </c>
      <c r="D21" s="249" t="s">
        <v>51</v>
      </c>
      <c r="E21" s="493">
        <v>22.76</v>
      </c>
      <c r="F21" s="493"/>
      <c r="G21" s="515">
        <v>8.3000000000000004E-2</v>
      </c>
      <c r="H21" s="515"/>
      <c r="I21" s="219">
        <f>TRUNC((E21*G21),2)</f>
        <v>1.88</v>
      </c>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1.88</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2.71</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2.71</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27.95" customHeight="1" x14ac:dyDescent="0.25">
      <c r="B31" s="267" t="s">
        <v>673</v>
      </c>
      <c r="C31" s="103" t="s">
        <v>672</v>
      </c>
      <c r="D31" s="287" t="s">
        <v>15</v>
      </c>
      <c r="E31" s="493">
        <v>250.05</v>
      </c>
      <c r="F31" s="493"/>
      <c r="G31" s="515">
        <v>2E-3</v>
      </c>
      <c r="H31" s="515"/>
      <c r="I31" s="219">
        <f>TRUNC((E31*G31),2)</f>
        <v>0.5</v>
      </c>
    </row>
    <row r="32" spans="2:9" s="250" customFormat="1" ht="14.1" customHeight="1" x14ac:dyDescent="0.25">
      <c r="B32" s="268"/>
      <c r="C32" s="269"/>
      <c r="D32" s="97"/>
      <c r="E32" s="494"/>
      <c r="F32" s="494"/>
      <c r="G32" s="494"/>
      <c r="H32" s="494"/>
      <c r="I32" s="220"/>
    </row>
    <row r="33" spans="2:9" s="250" customFormat="1" ht="15" customHeight="1" x14ac:dyDescent="0.25">
      <c r="B33" s="486" t="s">
        <v>634</v>
      </c>
      <c r="C33" s="487"/>
      <c r="D33" s="487"/>
      <c r="E33" s="487"/>
      <c r="F33" s="487"/>
      <c r="G33" s="487"/>
      <c r="H33" s="488"/>
      <c r="I33" s="246">
        <f>SUM(I31:I32)</f>
        <v>0.5</v>
      </c>
    </row>
    <row r="34" spans="2:9" ht="5.0999999999999996" customHeight="1" x14ac:dyDescent="0.25">
      <c r="B34" s="273"/>
      <c r="C34" s="273"/>
      <c r="D34" s="273"/>
      <c r="E34" s="273"/>
      <c r="F34" s="273"/>
      <c r="G34" s="273"/>
      <c r="H34" s="273"/>
      <c r="I34" s="273"/>
    </row>
    <row r="35" spans="2:9" ht="14.1" customHeight="1" x14ac:dyDescent="0.25">
      <c r="B35" s="450" t="s">
        <v>8</v>
      </c>
      <c r="C35" s="442" t="s">
        <v>52</v>
      </c>
      <c r="D35" s="450" t="s">
        <v>2</v>
      </c>
      <c r="E35" s="489" t="s">
        <v>624</v>
      </c>
      <c r="F35" s="490"/>
      <c r="G35" s="489" t="s">
        <v>617</v>
      </c>
      <c r="H35" s="490"/>
      <c r="I35" s="450" t="s">
        <v>625</v>
      </c>
    </row>
    <row r="36" spans="2:9" ht="14.1" customHeight="1" x14ac:dyDescent="0.25">
      <c r="B36" s="450"/>
      <c r="C36" s="442"/>
      <c r="D36" s="450"/>
      <c r="E36" s="491"/>
      <c r="F36" s="492"/>
      <c r="G36" s="491"/>
      <c r="H36" s="492"/>
      <c r="I36" s="450"/>
    </row>
    <row r="37" spans="2:9" s="250" customFormat="1" ht="14.1" customHeight="1" x14ac:dyDescent="0.25">
      <c r="B37" s="267"/>
      <c r="C37" s="103"/>
      <c r="D37" s="249"/>
      <c r="E37" s="493"/>
      <c r="F37" s="493"/>
      <c r="G37" s="493"/>
      <c r="H37" s="493"/>
      <c r="I37" s="219"/>
    </row>
    <row r="38" spans="2:9" s="250" customFormat="1" ht="14.1" customHeight="1" x14ac:dyDescent="0.25">
      <c r="B38" s="268"/>
      <c r="C38" s="269"/>
      <c r="D38" s="97"/>
      <c r="E38" s="494"/>
      <c r="F38" s="494"/>
      <c r="G38" s="494"/>
      <c r="H38" s="494"/>
      <c r="I38" s="220"/>
    </row>
    <row r="39" spans="2:9" s="250" customFormat="1" ht="15" customHeight="1" x14ac:dyDescent="0.25">
      <c r="B39" s="486" t="s">
        <v>635</v>
      </c>
      <c r="C39" s="487"/>
      <c r="D39" s="487"/>
      <c r="E39" s="487"/>
      <c r="F39" s="487"/>
      <c r="G39" s="487"/>
      <c r="H39" s="488"/>
      <c r="I39" s="246">
        <f>SUM(I37:I38)</f>
        <v>0</v>
      </c>
    </row>
    <row r="40" spans="2:9" ht="5.0999999999999996" customHeight="1" x14ac:dyDescent="0.25">
      <c r="B40" s="273"/>
      <c r="C40" s="273"/>
      <c r="D40" s="273"/>
      <c r="E40" s="273"/>
      <c r="F40" s="273"/>
      <c r="G40" s="273"/>
      <c r="H40" s="273"/>
      <c r="I40" s="273"/>
    </row>
    <row r="41" spans="2:9" s="250" customFormat="1" ht="15" customHeight="1" x14ac:dyDescent="0.25">
      <c r="B41" s="486" t="s">
        <v>636</v>
      </c>
      <c r="C41" s="487"/>
      <c r="D41" s="487"/>
      <c r="E41" s="487"/>
      <c r="F41" s="487"/>
      <c r="G41" s="487"/>
      <c r="H41" s="488"/>
      <c r="I41" s="246">
        <f>I27+I33+I39</f>
        <v>3.21</v>
      </c>
    </row>
  </sheetData>
  <mergeCells count="51">
    <mergeCell ref="B41:H41"/>
    <mergeCell ref="B35:B36"/>
    <mergeCell ref="C35:C36"/>
    <mergeCell ref="D35:D36"/>
    <mergeCell ref="E35:F36"/>
    <mergeCell ref="G35:H36"/>
    <mergeCell ref="E37:F37"/>
    <mergeCell ref="G37:H37"/>
    <mergeCell ref="E38:F38"/>
    <mergeCell ref="G38:H38"/>
    <mergeCell ref="B39:H39"/>
    <mergeCell ref="I35:I36"/>
    <mergeCell ref="I29:I30"/>
    <mergeCell ref="E31:F31"/>
    <mergeCell ref="G31:H31"/>
    <mergeCell ref="E32:F32"/>
    <mergeCell ref="G32:H32"/>
    <mergeCell ref="B33:H33"/>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0"/>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100"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84"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244" t="s">
        <v>50</v>
      </c>
      <c r="C10" s="442" t="s">
        <v>1</v>
      </c>
      <c r="D10" s="442"/>
      <c r="E10" s="442"/>
      <c r="F10" s="442"/>
      <c r="G10" s="244" t="s">
        <v>604</v>
      </c>
      <c r="H10" s="442" t="s">
        <v>605</v>
      </c>
      <c r="I10" s="442"/>
    </row>
    <row r="11" spans="2:15" s="250" customFormat="1" ht="14.1" customHeight="1" x14ac:dyDescent="0.25">
      <c r="B11" s="266" t="s">
        <v>699</v>
      </c>
      <c r="C11" s="483" t="s">
        <v>698</v>
      </c>
      <c r="D11" s="484"/>
      <c r="E11" s="484"/>
      <c r="F11" s="485"/>
      <c r="G11" s="79"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244" t="s">
        <v>612</v>
      </c>
      <c r="E14" s="244" t="s">
        <v>613</v>
      </c>
      <c r="F14" s="450"/>
      <c r="G14" s="244" t="s">
        <v>612</v>
      </c>
      <c r="H14" s="244" t="s">
        <v>613</v>
      </c>
      <c r="I14" s="450"/>
    </row>
    <row r="15" spans="2:15" s="250" customFormat="1" ht="27.95" customHeight="1" x14ac:dyDescent="0.25">
      <c r="B15" s="267">
        <v>91533</v>
      </c>
      <c r="C15" s="103" t="s">
        <v>871</v>
      </c>
      <c r="D15" s="219">
        <v>39.04</v>
      </c>
      <c r="E15" s="219">
        <v>0</v>
      </c>
      <c r="F15" s="219">
        <v>1</v>
      </c>
      <c r="G15" s="373">
        <v>4.8000000000000001E-2</v>
      </c>
      <c r="H15" s="219">
        <v>0</v>
      </c>
      <c r="I15" s="219">
        <f>TRUNC((D15*F15*G15),2)+TRUNC((E15*F15*H15),2)</f>
        <v>1.87</v>
      </c>
    </row>
    <row r="16" spans="2:15" s="250" customFormat="1" ht="14.1" customHeight="1" x14ac:dyDescent="0.25">
      <c r="B16" s="268"/>
      <c r="C16" s="269"/>
      <c r="D16" s="220"/>
      <c r="E16" s="220"/>
      <c r="F16" s="220"/>
      <c r="G16" s="220"/>
      <c r="H16" s="220"/>
      <c r="I16" s="220"/>
    </row>
    <row r="17" spans="2:9" s="250" customFormat="1" ht="15" customHeight="1" x14ac:dyDescent="0.25">
      <c r="B17" s="486" t="s">
        <v>614</v>
      </c>
      <c r="C17" s="487"/>
      <c r="D17" s="487"/>
      <c r="E17" s="487"/>
      <c r="F17" s="487"/>
      <c r="G17" s="487"/>
      <c r="H17" s="488"/>
      <c r="I17" s="246">
        <f>SUM(I15:I16)</f>
        <v>1.87</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88316</v>
      </c>
      <c r="C21" s="103" t="s">
        <v>619</v>
      </c>
      <c r="D21" s="249" t="s">
        <v>51</v>
      </c>
      <c r="E21" s="493">
        <v>22.76</v>
      </c>
      <c r="F21" s="493"/>
      <c r="G21" s="493">
        <v>0.25</v>
      </c>
      <c r="H21" s="493"/>
      <c r="I21" s="219">
        <f>TRUNC((E21*G21),2)</f>
        <v>5.69</v>
      </c>
    </row>
    <row r="22" spans="2:9" s="250" customFormat="1" ht="14.1" customHeight="1" x14ac:dyDescent="0.25">
      <c r="B22" s="268"/>
      <c r="C22" s="269"/>
      <c r="D22" s="97"/>
      <c r="E22" s="494"/>
      <c r="F22" s="494"/>
      <c r="G22" s="494"/>
      <c r="H22" s="494"/>
      <c r="I22" s="220"/>
    </row>
    <row r="23" spans="2:9" s="250" customFormat="1" ht="15" customHeight="1" x14ac:dyDescent="0.25">
      <c r="B23" s="486" t="s">
        <v>620</v>
      </c>
      <c r="C23" s="487"/>
      <c r="D23" s="487"/>
      <c r="E23" s="487"/>
      <c r="F23" s="487"/>
      <c r="G23" s="487"/>
      <c r="H23" s="488"/>
      <c r="I23" s="246">
        <f>SUM(I21:I22)</f>
        <v>5.69</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246">
        <f>I17+I23</f>
        <v>7.5600000000000005</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246">
        <f>ROUND((I25/H11),2)</f>
        <v>7.56</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14.1" customHeight="1" x14ac:dyDescent="0.25">
      <c r="B31" s="268"/>
      <c r="C31" s="269"/>
      <c r="D31" s="97"/>
      <c r="E31" s="494"/>
      <c r="F31" s="494"/>
      <c r="G31" s="494"/>
      <c r="H31" s="494"/>
      <c r="I31" s="220"/>
    </row>
    <row r="32" spans="2:9" s="250" customFormat="1" ht="15" customHeight="1" x14ac:dyDescent="0.25">
      <c r="B32" s="486" t="s">
        <v>634</v>
      </c>
      <c r="C32" s="487"/>
      <c r="D32" s="487"/>
      <c r="E32" s="487"/>
      <c r="F32" s="487"/>
      <c r="G32" s="487"/>
      <c r="H32" s="488"/>
      <c r="I32" s="246">
        <f>SUM(I31:I31)</f>
        <v>0</v>
      </c>
    </row>
    <row r="33" spans="2:9" ht="5.0999999999999996" customHeight="1" x14ac:dyDescent="0.25">
      <c r="B33" s="273"/>
      <c r="C33" s="273"/>
      <c r="D33" s="273"/>
      <c r="E33" s="273"/>
      <c r="F33" s="273"/>
      <c r="G33" s="273"/>
      <c r="H33" s="273"/>
      <c r="I33" s="273"/>
    </row>
    <row r="34" spans="2:9" ht="14.1" customHeight="1" x14ac:dyDescent="0.25">
      <c r="B34" s="450" t="s">
        <v>8</v>
      </c>
      <c r="C34" s="442" t="s">
        <v>52</v>
      </c>
      <c r="D34" s="450" t="s">
        <v>2</v>
      </c>
      <c r="E34" s="489" t="s">
        <v>624</v>
      </c>
      <c r="F34" s="490"/>
      <c r="G34" s="489" t="s">
        <v>617</v>
      </c>
      <c r="H34" s="490"/>
      <c r="I34" s="450" t="s">
        <v>625</v>
      </c>
    </row>
    <row r="35" spans="2:9" ht="14.1" customHeight="1" x14ac:dyDescent="0.25">
      <c r="B35" s="450"/>
      <c r="C35" s="442"/>
      <c r="D35" s="450"/>
      <c r="E35" s="491"/>
      <c r="F35" s="492"/>
      <c r="G35" s="491"/>
      <c r="H35" s="492"/>
      <c r="I35" s="450"/>
    </row>
    <row r="36" spans="2:9" s="250" customFormat="1" ht="14.1" customHeight="1" x14ac:dyDescent="0.25">
      <c r="B36" s="267"/>
      <c r="C36" s="103"/>
      <c r="D36" s="249"/>
      <c r="E36" s="493"/>
      <c r="F36" s="493"/>
      <c r="G36" s="493"/>
      <c r="H36" s="493"/>
      <c r="I36" s="219"/>
    </row>
    <row r="37" spans="2:9" s="250" customFormat="1" ht="14.1" customHeight="1" x14ac:dyDescent="0.25">
      <c r="B37" s="268"/>
      <c r="C37" s="269"/>
      <c r="D37" s="97"/>
      <c r="E37" s="494"/>
      <c r="F37" s="494"/>
      <c r="G37" s="494"/>
      <c r="H37" s="494"/>
      <c r="I37" s="220"/>
    </row>
    <row r="38" spans="2:9" s="250" customFormat="1" ht="15" customHeight="1" x14ac:dyDescent="0.25">
      <c r="B38" s="486" t="s">
        <v>635</v>
      </c>
      <c r="C38" s="487"/>
      <c r="D38" s="487"/>
      <c r="E38" s="487"/>
      <c r="F38" s="487"/>
      <c r="G38" s="487"/>
      <c r="H38" s="488"/>
      <c r="I38" s="246">
        <f>SUM(I36:I37)</f>
        <v>0</v>
      </c>
    </row>
    <row r="39" spans="2:9" ht="5.0999999999999996" customHeight="1" x14ac:dyDescent="0.25">
      <c r="B39" s="273"/>
      <c r="C39" s="273"/>
      <c r="D39" s="273"/>
      <c r="E39" s="273"/>
      <c r="F39" s="273"/>
      <c r="G39" s="273"/>
      <c r="H39" s="273"/>
      <c r="I39" s="273"/>
    </row>
    <row r="40" spans="2:9" s="250" customFormat="1" ht="15" customHeight="1" x14ac:dyDescent="0.25">
      <c r="B40" s="486" t="s">
        <v>636</v>
      </c>
      <c r="C40" s="487"/>
      <c r="D40" s="487"/>
      <c r="E40" s="487"/>
      <c r="F40" s="487"/>
      <c r="G40" s="487"/>
      <c r="H40" s="488"/>
      <c r="I40" s="246">
        <f>I27+I32+I38</f>
        <v>7.56</v>
      </c>
    </row>
  </sheetData>
  <mergeCells count="49">
    <mergeCell ref="B40:H40"/>
    <mergeCell ref="B34:B35"/>
    <mergeCell ref="C34:C35"/>
    <mergeCell ref="D34:D35"/>
    <mergeCell ref="E34:F35"/>
    <mergeCell ref="G34:H35"/>
    <mergeCell ref="E36:F36"/>
    <mergeCell ref="G36:H36"/>
    <mergeCell ref="E37:F37"/>
    <mergeCell ref="G37:H37"/>
    <mergeCell ref="B38:H38"/>
    <mergeCell ref="I34:I35"/>
    <mergeCell ref="I29:I30"/>
    <mergeCell ref="E31:F31"/>
    <mergeCell ref="G31:H31"/>
    <mergeCell ref="B32:H32"/>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O40"/>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35"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336"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28" t="s">
        <v>50</v>
      </c>
      <c r="C10" s="442" t="s">
        <v>1</v>
      </c>
      <c r="D10" s="442"/>
      <c r="E10" s="442"/>
      <c r="F10" s="442"/>
      <c r="G10" s="328" t="s">
        <v>604</v>
      </c>
      <c r="H10" s="442" t="s">
        <v>605</v>
      </c>
      <c r="I10" s="442"/>
    </row>
    <row r="11" spans="2:15" s="250" customFormat="1" ht="14.1" customHeight="1" x14ac:dyDescent="0.25">
      <c r="B11" s="266" t="s">
        <v>798</v>
      </c>
      <c r="C11" s="483" t="s">
        <v>799</v>
      </c>
      <c r="D11" s="484"/>
      <c r="E11" s="484"/>
      <c r="F11" s="485"/>
      <c r="G11" s="79" t="s">
        <v>16</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28" t="s">
        <v>612</v>
      </c>
      <c r="E14" s="328" t="s">
        <v>613</v>
      </c>
      <c r="F14" s="450"/>
      <c r="G14" s="328" t="s">
        <v>612</v>
      </c>
      <c r="H14" s="328" t="s">
        <v>613</v>
      </c>
      <c r="I14" s="450"/>
    </row>
    <row r="15" spans="2:15" s="250" customFormat="1" ht="14.1" customHeight="1" x14ac:dyDescent="0.25">
      <c r="B15" s="267"/>
      <c r="C15" s="103"/>
      <c r="D15" s="332"/>
      <c r="E15" s="332"/>
      <c r="F15" s="332"/>
      <c r="G15" s="337"/>
      <c r="H15" s="332"/>
      <c r="I15" s="332"/>
    </row>
    <row r="16" spans="2:15" s="250" customFormat="1" ht="14.1" customHeight="1" x14ac:dyDescent="0.25">
      <c r="B16" s="268"/>
      <c r="C16" s="269"/>
      <c r="D16" s="333"/>
      <c r="E16" s="333"/>
      <c r="F16" s="333"/>
      <c r="G16" s="333"/>
      <c r="H16" s="333"/>
      <c r="I16" s="333"/>
    </row>
    <row r="17" spans="2:9" s="250" customFormat="1" ht="15" customHeight="1" x14ac:dyDescent="0.25">
      <c r="B17" s="486" t="s">
        <v>614</v>
      </c>
      <c r="C17" s="487"/>
      <c r="D17" s="487"/>
      <c r="E17" s="487"/>
      <c r="F17" s="487"/>
      <c r="G17" s="487"/>
      <c r="H17" s="488"/>
      <c r="I17" s="329">
        <f>SUM(I15:I16)</f>
        <v>0</v>
      </c>
    </row>
    <row r="18" spans="2:9" s="250" customFormat="1" ht="5.0999999999999996" customHeight="1" x14ac:dyDescent="0.25">
      <c r="B18" s="8"/>
      <c r="C18" s="8"/>
      <c r="D18" s="8"/>
      <c r="E18" s="8"/>
      <c r="F18" s="8"/>
      <c r="G18" s="8"/>
      <c r="H18" s="8"/>
      <c r="I18" s="8"/>
    </row>
    <row r="19" spans="2:9" ht="14.1" customHeight="1" x14ac:dyDescent="0.25">
      <c r="B19" s="450" t="s">
        <v>8</v>
      </c>
      <c r="C19" s="442" t="s">
        <v>615</v>
      </c>
      <c r="D19" s="450" t="s">
        <v>604</v>
      </c>
      <c r="E19" s="489" t="s">
        <v>616</v>
      </c>
      <c r="F19" s="490"/>
      <c r="G19" s="489" t="s">
        <v>617</v>
      </c>
      <c r="H19" s="490"/>
      <c r="I19" s="450" t="s">
        <v>611</v>
      </c>
    </row>
    <row r="20" spans="2:9" ht="14.1" customHeight="1" x14ac:dyDescent="0.25">
      <c r="B20" s="450"/>
      <c r="C20" s="442"/>
      <c r="D20" s="450"/>
      <c r="E20" s="491"/>
      <c r="F20" s="492"/>
      <c r="G20" s="491"/>
      <c r="H20" s="492"/>
      <c r="I20" s="450"/>
    </row>
    <row r="21" spans="2:9" s="8" customFormat="1" ht="14.1" customHeight="1" x14ac:dyDescent="0.25">
      <c r="B21" s="267">
        <v>88316</v>
      </c>
      <c r="C21" s="103" t="s">
        <v>619</v>
      </c>
      <c r="D21" s="331" t="s">
        <v>51</v>
      </c>
      <c r="E21" s="493">
        <v>22.76</v>
      </c>
      <c r="F21" s="493"/>
      <c r="G21" s="515">
        <v>2</v>
      </c>
      <c r="H21" s="515"/>
      <c r="I21" s="332">
        <f>ROUND((E21*G21),2)</f>
        <v>45.52</v>
      </c>
    </row>
    <row r="22" spans="2:9" s="250" customFormat="1" ht="14.1" customHeight="1" x14ac:dyDescent="0.25">
      <c r="B22" s="268"/>
      <c r="C22" s="269"/>
      <c r="D22" s="97"/>
      <c r="E22" s="494"/>
      <c r="F22" s="494"/>
      <c r="G22" s="494"/>
      <c r="H22" s="494"/>
      <c r="I22" s="333"/>
    </row>
    <row r="23" spans="2:9" s="250" customFormat="1" ht="15" customHeight="1" x14ac:dyDescent="0.25">
      <c r="B23" s="486" t="s">
        <v>620</v>
      </c>
      <c r="C23" s="487"/>
      <c r="D23" s="487"/>
      <c r="E23" s="487"/>
      <c r="F23" s="487"/>
      <c r="G23" s="487"/>
      <c r="H23" s="488"/>
      <c r="I23" s="329">
        <f>SUM(I21:I22)</f>
        <v>45.52</v>
      </c>
    </row>
    <row r="24" spans="2:9" s="250" customFormat="1" ht="5.0999999999999996" customHeight="1" x14ac:dyDescent="0.25">
      <c r="B24" s="9"/>
      <c r="C24" s="8"/>
      <c r="D24" s="8"/>
      <c r="E24" s="8"/>
      <c r="F24" s="8"/>
      <c r="G24" s="8"/>
      <c r="H24" s="8"/>
      <c r="I24" s="8"/>
    </row>
    <row r="25" spans="2:9" s="250" customFormat="1" ht="15" customHeight="1" x14ac:dyDescent="0.25">
      <c r="B25" s="486" t="s">
        <v>621</v>
      </c>
      <c r="C25" s="487"/>
      <c r="D25" s="487"/>
      <c r="E25" s="487"/>
      <c r="F25" s="487"/>
      <c r="G25" s="487"/>
      <c r="H25" s="488"/>
      <c r="I25" s="329">
        <f>I17+I23</f>
        <v>45.52</v>
      </c>
    </row>
    <row r="26" spans="2:9" ht="5.0999999999999996" customHeight="1" x14ac:dyDescent="0.25">
      <c r="B26" s="273"/>
      <c r="C26" s="273"/>
      <c r="D26" s="273"/>
      <c r="E26" s="273"/>
      <c r="F26" s="273"/>
      <c r="G26" s="273"/>
      <c r="H26" s="273"/>
      <c r="I26" s="273"/>
    </row>
    <row r="27" spans="2:9" s="250" customFormat="1" ht="15" customHeight="1" x14ac:dyDescent="0.25">
      <c r="B27" s="486" t="s">
        <v>622</v>
      </c>
      <c r="C27" s="487"/>
      <c r="D27" s="487"/>
      <c r="E27" s="487"/>
      <c r="F27" s="487"/>
      <c r="G27" s="487"/>
      <c r="H27" s="488"/>
      <c r="I27" s="329">
        <f>ROUND((I25/H11),2)</f>
        <v>45.52</v>
      </c>
    </row>
    <row r="28" spans="2:9" ht="5.0999999999999996" customHeight="1" x14ac:dyDescent="0.25">
      <c r="B28" s="273"/>
      <c r="C28" s="273"/>
      <c r="D28" s="273"/>
      <c r="E28" s="273"/>
      <c r="F28" s="273"/>
      <c r="G28" s="273"/>
      <c r="H28" s="273"/>
      <c r="I28" s="273"/>
    </row>
    <row r="29" spans="2:9" ht="14.1" customHeight="1" x14ac:dyDescent="0.25">
      <c r="B29" s="448" t="s">
        <v>8</v>
      </c>
      <c r="C29" s="499" t="s">
        <v>623</v>
      </c>
      <c r="D29" s="448" t="s">
        <v>604</v>
      </c>
      <c r="E29" s="489" t="s">
        <v>624</v>
      </c>
      <c r="F29" s="490"/>
      <c r="G29" s="489" t="s">
        <v>617</v>
      </c>
      <c r="H29" s="490"/>
      <c r="I29" s="448" t="s">
        <v>625</v>
      </c>
    </row>
    <row r="30" spans="2:9" ht="14.1" customHeight="1" x14ac:dyDescent="0.25">
      <c r="B30" s="449"/>
      <c r="C30" s="500"/>
      <c r="D30" s="449"/>
      <c r="E30" s="491"/>
      <c r="F30" s="492"/>
      <c r="G30" s="491"/>
      <c r="H30" s="492"/>
      <c r="I30" s="449"/>
    </row>
    <row r="31" spans="2:9" s="250" customFormat="1" ht="14.1" customHeight="1" x14ac:dyDescent="0.25">
      <c r="B31" s="268"/>
      <c r="C31" s="269"/>
      <c r="D31" s="97"/>
      <c r="E31" s="494"/>
      <c r="F31" s="494"/>
      <c r="G31" s="494"/>
      <c r="H31" s="494"/>
      <c r="I31" s="333"/>
    </row>
    <row r="32" spans="2:9" s="250" customFormat="1" ht="15" customHeight="1" x14ac:dyDescent="0.25">
      <c r="B32" s="486" t="s">
        <v>634</v>
      </c>
      <c r="C32" s="487"/>
      <c r="D32" s="487"/>
      <c r="E32" s="487"/>
      <c r="F32" s="487"/>
      <c r="G32" s="487"/>
      <c r="H32" s="488"/>
      <c r="I32" s="329">
        <f>SUM(I31:I31)</f>
        <v>0</v>
      </c>
    </row>
    <row r="33" spans="2:9" ht="5.0999999999999996" customHeight="1" x14ac:dyDescent="0.25">
      <c r="B33" s="273"/>
      <c r="C33" s="273"/>
      <c r="D33" s="273"/>
      <c r="E33" s="273"/>
      <c r="F33" s="273"/>
      <c r="G33" s="273"/>
      <c r="H33" s="273"/>
      <c r="I33" s="273"/>
    </row>
    <row r="34" spans="2:9" ht="14.1" customHeight="1" x14ac:dyDescent="0.25">
      <c r="B34" s="450" t="s">
        <v>8</v>
      </c>
      <c r="C34" s="442" t="s">
        <v>52</v>
      </c>
      <c r="D34" s="450" t="s">
        <v>2</v>
      </c>
      <c r="E34" s="489" t="s">
        <v>624</v>
      </c>
      <c r="F34" s="490"/>
      <c r="G34" s="489" t="s">
        <v>617</v>
      </c>
      <c r="H34" s="490"/>
      <c r="I34" s="450" t="s">
        <v>625</v>
      </c>
    </row>
    <row r="35" spans="2:9" ht="14.1" customHeight="1" x14ac:dyDescent="0.25">
      <c r="B35" s="450"/>
      <c r="C35" s="442"/>
      <c r="D35" s="450"/>
      <c r="E35" s="491"/>
      <c r="F35" s="492"/>
      <c r="G35" s="491"/>
      <c r="H35" s="492"/>
      <c r="I35" s="450"/>
    </row>
    <row r="36" spans="2:9" s="250" customFormat="1" ht="14.1" customHeight="1" x14ac:dyDescent="0.25">
      <c r="B36" s="267"/>
      <c r="C36" s="103"/>
      <c r="D36" s="331"/>
      <c r="E36" s="493"/>
      <c r="F36" s="493"/>
      <c r="G36" s="493"/>
      <c r="H36" s="493"/>
      <c r="I36" s="332"/>
    </row>
    <row r="37" spans="2:9" s="250" customFormat="1" ht="14.1" customHeight="1" x14ac:dyDescent="0.25">
      <c r="B37" s="268"/>
      <c r="C37" s="269"/>
      <c r="D37" s="97"/>
      <c r="E37" s="494"/>
      <c r="F37" s="494"/>
      <c r="G37" s="494"/>
      <c r="H37" s="494"/>
      <c r="I37" s="333"/>
    </row>
    <row r="38" spans="2:9" s="250" customFormat="1" ht="15" customHeight="1" x14ac:dyDescent="0.25">
      <c r="B38" s="486" t="s">
        <v>635</v>
      </c>
      <c r="C38" s="487"/>
      <c r="D38" s="487"/>
      <c r="E38" s="487"/>
      <c r="F38" s="487"/>
      <c r="G38" s="487"/>
      <c r="H38" s="488"/>
      <c r="I38" s="329">
        <f>SUM(I36:I37)</f>
        <v>0</v>
      </c>
    </row>
    <row r="39" spans="2:9" ht="5.0999999999999996" customHeight="1" x14ac:dyDescent="0.25">
      <c r="B39" s="273"/>
      <c r="C39" s="273"/>
      <c r="D39" s="273"/>
      <c r="E39" s="273"/>
      <c r="F39" s="273"/>
      <c r="G39" s="273"/>
      <c r="H39" s="273"/>
      <c r="I39" s="273"/>
    </row>
    <row r="40" spans="2:9" s="250" customFormat="1" ht="15" customHeight="1" x14ac:dyDescent="0.25">
      <c r="B40" s="486" t="s">
        <v>636</v>
      </c>
      <c r="C40" s="487"/>
      <c r="D40" s="487"/>
      <c r="E40" s="487"/>
      <c r="F40" s="487"/>
      <c r="G40" s="487"/>
      <c r="H40" s="488"/>
      <c r="I40" s="329">
        <f>I27+I32+I38</f>
        <v>45.52</v>
      </c>
    </row>
  </sheetData>
  <mergeCells count="49">
    <mergeCell ref="B40:H40"/>
    <mergeCell ref="I29:I30"/>
    <mergeCell ref="E31:F31"/>
    <mergeCell ref="G31:H31"/>
    <mergeCell ref="B32:H32"/>
    <mergeCell ref="B34:B35"/>
    <mergeCell ref="C34:C35"/>
    <mergeCell ref="D34:D35"/>
    <mergeCell ref="E34:F35"/>
    <mergeCell ref="G34:H35"/>
    <mergeCell ref="I34:I35"/>
    <mergeCell ref="E36:F36"/>
    <mergeCell ref="G36:H36"/>
    <mergeCell ref="E37:F37"/>
    <mergeCell ref="G37:H37"/>
    <mergeCell ref="B38:H38"/>
    <mergeCell ref="B25:H25"/>
    <mergeCell ref="B27:H27"/>
    <mergeCell ref="B29:B30"/>
    <mergeCell ref="C29:C30"/>
    <mergeCell ref="D29:D30"/>
    <mergeCell ref="E29:F30"/>
    <mergeCell ref="G29:H30"/>
    <mergeCell ref="I19:I20"/>
    <mergeCell ref="E21:F21"/>
    <mergeCell ref="G21:H21"/>
    <mergeCell ref="E22:F22"/>
    <mergeCell ref="G22:H22"/>
    <mergeCell ref="B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S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35"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336"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28" t="s">
        <v>50</v>
      </c>
      <c r="C10" s="442" t="s">
        <v>1</v>
      </c>
      <c r="D10" s="442"/>
      <c r="E10" s="442"/>
      <c r="F10" s="442"/>
      <c r="G10" s="328" t="s">
        <v>604</v>
      </c>
      <c r="H10" s="442" t="s">
        <v>605</v>
      </c>
      <c r="I10" s="442"/>
    </row>
    <row r="11" spans="2:15" s="250" customFormat="1" ht="27.95" customHeight="1" x14ac:dyDescent="0.25">
      <c r="B11" s="266" t="s">
        <v>800</v>
      </c>
      <c r="C11" s="483" t="s">
        <v>894</v>
      </c>
      <c r="D11" s="484"/>
      <c r="E11" s="484"/>
      <c r="F11" s="485"/>
      <c r="G11" s="79"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28" t="s">
        <v>612</v>
      </c>
      <c r="E14" s="328" t="s">
        <v>613</v>
      </c>
      <c r="F14" s="450"/>
      <c r="G14" s="328" t="s">
        <v>612</v>
      </c>
      <c r="H14" s="328" t="s">
        <v>613</v>
      </c>
      <c r="I14" s="450"/>
    </row>
    <row r="15" spans="2:15" ht="14.1" customHeight="1" x14ac:dyDescent="0.25">
      <c r="B15" s="267"/>
      <c r="C15" s="103"/>
      <c r="D15" s="369"/>
      <c r="E15" s="369"/>
      <c r="F15" s="369"/>
      <c r="G15" s="369"/>
      <c r="H15" s="369"/>
      <c r="I15" s="369"/>
    </row>
    <row r="16" spans="2:15" s="250" customFormat="1" ht="14.1" customHeight="1" x14ac:dyDescent="0.25">
      <c r="B16" s="268"/>
      <c r="C16" s="269"/>
      <c r="D16" s="370"/>
      <c r="E16" s="370"/>
      <c r="F16" s="370"/>
      <c r="G16" s="370"/>
      <c r="H16" s="370"/>
      <c r="I16" s="370"/>
    </row>
    <row r="17" spans="2:19" s="250" customFormat="1" ht="15" customHeight="1" x14ac:dyDescent="0.25">
      <c r="B17" s="486" t="s">
        <v>614</v>
      </c>
      <c r="C17" s="487"/>
      <c r="D17" s="487"/>
      <c r="E17" s="487"/>
      <c r="F17" s="487"/>
      <c r="G17" s="487"/>
      <c r="H17" s="488"/>
      <c r="I17" s="329">
        <f>SUM(I16:I16)</f>
        <v>0</v>
      </c>
    </row>
    <row r="18" spans="2:19" s="250" customFormat="1" ht="5.0999999999999996" customHeight="1" x14ac:dyDescent="0.25">
      <c r="B18" s="8"/>
      <c r="C18" s="8"/>
      <c r="D18" s="8"/>
      <c r="E18" s="8"/>
      <c r="F18" s="8"/>
      <c r="G18" s="8"/>
      <c r="H18" s="8"/>
      <c r="I18" s="8"/>
    </row>
    <row r="19" spans="2:19" ht="14.1" customHeight="1" x14ac:dyDescent="0.25">
      <c r="B19" s="450" t="s">
        <v>8</v>
      </c>
      <c r="C19" s="442" t="s">
        <v>615</v>
      </c>
      <c r="D19" s="450" t="s">
        <v>604</v>
      </c>
      <c r="E19" s="489" t="s">
        <v>616</v>
      </c>
      <c r="F19" s="490"/>
      <c r="G19" s="489" t="s">
        <v>617</v>
      </c>
      <c r="H19" s="490"/>
      <c r="I19" s="450" t="s">
        <v>611</v>
      </c>
    </row>
    <row r="20" spans="2:19" ht="14.1" customHeight="1" x14ac:dyDescent="0.25">
      <c r="B20" s="450"/>
      <c r="C20" s="442"/>
      <c r="D20" s="450"/>
      <c r="E20" s="491"/>
      <c r="F20" s="492"/>
      <c r="G20" s="491"/>
      <c r="H20" s="492"/>
      <c r="I20" s="450"/>
      <c r="K20" s="210"/>
      <c r="L20" s="210"/>
      <c r="P20" s="210"/>
      <c r="Q20" s="210"/>
      <c r="R20" s="210"/>
      <c r="S20" s="210"/>
    </row>
    <row r="21" spans="2:19" s="8" customFormat="1" ht="14.1" customHeight="1" x14ac:dyDescent="0.25">
      <c r="B21" s="267">
        <v>88316</v>
      </c>
      <c r="C21" s="103" t="s">
        <v>619</v>
      </c>
      <c r="D21" s="366" t="s">
        <v>51</v>
      </c>
      <c r="E21" s="493">
        <v>22.76</v>
      </c>
      <c r="F21" s="493"/>
      <c r="G21" s="493">
        <v>1.7</v>
      </c>
      <c r="H21" s="493"/>
      <c r="I21" s="369">
        <f>TRUNC((E21*G21),2)</f>
        <v>38.69</v>
      </c>
      <c r="K21"/>
      <c r="L21"/>
      <c r="M21"/>
      <c r="N21"/>
      <c r="O21"/>
      <c r="P21"/>
      <c r="Q21"/>
      <c r="R21"/>
      <c r="S21"/>
    </row>
    <row r="22" spans="2:19" s="8" customFormat="1" ht="14.1" customHeight="1" x14ac:dyDescent="0.25">
      <c r="B22" s="67">
        <v>88309</v>
      </c>
      <c r="C22" s="69" t="s">
        <v>679</v>
      </c>
      <c r="D22" s="70" t="s">
        <v>51</v>
      </c>
      <c r="E22" s="495">
        <v>28.5</v>
      </c>
      <c r="F22" s="495"/>
      <c r="G22" s="495">
        <v>1.6</v>
      </c>
      <c r="H22" s="495"/>
      <c r="I22" s="371">
        <f>TRUNC((E22*G22),2)</f>
        <v>45.6</v>
      </c>
      <c r="K22"/>
      <c r="L22"/>
      <c r="M22"/>
      <c r="N22"/>
      <c r="O22"/>
      <c r="P22"/>
      <c r="Q22"/>
      <c r="R22"/>
      <c r="S22"/>
    </row>
    <row r="23" spans="2:19" s="8" customFormat="1" ht="14.1" customHeight="1" x14ac:dyDescent="0.25">
      <c r="B23" s="268"/>
      <c r="C23" s="269"/>
      <c r="D23" s="97"/>
      <c r="E23" s="494"/>
      <c r="F23" s="494"/>
      <c r="G23" s="520"/>
      <c r="H23" s="520"/>
      <c r="I23" s="370"/>
      <c r="K23"/>
      <c r="L23"/>
      <c r="M23"/>
      <c r="N23"/>
      <c r="O23"/>
      <c r="P23"/>
      <c r="Q23"/>
      <c r="R23"/>
      <c r="S23"/>
    </row>
    <row r="24" spans="2:19" s="250" customFormat="1" ht="15" customHeight="1" x14ac:dyDescent="0.25">
      <c r="B24" s="486" t="s">
        <v>620</v>
      </c>
      <c r="C24" s="487"/>
      <c r="D24" s="487"/>
      <c r="E24" s="487"/>
      <c r="F24" s="487"/>
      <c r="G24" s="487"/>
      <c r="H24" s="488"/>
      <c r="I24" s="329">
        <f>SUM(I21:I23)</f>
        <v>84.289999999999992</v>
      </c>
    </row>
    <row r="25" spans="2:19" s="250" customFormat="1" ht="5.0999999999999996" customHeight="1" x14ac:dyDescent="0.25">
      <c r="B25" s="9"/>
      <c r="C25" s="8"/>
      <c r="D25" s="8"/>
      <c r="E25" s="8"/>
      <c r="F25" s="8"/>
      <c r="G25" s="8"/>
      <c r="H25" s="8"/>
      <c r="I25" s="8"/>
    </row>
    <row r="26" spans="2:19" s="250" customFormat="1" ht="15" customHeight="1" x14ac:dyDescent="0.25">
      <c r="B26" s="486" t="s">
        <v>621</v>
      </c>
      <c r="C26" s="487"/>
      <c r="D26" s="487"/>
      <c r="E26" s="487"/>
      <c r="F26" s="487"/>
      <c r="G26" s="487"/>
      <c r="H26" s="488"/>
      <c r="I26" s="329">
        <f>I17+I24</f>
        <v>84.289999999999992</v>
      </c>
      <c r="K26"/>
      <c r="L26"/>
      <c r="M26"/>
      <c r="N26"/>
      <c r="O26"/>
      <c r="P26"/>
      <c r="Q26"/>
      <c r="R26"/>
      <c r="S26"/>
    </row>
    <row r="27" spans="2:19" ht="5.0999999999999996" customHeight="1" x14ac:dyDescent="0.25">
      <c r="B27" s="273"/>
      <c r="C27" s="273"/>
      <c r="D27" s="273"/>
      <c r="E27" s="273"/>
      <c r="F27" s="273"/>
      <c r="G27" s="273"/>
      <c r="H27" s="273"/>
      <c r="I27" s="273"/>
    </row>
    <row r="28" spans="2:19" s="250" customFormat="1" ht="15" customHeight="1" x14ac:dyDescent="0.25">
      <c r="B28" s="486" t="s">
        <v>622</v>
      </c>
      <c r="C28" s="487"/>
      <c r="D28" s="487"/>
      <c r="E28" s="487"/>
      <c r="F28" s="487"/>
      <c r="G28" s="487"/>
      <c r="H28" s="488"/>
      <c r="I28" s="329">
        <f>ROUND((I26/H11),2)</f>
        <v>84.29</v>
      </c>
    </row>
    <row r="29" spans="2:19" ht="5.0999999999999996" customHeight="1" x14ac:dyDescent="0.25">
      <c r="B29" s="273"/>
      <c r="C29" s="273"/>
      <c r="D29" s="273"/>
      <c r="E29" s="273"/>
      <c r="F29" s="273"/>
      <c r="G29" s="273"/>
      <c r="H29" s="273"/>
      <c r="I29" s="273"/>
      <c r="K29" s="250"/>
      <c r="L29" s="250"/>
      <c r="M29" s="250"/>
      <c r="N29" s="250"/>
      <c r="O29" s="250"/>
      <c r="P29" s="250"/>
      <c r="Q29" s="250"/>
      <c r="R29" s="250"/>
      <c r="S29" s="250"/>
    </row>
    <row r="30" spans="2:19" ht="14.1" customHeight="1" x14ac:dyDescent="0.25">
      <c r="B30" s="448" t="s">
        <v>8</v>
      </c>
      <c r="C30" s="499" t="s">
        <v>623</v>
      </c>
      <c r="D30" s="448" t="s">
        <v>604</v>
      </c>
      <c r="E30" s="489" t="s">
        <v>624</v>
      </c>
      <c r="F30" s="490"/>
      <c r="G30" s="489" t="s">
        <v>617</v>
      </c>
      <c r="H30" s="490"/>
      <c r="I30" s="448" t="s">
        <v>625</v>
      </c>
      <c r="K30" s="250"/>
      <c r="L30" s="250"/>
      <c r="M30" s="250"/>
      <c r="N30" s="250"/>
      <c r="O30" s="250"/>
      <c r="P30" s="250"/>
      <c r="Q30" s="250"/>
      <c r="R30" s="250"/>
      <c r="S30" s="250"/>
    </row>
    <row r="31" spans="2:19" ht="14.1" customHeight="1" x14ac:dyDescent="0.25">
      <c r="B31" s="449"/>
      <c r="C31" s="500"/>
      <c r="D31" s="449"/>
      <c r="E31" s="491"/>
      <c r="F31" s="492"/>
      <c r="G31" s="491"/>
      <c r="H31" s="492"/>
      <c r="I31" s="449"/>
    </row>
    <row r="32" spans="2:19" s="250" customFormat="1" ht="27.95" customHeight="1" x14ac:dyDescent="0.25">
      <c r="B32" s="267">
        <v>88628</v>
      </c>
      <c r="C32" s="103" t="s">
        <v>895</v>
      </c>
      <c r="D32" s="331" t="s">
        <v>16</v>
      </c>
      <c r="E32" s="493">
        <v>586.39</v>
      </c>
      <c r="F32" s="493"/>
      <c r="G32" s="515">
        <v>2.1999999999999999E-2</v>
      </c>
      <c r="H32" s="515"/>
      <c r="I32" s="332">
        <f>TRUNC((E32*G32),2)</f>
        <v>12.9</v>
      </c>
    </row>
    <row r="33" spans="2:9" s="250" customFormat="1" ht="14.1" customHeight="1" x14ac:dyDescent="0.25">
      <c r="B33" s="67" t="s">
        <v>842</v>
      </c>
      <c r="C33" s="69" t="s">
        <v>896</v>
      </c>
      <c r="D33" s="70" t="s">
        <v>15</v>
      </c>
      <c r="E33" s="495">
        <v>0.66</v>
      </c>
      <c r="F33" s="495"/>
      <c r="G33" s="495">
        <v>160</v>
      </c>
      <c r="H33" s="495"/>
      <c r="I33" s="334">
        <f>TRUNC((E33*G33),2)</f>
        <v>105.6</v>
      </c>
    </row>
    <row r="34" spans="2:9" s="250" customFormat="1" ht="14.1" customHeight="1" x14ac:dyDescent="0.25">
      <c r="B34" s="268"/>
      <c r="C34" s="269"/>
      <c r="D34" s="97"/>
      <c r="E34" s="518"/>
      <c r="F34" s="519"/>
      <c r="G34" s="518"/>
      <c r="H34" s="519"/>
      <c r="I34" s="333"/>
    </row>
    <row r="35" spans="2:9" s="250" customFormat="1" ht="15" customHeight="1" x14ac:dyDescent="0.25">
      <c r="B35" s="486" t="s">
        <v>634</v>
      </c>
      <c r="C35" s="487"/>
      <c r="D35" s="487"/>
      <c r="E35" s="487"/>
      <c r="F35" s="487"/>
      <c r="G35" s="487"/>
      <c r="H35" s="488"/>
      <c r="I35" s="329">
        <f>SUM(I32:I33)</f>
        <v>118.5</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331"/>
      <c r="E39" s="493"/>
      <c r="F39" s="493"/>
      <c r="G39" s="493"/>
      <c r="H39" s="493"/>
      <c r="I39" s="332"/>
    </row>
    <row r="40" spans="2:9" s="250" customFormat="1" ht="14.1" customHeight="1" x14ac:dyDescent="0.25">
      <c r="B40" s="268"/>
      <c r="C40" s="269"/>
      <c r="D40" s="97"/>
      <c r="E40" s="494"/>
      <c r="F40" s="494"/>
      <c r="G40" s="494"/>
      <c r="H40" s="494"/>
      <c r="I40" s="333"/>
    </row>
    <row r="41" spans="2:9" s="250" customFormat="1" ht="15" customHeight="1" x14ac:dyDescent="0.25">
      <c r="B41" s="486" t="s">
        <v>635</v>
      </c>
      <c r="C41" s="487"/>
      <c r="D41" s="487"/>
      <c r="E41" s="487"/>
      <c r="F41" s="487"/>
      <c r="G41" s="487"/>
      <c r="H41" s="488"/>
      <c r="I41" s="329">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329">
        <f>I28+I35+I41</f>
        <v>202.79000000000002</v>
      </c>
    </row>
  </sheetData>
  <mergeCells count="55">
    <mergeCell ref="I37:I38"/>
    <mergeCell ref="B35:H35"/>
    <mergeCell ref="I30:I31"/>
    <mergeCell ref="E32:F32"/>
    <mergeCell ref="G32:H32"/>
    <mergeCell ref="E34:F34"/>
    <mergeCell ref="G34:H34"/>
    <mergeCell ref="E33:F33"/>
    <mergeCell ref="G33:H33"/>
    <mergeCell ref="B26:H26"/>
    <mergeCell ref="B28:H28"/>
    <mergeCell ref="B30:B31"/>
    <mergeCell ref="E40:F40"/>
    <mergeCell ref="G40:H40"/>
    <mergeCell ref="C30:C31"/>
    <mergeCell ref="D30:D31"/>
    <mergeCell ref="E30:F31"/>
    <mergeCell ref="G30:H31"/>
    <mergeCell ref="E39:F39"/>
    <mergeCell ref="G39:H39"/>
    <mergeCell ref="B41:H41"/>
    <mergeCell ref="B43:H43"/>
    <mergeCell ref="B37:B38"/>
    <mergeCell ref="C37:C38"/>
    <mergeCell ref="D37:D38"/>
    <mergeCell ref="E37:F38"/>
    <mergeCell ref="G37:H38"/>
    <mergeCell ref="I19:I20"/>
    <mergeCell ref="E21:F21"/>
    <mergeCell ref="G21:H21"/>
    <mergeCell ref="B24:H24"/>
    <mergeCell ref="E22:F22"/>
    <mergeCell ref="G22:H22"/>
    <mergeCell ref="E23:F23"/>
    <mergeCell ref="G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S43"/>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67"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368"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64" t="s">
        <v>50</v>
      </c>
      <c r="C10" s="442" t="s">
        <v>1</v>
      </c>
      <c r="D10" s="442"/>
      <c r="E10" s="442"/>
      <c r="F10" s="442"/>
      <c r="G10" s="364" t="s">
        <v>604</v>
      </c>
      <c r="H10" s="442" t="s">
        <v>605</v>
      </c>
      <c r="I10" s="442"/>
    </row>
    <row r="11" spans="2:15" s="250" customFormat="1" ht="14.1" customHeight="1" x14ac:dyDescent="0.25">
      <c r="B11" s="266" t="s">
        <v>801</v>
      </c>
      <c r="C11" s="483" t="s">
        <v>880</v>
      </c>
      <c r="D11" s="484"/>
      <c r="E11" s="484"/>
      <c r="F11" s="485"/>
      <c r="G11" s="79" t="s">
        <v>16</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64" t="s">
        <v>612</v>
      </c>
      <c r="E14" s="364" t="s">
        <v>613</v>
      </c>
      <c r="F14" s="450"/>
      <c r="G14" s="364" t="s">
        <v>612</v>
      </c>
      <c r="H14" s="364" t="s">
        <v>613</v>
      </c>
      <c r="I14" s="450"/>
    </row>
    <row r="15" spans="2:15" s="250" customFormat="1" ht="27.95" customHeight="1" x14ac:dyDescent="0.25">
      <c r="B15" s="67">
        <v>88830</v>
      </c>
      <c r="C15" s="69" t="s">
        <v>884</v>
      </c>
      <c r="D15" s="371">
        <v>2.13</v>
      </c>
      <c r="E15" s="371">
        <v>0</v>
      </c>
      <c r="F15" s="371">
        <v>1</v>
      </c>
      <c r="G15" s="372">
        <v>0.71399999999999997</v>
      </c>
      <c r="H15" s="371">
        <v>0</v>
      </c>
      <c r="I15" s="371">
        <f>TRUNC(((D15*F15*G15)+(E15*F15*H15)),2)</f>
        <v>1.52</v>
      </c>
    </row>
    <row r="16" spans="2:15" s="250" customFormat="1" ht="14.1" customHeight="1" x14ac:dyDescent="0.25">
      <c r="B16" s="268"/>
      <c r="C16" s="269"/>
      <c r="D16" s="370"/>
      <c r="E16" s="370"/>
      <c r="F16" s="370"/>
      <c r="G16" s="370"/>
      <c r="H16" s="370"/>
      <c r="I16" s="370"/>
    </row>
    <row r="17" spans="2:19" s="250" customFormat="1" ht="15" customHeight="1" x14ac:dyDescent="0.25">
      <c r="B17" s="486" t="s">
        <v>614</v>
      </c>
      <c r="C17" s="487"/>
      <c r="D17" s="487"/>
      <c r="E17" s="487"/>
      <c r="F17" s="487"/>
      <c r="G17" s="487"/>
      <c r="H17" s="488"/>
      <c r="I17" s="365">
        <f>SUM(I15:I16)</f>
        <v>1.52</v>
      </c>
    </row>
    <row r="18" spans="2:19" s="250" customFormat="1" ht="5.0999999999999996" customHeight="1" x14ac:dyDescent="0.25">
      <c r="B18" s="8"/>
      <c r="C18" s="8"/>
      <c r="D18" s="8"/>
      <c r="E18" s="8"/>
      <c r="F18" s="8"/>
      <c r="G18" s="8"/>
      <c r="H18" s="8"/>
      <c r="I18" s="8"/>
    </row>
    <row r="19" spans="2:19" ht="14.1" customHeight="1" x14ac:dyDescent="0.25">
      <c r="B19" s="450" t="s">
        <v>8</v>
      </c>
      <c r="C19" s="442" t="s">
        <v>615</v>
      </c>
      <c r="D19" s="450" t="s">
        <v>604</v>
      </c>
      <c r="E19" s="489" t="s">
        <v>616</v>
      </c>
      <c r="F19" s="490"/>
      <c r="G19" s="489" t="s">
        <v>617</v>
      </c>
      <c r="H19" s="490"/>
      <c r="I19" s="450" t="s">
        <v>611</v>
      </c>
    </row>
    <row r="20" spans="2:19" ht="14.1" customHeight="1" x14ac:dyDescent="0.25">
      <c r="B20" s="450"/>
      <c r="C20" s="442"/>
      <c r="D20" s="450"/>
      <c r="E20" s="491"/>
      <c r="F20" s="492"/>
      <c r="G20" s="491"/>
      <c r="H20" s="492"/>
      <c r="I20" s="450"/>
      <c r="K20" s="210"/>
      <c r="L20" s="210"/>
      <c r="P20" s="210"/>
      <c r="Q20" s="210"/>
      <c r="R20" s="210"/>
      <c r="S20" s="210"/>
    </row>
    <row r="21" spans="2:19" s="8" customFormat="1" ht="14.1" customHeight="1" x14ac:dyDescent="0.25">
      <c r="B21" s="267">
        <v>88316</v>
      </c>
      <c r="C21" s="103" t="s">
        <v>619</v>
      </c>
      <c r="D21" s="366" t="s">
        <v>51</v>
      </c>
      <c r="E21" s="493">
        <v>22.76</v>
      </c>
      <c r="F21" s="493"/>
      <c r="G21" s="493">
        <v>6</v>
      </c>
      <c r="H21" s="493"/>
      <c r="I21" s="369">
        <f>TRUNC((E21*G21),2)</f>
        <v>136.56</v>
      </c>
      <c r="K21"/>
      <c r="L21"/>
      <c r="M21"/>
      <c r="N21"/>
      <c r="O21"/>
      <c r="P21"/>
      <c r="Q21"/>
      <c r="R21"/>
      <c r="S21"/>
    </row>
    <row r="22" spans="2:19" s="8" customFormat="1" ht="14.1" customHeight="1" x14ac:dyDescent="0.25">
      <c r="B22" s="268"/>
      <c r="C22" s="269"/>
      <c r="D22" s="97"/>
      <c r="E22" s="494"/>
      <c r="F22" s="494"/>
      <c r="G22" s="520"/>
      <c r="H22" s="520"/>
      <c r="I22" s="370"/>
      <c r="K22"/>
      <c r="L22"/>
      <c r="M22"/>
      <c r="N22"/>
      <c r="O22"/>
      <c r="P22"/>
      <c r="Q22"/>
      <c r="R22"/>
      <c r="S22"/>
    </row>
    <row r="23" spans="2:19" s="250" customFormat="1" ht="15" customHeight="1" x14ac:dyDescent="0.25">
      <c r="B23" s="486" t="s">
        <v>620</v>
      </c>
      <c r="C23" s="487"/>
      <c r="D23" s="487"/>
      <c r="E23" s="487"/>
      <c r="F23" s="487"/>
      <c r="G23" s="487"/>
      <c r="H23" s="488"/>
      <c r="I23" s="365">
        <f>SUM(I21:I22)</f>
        <v>136.56</v>
      </c>
    </row>
    <row r="24" spans="2:19" s="250" customFormat="1" ht="5.0999999999999996" customHeight="1" x14ac:dyDescent="0.25">
      <c r="B24" s="9"/>
      <c r="C24" s="8"/>
      <c r="D24" s="8"/>
      <c r="E24" s="8"/>
      <c r="F24" s="8"/>
      <c r="G24" s="8"/>
      <c r="H24" s="8"/>
      <c r="I24" s="8"/>
    </row>
    <row r="25" spans="2:19" s="250" customFormat="1" ht="15" customHeight="1" x14ac:dyDescent="0.25">
      <c r="B25" s="486" t="s">
        <v>621</v>
      </c>
      <c r="C25" s="487"/>
      <c r="D25" s="487"/>
      <c r="E25" s="487"/>
      <c r="F25" s="487"/>
      <c r="G25" s="487"/>
      <c r="H25" s="488"/>
      <c r="I25" s="365">
        <f>I17+I23</f>
        <v>138.08000000000001</v>
      </c>
      <c r="K25"/>
      <c r="L25"/>
      <c r="M25"/>
      <c r="N25"/>
      <c r="O25"/>
      <c r="P25"/>
      <c r="Q25"/>
      <c r="R25"/>
      <c r="S25"/>
    </row>
    <row r="26" spans="2:19" ht="5.0999999999999996" customHeight="1" x14ac:dyDescent="0.25">
      <c r="B26" s="273"/>
      <c r="C26" s="273"/>
      <c r="D26" s="273"/>
      <c r="E26" s="273"/>
      <c r="F26" s="273"/>
      <c r="G26" s="273"/>
      <c r="H26" s="273"/>
      <c r="I26" s="273"/>
    </row>
    <row r="27" spans="2:19" s="250" customFormat="1" ht="15" customHeight="1" x14ac:dyDescent="0.25">
      <c r="B27" s="486" t="s">
        <v>622</v>
      </c>
      <c r="C27" s="487"/>
      <c r="D27" s="487"/>
      <c r="E27" s="487"/>
      <c r="F27" s="487"/>
      <c r="G27" s="487"/>
      <c r="H27" s="488"/>
      <c r="I27" s="365">
        <f>ROUND((I25/H11),2)</f>
        <v>138.08000000000001</v>
      </c>
    </row>
    <row r="28" spans="2:19" ht="5.0999999999999996" customHeight="1" x14ac:dyDescent="0.25">
      <c r="B28" s="273"/>
      <c r="C28" s="273"/>
      <c r="D28" s="273"/>
      <c r="E28" s="273"/>
      <c r="F28" s="273"/>
      <c r="G28" s="273"/>
      <c r="H28" s="273"/>
      <c r="I28" s="273"/>
      <c r="K28" s="250"/>
      <c r="L28" s="250"/>
      <c r="M28" s="250"/>
      <c r="N28" s="250"/>
      <c r="O28" s="250"/>
      <c r="P28" s="250"/>
      <c r="Q28" s="250"/>
      <c r="R28" s="250"/>
      <c r="S28" s="250"/>
    </row>
    <row r="29" spans="2:19" ht="14.1" customHeight="1" x14ac:dyDescent="0.25">
      <c r="B29" s="448" t="s">
        <v>8</v>
      </c>
      <c r="C29" s="499" t="s">
        <v>623</v>
      </c>
      <c r="D29" s="448" t="s">
        <v>604</v>
      </c>
      <c r="E29" s="489" t="s">
        <v>624</v>
      </c>
      <c r="F29" s="490"/>
      <c r="G29" s="489" t="s">
        <v>617</v>
      </c>
      <c r="H29" s="490"/>
      <c r="I29" s="448" t="s">
        <v>625</v>
      </c>
      <c r="K29" s="250"/>
      <c r="L29" s="250"/>
      <c r="M29" s="250"/>
      <c r="N29" s="250"/>
      <c r="O29" s="250"/>
      <c r="P29" s="250"/>
      <c r="Q29" s="250"/>
      <c r="R29" s="250"/>
      <c r="S29" s="250"/>
    </row>
    <row r="30" spans="2:19" ht="14.1" customHeight="1" x14ac:dyDescent="0.25">
      <c r="B30" s="449"/>
      <c r="C30" s="500"/>
      <c r="D30" s="449"/>
      <c r="E30" s="491"/>
      <c r="F30" s="492"/>
      <c r="G30" s="491"/>
      <c r="H30" s="492"/>
      <c r="I30" s="449"/>
    </row>
    <row r="31" spans="2:19" s="250" customFormat="1" ht="14.1" customHeight="1" x14ac:dyDescent="0.25">
      <c r="B31" s="267" t="s">
        <v>881</v>
      </c>
      <c r="C31" s="103" t="s">
        <v>885</v>
      </c>
      <c r="D31" s="366" t="s">
        <v>16</v>
      </c>
      <c r="E31" s="493">
        <v>83.07</v>
      </c>
      <c r="F31" s="493"/>
      <c r="G31" s="493">
        <v>0.57999999999999996</v>
      </c>
      <c r="H31" s="493"/>
      <c r="I31" s="369">
        <f>TRUNC((E31*G31),2)</f>
        <v>48.18</v>
      </c>
    </row>
    <row r="32" spans="2:19" s="250" customFormat="1" ht="14.1" customHeight="1" x14ac:dyDescent="0.25">
      <c r="B32" s="67" t="s">
        <v>882</v>
      </c>
      <c r="C32" s="69" t="s">
        <v>886</v>
      </c>
      <c r="D32" s="70" t="s">
        <v>34</v>
      </c>
      <c r="E32" s="495">
        <v>0.83</v>
      </c>
      <c r="F32" s="495"/>
      <c r="G32" s="495">
        <v>210</v>
      </c>
      <c r="H32" s="495"/>
      <c r="I32" s="371">
        <f>TRUNC((E32*G32),2)</f>
        <v>174.3</v>
      </c>
    </row>
    <row r="33" spans="2:9" s="250" customFormat="1" ht="14.1" customHeight="1" x14ac:dyDescent="0.25">
      <c r="B33" s="67" t="s">
        <v>883</v>
      </c>
      <c r="C33" s="69" t="s">
        <v>887</v>
      </c>
      <c r="D33" s="70" t="s">
        <v>16</v>
      </c>
      <c r="E33" s="495">
        <v>98.72</v>
      </c>
      <c r="F33" s="495"/>
      <c r="G33" s="495">
        <v>0.95</v>
      </c>
      <c r="H33" s="495"/>
      <c r="I33" s="371">
        <f>TRUNC((E33*G33),2)</f>
        <v>93.78</v>
      </c>
    </row>
    <row r="34" spans="2:9" s="250" customFormat="1" ht="14.1" customHeight="1" x14ac:dyDescent="0.25">
      <c r="B34" s="268"/>
      <c r="C34" s="269"/>
      <c r="D34" s="97"/>
      <c r="E34" s="518"/>
      <c r="F34" s="519"/>
      <c r="G34" s="518"/>
      <c r="H34" s="519"/>
      <c r="I34" s="370"/>
    </row>
    <row r="35" spans="2:9" s="250" customFormat="1" ht="15" customHeight="1" x14ac:dyDescent="0.25">
      <c r="B35" s="486" t="s">
        <v>634</v>
      </c>
      <c r="C35" s="487"/>
      <c r="D35" s="487"/>
      <c r="E35" s="487"/>
      <c r="F35" s="487"/>
      <c r="G35" s="487"/>
      <c r="H35" s="488"/>
      <c r="I35" s="365">
        <f>SUM(I31:I34)</f>
        <v>316.26</v>
      </c>
    </row>
    <row r="36" spans="2:9" ht="5.0999999999999996" customHeight="1" x14ac:dyDescent="0.25">
      <c r="B36" s="273"/>
      <c r="C36" s="273"/>
      <c r="D36" s="273"/>
      <c r="E36" s="273"/>
      <c r="F36" s="273"/>
      <c r="G36" s="273"/>
      <c r="H36" s="273"/>
      <c r="I36" s="273"/>
    </row>
    <row r="37" spans="2:9" ht="14.1" customHeight="1" x14ac:dyDescent="0.25">
      <c r="B37" s="450" t="s">
        <v>8</v>
      </c>
      <c r="C37" s="442" t="s">
        <v>52</v>
      </c>
      <c r="D37" s="450" t="s">
        <v>2</v>
      </c>
      <c r="E37" s="489" t="s">
        <v>624</v>
      </c>
      <c r="F37" s="490"/>
      <c r="G37" s="489" t="s">
        <v>617</v>
      </c>
      <c r="H37" s="490"/>
      <c r="I37" s="450" t="s">
        <v>625</v>
      </c>
    </row>
    <row r="38" spans="2:9" ht="14.1" customHeight="1" x14ac:dyDescent="0.25">
      <c r="B38" s="450"/>
      <c r="C38" s="442"/>
      <c r="D38" s="450"/>
      <c r="E38" s="491"/>
      <c r="F38" s="492"/>
      <c r="G38" s="491"/>
      <c r="H38" s="492"/>
      <c r="I38" s="450"/>
    </row>
    <row r="39" spans="2:9" s="250" customFormat="1" ht="14.1" customHeight="1" x14ac:dyDescent="0.25">
      <c r="B39" s="267"/>
      <c r="C39" s="103"/>
      <c r="D39" s="366"/>
      <c r="E39" s="493"/>
      <c r="F39" s="493"/>
      <c r="G39" s="493"/>
      <c r="H39" s="493"/>
      <c r="I39" s="369"/>
    </row>
    <row r="40" spans="2:9" s="250" customFormat="1" ht="14.1" customHeight="1" x14ac:dyDescent="0.25">
      <c r="B40" s="268"/>
      <c r="C40" s="269"/>
      <c r="D40" s="97"/>
      <c r="E40" s="494"/>
      <c r="F40" s="494"/>
      <c r="G40" s="494"/>
      <c r="H40" s="494"/>
      <c r="I40" s="370"/>
    </row>
    <row r="41" spans="2:9" s="250" customFormat="1" ht="15" customHeight="1" x14ac:dyDescent="0.25">
      <c r="B41" s="486" t="s">
        <v>635</v>
      </c>
      <c r="C41" s="487"/>
      <c r="D41" s="487"/>
      <c r="E41" s="487"/>
      <c r="F41" s="487"/>
      <c r="G41" s="487"/>
      <c r="H41" s="488"/>
      <c r="I41" s="365">
        <f>SUM(I39:I40)</f>
        <v>0</v>
      </c>
    </row>
    <row r="42" spans="2:9" ht="5.0999999999999996" customHeight="1" x14ac:dyDescent="0.25">
      <c r="B42" s="273"/>
      <c r="C42" s="273"/>
      <c r="D42" s="273"/>
      <c r="E42" s="273"/>
      <c r="F42" s="273"/>
      <c r="G42" s="273"/>
      <c r="H42" s="273"/>
      <c r="I42" s="273"/>
    </row>
    <row r="43" spans="2:9" s="250" customFormat="1" ht="15" customHeight="1" x14ac:dyDescent="0.25">
      <c r="B43" s="486" t="s">
        <v>636</v>
      </c>
      <c r="C43" s="487"/>
      <c r="D43" s="487"/>
      <c r="E43" s="487"/>
      <c r="F43" s="487"/>
      <c r="G43" s="487"/>
      <c r="H43" s="488"/>
      <c r="I43" s="365">
        <f>I27+I35+I41</f>
        <v>454.34000000000003</v>
      </c>
    </row>
  </sheetData>
  <mergeCells count="55">
    <mergeCell ref="B43:H43"/>
    <mergeCell ref="E33:F33"/>
    <mergeCell ref="G33:H33"/>
    <mergeCell ref="I37:I38"/>
    <mergeCell ref="E39:F39"/>
    <mergeCell ref="G39:H39"/>
    <mergeCell ref="E40:F40"/>
    <mergeCell ref="G40:H40"/>
    <mergeCell ref="B41:H41"/>
    <mergeCell ref="B35:H35"/>
    <mergeCell ref="B37:B38"/>
    <mergeCell ref="C37:C38"/>
    <mergeCell ref="D37:D38"/>
    <mergeCell ref="E37:F38"/>
    <mergeCell ref="G37:H38"/>
    <mergeCell ref="E34:F34"/>
    <mergeCell ref="I29:I30"/>
    <mergeCell ref="E31:F31"/>
    <mergeCell ref="G31:H31"/>
    <mergeCell ref="E32:F32"/>
    <mergeCell ref="G32:H32"/>
    <mergeCell ref="G34:H34"/>
    <mergeCell ref="B23:H23"/>
    <mergeCell ref="B25:H25"/>
    <mergeCell ref="B27:H27"/>
    <mergeCell ref="B29:B30"/>
    <mergeCell ref="C29:C30"/>
    <mergeCell ref="D29:D30"/>
    <mergeCell ref="E29:F30"/>
    <mergeCell ref="G29:H30"/>
    <mergeCell ref="I19:I20"/>
    <mergeCell ref="E21:F21"/>
    <mergeCell ref="G21:H21"/>
    <mergeCell ref="E22:F22"/>
    <mergeCell ref="G22:H22"/>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S42"/>
  <sheetViews>
    <sheetView showGridLines="0" view="pageBreakPreview" zoomScaleSheetLayoutView="100" workbookViewId="0">
      <selection activeCell="B2" sqref="B2"/>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5" ht="5.0999999999999996" customHeight="1" x14ac:dyDescent="0.25"/>
    <row r="2" spans="2:15" s="210" customFormat="1" ht="14.1" customHeight="1" x14ac:dyDescent="0.2">
      <c r="B2" s="367" t="str">
        <f>DADOS!$B$3</f>
        <v>CLIENTE:</v>
      </c>
      <c r="C2" s="81" t="str">
        <f>DADOS!$C$3</f>
        <v>PREFEITURA MUNICIPAL DE JARDIM / MS</v>
      </c>
      <c r="D2" s="264"/>
      <c r="E2" s="264"/>
      <c r="F2" s="264"/>
      <c r="G2" s="476" t="str">
        <f>Orçamento!K2</f>
        <v>BANCOS</v>
      </c>
      <c r="H2" s="402"/>
      <c r="I2" s="477"/>
    </row>
    <row r="3" spans="2:15" s="210" customFormat="1" ht="14.1" customHeight="1" x14ac:dyDescent="0.2">
      <c r="B3" s="101" t="str">
        <f>DADOS!$B$4</f>
        <v>ENDEREÇO:</v>
      </c>
      <c r="C3" s="82" t="str">
        <f>DADOS!$C$4</f>
        <v>RUA CEL. JUVÊNCIO, Nº 547 - CENTRO</v>
      </c>
      <c r="G3" s="478" t="str">
        <f>Orçamento!K3</f>
        <v>COMPOSIÇÃO MS: 01/2026
INSUMO MS: 01/2026
AGESUL MS: 01/2026</v>
      </c>
      <c r="H3" s="479"/>
      <c r="I3" s="480"/>
    </row>
    <row r="4" spans="2:15" s="210" customFormat="1" ht="14.1" customHeight="1" x14ac:dyDescent="0.25">
      <c r="B4" s="83"/>
      <c r="C4" s="82"/>
      <c r="G4" s="478"/>
      <c r="H4" s="479"/>
      <c r="I4" s="480"/>
      <c r="M4"/>
      <c r="N4"/>
      <c r="O4"/>
    </row>
    <row r="5" spans="2:15" s="210" customFormat="1" ht="14.1" customHeight="1" x14ac:dyDescent="0.25">
      <c r="B5" s="101" t="str">
        <f>DADOS!$B$7</f>
        <v>OBRA:</v>
      </c>
      <c r="C5" s="82" t="str">
        <f>DADOS!$C$7</f>
        <v>PAVIMENTAÇÃO ASFÁLTICA E DRENAGEM DE ÁGUAS PLUVIAIS</v>
      </c>
      <c r="G5" s="478"/>
      <c r="H5" s="479"/>
      <c r="I5" s="480"/>
      <c r="M5"/>
      <c r="N5"/>
      <c r="O5"/>
    </row>
    <row r="6" spans="2:15" s="210" customFormat="1" ht="14.1" customHeight="1" x14ac:dyDescent="0.25">
      <c r="B6" s="368" t="str">
        <f>DADOS!$B$8</f>
        <v>LOCAL:</v>
      </c>
      <c r="C6" s="85" t="str">
        <f>DADOS!$C$8</f>
        <v>JARDIM PREVISUL, JARDIM / MS</v>
      </c>
      <c r="D6" s="265"/>
      <c r="E6" s="265"/>
      <c r="F6" s="265"/>
      <c r="G6" s="481" t="str">
        <f>Orçamento!H3</f>
        <v>SEM DESONERAÇÃO</v>
      </c>
      <c r="H6" s="396"/>
      <c r="I6" s="482"/>
      <c r="M6"/>
      <c r="N6"/>
      <c r="O6"/>
    </row>
    <row r="7" spans="2:15" ht="5.0999999999999996" customHeight="1" x14ac:dyDescent="0.25"/>
    <row r="8" spans="2:15" ht="15" customHeight="1" x14ac:dyDescent="0.25">
      <c r="B8" s="397" t="s">
        <v>603</v>
      </c>
      <c r="C8" s="397"/>
      <c r="D8" s="397"/>
      <c r="E8" s="397"/>
      <c r="F8" s="397"/>
      <c r="G8" s="397"/>
      <c r="H8" s="397"/>
      <c r="I8" s="397"/>
    </row>
    <row r="9" spans="2:15" ht="5.0999999999999996" customHeight="1" x14ac:dyDescent="0.25"/>
    <row r="10" spans="2:15" ht="20.100000000000001" customHeight="1" x14ac:dyDescent="0.25">
      <c r="B10" s="364" t="s">
        <v>50</v>
      </c>
      <c r="C10" s="442" t="s">
        <v>1</v>
      </c>
      <c r="D10" s="442"/>
      <c r="E10" s="442"/>
      <c r="F10" s="442"/>
      <c r="G10" s="364" t="s">
        <v>604</v>
      </c>
      <c r="H10" s="442" t="s">
        <v>605</v>
      </c>
      <c r="I10" s="442"/>
    </row>
    <row r="11" spans="2:15" s="250" customFormat="1" ht="14.1" customHeight="1" x14ac:dyDescent="0.25">
      <c r="B11" s="266" t="s">
        <v>874</v>
      </c>
      <c r="C11" s="483" t="s">
        <v>877</v>
      </c>
      <c r="D11" s="484"/>
      <c r="E11" s="484"/>
      <c r="F11" s="485"/>
      <c r="G11" s="79" t="s">
        <v>13</v>
      </c>
      <c r="H11" s="453">
        <v>1</v>
      </c>
      <c r="I11" s="453"/>
    </row>
    <row r="12" spans="2:15" s="250" customFormat="1" ht="5.0999999999999996" customHeight="1" x14ac:dyDescent="0.25">
      <c r="B12" s="8"/>
      <c r="C12" s="8"/>
      <c r="D12" s="8"/>
      <c r="E12" s="8"/>
      <c r="F12" s="8"/>
      <c r="G12" s="8"/>
      <c r="H12" s="8"/>
      <c r="I12" s="8"/>
    </row>
    <row r="13" spans="2:15" ht="14.1" customHeight="1" x14ac:dyDescent="0.25">
      <c r="B13" s="450" t="s">
        <v>8</v>
      </c>
      <c r="C13" s="442" t="s">
        <v>608</v>
      </c>
      <c r="D13" s="442" t="s">
        <v>609</v>
      </c>
      <c r="E13" s="442"/>
      <c r="F13" s="450" t="s">
        <v>4</v>
      </c>
      <c r="G13" s="442" t="s">
        <v>610</v>
      </c>
      <c r="H13" s="442"/>
      <c r="I13" s="450" t="s">
        <v>611</v>
      </c>
    </row>
    <row r="14" spans="2:15" ht="14.1" customHeight="1" x14ac:dyDescent="0.25">
      <c r="B14" s="450"/>
      <c r="C14" s="442"/>
      <c r="D14" s="364" t="s">
        <v>612</v>
      </c>
      <c r="E14" s="364" t="s">
        <v>613</v>
      </c>
      <c r="F14" s="450"/>
      <c r="G14" s="364" t="s">
        <v>612</v>
      </c>
      <c r="H14" s="364" t="s">
        <v>613</v>
      </c>
      <c r="I14" s="450"/>
    </row>
    <row r="15" spans="2:15" ht="14.1" customHeight="1" x14ac:dyDescent="0.25">
      <c r="B15" s="267"/>
      <c r="C15" s="103"/>
      <c r="D15" s="379"/>
      <c r="E15" s="379"/>
      <c r="F15" s="379"/>
      <c r="G15" s="379"/>
      <c r="H15" s="379"/>
      <c r="I15" s="379"/>
    </row>
    <row r="16" spans="2:15" s="250" customFormat="1" ht="14.1" customHeight="1" x14ac:dyDescent="0.25">
      <c r="B16" s="268"/>
      <c r="C16" s="269"/>
      <c r="D16" s="380"/>
      <c r="E16" s="380"/>
      <c r="F16" s="380"/>
      <c r="G16" s="380"/>
      <c r="H16" s="380"/>
      <c r="I16" s="380"/>
    </row>
    <row r="17" spans="2:19" s="250" customFormat="1" ht="15" customHeight="1" x14ac:dyDescent="0.25">
      <c r="B17" s="486" t="s">
        <v>614</v>
      </c>
      <c r="C17" s="487"/>
      <c r="D17" s="487"/>
      <c r="E17" s="487"/>
      <c r="F17" s="487"/>
      <c r="G17" s="487"/>
      <c r="H17" s="488"/>
      <c r="I17" s="378">
        <f>SUM(I16:I16)</f>
        <v>0</v>
      </c>
    </row>
    <row r="18" spans="2:19" s="250" customFormat="1" ht="5.0999999999999996" customHeight="1" x14ac:dyDescent="0.25">
      <c r="B18" s="8"/>
      <c r="C18" s="8"/>
      <c r="D18" s="8"/>
      <c r="E18" s="8"/>
      <c r="F18" s="8"/>
      <c r="G18" s="8"/>
      <c r="H18" s="8"/>
      <c r="I18" s="8"/>
    </row>
    <row r="19" spans="2:19" ht="14.1" customHeight="1" x14ac:dyDescent="0.25">
      <c r="B19" s="450" t="s">
        <v>8</v>
      </c>
      <c r="C19" s="442" t="s">
        <v>615</v>
      </c>
      <c r="D19" s="450" t="s">
        <v>604</v>
      </c>
      <c r="E19" s="489" t="s">
        <v>616</v>
      </c>
      <c r="F19" s="490"/>
      <c r="G19" s="489" t="s">
        <v>617</v>
      </c>
      <c r="H19" s="490"/>
      <c r="I19" s="450" t="s">
        <v>611</v>
      </c>
    </row>
    <row r="20" spans="2:19" ht="14.1" customHeight="1" x14ac:dyDescent="0.25">
      <c r="B20" s="450"/>
      <c r="C20" s="442"/>
      <c r="D20" s="450"/>
      <c r="E20" s="491"/>
      <c r="F20" s="492"/>
      <c r="G20" s="491"/>
      <c r="H20" s="492"/>
      <c r="I20" s="450"/>
      <c r="K20" s="210"/>
      <c r="L20" s="210"/>
      <c r="P20" s="210"/>
      <c r="Q20" s="210"/>
      <c r="R20" s="210"/>
      <c r="S20" s="210"/>
    </row>
    <row r="21" spans="2:19" s="8" customFormat="1" ht="14.1" customHeight="1" x14ac:dyDescent="0.25">
      <c r="B21" s="267">
        <v>88310</v>
      </c>
      <c r="C21" s="103" t="s">
        <v>692</v>
      </c>
      <c r="D21" s="366" t="s">
        <v>51</v>
      </c>
      <c r="E21" s="493">
        <v>30.21</v>
      </c>
      <c r="F21" s="493"/>
      <c r="G21" s="515">
        <v>0.3</v>
      </c>
      <c r="H21" s="515"/>
      <c r="I21" s="369">
        <f>TRUNC((E21*G21),2)</f>
        <v>9.06</v>
      </c>
      <c r="K21"/>
      <c r="L21"/>
      <c r="M21"/>
      <c r="N21"/>
      <c r="O21"/>
      <c r="P21"/>
      <c r="Q21"/>
      <c r="R21"/>
      <c r="S21"/>
    </row>
    <row r="22" spans="2:19" s="8" customFormat="1" ht="14.1" customHeight="1" x14ac:dyDescent="0.25">
      <c r="B22" s="67">
        <v>88316</v>
      </c>
      <c r="C22" s="69" t="s">
        <v>619</v>
      </c>
      <c r="D22" s="70" t="s">
        <v>51</v>
      </c>
      <c r="E22" s="495">
        <v>22.76</v>
      </c>
      <c r="F22" s="495"/>
      <c r="G22" s="495">
        <v>1.4999999999999999E-2</v>
      </c>
      <c r="H22" s="495"/>
      <c r="I22" s="371">
        <f>TRUNC((E22*G22),2)</f>
        <v>0.34</v>
      </c>
      <c r="K22"/>
      <c r="L22"/>
      <c r="M22"/>
      <c r="N22"/>
      <c r="O22"/>
      <c r="P22"/>
      <c r="Q22"/>
      <c r="R22"/>
      <c r="S22"/>
    </row>
    <row r="23" spans="2:19" s="8" customFormat="1" ht="14.1" customHeight="1" x14ac:dyDescent="0.25">
      <c r="B23" s="268"/>
      <c r="C23" s="269"/>
      <c r="D23" s="97"/>
      <c r="E23" s="494"/>
      <c r="F23" s="494"/>
      <c r="G23" s="520"/>
      <c r="H23" s="520"/>
      <c r="I23" s="370"/>
      <c r="K23"/>
      <c r="L23"/>
      <c r="M23"/>
      <c r="N23"/>
      <c r="O23"/>
      <c r="P23"/>
      <c r="Q23"/>
      <c r="R23"/>
      <c r="S23"/>
    </row>
    <row r="24" spans="2:19" s="250" customFormat="1" ht="15" customHeight="1" x14ac:dyDescent="0.25">
      <c r="B24" s="486" t="s">
        <v>620</v>
      </c>
      <c r="C24" s="487"/>
      <c r="D24" s="487"/>
      <c r="E24" s="487"/>
      <c r="F24" s="487"/>
      <c r="G24" s="487"/>
      <c r="H24" s="488"/>
      <c r="I24" s="365">
        <f>SUM(I21:I23)</f>
        <v>9.4</v>
      </c>
    </row>
    <row r="25" spans="2:19" s="250" customFormat="1" ht="5.0999999999999996" customHeight="1" x14ac:dyDescent="0.25">
      <c r="B25" s="9"/>
      <c r="C25" s="8"/>
      <c r="D25" s="8"/>
      <c r="E25" s="8"/>
      <c r="F25" s="8"/>
      <c r="G25" s="8"/>
      <c r="H25" s="8"/>
      <c r="I25" s="8"/>
    </row>
    <row r="26" spans="2:19" s="250" customFormat="1" ht="15" customHeight="1" x14ac:dyDescent="0.25">
      <c r="B26" s="486" t="s">
        <v>621</v>
      </c>
      <c r="C26" s="487"/>
      <c r="D26" s="487"/>
      <c r="E26" s="487"/>
      <c r="F26" s="487"/>
      <c r="G26" s="487"/>
      <c r="H26" s="488"/>
      <c r="I26" s="365">
        <f>I17+I24</f>
        <v>9.4</v>
      </c>
      <c r="K26"/>
      <c r="L26"/>
      <c r="M26"/>
      <c r="N26"/>
      <c r="O26"/>
      <c r="P26"/>
      <c r="Q26"/>
      <c r="R26"/>
      <c r="S26"/>
    </row>
    <row r="27" spans="2:19" ht="5.0999999999999996" customHeight="1" x14ac:dyDescent="0.25">
      <c r="B27" s="273"/>
      <c r="C27" s="273"/>
      <c r="D27" s="273"/>
      <c r="E27" s="273"/>
      <c r="F27" s="273"/>
      <c r="G27" s="273"/>
      <c r="H27" s="273"/>
      <c r="I27" s="273"/>
    </row>
    <row r="28" spans="2:19" s="250" customFormat="1" ht="15" customHeight="1" x14ac:dyDescent="0.25">
      <c r="B28" s="486" t="s">
        <v>622</v>
      </c>
      <c r="C28" s="487"/>
      <c r="D28" s="487"/>
      <c r="E28" s="487"/>
      <c r="F28" s="487"/>
      <c r="G28" s="487"/>
      <c r="H28" s="488"/>
      <c r="I28" s="365">
        <f>ROUND((I26/H11),2)</f>
        <v>9.4</v>
      </c>
    </row>
    <row r="29" spans="2:19" ht="5.0999999999999996" customHeight="1" x14ac:dyDescent="0.25">
      <c r="B29" s="273"/>
      <c r="C29" s="273"/>
      <c r="D29" s="273"/>
      <c r="E29" s="273"/>
      <c r="F29" s="273"/>
      <c r="G29" s="273"/>
      <c r="H29" s="273"/>
      <c r="I29" s="273"/>
      <c r="K29" s="250"/>
      <c r="L29" s="250"/>
      <c r="M29" s="250"/>
      <c r="N29" s="250"/>
      <c r="O29" s="250"/>
      <c r="P29" s="250"/>
      <c r="Q29" s="250"/>
      <c r="R29" s="250"/>
      <c r="S29" s="250"/>
    </row>
    <row r="30" spans="2:19" ht="14.1" customHeight="1" x14ac:dyDescent="0.25">
      <c r="B30" s="448" t="s">
        <v>8</v>
      </c>
      <c r="C30" s="499" t="s">
        <v>623</v>
      </c>
      <c r="D30" s="448" t="s">
        <v>604</v>
      </c>
      <c r="E30" s="489" t="s">
        <v>624</v>
      </c>
      <c r="F30" s="490"/>
      <c r="G30" s="489" t="s">
        <v>617</v>
      </c>
      <c r="H30" s="490"/>
      <c r="I30" s="448" t="s">
        <v>625</v>
      </c>
      <c r="K30" s="250"/>
      <c r="L30" s="250"/>
      <c r="M30" s="250"/>
      <c r="N30" s="250"/>
      <c r="O30" s="250"/>
      <c r="P30" s="250"/>
      <c r="Q30" s="250"/>
      <c r="R30" s="250"/>
      <c r="S30" s="250"/>
    </row>
    <row r="31" spans="2:19" ht="14.1" customHeight="1" x14ac:dyDescent="0.25">
      <c r="B31" s="449"/>
      <c r="C31" s="500"/>
      <c r="D31" s="449"/>
      <c r="E31" s="491"/>
      <c r="F31" s="492"/>
      <c r="G31" s="491"/>
      <c r="H31" s="492"/>
      <c r="I31" s="449"/>
    </row>
    <row r="32" spans="2:19" s="250" customFormat="1" ht="14.1" customHeight="1" x14ac:dyDescent="0.25">
      <c r="B32" s="267" t="s">
        <v>878</v>
      </c>
      <c r="C32" s="103" t="s">
        <v>879</v>
      </c>
      <c r="D32" s="366" t="s">
        <v>34</v>
      </c>
      <c r="E32" s="493">
        <v>2.12</v>
      </c>
      <c r="F32" s="493"/>
      <c r="G32" s="493">
        <v>0.36</v>
      </c>
      <c r="H32" s="493"/>
      <c r="I32" s="369">
        <f>TRUNC((E32*G32),2)</f>
        <v>0.76</v>
      </c>
    </row>
    <row r="33" spans="2:9" s="250" customFormat="1" ht="14.1" customHeight="1" x14ac:dyDescent="0.25">
      <c r="B33" s="268"/>
      <c r="C33" s="269"/>
      <c r="D33" s="97"/>
      <c r="E33" s="518"/>
      <c r="F33" s="519"/>
      <c r="G33" s="518"/>
      <c r="H33" s="519"/>
      <c r="I33" s="370"/>
    </row>
    <row r="34" spans="2:9" s="250" customFormat="1" ht="15" customHeight="1" x14ac:dyDescent="0.25">
      <c r="B34" s="486" t="s">
        <v>634</v>
      </c>
      <c r="C34" s="487"/>
      <c r="D34" s="487"/>
      <c r="E34" s="487"/>
      <c r="F34" s="487"/>
      <c r="G34" s="487"/>
      <c r="H34" s="488"/>
      <c r="I34" s="365">
        <f>SUM(I32:I32)</f>
        <v>0.76</v>
      </c>
    </row>
    <row r="35" spans="2:9" ht="5.0999999999999996" customHeight="1" x14ac:dyDescent="0.25">
      <c r="B35" s="273"/>
      <c r="C35" s="273"/>
      <c r="D35" s="273"/>
      <c r="E35" s="273"/>
      <c r="F35" s="273"/>
      <c r="G35" s="273"/>
      <c r="H35" s="273"/>
      <c r="I35" s="273"/>
    </row>
    <row r="36" spans="2:9" ht="14.1" customHeight="1" x14ac:dyDescent="0.25">
      <c r="B36" s="450" t="s">
        <v>8</v>
      </c>
      <c r="C36" s="442" t="s">
        <v>52</v>
      </c>
      <c r="D36" s="450" t="s">
        <v>2</v>
      </c>
      <c r="E36" s="489" t="s">
        <v>624</v>
      </c>
      <c r="F36" s="490"/>
      <c r="G36" s="489" t="s">
        <v>617</v>
      </c>
      <c r="H36" s="490"/>
      <c r="I36" s="450" t="s">
        <v>625</v>
      </c>
    </row>
    <row r="37" spans="2:9" ht="14.1" customHeight="1" x14ac:dyDescent="0.25">
      <c r="B37" s="450"/>
      <c r="C37" s="442"/>
      <c r="D37" s="450"/>
      <c r="E37" s="491"/>
      <c r="F37" s="492"/>
      <c r="G37" s="491"/>
      <c r="H37" s="492"/>
      <c r="I37" s="450"/>
    </row>
    <row r="38" spans="2:9" s="250" customFormat="1" ht="14.1" customHeight="1" x14ac:dyDescent="0.25">
      <c r="B38" s="267"/>
      <c r="C38" s="103"/>
      <c r="D38" s="366"/>
      <c r="E38" s="493"/>
      <c r="F38" s="493"/>
      <c r="G38" s="493"/>
      <c r="H38" s="493"/>
      <c r="I38" s="369"/>
    </row>
    <row r="39" spans="2:9" s="250" customFormat="1" ht="14.1" customHeight="1" x14ac:dyDescent="0.25">
      <c r="B39" s="268"/>
      <c r="C39" s="269"/>
      <c r="D39" s="97"/>
      <c r="E39" s="494"/>
      <c r="F39" s="494"/>
      <c r="G39" s="494"/>
      <c r="H39" s="494"/>
      <c r="I39" s="370"/>
    </row>
    <row r="40" spans="2:9" s="250" customFormat="1" ht="15" customHeight="1" x14ac:dyDescent="0.25">
      <c r="B40" s="486" t="s">
        <v>635</v>
      </c>
      <c r="C40" s="487"/>
      <c r="D40" s="487"/>
      <c r="E40" s="487"/>
      <c r="F40" s="487"/>
      <c r="G40" s="487"/>
      <c r="H40" s="488"/>
      <c r="I40" s="365">
        <f>SUM(I38:I39)</f>
        <v>0</v>
      </c>
    </row>
    <row r="41" spans="2:9" ht="5.0999999999999996" customHeight="1" x14ac:dyDescent="0.25">
      <c r="B41" s="273"/>
      <c r="C41" s="273"/>
      <c r="D41" s="273"/>
      <c r="E41" s="273"/>
      <c r="F41" s="273"/>
      <c r="G41" s="273"/>
      <c r="H41" s="273"/>
      <c r="I41" s="273"/>
    </row>
    <row r="42" spans="2:9" s="250" customFormat="1" ht="15" customHeight="1" x14ac:dyDescent="0.25">
      <c r="B42" s="486" t="s">
        <v>636</v>
      </c>
      <c r="C42" s="487"/>
      <c r="D42" s="487"/>
      <c r="E42" s="487"/>
      <c r="F42" s="487"/>
      <c r="G42" s="487"/>
      <c r="H42" s="488"/>
      <c r="I42" s="365">
        <f>I28+I34+I40</f>
        <v>10.16</v>
      </c>
    </row>
  </sheetData>
  <mergeCells count="53">
    <mergeCell ref="B42:H42"/>
    <mergeCell ref="I36:I37"/>
    <mergeCell ref="E38:F38"/>
    <mergeCell ref="G38:H38"/>
    <mergeCell ref="E39:F39"/>
    <mergeCell ref="G39:H39"/>
    <mergeCell ref="B40:H40"/>
    <mergeCell ref="B34:H34"/>
    <mergeCell ref="B36:B37"/>
    <mergeCell ref="C36:C37"/>
    <mergeCell ref="D36:D37"/>
    <mergeCell ref="E36:F37"/>
    <mergeCell ref="G36:H37"/>
    <mergeCell ref="I30:I31"/>
    <mergeCell ref="E32:F32"/>
    <mergeCell ref="G32:H32"/>
    <mergeCell ref="E33:F33"/>
    <mergeCell ref="G33:H33"/>
    <mergeCell ref="B24:H24"/>
    <mergeCell ref="B26:H26"/>
    <mergeCell ref="B28:H28"/>
    <mergeCell ref="B30:B31"/>
    <mergeCell ref="C30:C31"/>
    <mergeCell ref="D30:D31"/>
    <mergeCell ref="E30:F31"/>
    <mergeCell ref="G30:H31"/>
    <mergeCell ref="I19:I20"/>
    <mergeCell ref="E21:F21"/>
    <mergeCell ref="G21:H21"/>
    <mergeCell ref="E22:F22"/>
    <mergeCell ref="G22:H22"/>
    <mergeCell ref="E23:F23"/>
    <mergeCell ref="G23:H23"/>
    <mergeCell ref="B17:H17"/>
    <mergeCell ref="B19:B20"/>
    <mergeCell ref="C19:C20"/>
    <mergeCell ref="D19:D20"/>
    <mergeCell ref="E19:F20"/>
    <mergeCell ref="G19:H20"/>
    <mergeCell ref="C11:F11"/>
    <mergeCell ref="H11:I11"/>
    <mergeCell ref="B13:B14"/>
    <mergeCell ref="C13:C14"/>
    <mergeCell ref="D13:E13"/>
    <mergeCell ref="F13:F14"/>
    <mergeCell ref="G13:H13"/>
    <mergeCell ref="I13:I14"/>
    <mergeCell ref="G2:I2"/>
    <mergeCell ref="G3:I5"/>
    <mergeCell ref="G6:I6"/>
    <mergeCell ref="B8:I8"/>
    <mergeCell ref="C10:F10"/>
    <mergeCell ref="H10:I10"/>
  </mergeCells>
  <printOptions horizontalCentered="1"/>
  <pageMargins left="0.39370078740157483" right="0.39370078740157483" top="0.39370078740157483" bottom="0.39370078740157483" header="0.31496062992125984" footer="0.31496062992125984"/>
  <pageSetup paperSize="9" scale="77" fitToHeight="11" orientation="portrait" r:id="rId1"/>
  <headerFooter>
    <oddFooter>&amp;L&amp;"Palatino Linotype,Negrito"&amp;8Rua Antônio Maria Coelho, 4.017 - Sala 03 | Santa Fé 
Campo Grande - MS | 79021-170
(67) 2525 0350 | elemento@elementoms.com.br&amp;C&amp;"Palatino Linotype,Negrito"&amp;8&amp;P/&amp;N&amp;R&amp;G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42</vt:i4>
      </vt:variant>
      <vt:variant>
        <vt:lpstr>Intervalos nomeados</vt:lpstr>
      </vt:variant>
      <vt:variant>
        <vt:i4>53</vt:i4>
      </vt:variant>
    </vt:vector>
  </HeadingPairs>
  <TitlesOfParts>
    <vt:vector size="95" baseType="lpstr">
      <vt:lpstr>DADOS</vt:lpstr>
      <vt:lpstr>Resumo DMT's</vt:lpstr>
      <vt:lpstr>Orçamento</vt:lpstr>
      <vt:lpstr>BDI SERVIÇO</vt:lpstr>
      <vt:lpstr>Tabela Resumo</vt:lpstr>
      <vt:lpstr>Cronograma</vt:lpstr>
      <vt:lpstr>Serv. Preliminares</vt:lpstr>
      <vt:lpstr>Demolições</vt:lpstr>
      <vt:lpstr>Dre-Dados</vt:lpstr>
      <vt:lpstr>Dre-Dim</vt:lpstr>
      <vt:lpstr>Dre-Terraplenagem</vt:lpstr>
      <vt:lpstr>Dre-Disp. Estruturais</vt:lpstr>
      <vt:lpstr>Pav-Terrapl</vt:lpstr>
      <vt:lpstr>Pav-Pavimento</vt:lpstr>
      <vt:lpstr>Serv. Complementares</vt:lpstr>
      <vt:lpstr>Passeio com Acessibilidade</vt:lpstr>
      <vt:lpstr>Sinalização</vt:lpstr>
      <vt:lpstr>EEA-SP-05 - Comp. Banheiro Quim</vt:lpstr>
      <vt:lpstr>EEA-SP-06 - Comp. Tapume</vt:lpstr>
      <vt:lpstr>EEA-SP-03 - Comp. Sin. F Laranj</vt:lpstr>
      <vt:lpstr>EEA-LT-02 - Comp. Pedra de Mão</vt:lpstr>
      <vt:lpstr>EEA-DR-05 - Comp. PV-1</vt:lpstr>
      <vt:lpstr>EEA-DR-17 - Comp. BLSC</vt:lpstr>
      <vt:lpstr>EEA-DR-18 - Comp. BLDC</vt:lpstr>
      <vt:lpstr>EEA-DR-19 - Comp. BLTC</vt:lpstr>
      <vt:lpstr>EEA-DR-60 - DIS. TIPO 01</vt:lpstr>
      <vt:lpstr>EEA-IM-01 - Comp. Imprimação</vt:lpstr>
      <vt:lpstr>EEA-AP-01 - Comp. Aplic. CBUQ</vt:lpstr>
      <vt:lpstr>EEA-SC-01 - Comp. MF com Sarj</vt:lpstr>
      <vt:lpstr>EEA-SC-04 - Comp. Tento</vt:lpstr>
      <vt:lpstr>EEA-AC-01 - Comp. Prep. Manual</vt:lpstr>
      <vt:lpstr>EEA-AC-08 - Rampa Projeto</vt:lpstr>
      <vt:lpstr>EEA-AC-09 - Piso tátil</vt:lpstr>
      <vt:lpstr>EEA-SV-01 - Comp. Placa 0,36m²</vt:lpstr>
      <vt:lpstr>EEA-SV-02 - Comp. Pl. Lograd</vt:lpstr>
      <vt:lpstr>EEA-SV-03 - Comp. Suporte</vt:lpstr>
      <vt:lpstr>EEA-PR-01 - Comp. Recorte</vt:lpstr>
      <vt:lpstr>EEA-SD-04 - Regula. Manual</vt:lpstr>
      <vt:lpstr>EEA-SD-05 - Esc. Manual</vt:lpstr>
      <vt:lpstr>EEA-SD-06 - Alv. de Tijolo</vt:lpstr>
      <vt:lpstr>EEA-SD-07 - Conc não estrutural</vt:lpstr>
      <vt:lpstr>EEA-SD-08 - Pintura a base</vt:lpstr>
      <vt:lpstr>'BDI SERVIÇO'!Area_de_impressao</vt:lpstr>
      <vt:lpstr>Cronograma!Area_de_impressao</vt:lpstr>
      <vt:lpstr>DADOS!Area_de_impressao</vt:lpstr>
      <vt:lpstr>Demolições!Area_de_impressao</vt:lpstr>
      <vt:lpstr>'Dre-Dados'!Area_de_impressao</vt:lpstr>
      <vt:lpstr>'Dre-Dim'!Area_de_impressao</vt:lpstr>
      <vt:lpstr>'Dre-Disp. Estruturais'!Area_de_impressao</vt:lpstr>
      <vt:lpstr>'Dre-Terraplenagem'!Area_de_impressao</vt:lpstr>
      <vt:lpstr>'EEA-AC-01 - Comp. Prep. Manual'!Area_de_impressao</vt:lpstr>
      <vt:lpstr>'EEA-AC-08 - Rampa Projeto'!Area_de_impressao</vt:lpstr>
      <vt:lpstr>'EEA-AC-09 - Piso tátil'!Area_de_impressao</vt:lpstr>
      <vt:lpstr>'EEA-AP-01 - Comp. Aplic. CBUQ'!Area_de_impressao</vt:lpstr>
      <vt:lpstr>'EEA-DR-05 - Comp. PV-1'!Area_de_impressao</vt:lpstr>
      <vt:lpstr>'EEA-DR-17 - Comp. BLSC'!Area_de_impressao</vt:lpstr>
      <vt:lpstr>'EEA-DR-18 - Comp. BLDC'!Area_de_impressao</vt:lpstr>
      <vt:lpstr>'EEA-DR-19 - Comp. BLTC'!Area_de_impressao</vt:lpstr>
      <vt:lpstr>'EEA-DR-60 - DIS. TIPO 01'!Area_de_impressao</vt:lpstr>
      <vt:lpstr>'EEA-IM-01 - Comp. Imprimação'!Area_de_impressao</vt:lpstr>
      <vt:lpstr>'EEA-LT-02 - Comp. Pedra de Mão'!Area_de_impressao</vt:lpstr>
      <vt:lpstr>'EEA-PR-01 - Comp. Recorte'!Area_de_impressao</vt:lpstr>
      <vt:lpstr>'EEA-SC-01 - Comp. MF com Sarj'!Area_de_impressao</vt:lpstr>
      <vt:lpstr>'EEA-SC-04 - Comp. Tento'!Area_de_impressao</vt:lpstr>
      <vt:lpstr>'EEA-SD-04 - Regula. Manual'!Area_de_impressao</vt:lpstr>
      <vt:lpstr>'EEA-SD-05 - Esc. Manual'!Area_de_impressao</vt:lpstr>
      <vt:lpstr>'EEA-SD-06 - Alv. de Tijolo'!Area_de_impressao</vt:lpstr>
      <vt:lpstr>'EEA-SD-07 - Conc não estrutural'!Area_de_impressao</vt:lpstr>
      <vt:lpstr>'EEA-SD-08 - Pintura a base'!Area_de_impressao</vt:lpstr>
      <vt:lpstr>'EEA-SP-03 - Comp. Sin. F Laranj'!Area_de_impressao</vt:lpstr>
      <vt:lpstr>'EEA-SP-05 - Comp. Banheiro Quim'!Area_de_impressao</vt:lpstr>
      <vt:lpstr>'EEA-SP-06 - Comp. Tapume'!Area_de_impressao</vt:lpstr>
      <vt:lpstr>'EEA-SV-01 - Comp. Placa 0,36m²'!Area_de_impressao</vt:lpstr>
      <vt:lpstr>'EEA-SV-02 - Comp. Pl. Lograd'!Area_de_impressao</vt:lpstr>
      <vt:lpstr>'EEA-SV-03 - Comp. Suporte'!Area_de_impressao</vt:lpstr>
      <vt:lpstr>Orçamento!Area_de_impressao</vt:lpstr>
      <vt:lpstr>'Passeio com Acessibilidade'!Area_de_impressao</vt:lpstr>
      <vt:lpstr>'Pav-Pavimento'!Area_de_impressao</vt:lpstr>
      <vt:lpstr>'Pav-Terrapl'!Area_de_impressao</vt:lpstr>
      <vt:lpstr>'Resumo DMT''s'!Area_de_impressao</vt:lpstr>
      <vt:lpstr>'Serv. Complementares'!Area_de_impressao</vt:lpstr>
      <vt:lpstr>'Serv. Preliminares'!Area_de_impressao</vt:lpstr>
      <vt:lpstr>Sinalização!Area_de_impressao</vt:lpstr>
      <vt:lpstr>'Tabela Resumo'!Area_de_impressao</vt:lpstr>
      <vt:lpstr>Cronograma!Titulos_de_impressao</vt:lpstr>
      <vt:lpstr>Demolições!Titulos_de_impressao</vt:lpstr>
      <vt:lpstr>'Dre-Disp. Estruturais'!Titulos_de_impressao</vt:lpstr>
      <vt:lpstr>'Dre-Terraplenagem'!Titulos_de_impressao</vt:lpstr>
      <vt:lpstr>Orçamento!Titulos_de_impressao</vt:lpstr>
      <vt:lpstr>'Passeio com Acessibilidade'!Titulos_de_impressao</vt:lpstr>
      <vt:lpstr>'Pav-Pavimento'!Titulos_de_impressao</vt:lpstr>
      <vt:lpstr>'Pav-Terrapl'!Titulos_de_impressao</vt:lpstr>
      <vt:lpstr>'Serv. Complementares'!Titulos_de_impressao</vt:lpstr>
      <vt:lpstr>'Serv. Preliminares'!Titulos_de_impressao</vt:lpstr>
      <vt:lpstr>Sinalização!Titulos_de_impressao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Infra 01</cp:lastModifiedBy>
  <cp:lastPrinted>2026-04-08T21:20:42Z</cp:lastPrinted>
  <dcterms:created xsi:type="dcterms:W3CDTF">2019-12-01T21:24:16Z</dcterms:created>
  <dcterms:modified xsi:type="dcterms:W3CDTF">2026-04-08T21:20:57Z</dcterms:modified>
</cp:coreProperties>
</file>