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013.brasilandia.corp\Sec Obras\Adminstracao\Engenharia\09 ELOIZA\CRECHE - FNDE\"/>
    </mc:Choice>
  </mc:AlternateContent>
  <xr:revisionPtr revIDLastSave="0" documentId="13_ncr:1_{7806CECC-9911-477E-B32F-AF32CCFDF5A2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Buttons" sheetId="1" r:id="rId1"/>
  </sheets>
  <definedNames>
    <definedName name="_xlnm.Print_Area" localSheetId="0">Buttons!$A$1:$O$39</definedName>
    <definedName name="COMPOSIÇÃO">#REF!</definedName>
    <definedName name="Print_Area_MI">#REF!</definedName>
    <definedName name="w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" i="1" l="1"/>
  <c r="J16" i="1"/>
  <c r="E13" i="1"/>
  <c r="D10" i="1"/>
  <c r="D9" i="1"/>
  <c r="J17" i="1" l="1"/>
  <c r="H17" i="1"/>
  <c r="D16" i="1"/>
  <c r="G17" i="1"/>
  <c r="L17" i="1"/>
  <c r="I17" i="1"/>
  <c r="M17" i="1"/>
  <c r="N17" i="1"/>
  <c r="G13" i="1"/>
  <c r="J15" i="1"/>
  <c r="O9" i="1"/>
  <c r="L29" i="1" l="1"/>
  <c r="M25" i="1"/>
  <c r="L25" i="1"/>
  <c r="I21" i="1"/>
  <c r="H21" i="1"/>
  <c r="J20" i="1"/>
  <c r="I20" i="1"/>
  <c r="H20" i="1"/>
  <c r="I15" i="1" l="1"/>
  <c r="H15" i="1"/>
  <c r="G15" i="1"/>
  <c r="F13" i="1"/>
  <c r="E10" i="1" l="1"/>
  <c r="F9" i="1"/>
  <c r="G9" i="1"/>
  <c r="H9" i="1"/>
  <c r="I9" i="1"/>
  <c r="J9" i="1"/>
  <c r="K9" i="1"/>
  <c r="L9" i="1"/>
  <c r="M9" i="1"/>
  <c r="N9" i="1"/>
  <c r="E9" i="1"/>
  <c r="D11" i="1" l="1"/>
  <c r="D34" i="1" s="1"/>
  <c r="E11" i="1"/>
  <c r="D36" i="1" l="1"/>
  <c r="E12" i="1"/>
  <c r="F12" i="1"/>
  <c r="G12" i="1"/>
  <c r="K14" i="1" l="1"/>
  <c r="L14" i="1"/>
  <c r="M14" i="1"/>
  <c r="J14" i="1"/>
  <c r="J18" i="1"/>
  <c r="K18" i="1"/>
  <c r="L18" i="1"/>
  <c r="I18" i="1"/>
  <c r="K19" i="1" l="1"/>
  <c r="L19" i="1"/>
  <c r="M19" i="1"/>
  <c r="H22" i="1"/>
  <c r="G22" i="1"/>
  <c r="I22" i="1"/>
  <c r="K23" i="1" l="1"/>
  <c r="M23" i="1"/>
  <c r="L23" i="1"/>
  <c r="G24" i="1"/>
  <c r="F24" i="1"/>
  <c r="F26" i="1"/>
  <c r="F34" i="1" s="1"/>
  <c r="G26" i="1"/>
  <c r="G34" i="1" s="1"/>
  <c r="K26" i="1"/>
  <c r="J26" i="1"/>
  <c r="H26" i="1"/>
  <c r="H34" i="1" s="1"/>
  <c r="E26" i="1"/>
  <c r="E34" i="1"/>
  <c r="I26" i="1"/>
  <c r="E36" i="1" l="1"/>
  <c r="F36" i="1" s="1"/>
  <c r="G36" i="1" s="1"/>
  <c r="H36" i="1" s="1"/>
  <c r="N27" i="1"/>
  <c r="K28" i="1"/>
  <c r="I28" i="1"/>
  <c r="I34" i="1" s="1"/>
  <c r="J28" i="1"/>
  <c r="I36" i="1" l="1"/>
  <c r="J30" i="1"/>
  <c r="J34" i="1"/>
  <c r="K30" i="1"/>
  <c r="K34" i="1" s="1"/>
  <c r="J36" i="1" l="1"/>
  <c r="K36" i="1"/>
  <c r="N31" i="1"/>
  <c r="N34" i="1" s="1"/>
  <c r="L31" i="1"/>
  <c r="L34" i="1" s="1"/>
  <c r="M31" i="1"/>
  <c r="M34" i="1" s="1"/>
  <c r="L36" i="1" l="1"/>
  <c r="M36" i="1" s="1"/>
  <c r="N36" i="1" s="1"/>
  <c r="O32" i="1"/>
  <c r="O34" i="1" s="1"/>
  <c r="N33" i="1"/>
  <c r="D33" i="1"/>
  <c r="D35" i="1" s="1"/>
  <c r="L33" i="1"/>
  <c r="M33" i="1"/>
  <c r="F33" i="1"/>
  <c r="I33" i="1"/>
  <c r="K33" i="1"/>
  <c r="H33" i="1"/>
  <c r="G33" i="1"/>
  <c r="E33" i="1"/>
  <c r="C34" i="1"/>
  <c r="J33" i="1"/>
  <c r="E35" i="1" l="1"/>
  <c r="F35" i="1" s="1"/>
  <c r="G35" i="1" s="1"/>
  <c r="H35" i="1" s="1"/>
  <c r="I35" i="1" s="1"/>
  <c r="J35" i="1" s="1"/>
  <c r="K35" i="1" s="1"/>
  <c r="L35" i="1" s="1"/>
  <c r="M35" i="1" s="1"/>
  <c r="N35" i="1" s="1"/>
  <c r="O36" i="1"/>
  <c r="O33" i="1"/>
  <c r="O35" i="1" l="1"/>
</calcChain>
</file>

<file path=xl/sharedStrings.xml><?xml version="1.0" encoding="utf-8"?>
<sst xmlns="http://schemas.openxmlformats.org/spreadsheetml/2006/main" count="267" uniqueCount="65">
  <si>
    <t>PROPRIETÁRIO: Municipio de Brasilândia/MS</t>
  </si>
  <si>
    <t>OBRA: Construção de uma Creche do PROINFÂNCIA</t>
  </si>
  <si>
    <t xml:space="preserve">LOCAL Quadra 16, Área Institucional 01, Bairro Valle Verde Ii </t>
  </si>
  <si>
    <t>BANCO DE DADOS: Planilha Orçamentária TIPO2-PLN-AT7-S127-R02, INCC FGV</t>
  </si>
  <si>
    <t>BDI: 25% conforme nota técnica FNDE</t>
  </si>
  <si>
    <t>FONTE: SINAPI (Setembro/2025) - SEM DESONERAÇÃO</t>
  </si>
  <si>
    <t>Cronograma Físico e Financeiro</t>
  </si>
  <si>
    <t>Item</t>
  </si>
  <si>
    <t>Descrição</t>
  </si>
  <si>
    <t>Total Por Etapa</t>
  </si>
  <si>
    <t xml:space="preserve"> 1 </t>
  </si>
  <si>
    <t>SERVIÇOS PRELIMINARES</t>
  </si>
  <si>
    <t xml:space="preserve"> 2 </t>
  </si>
  <si>
    <t>MOVIMENTO DE TERRA PARA FUNDAÇÕES</t>
  </si>
  <si>
    <t/>
  </si>
  <si>
    <t xml:space="preserve"> 3 </t>
  </si>
  <si>
    <t>FUNDAÇÕES</t>
  </si>
  <si>
    <t xml:space="preserve"> 4 </t>
  </si>
  <si>
    <t>SUPERESTRUTURA</t>
  </si>
  <si>
    <t xml:space="preserve"> 5 </t>
  </si>
  <si>
    <t>SISTEMA DE VEDAÇÃO VERTICAL</t>
  </si>
  <si>
    <t xml:space="preserve"> 6 </t>
  </si>
  <si>
    <t>ESQUADRIAS</t>
  </si>
  <si>
    <t xml:space="preserve"> 7 </t>
  </si>
  <si>
    <t>SISTEMAS DE COBERTURA</t>
  </si>
  <si>
    <t xml:space="preserve"> 8 </t>
  </si>
  <si>
    <t>IMPERMEABILIZAÇÃO</t>
  </si>
  <si>
    <t xml:space="preserve"> 9 </t>
  </si>
  <si>
    <t>REVESTIMENTOS INTERNO E EXTERNO</t>
  </si>
  <si>
    <t xml:space="preserve"> 10 </t>
  </si>
  <si>
    <t>SISTEMAS DE PISOS</t>
  </si>
  <si>
    <t xml:space="preserve"> 11 </t>
  </si>
  <si>
    <t>PINTURAS E ACABAMENTOS</t>
  </si>
  <si>
    <t xml:space="preserve"> 12 </t>
  </si>
  <si>
    <t>INSTALAÇÃO HIDRÁULICA</t>
  </si>
  <si>
    <t xml:space="preserve"> 13 </t>
  </si>
  <si>
    <t>DRENAGEM DE ÁGUAS PLUVIAIS</t>
  </si>
  <si>
    <t xml:space="preserve"> 14 </t>
  </si>
  <si>
    <t>INSTALAÇÃO SANITÁRIA</t>
  </si>
  <si>
    <t xml:space="preserve"> 15 </t>
  </si>
  <si>
    <t>LOUÇAS, ACESSÓRIOS E METAIS</t>
  </si>
  <si>
    <t xml:space="preserve"> 16 </t>
  </si>
  <si>
    <t>INSTALAÇÃO DE GÁS COMBUSTÍVEL</t>
  </si>
  <si>
    <t xml:space="preserve"> 17 </t>
  </si>
  <si>
    <t>SISTEMA DE PROTEÇÃO CONTRA INCÊNDIO</t>
  </si>
  <si>
    <t xml:space="preserve"> 18 </t>
  </si>
  <si>
    <t>INSTALAÇÃO ELÉTRICA - 110V</t>
  </si>
  <si>
    <t xml:space="preserve"> 19 </t>
  </si>
  <si>
    <t>INSTALAÇÕES DE CLIMATIZAÇÕES</t>
  </si>
  <si>
    <t xml:space="preserve"> 20 </t>
  </si>
  <si>
    <t>INSTALAÇÕES DE CABEAMENTO ESTRUTURADO</t>
  </si>
  <si>
    <t xml:space="preserve"> 21 </t>
  </si>
  <si>
    <t>SISTEMA DE EXAUSTÃO MECÂNICA</t>
  </si>
  <si>
    <t xml:space="preserve"> 22 </t>
  </si>
  <si>
    <t>SISTEMAS DE PROTEÇÃO CONTRA DESCARGAS ATMOSFÉRICAS (SPDA)</t>
  </si>
  <si>
    <t xml:space="preserve"> 23 </t>
  </si>
  <si>
    <t>SERVIÇOES COMPLEMENTARES</t>
  </si>
  <si>
    <t xml:space="preserve"> 24 </t>
  </si>
  <si>
    <t>SERVIÇOS FINAIS</t>
  </si>
  <si>
    <t>Porcentagem</t>
  </si>
  <si>
    <t>Custo</t>
  </si>
  <si>
    <t>Porcentagem Acumulado</t>
  </si>
  <si>
    <t>Custo Acumulado</t>
  </si>
  <si>
    <t>_______________________________________________________________
GISELLE DOS SANTOS SILVA MARQUES 
EngenheirA Civil CREA/MS 62348</t>
  </si>
  <si>
    <t>Brasilândia/MS, 03 de novembro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</si>
</sst>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0.0000%"/>
    <numFmt numFmtId="167" formatCode="&quot;R$&quot;\ #,##0.000"/>
  </numFmts>
  <fonts count="13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8"/>
      <name val="Arial"/>
      <family val="1"/>
    </font>
    <font>
      <sz val="11"/>
      <name val="Arial"/>
      <family val="1"/>
    </font>
    <font>
      <sz val="11"/>
      <color indexed="8"/>
      <name val="Arial"/>
      <family val="2"/>
    </font>
    <font>
      <b/>
      <sz val="10"/>
      <name val="Arial"/>
      <family val="2"/>
    </font>
    <font>
      <b/>
      <sz val="12"/>
      <name val="Arial"/>
      <family val="1"/>
    </font>
    <font>
      <sz val="11"/>
      <color rgb="FFFF0000"/>
      <name val="Arial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9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0" fontId="5" fillId="0" borderId="1" xfId="2" applyNumberFormat="1" applyFont="1" applyFill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0" fontId="5" fillId="0" borderId="1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10" fontId="5" fillId="0" borderId="9" xfId="2" applyNumberFormat="1" applyFont="1" applyFill="1" applyBorder="1" applyAlignment="1">
      <alignment horizontal="right" vertical="center" wrapText="1"/>
    </xf>
    <xf numFmtId="165" fontId="5" fillId="0" borderId="9" xfId="0" applyNumberFormat="1" applyFont="1" applyBorder="1" applyAlignment="1">
      <alignment horizontal="right" vertical="center" wrapText="1"/>
    </xf>
    <xf numFmtId="10" fontId="5" fillId="0" borderId="9" xfId="0" applyNumberFormat="1" applyFont="1" applyBorder="1" applyAlignment="1">
      <alignment horizontal="right" vertical="center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164" fontId="10" fillId="0" borderId="6" xfId="3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5" fillId="0" borderId="1" xfId="0" applyNumberFormat="1" applyFont="1" applyBorder="1" applyAlignment="1">
      <alignment horizontal="left"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165" fontId="4" fillId="0" borderId="1" xfId="0" applyNumberFormat="1" applyFont="1" applyBorder="1" applyAlignment="1">
      <alignment horizontal="right" vertical="center" wrapText="1"/>
    </xf>
    <xf numFmtId="165" fontId="4" fillId="0" borderId="9" xfId="0" applyNumberFormat="1" applyFont="1" applyBorder="1" applyAlignment="1">
      <alignment horizontal="right" vertical="center" wrapText="1"/>
    </xf>
    <xf numFmtId="166" fontId="4" fillId="0" borderId="1" xfId="0" applyNumberFormat="1" applyFont="1" applyBorder="1" applyAlignment="1">
      <alignment horizontal="right" vertical="center" wrapText="1"/>
    </xf>
    <xf numFmtId="167" fontId="4" fillId="0" borderId="1" xfId="0" applyNumberFormat="1" applyFont="1" applyBorder="1" applyAlignment="1">
      <alignment horizontal="right" vertical="center" wrapText="1"/>
    </xf>
    <xf numFmtId="9" fontId="4" fillId="0" borderId="1" xfId="2" applyFont="1" applyBorder="1" applyAlignment="1">
      <alignment horizontal="righ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164" fontId="10" fillId="0" borderId="6" xfId="3" applyFont="1" applyFill="1" applyBorder="1" applyAlignment="1">
      <alignment horizontal="left" vertical="center"/>
    </xf>
    <xf numFmtId="164" fontId="10" fillId="0" borderId="0" xfId="3" applyFont="1" applyFill="1" applyBorder="1" applyAlignment="1">
      <alignment horizontal="left" vertical="center"/>
    </xf>
    <xf numFmtId="164" fontId="10" fillId="0" borderId="7" xfId="3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</cellXfs>
  <cellStyles count="7">
    <cellStyle name="Normal" xfId="0" builtinId="0"/>
    <cellStyle name="Normal 13" xfId="1" xr:uid="{7DCF19FB-08E1-4FF8-B585-B8265402EDF4}"/>
    <cellStyle name="Normal 2" xfId="4" xr:uid="{BBC88E25-45D1-48BE-8550-D41100524B70}"/>
    <cellStyle name="Porcentagem" xfId="2" builtinId="5"/>
    <cellStyle name="Porcentagem 3" xfId="6" xr:uid="{EC6451E8-A692-44D7-BA95-C0130E38CA00}"/>
    <cellStyle name="Separador de milhares 2" xfId="5" xr:uid="{5E31AC6D-EA30-48D8-AA25-AE4FD8256EF2}"/>
    <cellStyle name="Vírgula 4" xfId="3" xr:uid="{153E7111-9A0D-4F21-8EC9-4A8D3E3440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412750</xdr:colOff>
      <xdr:row>1</xdr:row>
      <xdr:rowOff>15875</xdr:rowOff>
    </xdr:from>
    <xdr:to>
      <xdr:col>14</xdr:col>
      <xdr:colOff>820351</xdr:colOff>
      <xdr:row>4</xdr:row>
      <xdr:rowOff>83909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10000" y="206375"/>
          <a:ext cx="2979351" cy="63953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466725</xdr:colOff>
          <xdr:row>0</xdr:row>
          <xdr:rowOff>104775</xdr:rowOff>
        </xdr:from>
        <xdr:to>
          <xdr:col>12</xdr:col>
          <xdr:colOff>76200</xdr:colOff>
          <xdr:row>4</xdr:row>
          <xdr:rowOff>85725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9"/>
  <sheetViews>
    <sheetView tabSelected="1" showOutlineSymbols="0" showWhiteSpace="0" view="pageBreakPreview" zoomScale="60" zoomScaleNormal="70" workbookViewId="0">
      <selection activeCell="R8" sqref="R8"/>
    </sheetView>
  </sheetViews>
  <sheetFormatPr defaultRowHeight="14.25" x14ac:dyDescent="0.2"/>
  <cols>
    <col min="1" max="1" width="6.75" customWidth="1"/>
    <col min="2" max="2" width="41.75" customWidth="1"/>
    <col min="3" max="3" width="16.75" customWidth="1"/>
    <col min="4" max="6" width="16.25" customWidth="1"/>
    <col min="7" max="7" width="16.875" customWidth="1"/>
    <col min="8" max="8" width="17.125" customWidth="1"/>
    <col min="9" max="9" width="16.625" customWidth="1"/>
    <col min="10" max="10" width="17.25" customWidth="1"/>
    <col min="11" max="11" width="17.125" customWidth="1"/>
    <col min="12" max="12" width="16.25" customWidth="1"/>
    <col min="13" max="13" width="17.5" customWidth="1"/>
    <col min="14" max="14" width="16.25" customWidth="1"/>
    <col min="15" max="15" width="20.125" customWidth="1"/>
    <col min="16" max="16" width="13.625" bestFit="1" customWidth="1"/>
    <col min="17" max="17" width="19.25" customWidth="1"/>
    <col min="18" max="18" width="12" bestFit="1" customWidth="1"/>
    <col min="19" max="19" width="12.5" bestFit="1" customWidth="1"/>
  </cols>
  <sheetData>
    <row r="1" spans="1:15" ht="15" x14ac:dyDescent="0.2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</row>
    <row r="2" spans="1:15" ht="15" x14ac:dyDescent="0.2">
      <c r="A2" s="15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1"/>
    </row>
    <row r="3" spans="1:15" ht="15" x14ac:dyDescent="0.2">
      <c r="A3" s="15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1"/>
    </row>
    <row r="4" spans="1:15" ht="15" customHeight="1" x14ac:dyDescent="0.2">
      <c r="A4" s="43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5"/>
    </row>
    <row r="5" spans="1:15" ht="17.25" customHeight="1" x14ac:dyDescent="0.2">
      <c r="A5" s="46" t="s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8"/>
    </row>
    <row r="6" spans="1:15" ht="17.25" customHeight="1" x14ac:dyDescent="0.2">
      <c r="A6" s="46" t="s">
        <v>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8"/>
    </row>
    <row r="7" spans="1:15" ht="21" customHeight="1" x14ac:dyDescent="0.2">
      <c r="A7" s="37" t="s">
        <v>6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/>
    </row>
    <row r="8" spans="1:15" ht="23.25" customHeight="1" x14ac:dyDescent="0.2">
      <c r="A8" s="8" t="s">
        <v>7</v>
      </c>
      <c r="B8" s="1" t="s">
        <v>8</v>
      </c>
      <c r="C8" s="2" t="s">
        <v>9</v>
      </c>
      <c r="D8" s="3">
        <v>1</v>
      </c>
      <c r="E8" s="3">
        <v>2</v>
      </c>
      <c r="F8" s="3">
        <v>3</v>
      </c>
      <c r="G8" s="3">
        <v>4</v>
      </c>
      <c r="H8" s="3">
        <v>5</v>
      </c>
      <c r="I8" s="3">
        <v>6</v>
      </c>
      <c r="J8" s="3">
        <v>7</v>
      </c>
      <c r="K8" s="3">
        <v>8</v>
      </c>
      <c r="L8" s="3">
        <v>9</v>
      </c>
      <c r="M8" s="3">
        <v>10</v>
      </c>
      <c r="N8" s="3">
        <v>11</v>
      </c>
      <c r="O8" s="9">
        <v>12</v>
      </c>
    </row>
    <row r="9" spans="1:15" ht="24" customHeight="1" x14ac:dyDescent="0.2">
      <c r="A9" s="16" t="s">
        <v>10</v>
      </c>
      <c r="B9" s="17" t="s">
        <v>11</v>
      </c>
      <c r="C9" s="22">
        <v>374093.38</v>
      </c>
      <c r="D9" s="22">
        <f>C9*0.329</f>
        <v>123076.72202</v>
      </c>
      <c r="E9" s="22">
        <f>$C$9*0.061</f>
        <v>22819.696179999999</v>
      </c>
      <c r="F9" s="22">
        <f t="shared" ref="F9:N9" si="0">$C$9*0.061</f>
        <v>22819.696179999999</v>
      </c>
      <c r="G9" s="22">
        <f t="shared" si="0"/>
        <v>22819.696179999999</v>
      </c>
      <c r="H9" s="22">
        <f t="shared" si="0"/>
        <v>22819.696179999999</v>
      </c>
      <c r="I9" s="22">
        <f t="shared" si="0"/>
        <v>22819.696179999999</v>
      </c>
      <c r="J9" s="22">
        <f t="shared" si="0"/>
        <v>22819.696179999999</v>
      </c>
      <c r="K9" s="22">
        <f t="shared" si="0"/>
        <v>22819.696179999999</v>
      </c>
      <c r="L9" s="22">
        <f t="shared" si="0"/>
        <v>22819.696179999999</v>
      </c>
      <c r="M9" s="22">
        <f t="shared" si="0"/>
        <v>22819.696179999999</v>
      </c>
      <c r="N9" s="22">
        <f t="shared" si="0"/>
        <v>22819.696179999999</v>
      </c>
      <c r="O9" s="23">
        <f>$C$9*0.061</f>
        <v>22819.696179999999</v>
      </c>
    </row>
    <row r="10" spans="1:15" ht="24" customHeight="1" x14ac:dyDescent="0.2">
      <c r="A10" s="16" t="s">
        <v>12</v>
      </c>
      <c r="B10" s="17" t="s">
        <v>13</v>
      </c>
      <c r="C10" s="22">
        <v>32967.11</v>
      </c>
      <c r="D10" s="22">
        <f>C10*0.8</f>
        <v>26373.688000000002</v>
      </c>
      <c r="E10" s="22">
        <f>C10*0.2</f>
        <v>6593.4220000000005</v>
      </c>
      <c r="F10" s="22" t="s">
        <v>14</v>
      </c>
      <c r="G10" s="22" t="s">
        <v>14</v>
      </c>
      <c r="H10" s="22" t="s">
        <v>14</v>
      </c>
      <c r="I10" s="22" t="s">
        <v>14</v>
      </c>
      <c r="J10" s="22" t="s">
        <v>14</v>
      </c>
      <c r="K10" s="22" t="s">
        <v>14</v>
      </c>
      <c r="L10" s="22" t="s">
        <v>14</v>
      </c>
      <c r="M10" s="22" t="s">
        <v>14</v>
      </c>
      <c r="N10" s="22" t="s">
        <v>14</v>
      </c>
      <c r="O10" s="23" t="s">
        <v>14</v>
      </c>
    </row>
    <row r="11" spans="1:15" ht="24" customHeight="1" x14ac:dyDescent="0.2">
      <c r="A11" s="16" t="s">
        <v>15</v>
      </c>
      <c r="B11" s="17" t="s">
        <v>16</v>
      </c>
      <c r="C11" s="22">
        <v>294710.46000000008</v>
      </c>
      <c r="D11" s="22">
        <f>C11*0.7</f>
        <v>206297.32200000004</v>
      </c>
      <c r="E11" s="22">
        <f>C11*0.3</f>
        <v>88413.138000000021</v>
      </c>
      <c r="F11" s="22"/>
      <c r="G11" s="22"/>
      <c r="H11" s="22" t="s">
        <v>14</v>
      </c>
      <c r="I11" s="22" t="s">
        <v>14</v>
      </c>
      <c r="J11" s="22" t="s">
        <v>14</v>
      </c>
      <c r="K11" s="22" t="s">
        <v>14</v>
      </c>
      <c r="L11" s="22" t="s">
        <v>14</v>
      </c>
      <c r="M11" s="22" t="s">
        <v>14</v>
      </c>
      <c r="N11" s="22" t="s">
        <v>14</v>
      </c>
      <c r="O11" s="23" t="s">
        <v>14</v>
      </c>
    </row>
    <row r="12" spans="1:15" ht="24" customHeight="1" x14ac:dyDescent="0.2">
      <c r="A12" s="16" t="s">
        <v>17</v>
      </c>
      <c r="B12" s="17" t="s">
        <v>18</v>
      </c>
      <c r="C12" s="22">
        <v>379512.1700000001</v>
      </c>
      <c r="D12" s="22" t="s">
        <v>14</v>
      </c>
      <c r="E12" s="22">
        <f>C12*0.2</f>
        <v>75902.434000000023</v>
      </c>
      <c r="F12" s="22">
        <f>C12*0.5</f>
        <v>189756.08500000005</v>
      </c>
      <c r="G12" s="22">
        <f>C12*0.3</f>
        <v>113853.65100000003</v>
      </c>
      <c r="H12" s="22" t="s">
        <v>14</v>
      </c>
      <c r="I12" s="22" t="s">
        <v>14</v>
      </c>
      <c r="J12" s="22" t="s">
        <v>14</v>
      </c>
      <c r="K12" s="22" t="s">
        <v>14</v>
      </c>
      <c r="L12" s="22" t="s">
        <v>14</v>
      </c>
      <c r="M12" s="22" t="s">
        <v>14</v>
      </c>
      <c r="N12" s="22" t="s">
        <v>14</v>
      </c>
      <c r="O12" s="23" t="s">
        <v>14</v>
      </c>
    </row>
    <row r="13" spans="1:15" ht="24" customHeight="1" x14ac:dyDescent="0.2">
      <c r="A13" s="16" t="s">
        <v>19</v>
      </c>
      <c r="B13" s="17" t="s">
        <v>20</v>
      </c>
      <c r="C13" s="22">
        <v>259710.32999999996</v>
      </c>
      <c r="D13" s="22" t="s">
        <v>14</v>
      </c>
      <c r="E13" s="22">
        <f>$C$13*0.5</f>
        <v>129855.16499999998</v>
      </c>
      <c r="F13" s="22">
        <f>$C$13*0.3</f>
        <v>77913.098999999987</v>
      </c>
      <c r="G13" s="22">
        <f>$C$13*0.2</f>
        <v>51942.065999999992</v>
      </c>
      <c r="H13" s="22" t="s">
        <v>14</v>
      </c>
      <c r="I13" s="22" t="s">
        <v>14</v>
      </c>
      <c r="J13" s="22" t="s">
        <v>14</v>
      </c>
      <c r="K13" s="22" t="s">
        <v>14</v>
      </c>
      <c r="L13" s="22" t="s">
        <v>14</v>
      </c>
      <c r="M13" s="22" t="s">
        <v>14</v>
      </c>
      <c r="N13" s="22" t="s">
        <v>14</v>
      </c>
      <c r="O13" s="23" t="s">
        <v>14</v>
      </c>
    </row>
    <row r="14" spans="1:15" ht="24" customHeight="1" x14ac:dyDescent="0.2">
      <c r="A14" s="16" t="s">
        <v>21</v>
      </c>
      <c r="B14" s="17" t="s">
        <v>22</v>
      </c>
      <c r="C14" s="22">
        <v>315747.95000000007</v>
      </c>
      <c r="D14" s="22" t="s">
        <v>14</v>
      </c>
      <c r="E14" s="22" t="s">
        <v>14</v>
      </c>
      <c r="F14" s="22" t="s">
        <v>14</v>
      </c>
      <c r="G14" s="22" t="s">
        <v>14</v>
      </c>
      <c r="H14" s="22" t="s">
        <v>14</v>
      </c>
      <c r="I14" s="22" t="s">
        <v>14</v>
      </c>
      <c r="J14" s="22">
        <f>$C$14*0.22</f>
        <v>69464.549000000014</v>
      </c>
      <c r="K14" s="22">
        <f>$C$14*0.3</f>
        <v>94724.385000000024</v>
      </c>
      <c r="L14" s="22">
        <f>$C$14*0.45</f>
        <v>142086.57750000004</v>
      </c>
      <c r="M14" s="22">
        <f>$C$14*0.03</f>
        <v>9472.438500000002</v>
      </c>
      <c r="N14" s="22" t="s">
        <v>14</v>
      </c>
      <c r="O14" s="23" t="s">
        <v>14</v>
      </c>
    </row>
    <row r="15" spans="1:15" ht="24" customHeight="1" x14ac:dyDescent="0.2">
      <c r="A15" s="16" t="s">
        <v>23</v>
      </c>
      <c r="B15" s="17" t="s">
        <v>24</v>
      </c>
      <c r="C15" s="22">
        <v>249615.92</v>
      </c>
      <c r="D15" s="22" t="s">
        <v>14</v>
      </c>
      <c r="E15" s="22" t="s">
        <v>14</v>
      </c>
      <c r="F15" s="22" t="s">
        <v>14</v>
      </c>
      <c r="G15" s="22">
        <f>C15*0.2</f>
        <v>49923.184000000008</v>
      </c>
      <c r="H15" s="22">
        <f>C15*0.2</f>
        <v>49923.184000000008</v>
      </c>
      <c r="I15" s="22">
        <f>C15*0.4</f>
        <v>99846.368000000017</v>
      </c>
      <c r="J15" s="22">
        <f>C15*0.2</f>
        <v>49923.184000000008</v>
      </c>
      <c r="K15" s="22" t="s">
        <v>14</v>
      </c>
      <c r="L15" s="22" t="s">
        <v>14</v>
      </c>
      <c r="M15" s="22" t="s">
        <v>14</v>
      </c>
      <c r="N15" s="22" t="s">
        <v>14</v>
      </c>
      <c r="O15" s="23" t="s">
        <v>14</v>
      </c>
    </row>
    <row r="16" spans="1:15" ht="24" customHeight="1" x14ac:dyDescent="0.2">
      <c r="A16" s="16" t="s">
        <v>25</v>
      </c>
      <c r="B16" s="17" t="s">
        <v>26</v>
      </c>
      <c r="C16" s="22">
        <v>26233.739999999998</v>
      </c>
      <c r="D16" s="22">
        <f>($C$16*0.7143)</f>
        <v>18738.760482000002</v>
      </c>
      <c r="E16" s="22" t="s">
        <v>14</v>
      </c>
      <c r="F16" s="22" t="s">
        <v>14</v>
      </c>
      <c r="G16" s="24" t="s">
        <v>14</v>
      </c>
      <c r="H16" s="22" t="s">
        <v>14</v>
      </c>
      <c r="I16" s="22" t="s">
        <v>14</v>
      </c>
      <c r="J16" s="22">
        <f>($C$16*0.2857)</f>
        <v>7494.9795180000001</v>
      </c>
      <c r="K16" s="22" t="s">
        <v>14</v>
      </c>
      <c r="L16" s="22" t="s">
        <v>14</v>
      </c>
      <c r="M16" s="22" t="s">
        <v>14</v>
      </c>
      <c r="N16" s="22" t="s">
        <v>14</v>
      </c>
      <c r="O16" s="23" t="s">
        <v>14</v>
      </c>
    </row>
    <row r="17" spans="1:17" ht="24" customHeight="1" x14ac:dyDescent="0.2">
      <c r="A17" s="16" t="s">
        <v>27</v>
      </c>
      <c r="B17" s="17" t="s">
        <v>28</v>
      </c>
      <c r="C17" s="22">
        <v>317274.86000000004</v>
      </c>
      <c r="D17" s="22" t="s">
        <v>14</v>
      </c>
      <c r="E17" s="22" t="s">
        <v>14</v>
      </c>
      <c r="F17" s="22" t="s">
        <v>14</v>
      </c>
      <c r="G17" s="22">
        <f>($C$17*0.2302)</f>
        <v>73036.672772000005</v>
      </c>
      <c r="H17" s="22">
        <f t="shared" ref="H17:J17" si="1">($C$17*0.2302)</f>
        <v>73036.672772000005</v>
      </c>
      <c r="I17" s="22">
        <f t="shared" si="1"/>
        <v>73036.672772000005</v>
      </c>
      <c r="J17" s="22">
        <f t="shared" si="1"/>
        <v>73036.672772000005</v>
      </c>
      <c r="K17" s="22" t="s">
        <v>14</v>
      </c>
      <c r="L17" s="22">
        <f>(C17*0.0175)</f>
        <v>5552.310050000001</v>
      </c>
      <c r="M17" s="22">
        <f>(C17*0.0266)</f>
        <v>8439.5112760000011</v>
      </c>
      <c r="N17" s="22">
        <f>(C17*0.0175)</f>
        <v>5552.310050000001</v>
      </c>
      <c r="O17" s="23">
        <f>(C17*0.0176)</f>
        <v>5584.0375360000007</v>
      </c>
      <c r="Q17" s="18"/>
    </row>
    <row r="18" spans="1:17" ht="24" customHeight="1" x14ac:dyDescent="0.2">
      <c r="A18" s="16" t="s">
        <v>29</v>
      </c>
      <c r="B18" s="17" t="s">
        <v>30</v>
      </c>
      <c r="C18" s="22">
        <v>163283.62999999998</v>
      </c>
      <c r="D18" s="22" t="s">
        <v>14</v>
      </c>
      <c r="E18" s="22" t="s">
        <v>14</v>
      </c>
      <c r="F18" s="22" t="s">
        <v>14</v>
      </c>
      <c r="G18" s="22" t="s">
        <v>14</v>
      </c>
      <c r="H18" s="22" t="s">
        <v>14</v>
      </c>
      <c r="I18" s="22">
        <f>($C$18*0.3077)</f>
        <v>50242.37295099999</v>
      </c>
      <c r="J18" s="22">
        <f t="shared" ref="J18:K18" si="2">($C$18*0.3077)</f>
        <v>50242.37295099999</v>
      </c>
      <c r="K18" s="22">
        <f t="shared" si="2"/>
        <v>50242.37295099999</v>
      </c>
      <c r="L18" s="22">
        <f>(C18*0.0769)</f>
        <v>12556.511146999997</v>
      </c>
      <c r="M18" s="22" t="s">
        <v>14</v>
      </c>
      <c r="N18" s="22" t="s">
        <v>14</v>
      </c>
      <c r="O18" s="23" t="s">
        <v>14</v>
      </c>
      <c r="Q18" s="18"/>
    </row>
    <row r="19" spans="1:17" ht="24" customHeight="1" x14ac:dyDescent="0.2">
      <c r="A19" s="16" t="s">
        <v>31</v>
      </c>
      <c r="B19" s="17" t="s">
        <v>32</v>
      </c>
      <c r="C19" s="22">
        <v>158784.41999999998</v>
      </c>
      <c r="D19" s="22" t="s">
        <v>14</v>
      </c>
      <c r="E19" s="22" t="s">
        <v>14</v>
      </c>
      <c r="F19" s="22" t="s">
        <v>14</v>
      </c>
      <c r="G19" s="22" t="s">
        <v>14</v>
      </c>
      <c r="H19" s="22" t="s">
        <v>14</v>
      </c>
      <c r="I19" s="25" t="s">
        <v>14</v>
      </c>
      <c r="J19" s="22" t="s">
        <v>14</v>
      </c>
      <c r="K19" s="22">
        <f>$C$19*0.2</f>
        <v>31756.883999999998</v>
      </c>
      <c r="L19" s="22">
        <f>$C$19*0.3</f>
        <v>47635.325999999994</v>
      </c>
      <c r="M19" s="22">
        <f>$C$19*0.5</f>
        <v>79392.209999999992</v>
      </c>
      <c r="N19" s="22" t="s">
        <v>14</v>
      </c>
      <c r="O19" s="23" t="s">
        <v>14</v>
      </c>
    </row>
    <row r="20" spans="1:17" ht="24" customHeight="1" x14ac:dyDescent="0.2">
      <c r="A20" s="16" t="s">
        <v>33</v>
      </c>
      <c r="B20" s="17" t="s">
        <v>34</v>
      </c>
      <c r="C20" s="22">
        <v>53146.989999999983</v>
      </c>
      <c r="D20" s="22" t="s">
        <v>14</v>
      </c>
      <c r="E20" s="22" t="s">
        <v>14</v>
      </c>
      <c r="F20" s="22" t="s">
        <v>14</v>
      </c>
      <c r="G20" s="22" t="s">
        <v>14</v>
      </c>
      <c r="H20" s="22">
        <f>$C$20*0.3</f>
        <v>15944.096999999994</v>
      </c>
      <c r="I20" s="22">
        <f t="shared" ref="I20" si="3">$C$20*0.3</f>
        <v>15944.096999999994</v>
      </c>
      <c r="J20" s="22">
        <f>$C$20*0.4</f>
        <v>21258.795999999995</v>
      </c>
      <c r="K20" s="22" t="s">
        <v>14</v>
      </c>
      <c r="L20" s="22" t="s">
        <v>14</v>
      </c>
      <c r="M20" s="22" t="s">
        <v>14</v>
      </c>
      <c r="N20" s="22" t="s">
        <v>14</v>
      </c>
      <c r="O20" s="23" t="s">
        <v>14</v>
      </c>
    </row>
    <row r="21" spans="1:17" ht="24" customHeight="1" x14ac:dyDescent="0.2">
      <c r="A21" s="16" t="s">
        <v>35</v>
      </c>
      <c r="B21" s="17" t="s">
        <v>36</v>
      </c>
      <c r="C21" s="22">
        <v>21924.670000000002</v>
      </c>
      <c r="D21" s="22" t="s">
        <v>14</v>
      </c>
      <c r="E21" s="22" t="s">
        <v>14</v>
      </c>
      <c r="F21" s="22" t="s">
        <v>14</v>
      </c>
      <c r="G21" s="22" t="s">
        <v>14</v>
      </c>
      <c r="H21" s="22">
        <f>$C$21*0.5</f>
        <v>10962.335000000001</v>
      </c>
      <c r="I21" s="22">
        <f>$C$21*0.5</f>
        <v>10962.335000000001</v>
      </c>
      <c r="J21" s="22" t="s">
        <v>14</v>
      </c>
      <c r="K21" s="22"/>
      <c r="L21" s="22"/>
      <c r="M21" s="22" t="s">
        <v>14</v>
      </c>
      <c r="N21" s="22" t="s">
        <v>14</v>
      </c>
      <c r="O21" s="23" t="s">
        <v>14</v>
      </c>
    </row>
    <row r="22" spans="1:17" ht="24" customHeight="1" x14ac:dyDescent="0.2">
      <c r="A22" s="16" t="s">
        <v>37</v>
      </c>
      <c r="B22" s="17" t="s">
        <v>38</v>
      </c>
      <c r="C22" s="22">
        <v>76586.51999999999</v>
      </c>
      <c r="D22" s="22" t="s">
        <v>14</v>
      </c>
      <c r="E22" s="22" t="s">
        <v>14</v>
      </c>
      <c r="F22" s="22" t="s">
        <v>14</v>
      </c>
      <c r="G22" s="22">
        <f>$C$22*0.3</f>
        <v>22975.955999999995</v>
      </c>
      <c r="H22" s="22">
        <f>$C$22*0.4</f>
        <v>30634.607999999997</v>
      </c>
      <c r="I22" s="22">
        <f t="shared" ref="I22" si="4">$C$22*0.3</f>
        <v>22975.955999999995</v>
      </c>
      <c r="J22" s="22" t="s">
        <v>14</v>
      </c>
      <c r="K22" s="22" t="s">
        <v>14</v>
      </c>
      <c r="L22" s="22" t="s">
        <v>14</v>
      </c>
      <c r="M22" s="22" t="s">
        <v>14</v>
      </c>
      <c r="N22" s="22" t="s">
        <v>14</v>
      </c>
      <c r="O22" s="23" t="s">
        <v>14</v>
      </c>
    </row>
    <row r="23" spans="1:17" ht="24" customHeight="1" x14ac:dyDescent="0.2">
      <c r="A23" s="16" t="s">
        <v>39</v>
      </c>
      <c r="B23" s="17" t="s">
        <v>40</v>
      </c>
      <c r="C23" s="22">
        <v>70401.55</v>
      </c>
      <c r="D23" s="22" t="s">
        <v>14</v>
      </c>
      <c r="E23" s="22" t="s">
        <v>14</v>
      </c>
      <c r="F23" s="22" t="s">
        <v>14</v>
      </c>
      <c r="G23" s="22" t="s">
        <v>14</v>
      </c>
      <c r="H23" s="22" t="s">
        <v>14</v>
      </c>
      <c r="I23" s="22" t="s">
        <v>14</v>
      </c>
      <c r="J23" s="22" t="s">
        <v>14</v>
      </c>
      <c r="K23" s="22">
        <f>$C$23*0.1</f>
        <v>7040.1550000000007</v>
      </c>
      <c r="L23" s="22">
        <f>$C$23*0.4</f>
        <v>28160.620000000003</v>
      </c>
      <c r="M23" s="22">
        <f>$C$23*0.5</f>
        <v>35200.775000000001</v>
      </c>
      <c r="N23" s="22" t="s">
        <v>14</v>
      </c>
      <c r="O23" s="23" t="s">
        <v>14</v>
      </c>
    </row>
    <row r="24" spans="1:17" ht="24" customHeight="1" x14ac:dyDescent="0.2">
      <c r="A24" s="16" t="s">
        <v>41</v>
      </c>
      <c r="B24" s="17" t="s">
        <v>42</v>
      </c>
      <c r="C24" s="22">
        <v>3892.26</v>
      </c>
      <c r="D24" s="22" t="s">
        <v>14</v>
      </c>
      <c r="E24" s="22" t="s">
        <v>14</v>
      </c>
      <c r="F24" s="22">
        <f>C24*0.5</f>
        <v>1946.13</v>
      </c>
      <c r="G24" s="22">
        <f>C24*0.5</f>
        <v>1946.13</v>
      </c>
      <c r="H24" s="22" t="s">
        <v>14</v>
      </c>
      <c r="I24" s="22" t="s">
        <v>14</v>
      </c>
      <c r="J24" s="22" t="s">
        <v>14</v>
      </c>
      <c r="K24" s="22" t="s">
        <v>14</v>
      </c>
      <c r="L24" s="22" t="s">
        <v>14</v>
      </c>
      <c r="M24" s="22" t="s">
        <v>14</v>
      </c>
      <c r="N24" s="22" t="s">
        <v>14</v>
      </c>
      <c r="O24" s="23" t="s">
        <v>14</v>
      </c>
    </row>
    <row r="25" spans="1:17" ht="24" customHeight="1" x14ac:dyDescent="0.2">
      <c r="A25" s="16" t="s">
        <v>43</v>
      </c>
      <c r="B25" s="17" t="s">
        <v>44</v>
      </c>
      <c r="C25" s="22">
        <v>7463.58</v>
      </c>
      <c r="D25" s="22" t="s">
        <v>14</v>
      </c>
      <c r="E25" s="22" t="s">
        <v>14</v>
      </c>
      <c r="F25" s="22" t="s">
        <v>14</v>
      </c>
      <c r="G25" s="22" t="s">
        <v>14</v>
      </c>
      <c r="H25" s="22" t="s">
        <v>14</v>
      </c>
      <c r="I25" s="22" t="s">
        <v>14</v>
      </c>
      <c r="J25" s="22" t="s">
        <v>14</v>
      </c>
      <c r="K25" s="22" t="s">
        <v>14</v>
      </c>
      <c r="L25" s="22">
        <f>C25*0.55</f>
        <v>4104.9690000000001</v>
      </c>
      <c r="M25" s="22">
        <f>C25*0.45</f>
        <v>3358.6109999999999</v>
      </c>
      <c r="N25" s="22" t="s">
        <v>14</v>
      </c>
      <c r="O25" s="23" t="s">
        <v>14</v>
      </c>
    </row>
    <row r="26" spans="1:17" ht="24" customHeight="1" x14ac:dyDescent="0.2">
      <c r="A26" s="16" t="s">
        <v>45</v>
      </c>
      <c r="B26" s="17" t="s">
        <v>46</v>
      </c>
      <c r="C26" s="22">
        <v>264903.81999999995</v>
      </c>
      <c r="D26" s="22" t="s">
        <v>14</v>
      </c>
      <c r="E26" s="22">
        <f>$C$26*0.05</f>
        <v>13245.190999999999</v>
      </c>
      <c r="F26" s="22">
        <f t="shared" ref="F26" si="5">$C$26*0.05</f>
        <v>13245.190999999999</v>
      </c>
      <c r="G26" s="22">
        <f>$C$26*0.1</f>
        <v>26490.381999999998</v>
      </c>
      <c r="H26" s="22">
        <f>$C$26*0.15</f>
        <v>39735.572999999989</v>
      </c>
      <c r="I26" s="22">
        <f>$C$26*0.25</f>
        <v>66225.954999999987</v>
      </c>
      <c r="J26" s="22">
        <f>$C$26*0.2</f>
        <v>52980.763999999996</v>
      </c>
      <c r="K26" s="22">
        <f>$C$26*0.2</f>
        <v>52980.763999999996</v>
      </c>
      <c r="L26" s="22" t="s">
        <v>14</v>
      </c>
      <c r="M26" s="22" t="s">
        <v>14</v>
      </c>
      <c r="N26" s="22"/>
      <c r="O26" s="23" t="s">
        <v>14</v>
      </c>
    </row>
    <row r="27" spans="1:17" ht="24" customHeight="1" x14ac:dyDescent="0.2">
      <c r="A27" s="16" t="s">
        <v>47</v>
      </c>
      <c r="B27" s="17" t="s">
        <v>48</v>
      </c>
      <c r="C27" s="22">
        <v>15656.51</v>
      </c>
      <c r="D27" s="22" t="s">
        <v>14</v>
      </c>
      <c r="E27" s="22" t="s">
        <v>14</v>
      </c>
      <c r="F27" s="22" t="s">
        <v>14</v>
      </c>
      <c r="G27" s="22" t="s">
        <v>14</v>
      </c>
      <c r="H27" s="22" t="s">
        <v>14</v>
      </c>
      <c r="I27" s="22" t="s">
        <v>14</v>
      </c>
      <c r="J27" s="22" t="s">
        <v>14</v>
      </c>
      <c r="K27" s="22" t="s">
        <v>14</v>
      </c>
      <c r="L27" s="22" t="s">
        <v>14</v>
      </c>
      <c r="M27" s="22" t="s">
        <v>14</v>
      </c>
      <c r="N27" s="22">
        <f>C27</f>
        <v>15656.51</v>
      </c>
      <c r="O27" s="23" t="s">
        <v>14</v>
      </c>
    </row>
    <row r="28" spans="1:17" ht="24" customHeight="1" x14ac:dyDescent="0.2">
      <c r="A28" s="16" t="s">
        <v>49</v>
      </c>
      <c r="B28" s="17" t="s">
        <v>50</v>
      </c>
      <c r="C28" s="22">
        <v>33591.89</v>
      </c>
      <c r="D28" s="22" t="s">
        <v>14</v>
      </c>
      <c r="E28" s="22" t="s">
        <v>14</v>
      </c>
      <c r="F28" s="22" t="s">
        <v>14</v>
      </c>
      <c r="G28" s="22" t="s">
        <v>14</v>
      </c>
      <c r="H28" s="22" t="s">
        <v>14</v>
      </c>
      <c r="I28" s="22">
        <f>C28*0.3</f>
        <v>10077.566999999999</v>
      </c>
      <c r="J28" s="22">
        <f>C28*0.4</f>
        <v>13436.756000000001</v>
      </c>
      <c r="K28" s="22">
        <f>C28*0.3</f>
        <v>10077.566999999999</v>
      </c>
      <c r="L28" s="22" t="s">
        <v>14</v>
      </c>
      <c r="M28" s="22" t="s">
        <v>14</v>
      </c>
      <c r="N28" s="26" t="s">
        <v>14</v>
      </c>
      <c r="O28" s="23" t="s">
        <v>14</v>
      </c>
    </row>
    <row r="29" spans="1:17" ht="24" customHeight="1" x14ac:dyDescent="0.2">
      <c r="A29" s="16" t="s">
        <v>51</v>
      </c>
      <c r="B29" s="17" t="s">
        <v>52</v>
      </c>
      <c r="C29" s="22">
        <v>218.49</v>
      </c>
      <c r="D29" s="22" t="s">
        <v>14</v>
      </c>
      <c r="E29" s="22" t="s">
        <v>14</v>
      </c>
      <c r="F29" s="22" t="s">
        <v>14</v>
      </c>
      <c r="G29" s="22" t="s">
        <v>14</v>
      </c>
      <c r="H29" s="22" t="s">
        <v>14</v>
      </c>
      <c r="I29" s="22" t="s">
        <v>14</v>
      </c>
      <c r="J29" s="22" t="s">
        <v>14</v>
      </c>
      <c r="K29" s="22" t="s">
        <v>14</v>
      </c>
      <c r="L29" s="22">
        <f>C29</f>
        <v>218.49</v>
      </c>
      <c r="M29" s="22" t="s">
        <v>14</v>
      </c>
      <c r="N29" s="22" t="s">
        <v>14</v>
      </c>
      <c r="O29" s="23" t="s">
        <v>14</v>
      </c>
      <c r="P29" s="18"/>
      <c r="Q29" s="18"/>
    </row>
    <row r="30" spans="1:17" ht="26.1" customHeight="1" x14ac:dyDescent="0.2">
      <c r="A30" s="16" t="s">
        <v>53</v>
      </c>
      <c r="B30" s="17" t="s">
        <v>54</v>
      </c>
      <c r="C30" s="22">
        <v>52582.12</v>
      </c>
      <c r="D30" s="22" t="s">
        <v>14</v>
      </c>
      <c r="E30" s="22" t="s">
        <v>14</v>
      </c>
      <c r="F30" s="22" t="s">
        <v>14</v>
      </c>
      <c r="G30" s="22" t="s">
        <v>14</v>
      </c>
      <c r="H30" s="22" t="s">
        <v>14</v>
      </c>
      <c r="I30" s="22" t="s">
        <v>14</v>
      </c>
      <c r="J30" s="22">
        <f>C30*0.5</f>
        <v>26291.06</v>
      </c>
      <c r="K30" s="22">
        <f>C30*0.5</f>
        <v>26291.06</v>
      </c>
      <c r="L30" s="22" t="s">
        <v>14</v>
      </c>
      <c r="M30" s="22" t="s">
        <v>14</v>
      </c>
      <c r="N30" s="22" t="s">
        <v>14</v>
      </c>
      <c r="O30" s="23" t="s">
        <v>14</v>
      </c>
      <c r="P30" s="18"/>
      <c r="Q30" s="18"/>
    </row>
    <row r="31" spans="1:17" ht="24" customHeight="1" x14ac:dyDescent="0.2">
      <c r="A31" s="16" t="s">
        <v>55</v>
      </c>
      <c r="B31" s="17" t="s">
        <v>56</v>
      </c>
      <c r="C31" s="22">
        <v>135215.48000000001</v>
      </c>
      <c r="D31" s="22" t="s">
        <v>14</v>
      </c>
      <c r="E31" s="22" t="s">
        <v>14</v>
      </c>
      <c r="F31" s="22" t="s">
        <v>14</v>
      </c>
      <c r="G31" s="22" t="s">
        <v>14</v>
      </c>
      <c r="H31" s="22" t="s">
        <v>14</v>
      </c>
      <c r="I31" s="22" t="s">
        <v>14</v>
      </c>
      <c r="J31" s="22" t="s">
        <v>14</v>
      </c>
      <c r="K31" s="22" t="s">
        <v>14</v>
      </c>
      <c r="L31" s="22">
        <f>$C$31*0.3</f>
        <v>40564.644</v>
      </c>
      <c r="M31" s="22">
        <f>$C$31*0.4</f>
        <v>54086.19200000001</v>
      </c>
      <c r="N31" s="22">
        <f t="shared" ref="N31" si="6">$C$31*0.3</f>
        <v>40564.644</v>
      </c>
      <c r="O31" s="23" t="s">
        <v>14</v>
      </c>
      <c r="P31" s="18"/>
      <c r="Q31" s="18"/>
    </row>
    <row r="32" spans="1:17" ht="24" customHeight="1" x14ac:dyDescent="0.2">
      <c r="A32" s="16" t="s">
        <v>57</v>
      </c>
      <c r="B32" s="17" t="s">
        <v>58</v>
      </c>
      <c r="C32" s="22">
        <v>3488.24</v>
      </c>
      <c r="D32" s="22" t="s">
        <v>14</v>
      </c>
      <c r="E32" s="22" t="s">
        <v>14</v>
      </c>
      <c r="F32" s="22" t="s">
        <v>14</v>
      </c>
      <c r="G32" s="22" t="s">
        <v>14</v>
      </c>
      <c r="H32" s="22" t="s">
        <v>14</v>
      </c>
      <c r="I32" s="22" t="s">
        <v>14</v>
      </c>
      <c r="J32" s="22" t="s">
        <v>14</v>
      </c>
      <c r="K32" s="22" t="s">
        <v>14</v>
      </c>
      <c r="L32" s="22" t="s">
        <v>14</v>
      </c>
      <c r="M32" s="22" t="s">
        <v>14</v>
      </c>
      <c r="N32" s="22" t="s">
        <v>14</v>
      </c>
      <c r="O32" s="23">
        <f>C32</f>
        <v>3488.24</v>
      </c>
      <c r="P32" s="18"/>
      <c r="Q32" s="18"/>
    </row>
    <row r="33" spans="1:16" ht="25.5" customHeight="1" x14ac:dyDescent="0.2">
      <c r="A33" s="27" t="s">
        <v>59</v>
      </c>
      <c r="B33" s="28"/>
      <c r="C33" s="4"/>
      <c r="D33" s="5">
        <f t="shared" ref="D33:O33" si="7">D34/(SUM($C$9:$C$32))</f>
        <v>0.11310353479355881</v>
      </c>
      <c r="E33" s="5">
        <f t="shared" si="7"/>
        <v>0.10173011979570235</v>
      </c>
      <c r="F33" s="5">
        <f t="shared" si="7"/>
        <v>9.232245211001712E-2</v>
      </c>
      <c r="G33" s="5">
        <f t="shared" si="7"/>
        <v>0.10963064642143261</v>
      </c>
      <c r="H33" s="5">
        <f t="shared" si="7"/>
        <v>7.3408552973093455E-2</v>
      </c>
      <c r="I33" s="5">
        <f t="shared" si="7"/>
        <v>0.11239212788732746</v>
      </c>
      <c r="J33" s="5">
        <f t="shared" si="7"/>
        <v>0.11686744750777552</v>
      </c>
      <c r="K33" s="5">
        <f t="shared" si="7"/>
        <v>8.9378538150317918E-2</v>
      </c>
      <c r="L33" s="5">
        <f t="shared" si="7"/>
        <v>9.1724127235598044E-2</v>
      </c>
      <c r="M33" s="5">
        <f t="shared" si="7"/>
        <v>6.4261263245215E-2</v>
      </c>
      <c r="N33" s="5">
        <f t="shared" si="7"/>
        <v>2.554908022836044E-2</v>
      </c>
      <c r="O33" s="10">
        <f t="shared" si="7"/>
        <v>9.6321096516013959E-3</v>
      </c>
    </row>
    <row r="34" spans="1:16" ht="25.5" customHeight="1" x14ac:dyDescent="0.2">
      <c r="A34" s="27" t="s">
        <v>60</v>
      </c>
      <c r="B34" s="28"/>
      <c r="C34" s="19">
        <f>SUM(C9:C32)</f>
        <v>3311006.09</v>
      </c>
      <c r="D34" s="6">
        <f>SUM(D9:D32)</f>
        <v>374486.49250200007</v>
      </c>
      <c r="E34" s="6">
        <f t="shared" ref="E34:H34" si="8">SUM(E9:E32)</f>
        <v>336829.04618</v>
      </c>
      <c r="F34" s="6">
        <f t="shared" si="8"/>
        <v>305680.20118000003</v>
      </c>
      <c r="G34" s="6">
        <f t="shared" si="8"/>
        <v>362987.73795200005</v>
      </c>
      <c r="H34" s="6">
        <f t="shared" si="8"/>
        <v>243056.16595200001</v>
      </c>
      <c r="I34" s="6">
        <f t="shared" ref="I34:O34" si="9">SUM(I9:I32)</f>
        <v>372131.01990300004</v>
      </c>
      <c r="J34" s="6">
        <f t="shared" si="9"/>
        <v>386948.83042100002</v>
      </c>
      <c r="K34" s="6">
        <f t="shared" si="9"/>
        <v>295932.88413099997</v>
      </c>
      <c r="L34" s="6">
        <f t="shared" si="9"/>
        <v>303699.14387699997</v>
      </c>
      <c r="M34" s="6">
        <f t="shared" si="9"/>
        <v>212769.43395600002</v>
      </c>
      <c r="N34" s="6">
        <f t="shared" si="9"/>
        <v>84593.160230000009</v>
      </c>
      <c r="O34" s="11">
        <f t="shared" si="9"/>
        <v>31891.973716</v>
      </c>
    </row>
    <row r="35" spans="1:16" ht="25.5" customHeight="1" x14ac:dyDescent="0.2">
      <c r="A35" s="27" t="s">
        <v>61</v>
      </c>
      <c r="B35" s="28"/>
      <c r="C35" s="4"/>
      <c r="D35" s="7">
        <f>D33</f>
        <v>0.11310353479355881</v>
      </c>
      <c r="E35" s="7">
        <f>D35+E33</f>
        <v>0.21483365458926115</v>
      </c>
      <c r="F35" s="7">
        <f t="shared" ref="F35:O35" si="10">E35+F33</f>
        <v>0.30715610669927829</v>
      </c>
      <c r="G35" s="7">
        <f t="shared" si="10"/>
        <v>0.4167867531207109</v>
      </c>
      <c r="H35" s="7">
        <f t="shared" si="10"/>
        <v>0.49019530609380435</v>
      </c>
      <c r="I35" s="7">
        <f t="shared" si="10"/>
        <v>0.60258743398113179</v>
      </c>
      <c r="J35" s="7">
        <f t="shared" si="10"/>
        <v>0.71945488148890735</v>
      </c>
      <c r="K35" s="7">
        <f t="shared" si="10"/>
        <v>0.80883341963922528</v>
      </c>
      <c r="L35" s="7">
        <f t="shared" si="10"/>
        <v>0.90055754687482337</v>
      </c>
      <c r="M35" s="7">
        <f t="shared" si="10"/>
        <v>0.96481881012003834</v>
      </c>
      <c r="N35" s="7">
        <f t="shared" si="10"/>
        <v>0.99036789034839878</v>
      </c>
      <c r="O35" s="12">
        <f t="shared" si="10"/>
        <v>1.0000000000000002</v>
      </c>
    </row>
    <row r="36" spans="1:16" ht="25.5" customHeight="1" x14ac:dyDescent="0.2">
      <c r="A36" s="27" t="s">
        <v>62</v>
      </c>
      <c r="B36" s="28"/>
      <c r="C36" s="4"/>
      <c r="D36" s="6">
        <f>D34</f>
        <v>374486.49250200007</v>
      </c>
      <c r="E36" s="6">
        <f>D36+E34</f>
        <v>711315.53868200001</v>
      </c>
      <c r="F36" s="6">
        <f t="shared" ref="F36:O36" si="11">E36+F34</f>
        <v>1016995.7398620001</v>
      </c>
      <c r="G36" s="6">
        <f t="shared" si="11"/>
        <v>1379983.4778140001</v>
      </c>
      <c r="H36" s="6">
        <f t="shared" si="11"/>
        <v>1623039.6437660002</v>
      </c>
      <c r="I36" s="6">
        <f>H36+I34-0.01</f>
        <v>1995170.6536690001</v>
      </c>
      <c r="J36" s="6">
        <f t="shared" si="11"/>
        <v>2382119.4840900004</v>
      </c>
      <c r="K36" s="6">
        <f t="shared" si="11"/>
        <v>2678052.3682210003</v>
      </c>
      <c r="L36" s="6">
        <f>K36+L34+0.01</f>
        <v>2981751.5220980002</v>
      </c>
      <c r="M36" s="6">
        <f t="shared" si="11"/>
        <v>3194520.9560540002</v>
      </c>
      <c r="N36" s="6">
        <f t="shared" si="11"/>
        <v>3279114.1162840002</v>
      </c>
      <c r="O36" s="11">
        <f t="shared" si="11"/>
        <v>3311006.0900000003</v>
      </c>
      <c r="P36" s="18"/>
    </row>
    <row r="37" spans="1:16" x14ac:dyDescent="0.2">
      <c r="A37" s="13"/>
      <c r="B37" s="14"/>
      <c r="C37" s="14"/>
      <c r="D37" s="14"/>
      <c r="E37" s="14"/>
      <c r="F37" s="14"/>
      <c r="G37" s="14"/>
      <c r="M37" s="35" t="s">
        <v>64</v>
      </c>
      <c r="N37" s="35"/>
      <c r="O37" s="36"/>
    </row>
    <row r="38" spans="1:16" ht="43.5" customHeight="1" x14ac:dyDescent="0.2">
      <c r="A38" s="29" t="s">
        <v>63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1"/>
    </row>
    <row r="39" spans="1:16" ht="47.25" customHeight="1" thickBot="1" x14ac:dyDescent="0.25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4"/>
    </row>
  </sheetData>
  <mergeCells count="11">
    <mergeCell ref="A7:O7"/>
    <mergeCell ref="A1:O1"/>
    <mergeCell ref="A4:O4"/>
    <mergeCell ref="A5:O5"/>
    <mergeCell ref="A33:B33"/>
    <mergeCell ref="A6:O6"/>
    <mergeCell ref="A34:B34"/>
    <mergeCell ref="A35:B35"/>
    <mergeCell ref="A36:B36"/>
    <mergeCell ref="A38:O39"/>
    <mergeCell ref="M37:O37"/>
  </mergeCells>
  <phoneticPr fontId="7" type="noConversion"/>
  <printOptions horizontalCentered="1"/>
  <pageMargins left="0.7" right="0.7" top="0.75" bottom="0.75" header="0.3" footer="0.3"/>
  <pageSetup paperSize="8" scale="65" fitToHeight="0" orientation="landscape" r:id="rId1"/>
  <headerFooter>
    <oddHeader xml:space="preserve">&amp;L &amp;CPREFEITURA DE BRASILANDIA
CNPJ: 03.184.058/0001-20 </oddHeader>
    <oddFooter>Página &amp;P&amp;R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11</xdr:col>
                <xdr:colOff>466725</xdr:colOff>
                <xdr:row>0</xdr:row>
                <xdr:rowOff>104775</xdr:rowOff>
              </from>
              <to>
                <xdr:col>12</xdr:col>
                <xdr:colOff>76200</xdr:colOff>
                <xdr:row>4</xdr:row>
                <xdr:rowOff>85725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87DA8DB83E6D4A963A7190562C5801" ma:contentTypeVersion="19" ma:contentTypeDescription="Create a new document." ma:contentTypeScope="" ma:versionID="727006cad550f8ba5dbb38750ee5f578">
  <xsd:schema xmlns:xsd="http://www.w3.org/2001/XMLSchema" xmlns:xs="http://www.w3.org/2001/XMLSchema" xmlns:p="http://schemas.microsoft.com/office/2006/metadata/properties" xmlns:ns3="ff3fc1f9-8458-42ec-af40-e034a6acf2c7" xmlns:ns4="e4ec3bb2-2b02-4238-a1af-50a38cd38a33" targetNamespace="http://schemas.microsoft.com/office/2006/metadata/properties" ma:root="true" ma:fieldsID="be5b8b401d9754882afb3404d41b9a55" ns3:_="" ns4:_="">
    <xsd:import namespace="ff3fc1f9-8458-42ec-af40-e034a6acf2c7"/>
    <xsd:import namespace="e4ec3bb2-2b02-4238-a1af-50a38cd38a3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3fc1f9-8458-42ec-af40-e034a6acf2c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c3bb2-2b02-4238-a1af-50a38cd38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ec3bb2-2b02-4238-a1af-50a38cd38a33" xsi:nil="true"/>
  </documentManagement>
</p:properties>
</file>

<file path=customXml/itemProps1.xml><?xml version="1.0" encoding="utf-8"?>
<ds:datastoreItem xmlns:ds="http://schemas.openxmlformats.org/officeDocument/2006/customXml" ds:itemID="{0916C0D7-00CE-4A15-AA08-6957A167ED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3fc1f9-8458-42ec-af40-e034a6acf2c7"/>
    <ds:schemaRef ds:uri="e4ec3bb2-2b02-4238-a1af-50a38cd38a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3CBE1D-8BAB-4F29-A2F7-7E6CCEB06C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07AD58-341C-4F40-9588-2CD5A3C3D5F2}">
  <ds:schemaRefs>
    <ds:schemaRef ds:uri="http://schemas.microsoft.com/office/2006/metadata/properties"/>
    <ds:schemaRef ds:uri="http://schemas.microsoft.com/office/infopath/2007/PartnerControls"/>
    <ds:schemaRef ds:uri="e4ec3bb2-2b02-4238-a1af-50a38cd38a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Heloiza Arruda Oliveira</cp:lastModifiedBy>
  <cp:revision>0</cp:revision>
  <cp:lastPrinted>2025-11-03T18:12:59Z</cp:lastPrinted>
  <dcterms:created xsi:type="dcterms:W3CDTF">2025-01-16T12:28:56Z</dcterms:created>
  <dcterms:modified xsi:type="dcterms:W3CDTF">2025-11-03T18:37:11Z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0x0101002587DA8DB83E6D4A963A7190562C5801</vt:lpwstr>
  </property>
</Properties>
</file>