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Y:\2026\CLAUDIA\EDITAIS\LIMPEZA SAUDE\"/>
    </mc:Choice>
  </mc:AlternateContent>
  <xr:revisionPtr revIDLastSave="0" documentId="8_{DD7DA538-803F-42FE-AE6F-D82EB18232F8}" xr6:coauthVersionLast="47" xr6:coauthVersionMax="47" xr10:uidLastSave="{00000000-0000-0000-0000-000000000000}"/>
  <bookViews>
    <workbookView xWindow="3075" yWindow="3075" windowWidth="21600" windowHeight="11385" tabRatio="801" xr2:uid="{00000000-000D-0000-FFFF-FFFF00000000}"/>
  </bookViews>
  <sheets>
    <sheet name="Resumo Geral" sheetId="1" r:id="rId1"/>
    <sheet name="Aud Uniformes EPI" sheetId="2" state="hidden" r:id="rId2"/>
    <sheet name="L1 Param CCT" sheetId="3" r:id="rId3"/>
    <sheet name="L1 Interface" sheetId="4" state="hidden" r:id="rId4"/>
    <sheet name="L1 Uniforme" sheetId="5" r:id="rId5"/>
    <sheet name="L1 Material" sheetId="6" r:id="rId6"/>
    <sheet name="L1 Und Saude" sheetId="7" state="hidden" r:id="rId7"/>
    <sheet name="L1 Serv 44h 40" sheetId="8" r:id="rId8"/>
    <sheet name="L1 Serv 6h 40" sheetId="9" r:id="rId9"/>
    <sheet name="L1 Serv 12x36 40" sheetId="10" r:id="rId10"/>
    <sheet name="L5 Supervisor" sheetId="11" r:id="rId11"/>
    <sheet name="L1 Quadro Resumo" sheetId="12" r:id="rId12"/>
    <sheet name="L1 Dim Revisado" sheetId="13" state="hidden" r:id="rId13"/>
    <sheet name="L1 Auditoria" sheetId="14" state="hidden" r:id="rId14"/>
    <sheet name="L1 Memoria Rev" sheetId="15" state="hidden" r:id="rId15"/>
    <sheet name="L2 Painel" sheetId="16" state="hidden" r:id="rId16"/>
    <sheet name="L2 Param CCT" sheetId="17" r:id="rId17"/>
    <sheet name="L2 Uniforme" sheetId="18" state="hidden" r:id="rId18"/>
    <sheet name="L2 Calc Dedetizacao" sheetId="19" r:id="rId19"/>
    <sheet name="L2 Quadro Resumo" sheetId="20" r:id="rId20"/>
    <sheet name="L2 Dim ETP" sheetId="21" state="hidden" r:id="rId21"/>
    <sheet name="L2 Resumo ETP" sheetId="22" state="hidden" r:id="rId22"/>
    <sheet name="L2 Auditoria" sheetId="23" state="hidden" r:id="rId23"/>
    <sheet name="L3 Painel" sheetId="24" state="hidden" r:id="rId24"/>
    <sheet name="L3 Param CCT" sheetId="25" r:id="rId25"/>
    <sheet name="L3 Uniforme" sheetId="26" state="hidden" r:id="rId26"/>
    <sheet name="L3 Calc Reservatorios" sheetId="27" r:id="rId27"/>
    <sheet name="L3 Quadro Resumo" sheetId="28" r:id="rId28"/>
    <sheet name="L3 Dim ETP" sheetId="29" state="hidden" r:id="rId29"/>
    <sheet name="L3 Resumo ETP" sheetId="30" state="hidden" r:id="rId30"/>
    <sheet name="L3 Auditoria" sheetId="31" state="hidden" r:id="rId31"/>
    <sheet name="L4 Painel" sheetId="32" state="hidden" r:id="rId32"/>
    <sheet name="L4 Param CCT" sheetId="33" r:id="rId33"/>
    <sheet name="L4 Uniforme" sheetId="34" state="hidden" r:id="rId34"/>
    <sheet name="L4 Calc Rocada" sheetId="35" r:id="rId35"/>
    <sheet name="L4 Quadro Resumo" sheetId="36" r:id="rId36"/>
    <sheet name="L4 Dim ETP" sheetId="37" state="hidden" r:id="rId37"/>
    <sheet name="L4 Resumo ETP" sheetId="38" state="hidden" r:id="rId38"/>
    <sheet name="L4 Auditoria" sheetId="39" state="hidden" r:id="rId39"/>
  </sheets>
  <definedNames>
    <definedName name="_xlnm._FilterDatabase" localSheetId="1" hidden="1">'Aud Uniformes EPI'!$A$11:$I$27</definedName>
    <definedName name="_xlnm._FilterDatabase" localSheetId="13" hidden="1">'L1 Auditoria'!$A$3:$H$12</definedName>
    <definedName name="_xlnm._FilterDatabase" localSheetId="3" hidden="1">'L1 Interface'!$A$4:$H$20</definedName>
    <definedName name="_xlnm._FilterDatabase" localSheetId="14" hidden="1">'L1 Memoria Rev'!$A$3:$D$11</definedName>
    <definedName name="_xlnm._FilterDatabase" localSheetId="2" hidden="1">'L1 Param CCT'!$A$4:$F$18</definedName>
    <definedName name="_xlnm._FilterDatabase" localSheetId="11" hidden="1">'L1 Quadro Resumo'!$C$6:$N$27</definedName>
    <definedName name="_xlnm._FilterDatabase" localSheetId="9" hidden="1">'L1 Serv 12x36 40'!$A$6:$I$116</definedName>
    <definedName name="_xlnm._FilterDatabase" localSheetId="7" hidden="1">'L1 Serv 44h 40'!$A$6:$I$116</definedName>
    <definedName name="_xlnm._FilterDatabase" localSheetId="8" hidden="1">'L1 Serv 6h 40'!$A$6:$I$116</definedName>
    <definedName name="_xlnm._FilterDatabase" localSheetId="6" hidden="1">'L1 Und Saude'!$A$2:$T$90</definedName>
    <definedName name="_xlnm._FilterDatabase" localSheetId="4" hidden="1">'L1 Uniforme'!$B$2:$F$33</definedName>
    <definedName name="_xlnm._FilterDatabase" localSheetId="22" hidden="1">'L2 Auditoria'!$A$3:$F$8</definedName>
    <definedName name="_xlnm._FilterDatabase" localSheetId="18" hidden="1">'L2 Calc Dedetizacao'!$A$6:$I$115</definedName>
    <definedName name="_xlnm._FilterDatabase" localSheetId="20" hidden="1">'L2 Dim ETP'!$A$4:$N$63</definedName>
    <definedName name="_xlnm._FilterDatabase" localSheetId="15" hidden="1">'L2 Painel'!$A$4:$F$9</definedName>
    <definedName name="_xlnm._FilterDatabase" localSheetId="16" hidden="1">'L2 Param CCT'!$A$4:$F$17</definedName>
    <definedName name="_xlnm._FilterDatabase" localSheetId="19" hidden="1">'L2 Quadro Resumo'!$B$6:$N$10</definedName>
    <definedName name="_xlnm._FilterDatabase" localSheetId="21" hidden="1">'L2 Resumo ETP'!$A$4:$H$10</definedName>
    <definedName name="_xlnm._FilterDatabase" localSheetId="17" hidden="1">'L2 Uniforme'!$B$4:$D$16</definedName>
    <definedName name="_xlnm._FilterDatabase" localSheetId="30" hidden="1">'L3 Auditoria'!$A$3:$F$8</definedName>
    <definedName name="_xlnm._FilterDatabase" localSheetId="26" hidden="1">'L3 Calc Reservatorios'!$A$6:$I$115</definedName>
    <definedName name="_xlnm._FilterDatabase" localSheetId="28" hidden="1">'L3 Dim ETP'!$A$4:$N$63</definedName>
    <definedName name="_xlnm._FilterDatabase" localSheetId="23" hidden="1">'L3 Painel'!$A$4:$F$9</definedName>
    <definedName name="_xlnm._FilterDatabase" localSheetId="24" hidden="1">'L3 Param CCT'!$A$4:$F$17</definedName>
    <definedName name="_xlnm._FilterDatabase" localSheetId="27" hidden="1">'L3 Quadro Resumo'!$B$6:$N$10</definedName>
    <definedName name="_xlnm._FilterDatabase" localSheetId="29" hidden="1">'L3 Resumo ETP'!$A$4:$H$10</definedName>
    <definedName name="_xlnm._FilterDatabase" localSheetId="25" hidden="1">'L3 Uniforme'!$B$4:$D$11</definedName>
    <definedName name="_xlnm._FilterDatabase" localSheetId="38" hidden="1">'L4 Auditoria'!$A$3:$F$8</definedName>
    <definedName name="_xlnm._FilterDatabase" localSheetId="34" hidden="1">'L4 Calc Rocada'!$A$6:$I$115</definedName>
    <definedName name="_xlnm._FilterDatabase" localSheetId="36" hidden="1">'L4 Dim ETP'!$A$4:$N$53</definedName>
    <definedName name="_xlnm._FilterDatabase" localSheetId="31" hidden="1">'L4 Painel'!$A$4:$F$9</definedName>
    <definedName name="_xlnm._FilterDatabase" localSheetId="32" hidden="1">'L4 Param CCT'!$A$4:$F$17</definedName>
    <definedName name="_xlnm._FilterDatabase" localSheetId="35" hidden="1">'L4 Quadro Resumo'!$B$6:$N$10</definedName>
    <definedName name="_xlnm._FilterDatabase" localSheetId="37" hidden="1">'L4 Resumo ETP'!$A$4:$H$10</definedName>
    <definedName name="_xlnm._FilterDatabase" localSheetId="33" hidden="1">'L4 Uniforme'!$B$4:$D$11</definedName>
    <definedName name="_xlnm._FilterDatabase" localSheetId="10" hidden="1">'L5 Supervisor'!$A$6:$I$114</definedName>
    <definedName name="_xlnm._FilterDatabase" localSheetId="0" hidden="1">'Resumo Geral'!$A$4:$J$64</definedName>
    <definedName name="_xlnm.Print_Area" localSheetId="1">'Aud Uniformes EPI'!$A$1:$I$27</definedName>
    <definedName name="_xlnm.Print_Area" localSheetId="13">'L1 Auditoria'!$A$1:$H$12</definedName>
    <definedName name="_xlnm.Print_Area" localSheetId="12">'L1 Dim Revisado'!$A$1:$AC$58</definedName>
    <definedName name="_xlnm.Print_Area" localSheetId="3">'L1 Interface'!$A$1:$H$20</definedName>
    <definedName name="_xlnm.Print_Area" localSheetId="14">'L1 Memoria Rev'!$A$1:$D$11</definedName>
    <definedName name="_xlnm.Print_Area" localSheetId="2">'L1 Param CCT'!$A$1:$F$18</definedName>
    <definedName name="_xlnm.Print_Area" localSheetId="11">'L1 Quadro Resumo'!$C$5:$N$27</definedName>
    <definedName name="_xlnm.Print_Area" localSheetId="9">'L1 Serv 12x36 40'!$A$2:$I$116</definedName>
    <definedName name="_xlnm.Print_Area" localSheetId="7">'L1 Serv 44h 40'!$A$2:$I$116</definedName>
    <definedName name="_xlnm.Print_Area" localSheetId="8">'L1 Serv 6h 40'!$A$2:$I$116</definedName>
    <definedName name="_xlnm.Print_Area" localSheetId="6">'L1 Und Saude'!$A$2:$T$90</definedName>
    <definedName name="_xlnm.Print_Area" localSheetId="4">'L1 Uniforme'!$B$2:$F$33</definedName>
    <definedName name="_xlnm.Print_Area" localSheetId="22">'L2 Auditoria'!$A$1:$F$8</definedName>
    <definedName name="_xlnm.Print_Area" localSheetId="18">'L2 Calc Dedetizacao'!$A$2:$I$115</definedName>
    <definedName name="_xlnm.Print_Area" localSheetId="20">'L2 Dim ETP'!$A$1:$N$63</definedName>
    <definedName name="_xlnm.Print_Area" localSheetId="15">'L2 Painel'!$A$1:$F$9</definedName>
    <definedName name="_xlnm.Print_Area" localSheetId="16">'L2 Param CCT'!$A$1:$F$17</definedName>
    <definedName name="_xlnm.Print_Area" localSheetId="19">'L2 Quadro Resumo'!$B$5:$N$10</definedName>
    <definedName name="_xlnm.Print_Area" localSheetId="21">'L2 Resumo ETP'!$A$1:$H$10</definedName>
    <definedName name="_xlnm.Print_Area" localSheetId="17">'L2 Uniforme'!$B$4:$D$16</definedName>
    <definedName name="_xlnm.Print_Area" localSheetId="30">'L3 Auditoria'!$A$1:$F$8</definedName>
    <definedName name="_xlnm.Print_Area" localSheetId="26">'L3 Calc Reservatorios'!$A$2:$I$115</definedName>
    <definedName name="_xlnm.Print_Area" localSheetId="28">'L3 Dim ETP'!$A$1:$N$63</definedName>
    <definedName name="_xlnm.Print_Area" localSheetId="23">'L3 Painel'!$A$1:$F$9</definedName>
    <definedName name="_xlnm.Print_Area" localSheetId="24">'L3 Param CCT'!$A$1:$F$17</definedName>
    <definedName name="_xlnm.Print_Area" localSheetId="27">'L3 Quadro Resumo'!$B$5:$N$10</definedName>
    <definedName name="_xlnm.Print_Area" localSheetId="29">'L3 Resumo ETP'!$A$1:$H$10</definedName>
    <definedName name="_xlnm.Print_Area" localSheetId="25">'L3 Uniforme'!$B$4:$D$11</definedName>
    <definedName name="_xlnm.Print_Area" localSheetId="38">'L4 Auditoria'!$A$1:$F$8</definedName>
    <definedName name="_xlnm.Print_Area" localSheetId="34">'L4 Calc Rocada'!$A$2:$I$115</definedName>
    <definedName name="_xlnm.Print_Area" localSheetId="36">'L4 Dim ETP'!$A$1:$N$53</definedName>
    <definedName name="_xlnm.Print_Area" localSheetId="31">'L4 Painel'!$A$1:$F$9</definedName>
    <definedName name="_xlnm.Print_Area" localSheetId="32">'L4 Param CCT'!$A$1:$F$17</definedName>
    <definedName name="_xlnm.Print_Area" localSheetId="35">'L4 Quadro Resumo'!$B$5:$N$10</definedName>
    <definedName name="_xlnm.Print_Area" localSheetId="37">'L4 Resumo ETP'!$A$1:$H$10</definedName>
    <definedName name="_xlnm.Print_Area" localSheetId="33">'L4 Uniforme'!$B$4:$D$11</definedName>
    <definedName name="_xlnm.Print_Area" localSheetId="10">'L5 Supervisor'!$A$2:$I$114</definedName>
    <definedName name="_xlnm.Print_Area" localSheetId="0">'Resumo Geral'!$A$1:$J$64</definedName>
    <definedName name="_xlnm.Print_Titles" localSheetId="1">'Aud Uniformes EPI'!$11:$11</definedName>
    <definedName name="_xlnm.Print_Titles" localSheetId="13">'L1 Auditoria'!$3:$3</definedName>
    <definedName name="_xlnm.Print_Titles" localSheetId="12">'L1 Dim Revisado'!$6:$6</definedName>
    <definedName name="_xlnm.Print_Titles" localSheetId="3">'L1 Interface'!$4:$4</definedName>
    <definedName name="_xlnm.Print_Titles" localSheetId="14">'L1 Memoria Rev'!$3:$3</definedName>
    <definedName name="_xlnm.Print_Titles" localSheetId="2">'L1 Param CCT'!$4:$4</definedName>
    <definedName name="_xlnm.Print_Titles" localSheetId="11">'L1 Quadro Resumo'!$6:$6</definedName>
    <definedName name="_xlnm.Print_Titles" localSheetId="9">'L1 Serv 12x36 40'!$6:$6</definedName>
    <definedName name="_xlnm.Print_Titles" localSheetId="7">'L1 Serv 44h 40'!$6:$6</definedName>
    <definedName name="_xlnm.Print_Titles" localSheetId="8">'L1 Serv 6h 40'!$6:$6</definedName>
    <definedName name="_xlnm.Print_Titles" localSheetId="6">'L1 Und Saude'!$2:$2</definedName>
    <definedName name="_xlnm.Print_Titles" localSheetId="4">'L1 Uniforme'!$2:$2</definedName>
    <definedName name="_xlnm.Print_Titles" localSheetId="22">'L2 Auditoria'!$3:$3</definedName>
    <definedName name="_xlnm.Print_Titles" localSheetId="18">'L2 Calc Dedetizacao'!$6:$6</definedName>
    <definedName name="_xlnm.Print_Titles" localSheetId="20">'L2 Dim ETP'!$4:$4</definedName>
    <definedName name="_xlnm.Print_Titles" localSheetId="15">'L2 Painel'!$4:$4</definedName>
    <definedName name="_xlnm.Print_Titles" localSheetId="16">'L2 Param CCT'!$4:$4</definedName>
    <definedName name="_xlnm.Print_Titles" localSheetId="19">'L2 Quadro Resumo'!$6:$6</definedName>
    <definedName name="_xlnm.Print_Titles" localSheetId="21">'L2 Resumo ETP'!$4:$4</definedName>
    <definedName name="_xlnm.Print_Titles" localSheetId="17">'L2 Uniforme'!$4:$4</definedName>
    <definedName name="_xlnm.Print_Titles" localSheetId="30">'L3 Auditoria'!$3:$3</definedName>
    <definedName name="_xlnm.Print_Titles" localSheetId="26">'L3 Calc Reservatorios'!$6:$6</definedName>
    <definedName name="_xlnm.Print_Titles" localSheetId="28">'L3 Dim ETP'!$4:$4</definedName>
    <definedName name="_xlnm.Print_Titles" localSheetId="23">'L3 Painel'!$4:$4</definedName>
    <definedName name="_xlnm.Print_Titles" localSheetId="24">'L3 Param CCT'!$4:$4</definedName>
    <definedName name="_xlnm.Print_Titles" localSheetId="27">'L3 Quadro Resumo'!$6:$6</definedName>
    <definedName name="_xlnm.Print_Titles" localSheetId="29">'L3 Resumo ETP'!$4:$4</definedName>
    <definedName name="_xlnm.Print_Titles" localSheetId="25">'L3 Uniforme'!$4:$4</definedName>
    <definedName name="_xlnm.Print_Titles" localSheetId="38">'L4 Auditoria'!$3:$3</definedName>
    <definedName name="_xlnm.Print_Titles" localSheetId="34">'L4 Calc Rocada'!$6:$6</definedName>
    <definedName name="_xlnm.Print_Titles" localSheetId="36">'L4 Dim ETP'!$4:$4</definedName>
    <definedName name="_xlnm.Print_Titles" localSheetId="31">'L4 Painel'!$4:$4</definedName>
    <definedName name="_xlnm.Print_Titles" localSheetId="32">'L4 Param CCT'!$4:$4</definedName>
    <definedName name="_xlnm.Print_Titles" localSheetId="35">'L4 Quadro Resumo'!$6:$6</definedName>
    <definedName name="_xlnm.Print_Titles" localSheetId="37">'L4 Resumo ETP'!$4:$4</definedName>
    <definedName name="_xlnm.Print_Titles" localSheetId="33">'L4 Uniforme'!$4:$4</definedName>
    <definedName name="_xlnm.Print_Titles" localSheetId="10">'L5 Supervisor'!$6:$6</definedName>
    <definedName name="_xlnm.Print_Titles" localSheetId="0">'Resumo Geral'!$4:$4</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64" i="27" l="1"/>
  <c r="D64" i="35"/>
  <c r="F109" i="27"/>
  <c r="C102" i="27" s="1"/>
  <c r="D76" i="27"/>
  <c r="D69" i="27"/>
  <c r="D65" i="1"/>
  <c r="F109" i="35"/>
  <c r="C102" i="35" s="1"/>
  <c r="C76" i="35"/>
  <c r="D76" i="35"/>
  <c r="D69" i="35"/>
  <c r="C64" i="35"/>
  <c r="F109" i="19"/>
  <c r="C102" i="19" s="1"/>
  <c r="C76" i="19"/>
  <c r="D76" i="19"/>
  <c r="D69" i="19"/>
  <c r="C64" i="19"/>
  <c r="C76" i="11"/>
  <c r="D76" i="11"/>
  <c r="D69" i="11"/>
  <c r="C64" i="11"/>
  <c r="F110" i="9"/>
  <c r="C65" i="9"/>
  <c r="C77" i="9"/>
  <c r="D77" i="9"/>
  <c r="D70" i="9"/>
  <c r="C77" i="8"/>
  <c r="D77" i="8"/>
  <c r="D70" i="8"/>
  <c r="C101" i="11" l="1"/>
  <c r="F108" i="11"/>
  <c r="C103" i="10"/>
  <c r="C103" i="9"/>
  <c r="C103" i="8"/>
  <c r="G110" i="10"/>
  <c r="D70" i="10"/>
  <c r="D77" i="10" s="1"/>
  <c r="G110" i="8"/>
  <c r="C78" i="19"/>
  <c r="F11" i="1"/>
  <c r="F10" i="1"/>
  <c r="F9" i="1"/>
  <c r="F8" i="1"/>
  <c r="M6" i="37"/>
  <c r="L7" i="36" s="1"/>
  <c r="M5" i="37"/>
  <c r="G101" i="35"/>
  <c r="C91" i="35"/>
  <c r="C92" i="35" s="1"/>
  <c r="C86" i="35"/>
  <c r="B20" i="2" s="1"/>
  <c r="C78" i="35"/>
  <c r="D60" i="35"/>
  <c r="D58" i="35"/>
  <c r="D59" i="35" s="1"/>
  <c r="C45" i="35"/>
  <c r="C44" i="35"/>
  <c r="C42" i="35"/>
  <c r="C40" i="35"/>
  <c r="C36" i="35"/>
  <c r="D62" i="35" s="1"/>
  <c r="F7" i="35"/>
  <c r="C10" i="35" s="1"/>
  <c r="C7" i="35"/>
  <c r="M6" i="29"/>
  <c r="L7" i="28" s="1"/>
  <c r="M5" i="29"/>
  <c r="G101" i="27"/>
  <c r="C91" i="27"/>
  <c r="C92" i="27" s="1"/>
  <c r="C86" i="27"/>
  <c r="B19" i="2" s="1"/>
  <c r="C78" i="27"/>
  <c r="D60" i="27"/>
  <c r="D58" i="27"/>
  <c r="D59" i="27" s="1"/>
  <c r="C45" i="27"/>
  <c r="C44" i="27"/>
  <c r="C42" i="27"/>
  <c r="C40" i="27"/>
  <c r="C36" i="27"/>
  <c r="D62" i="27" s="1"/>
  <c r="F7" i="27"/>
  <c r="C10" i="27" s="1"/>
  <c r="C16" i="27" s="1"/>
  <c r="C76" i="27" s="1"/>
  <c r="C7" i="27"/>
  <c r="C39" i="27" s="1"/>
  <c r="M6" i="21"/>
  <c r="L7" i="20" s="1"/>
  <c r="M5" i="21"/>
  <c r="D7" i="20"/>
  <c r="G101" i="19"/>
  <c r="C91" i="19"/>
  <c r="C92" i="19" s="1"/>
  <c r="C86" i="19"/>
  <c r="B18" i="2" s="1"/>
  <c r="D60" i="19"/>
  <c r="D58" i="19"/>
  <c r="D59" i="19" s="1"/>
  <c r="C45" i="19"/>
  <c r="C44" i="19"/>
  <c r="C42" i="19"/>
  <c r="C40" i="19"/>
  <c r="C36" i="19"/>
  <c r="D62" i="19" s="1"/>
  <c r="D10" i="19"/>
  <c r="F7" i="19"/>
  <c r="C7" i="19"/>
  <c r="C39" i="19" s="1"/>
  <c r="C48" i="19" s="1"/>
  <c r="C53" i="19" s="1"/>
  <c r="Y58" i="13"/>
  <c r="Y57" i="13"/>
  <c r="Y56" i="13"/>
  <c r="W54" i="13"/>
  <c r="V54" i="13"/>
  <c r="AC52" i="13"/>
  <c r="AB52" i="13"/>
  <c r="AA52" i="13"/>
  <c r="AC51" i="13"/>
  <c r="AB51" i="13"/>
  <c r="AA51" i="13"/>
  <c r="AC50" i="13"/>
  <c r="AB50" i="13"/>
  <c r="AA50" i="13"/>
  <c r="AC49" i="13"/>
  <c r="AB49" i="13"/>
  <c r="AA49" i="13"/>
  <c r="AC48" i="13"/>
  <c r="AB48" i="13"/>
  <c r="AA48" i="13"/>
  <c r="AC47" i="13"/>
  <c r="AB47" i="13"/>
  <c r="AA47" i="13"/>
  <c r="AC46" i="13"/>
  <c r="AB46" i="13"/>
  <c r="AA46" i="13"/>
  <c r="AC45" i="13"/>
  <c r="AB45" i="13"/>
  <c r="AA45" i="13"/>
  <c r="AC44" i="13"/>
  <c r="AB44" i="13"/>
  <c r="AA44" i="13"/>
  <c r="AC43" i="13"/>
  <c r="AB43" i="13"/>
  <c r="AA43" i="13"/>
  <c r="AC42" i="13"/>
  <c r="AB42" i="13"/>
  <c r="AA42" i="13"/>
  <c r="AC41" i="13"/>
  <c r="AB41" i="13"/>
  <c r="AA41" i="13"/>
  <c r="AC40" i="13"/>
  <c r="AB40" i="13"/>
  <c r="AA40" i="13"/>
  <c r="AC39" i="13"/>
  <c r="AB39" i="13"/>
  <c r="AA39" i="13"/>
  <c r="AC38" i="13"/>
  <c r="AB38" i="13"/>
  <c r="AA38" i="13"/>
  <c r="AC37" i="13"/>
  <c r="AB37" i="13"/>
  <c r="AA37" i="13"/>
  <c r="AC36" i="13"/>
  <c r="AB36" i="13"/>
  <c r="AA36" i="13"/>
  <c r="AC35" i="13"/>
  <c r="AB35" i="13"/>
  <c r="AA35" i="13"/>
  <c r="AC34" i="13"/>
  <c r="AB34" i="13"/>
  <c r="AA34" i="13"/>
  <c r="AC33" i="13"/>
  <c r="AB33" i="13"/>
  <c r="AA33" i="13"/>
  <c r="AC32" i="13"/>
  <c r="AB32" i="13"/>
  <c r="AA32" i="13"/>
  <c r="AC31" i="13"/>
  <c r="AB31" i="13"/>
  <c r="AA31" i="13"/>
  <c r="AC30" i="13"/>
  <c r="AB30" i="13"/>
  <c r="AA30" i="13"/>
  <c r="AC29" i="13"/>
  <c r="AB29" i="13"/>
  <c r="AA29" i="13"/>
  <c r="AC28" i="13"/>
  <c r="AB28" i="13"/>
  <c r="AA28" i="13"/>
  <c r="AC27" i="13"/>
  <c r="AB27" i="13"/>
  <c r="AA27" i="13"/>
  <c r="AC26" i="13"/>
  <c r="AB26" i="13"/>
  <c r="AA26" i="13"/>
  <c r="AC25" i="13"/>
  <c r="AB25" i="13"/>
  <c r="AA25" i="13"/>
  <c r="AC24" i="13"/>
  <c r="AB24" i="13"/>
  <c r="AA24" i="13"/>
  <c r="AC23" i="13"/>
  <c r="AB23" i="13"/>
  <c r="AA23" i="13"/>
  <c r="AC22" i="13"/>
  <c r="AB22" i="13"/>
  <c r="AA22" i="13"/>
  <c r="AC21" i="13"/>
  <c r="AB21" i="13"/>
  <c r="AA21" i="13"/>
  <c r="AC20" i="13"/>
  <c r="AB20" i="13"/>
  <c r="AA20" i="13"/>
  <c r="AC19" i="13"/>
  <c r="AB19" i="13"/>
  <c r="AA19" i="13"/>
  <c r="AC18" i="13"/>
  <c r="AB18" i="13"/>
  <c r="AA18" i="13"/>
  <c r="AC17" i="13"/>
  <c r="AB17" i="13"/>
  <c r="AA17" i="13"/>
  <c r="AC16" i="13"/>
  <c r="AB16" i="13"/>
  <c r="AA16" i="13"/>
  <c r="AC15" i="13"/>
  <c r="AB15" i="13"/>
  <c r="AA15" i="13"/>
  <c r="AC14" i="13"/>
  <c r="AB14" i="13"/>
  <c r="AA14" i="13"/>
  <c r="AC13" i="13"/>
  <c r="AB13" i="13"/>
  <c r="AA13" i="13"/>
  <c r="AC12" i="13"/>
  <c r="AB12" i="13"/>
  <c r="AA12" i="13"/>
  <c r="AC11" i="13"/>
  <c r="AB11" i="13"/>
  <c r="AA11" i="13"/>
  <c r="AC10" i="13"/>
  <c r="AB10" i="13"/>
  <c r="AA10" i="13"/>
  <c r="AC9" i="13"/>
  <c r="AB9" i="13"/>
  <c r="AA9" i="13"/>
  <c r="AC8" i="13"/>
  <c r="AB8" i="13"/>
  <c r="AA8" i="13"/>
  <c r="AC7" i="13"/>
  <c r="AB7" i="13"/>
  <c r="AA7" i="13"/>
  <c r="F26" i="12"/>
  <c r="G26" i="12" s="1"/>
  <c r="G25" i="12"/>
  <c r="F25" i="12"/>
  <c r="F24" i="12"/>
  <c r="G24" i="12" s="1"/>
  <c r="G23" i="12"/>
  <c r="F23" i="12"/>
  <c r="F22" i="12"/>
  <c r="G22" i="12" s="1"/>
  <c r="E21" i="12"/>
  <c r="F21" i="12" s="1"/>
  <c r="G21" i="12" s="1"/>
  <c r="D21" i="12"/>
  <c r="D19" i="12"/>
  <c r="L10" i="12"/>
  <c r="D20" i="12" s="1"/>
  <c r="L8" i="12"/>
  <c r="L13" i="12" s="1"/>
  <c r="F100" i="11"/>
  <c r="C95" i="11"/>
  <c r="C96" i="11" s="1"/>
  <c r="C86" i="11"/>
  <c r="D60" i="11"/>
  <c r="D58" i="11"/>
  <c r="D59" i="11" s="1"/>
  <c r="C45" i="11"/>
  <c r="C44" i="11"/>
  <c r="C42" i="11"/>
  <c r="C40" i="11"/>
  <c r="C36" i="11"/>
  <c r="D62" i="11" s="1"/>
  <c r="F7" i="11"/>
  <c r="C7" i="11"/>
  <c r="C96" i="10"/>
  <c r="C87" i="10"/>
  <c r="D61" i="10"/>
  <c r="D59" i="10"/>
  <c r="D60" i="10" s="1"/>
  <c r="C45" i="10"/>
  <c r="C44" i="10"/>
  <c r="C42" i="10"/>
  <c r="C40" i="10"/>
  <c r="C36" i="10"/>
  <c r="D63" i="10" s="1"/>
  <c r="F7" i="10"/>
  <c r="C10" i="10" s="1"/>
  <c r="C7" i="10"/>
  <c r="F102" i="9"/>
  <c r="C87" i="9"/>
  <c r="B14" i="2" s="1"/>
  <c r="D61" i="9"/>
  <c r="D59" i="9"/>
  <c r="C45" i="9"/>
  <c r="C44" i="9"/>
  <c r="C42" i="9"/>
  <c r="C40" i="9"/>
  <c r="C36" i="9"/>
  <c r="D63" i="9" s="1"/>
  <c r="D10" i="9"/>
  <c r="F7" i="9"/>
  <c r="C9" i="9" s="1"/>
  <c r="C7" i="9"/>
  <c r="C39" i="9" s="1"/>
  <c r="C48" i="9" s="1"/>
  <c r="C53" i="9" s="1"/>
  <c r="G102" i="8"/>
  <c r="C87" i="8"/>
  <c r="C96" i="8" s="1"/>
  <c r="D61" i="8"/>
  <c r="D59" i="8"/>
  <c r="D60" i="8" s="1"/>
  <c r="C45" i="8"/>
  <c r="C44" i="8"/>
  <c r="C42" i="8"/>
  <c r="C40" i="8"/>
  <c r="C36" i="8"/>
  <c r="D63" i="8" s="1"/>
  <c r="D10" i="8"/>
  <c r="F7" i="8"/>
  <c r="C7" i="8"/>
  <c r="D55" i="7"/>
  <c r="D52" i="7"/>
  <c r="D41" i="7"/>
  <c r="D37" i="7"/>
  <c r="D36" i="7"/>
  <c r="D35" i="7"/>
  <c r="D34" i="7"/>
  <c r="D8" i="7"/>
  <c r="D6" i="7"/>
  <c r="D5" i="7"/>
  <c r="C2" i="7"/>
  <c r="I103" i="6"/>
  <c r="H103" i="6"/>
  <c r="G103" i="6"/>
  <c r="I102" i="6"/>
  <c r="H102" i="6"/>
  <c r="G102" i="6"/>
  <c r="I101" i="6"/>
  <c r="G101" i="6"/>
  <c r="H101" i="6" s="1"/>
  <c r="I100" i="6"/>
  <c r="G100" i="6"/>
  <c r="H100" i="6" s="1"/>
  <c r="I99" i="6"/>
  <c r="G99" i="6"/>
  <c r="H99" i="6" s="1"/>
  <c r="I98" i="6"/>
  <c r="G98" i="6"/>
  <c r="H98" i="6" s="1"/>
  <c r="I97" i="6"/>
  <c r="H97" i="6"/>
  <c r="G97" i="6"/>
  <c r="I96" i="6"/>
  <c r="H96" i="6"/>
  <c r="G96" i="6"/>
  <c r="I95" i="6"/>
  <c r="G95" i="6"/>
  <c r="H95" i="6" s="1"/>
  <c r="I94" i="6"/>
  <c r="H94" i="6"/>
  <c r="G94" i="6"/>
  <c r="I93" i="6"/>
  <c r="G93" i="6"/>
  <c r="H93" i="6" s="1"/>
  <c r="I92" i="6"/>
  <c r="G92" i="6"/>
  <c r="H92" i="6" s="1"/>
  <c r="I91" i="6"/>
  <c r="H91" i="6"/>
  <c r="G91" i="6"/>
  <c r="I90" i="6"/>
  <c r="G90" i="6"/>
  <c r="H90" i="6" s="1"/>
  <c r="I89" i="6"/>
  <c r="G89" i="6"/>
  <c r="H89" i="6" s="1"/>
  <c r="I88" i="6"/>
  <c r="G88" i="6"/>
  <c r="H88" i="6" s="1"/>
  <c r="I87" i="6"/>
  <c r="G87" i="6"/>
  <c r="H87" i="6" s="1"/>
  <c r="I86" i="6"/>
  <c r="G86" i="6"/>
  <c r="H86" i="6" s="1"/>
  <c r="I85" i="6"/>
  <c r="G85" i="6"/>
  <c r="H85" i="6" s="1"/>
  <c r="I84" i="6"/>
  <c r="G84" i="6"/>
  <c r="H84" i="6" s="1"/>
  <c r="I83" i="6"/>
  <c r="H83" i="6"/>
  <c r="G83" i="6"/>
  <c r="I82" i="6"/>
  <c r="H82" i="6"/>
  <c r="G82" i="6"/>
  <c r="I81" i="6"/>
  <c r="G81" i="6"/>
  <c r="H81" i="6" s="1"/>
  <c r="I80" i="6"/>
  <c r="G80" i="6"/>
  <c r="H80" i="6" s="1"/>
  <c r="I79" i="6"/>
  <c r="G79" i="6"/>
  <c r="H79" i="6" s="1"/>
  <c r="I78" i="6"/>
  <c r="G78" i="6"/>
  <c r="H78" i="6" s="1"/>
  <c r="I77" i="6"/>
  <c r="H77" i="6"/>
  <c r="G77" i="6"/>
  <c r="I76" i="6"/>
  <c r="H76" i="6"/>
  <c r="G76" i="6"/>
  <c r="I75" i="6"/>
  <c r="G75" i="6"/>
  <c r="H75" i="6" s="1"/>
  <c r="I74" i="6"/>
  <c r="H74" i="6"/>
  <c r="G74" i="6"/>
  <c r="I73" i="6"/>
  <c r="G73" i="6"/>
  <c r="H73" i="6" s="1"/>
  <c r="I72" i="6"/>
  <c r="G72" i="6"/>
  <c r="H72" i="6" s="1"/>
  <c r="I71" i="6"/>
  <c r="H71" i="6"/>
  <c r="G71" i="6"/>
  <c r="I70" i="6"/>
  <c r="G70" i="6"/>
  <c r="H70" i="6" s="1"/>
  <c r="I69" i="6"/>
  <c r="G69" i="6"/>
  <c r="H69" i="6" s="1"/>
  <c r="I68" i="6"/>
  <c r="G68" i="6"/>
  <c r="H68" i="6" s="1"/>
  <c r="I67" i="6"/>
  <c r="G67" i="6"/>
  <c r="H67" i="6" s="1"/>
  <c r="I66" i="6"/>
  <c r="G66" i="6"/>
  <c r="H66" i="6" s="1"/>
  <c r="I65" i="6"/>
  <c r="G65" i="6"/>
  <c r="H65" i="6" s="1"/>
  <c r="I64" i="6"/>
  <c r="G64" i="6"/>
  <c r="H64" i="6" s="1"/>
  <c r="I63" i="6"/>
  <c r="H63" i="6"/>
  <c r="G63" i="6"/>
  <c r="I62" i="6"/>
  <c r="H62" i="6"/>
  <c r="G62" i="6"/>
  <c r="I61" i="6"/>
  <c r="G61" i="6"/>
  <c r="G104" i="6" s="1"/>
  <c r="I56" i="6"/>
  <c r="G56" i="6"/>
  <c r="H56" i="6" s="1"/>
  <c r="I55" i="6"/>
  <c r="G55" i="6"/>
  <c r="H55" i="6" s="1"/>
  <c r="I54" i="6"/>
  <c r="G54" i="6"/>
  <c r="H54" i="6" s="1"/>
  <c r="I53" i="6"/>
  <c r="H53" i="6"/>
  <c r="G53" i="6"/>
  <c r="I52" i="6"/>
  <c r="H52" i="6"/>
  <c r="G52" i="6"/>
  <c r="I51" i="6"/>
  <c r="G51" i="6"/>
  <c r="H51" i="6" s="1"/>
  <c r="I50" i="6"/>
  <c r="G50" i="6"/>
  <c r="H50" i="6" s="1"/>
  <c r="I49" i="6"/>
  <c r="G49" i="6"/>
  <c r="H49" i="6" s="1"/>
  <c r="I48" i="6"/>
  <c r="G48" i="6"/>
  <c r="G57" i="6" s="1"/>
  <c r="I43" i="6"/>
  <c r="H43" i="6"/>
  <c r="G43" i="6"/>
  <c r="I42" i="6"/>
  <c r="H42" i="6"/>
  <c r="G42" i="6"/>
  <c r="I41" i="6"/>
  <c r="G41" i="6"/>
  <c r="H41" i="6" s="1"/>
  <c r="I40" i="6"/>
  <c r="G40" i="6"/>
  <c r="G44" i="6" s="1"/>
  <c r="I36" i="6"/>
  <c r="G36" i="6"/>
  <c r="H36" i="6" s="1"/>
  <c r="I35" i="6"/>
  <c r="G35" i="6"/>
  <c r="H35" i="6" s="1"/>
  <c r="I34" i="6"/>
  <c r="H34" i="6"/>
  <c r="G34" i="6"/>
  <c r="I33" i="6"/>
  <c r="H33" i="6"/>
  <c r="G33" i="6"/>
  <c r="I32" i="6"/>
  <c r="G32" i="6"/>
  <c r="H32" i="6" s="1"/>
  <c r="I31" i="6"/>
  <c r="G31" i="6"/>
  <c r="H31" i="6" s="1"/>
  <c r="I30" i="6"/>
  <c r="G30" i="6"/>
  <c r="H30" i="6" s="1"/>
  <c r="I29" i="6"/>
  <c r="G29" i="6"/>
  <c r="H29" i="6" s="1"/>
  <c r="I28" i="6"/>
  <c r="H28" i="6"/>
  <c r="G28" i="6"/>
  <c r="I27" i="6"/>
  <c r="H27" i="6"/>
  <c r="G27" i="6"/>
  <c r="I26" i="6"/>
  <c r="G26" i="6"/>
  <c r="H26" i="6" s="1"/>
  <c r="I25" i="6"/>
  <c r="H25" i="6"/>
  <c r="G25" i="6"/>
  <c r="I24" i="6"/>
  <c r="G24" i="6"/>
  <c r="H24" i="6" s="1"/>
  <c r="I23" i="6"/>
  <c r="G23" i="6"/>
  <c r="H23" i="6" s="1"/>
  <c r="I22" i="6"/>
  <c r="H22" i="6"/>
  <c r="G22" i="6"/>
  <c r="I21" i="6"/>
  <c r="G21" i="6"/>
  <c r="H21" i="6" s="1"/>
  <c r="I20" i="6"/>
  <c r="G20" i="6"/>
  <c r="H20" i="6" s="1"/>
  <c r="I19" i="6"/>
  <c r="G19" i="6"/>
  <c r="H19" i="6" s="1"/>
  <c r="I18" i="6"/>
  <c r="G18" i="6"/>
  <c r="H18" i="6" s="1"/>
  <c r="I17" i="6"/>
  <c r="G17" i="6"/>
  <c r="H17" i="6" s="1"/>
  <c r="I16" i="6"/>
  <c r="G16" i="6"/>
  <c r="H16" i="6" s="1"/>
  <c r="I15" i="6"/>
  <c r="G15" i="6"/>
  <c r="H15" i="6" s="1"/>
  <c r="I14" i="6"/>
  <c r="H14" i="6"/>
  <c r="G14" i="6"/>
  <c r="I13" i="6"/>
  <c r="H13" i="6"/>
  <c r="G13" i="6"/>
  <c r="I12" i="6"/>
  <c r="G12" i="6"/>
  <c r="H12" i="6" s="1"/>
  <c r="I11" i="6"/>
  <c r="G11" i="6"/>
  <c r="H11" i="6" s="1"/>
  <c r="I10" i="6"/>
  <c r="G10" i="6"/>
  <c r="H10" i="6" s="1"/>
  <c r="I9" i="6"/>
  <c r="G9" i="6"/>
  <c r="G37" i="6" s="1"/>
  <c r="I8" i="6"/>
  <c r="H8" i="6"/>
  <c r="G8" i="6"/>
  <c r="I7" i="6"/>
  <c r="H7" i="6"/>
  <c r="G7" i="6"/>
  <c r="I6" i="6"/>
  <c r="G6" i="6"/>
  <c r="H6" i="6" s="1"/>
  <c r="I5" i="6"/>
  <c r="H5" i="6"/>
  <c r="G5" i="6"/>
  <c r="I4" i="6"/>
  <c r="G4" i="6"/>
  <c r="H4" i="6" s="1"/>
  <c r="F31" i="5"/>
  <c r="F30" i="5"/>
  <c r="F29" i="5"/>
  <c r="F32" i="5" s="1"/>
  <c r="F33" i="5" s="1"/>
  <c r="F26" i="5"/>
  <c r="F24" i="5"/>
  <c r="F23" i="5"/>
  <c r="F22" i="5"/>
  <c r="F21" i="5"/>
  <c r="F20" i="5"/>
  <c r="F19" i="5"/>
  <c r="F18" i="5"/>
  <c r="F17" i="5"/>
  <c r="F16" i="5"/>
  <c r="F15" i="5"/>
  <c r="F14" i="5"/>
  <c r="F25" i="5" s="1"/>
  <c r="F11" i="5"/>
  <c r="F9" i="5"/>
  <c r="F8" i="5"/>
  <c r="F7" i="5"/>
  <c r="F6" i="5"/>
  <c r="F5" i="5"/>
  <c r="F10" i="5" s="1"/>
  <c r="F4" i="5"/>
  <c r="F3" i="5"/>
  <c r="B18" i="4"/>
  <c r="B13" i="4"/>
  <c r="D8" i="4"/>
  <c r="E17" i="2"/>
  <c r="D17" i="2"/>
  <c r="C17" i="2"/>
  <c r="B17" i="2"/>
  <c r="C16" i="2"/>
  <c r="B16" i="2"/>
  <c r="B15" i="2"/>
  <c r="C8" i="2"/>
  <c r="B8" i="2"/>
  <c r="D68" i="1"/>
  <c r="D64" i="1"/>
  <c r="D63" i="1"/>
  <c r="D62" i="1"/>
  <c r="D61" i="1"/>
  <c r="D60" i="1"/>
  <c r="D59" i="1"/>
  <c r="D58" i="1"/>
  <c r="D55" i="1"/>
  <c r="D54" i="1"/>
  <c r="D53" i="1"/>
  <c r="D52" i="1"/>
  <c r="D51" i="1"/>
  <c r="D50" i="1"/>
  <c r="D49" i="1"/>
  <c r="D48" i="1"/>
  <c r="D45" i="1"/>
  <c r="D44" i="1"/>
  <c r="D43" i="1"/>
  <c r="D42" i="1"/>
  <c r="D41" i="1"/>
  <c r="D40" i="1"/>
  <c r="D39" i="1"/>
  <c r="D38" i="1"/>
  <c r="D35" i="1"/>
  <c r="D34" i="1"/>
  <c r="D33" i="1"/>
  <c r="D32" i="1"/>
  <c r="D31" i="1"/>
  <c r="D30" i="1"/>
  <c r="D29" i="1"/>
  <c r="D28" i="1"/>
  <c r="D26" i="1"/>
  <c r="D25" i="1"/>
  <c r="D24" i="1"/>
  <c r="D23" i="1"/>
  <c r="D22" i="1"/>
  <c r="I12" i="1"/>
  <c r="H12" i="1"/>
  <c r="I11" i="1"/>
  <c r="I10" i="1"/>
  <c r="I9" i="1"/>
  <c r="I8" i="1"/>
  <c r="C48" i="27" l="1"/>
  <c r="C53" i="27" s="1"/>
  <c r="C16" i="35"/>
  <c r="C72" i="35" s="1"/>
  <c r="C10" i="19"/>
  <c r="C16" i="19" s="1"/>
  <c r="B112" i="11"/>
  <c r="D16" i="2"/>
  <c r="C10" i="9"/>
  <c r="C16" i="9" s="1"/>
  <c r="B13" i="2"/>
  <c r="C10" i="8"/>
  <c r="D65" i="8"/>
  <c r="C96" i="19"/>
  <c r="C18" i="2"/>
  <c r="C24" i="35"/>
  <c r="C23" i="35"/>
  <c r="C74" i="35"/>
  <c r="C22" i="35"/>
  <c r="C73" i="35"/>
  <c r="C60" i="35"/>
  <c r="C59" i="35"/>
  <c r="C69" i="35"/>
  <c r="C58" i="35"/>
  <c r="C63" i="35"/>
  <c r="E7" i="36"/>
  <c r="B109" i="35"/>
  <c r="C62" i="35"/>
  <c r="B6" i="16"/>
  <c r="E6" i="16" s="1"/>
  <c r="D9" i="1"/>
  <c r="D9" i="20"/>
  <c r="C74" i="27"/>
  <c r="C22" i="27"/>
  <c r="C59" i="27"/>
  <c r="E7" i="28"/>
  <c r="C73" i="27"/>
  <c r="C23" i="27"/>
  <c r="C72" i="27"/>
  <c r="C71" i="27"/>
  <c r="C70" i="27"/>
  <c r="C69" i="27"/>
  <c r="C63" i="27"/>
  <c r="B109" i="27"/>
  <c r="C58" i="27"/>
  <c r="C64" i="27" s="1"/>
  <c r="C62" i="27"/>
  <c r="C24" i="27"/>
  <c r="C61" i="27"/>
  <c r="C60" i="27"/>
  <c r="D64" i="11"/>
  <c r="D110" i="6"/>
  <c r="F110" i="6" s="1"/>
  <c r="C73" i="19"/>
  <c r="C22" i="19"/>
  <c r="C24" i="19"/>
  <c r="C72" i="19"/>
  <c r="C74" i="19"/>
  <c r="C23" i="19"/>
  <c r="C71" i="19"/>
  <c r="C70" i="19"/>
  <c r="C69" i="19"/>
  <c r="E7" i="20"/>
  <c r="B109" i="19"/>
  <c r="C63" i="19"/>
  <c r="C59" i="19"/>
  <c r="C62" i="19"/>
  <c r="C60" i="19"/>
  <c r="C58" i="19"/>
  <c r="C61" i="19"/>
  <c r="B6" i="24"/>
  <c r="E6" i="24" s="1"/>
  <c r="D10" i="1"/>
  <c r="D9" i="28"/>
  <c r="C7" i="2"/>
  <c r="C8" i="4"/>
  <c r="E8" i="4" s="1"/>
  <c r="E107" i="6"/>
  <c r="E111" i="6" s="1"/>
  <c r="C20" i="2"/>
  <c r="C96" i="35"/>
  <c r="C19" i="2"/>
  <c r="C96" i="27"/>
  <c r="D11" i="1"/>
  <c r="B6" i="32"/>
  <c r="E6" i="32" s="1"/>
  <c r="D9" i="36"/>
  <c r="C95" i="35"/>
  <c r="C97" i="35" s="1"/>
  <c r="C96" i="9"/>
  <c r="L14" i="12"/>
  <c r="D8" i="1" s="1"/>
  <c r="D14" i="1" s="1"/>
  <c r="C95" i="27"/>
  <c r="C97" i="27" s="1"/>
  <c r="D60" i="9"/>
  <c r="D18" i="4"/>
  <c r="H61" i="6"/>
  <c r="H104" i="6" s="1"/>
  <c r="B14" i="4"/>
  <c r="C39" i="10"/>
  <c r="C48" i="10" s="1"/>
  <c r="C53" i="10" s="1"/>
  <c r="D18" i="12"/>
  <c r="E18" i="4" s="1"/>
  <c r="C39" i="35"/>
  <c r="C48" i="35" s="1"/>
  <c r="C53" i="35" s="1"/>
  <c r="C39" i="8"/>
  <c r="C48" i="8" s="1"/>
  <c r="C53" i="8" s="1"/>
  <c r="F14" i="11"/>
  <c r="G14" i="11" s="1"/>
  <c r="C15" i="11"/>
  <c r="C78" i="11" s="1"/>
  <c r="H48" i="6"/>
  <c r="H57" i="6" s="1"/>
  <c r="D108" i="6" s="1"/>
  <c r="F108" i="6" s="1"/>
  <c r="D64" i="19"/>
  <c r="C9" i="8"/>
  <c r="F14" i="10"/>
  <c r="F12" i="10" s="1"/>
  <c r="G12" i="10" s="1"/>
  <c r="H12" i="10" s="1"/>
  <c r="C12" i="10" s="1"/>
  <c r="C16" i="10" s="1"/>
  <c r="H9" i="6"/>
  <c r="H37" i="6" s="1"/>
  <c r="D107" i="6" s="1"/>
  <c r="F107" i="6" s="1"/>
  <c r="C39" i="11"/>
  <c r="C48" i="11" s="1"/>
  <c r="C53" i="11" s="1"/>
  <c r="H40" i="6"/>
  <c r="H44" i="6" s="1"/>
  <c r="D109" i="6" s="1"/>
  <c r="F109" i="6" s="1"/>
  <c r="C95" i="19"/>
  <c r="C79" i="10" l="1"/>
  <c r="C77" i="10"/>
  <c r="C25" i="35"/>
  <c r="C51" i="35" s="1"/>
  <c r="D35" i="35"/>
  <c r="D34" i="35"/>
  <c r="C61" i="35"/>
  <c r="C70" i="35"/>
  <c r="C75" i="35" s="1"/>
  <c r="C71" i="35"/>
  <c r="D29" i="35"/>
  <c r="C75" i="27"/>
  <c r="C75" i="19"/>
  <c r="C97" i="19"/>
  <c r="B113" i="19" s="1"/>
  <c r="C79" i="9"/>
  <c r="C70" i="9"/>
  <c r="C22" i="9"/>
  <c r="C25" i="9" s="1"/>
  <c r="C71" i="9"/>
  <c r="C24" i="9"/>
  <c r="E9" i="12"/>
  <c r="B110" i="9"/>
  <c r="C62" i="9"/>
  <c r="C64" i="9"/>
  <c r="C61" i="9"/>
  <c r="C74" i="9"/>
  <c r="C72" i="9"/>
  <c r="C23" i="9"/>
  <c r="C75" i="9"/>
  <c r="C63" i="9"/>
  <c r="C73" i="9"/>
  <c r="C59" i="9"/>
  <c r="C60" i="9"/>
  <c r="C11" i="8"/>
  <c r="C16" i="8" s="1"/>
  <c r="C90" i="9"/>
  <c r="C90" i="10"/>
  <c r="C90" i="8"/>
  <c r="C24" i="10"/>
  <c r="C23" i="10"/>
  <c r="C22" i="10"/>
  <c r="C75" i="10"/>
  <c r="C74" i="10"/>
  <c r="C73" i="10"/>
  <c r="C62" i="10"/>
  <c r="C61" i="10"/>
  <c r="C60" i="10"/>
  <c r="C72" i="10"/>
  <c r="C71" i="10"/>
  <c r="C63" i="10"/>
  <c r="C70" i="10"/>
  <c r="B110" i="10"/>
  <c r="C64" i="10"/>
  <c r="E10" i="12"/>
  <c r="C59" i="10"/>
  <c r="G7" i="28"/>
  <c r="B111" i="27"/>
  <c r="C25" i="27"/>
  <c r="B113" i="27"/>
  <c r="D19" i="2"/>
  <c r="I7" i="28"/>
  <c r="D10" i="28"/>
  <c r="D65" i="9"/>
  <c r="D28" i="35"/>
  <c r="D20" i="2"/>
  <c r="B113" i="35"/>
  <c r="I7" i="36"/>
  <c r="B111" i="35"/>
  <c r="G7" i="36"/>
  <c r="D10" i="20"/>
  <c r="D27" i="12"/>
  <c r="C18" i="4"/>
  <c r="C16" i="11"/>
  <c r="C25" i="19"/>
  <c r="D31" i="35"/>
  <c r="D18" i="2"/>
  <c r="C79" i="27" l="1"/>
  <c r="B112" i="27" s="1"/>
  <c r="C65" i="10"/>
  <c r="C79" i="35"/>
  <c r="C79" i="19"/>
  <c r="D33" i="35"/>
  <c r="D30" i="35"/>
  <c r="D32" i="35"/>
  <c r="I7" i="20"/>
  <c r="C76" i="10"/>
  <c r="C80" i="10" s="1"/>
  <c r="C76" i="9"/>
  <c r="B110" i="8"/>
  <c r="C70" i="8"/>
  <c r="C59" i="8"/>
  <c r="C73" i="8"/>
  <c r="C71" i="8"/>
  <c r="C24" i="8"/>
  <c r="C75" i="8"/>
  <c r="C63" i="8"/>
  <c r="C74" i="8"/>
  <c r="C22" i="8"/>
  <c r="C61" i="8"/>
  <c r="C64" i="8"/>
  <c r="C72" i="8"/>
  <c r="E8" i="12"/>
  <c r="E14" i="12" s="1"/>
  <c r="C62" i="8"/>
  <c r="C60" i="8"/>
  <c r="C79" i="8"/>
  <c r="C23" i="8"/>
  <c r="C25" i="10"/>
  <c r="B111" i="19"/>
  <c r="G7" i="20"/>
  <c r="C51" i="19"/>
  <c r="D32" i="19"/>
  <c r="D28" i="19"/>
  <c r="D30" i="19"/>
  <c r="D31" i="19"/>
  <c r="D29" i="19"/>
  <c r="D34" i="19"/>
  <c r="D33" i="19"/>
  <c r="D35" i="19"/>
  <c r="C62" i="11"/>
  <c r="C71" i="11"/>
  <c r="C63" i="11"/>
  <c r="B108" i="11"/>
  <c r="C61" i="11"/>
  <c r="C60" i="11"/>
  <c r="C72" i="11"/>
  <c r="C70" i="11"/>
  <c r="C59" i="11"/>
  <c r="C58" i="11"/>
  <c r="C73" i="11"/>
  <c r="C22" i="11"/>
  <c r="C69" i="11"/>
  <c r="C75" i="11" s="1"/>
  <c r="C24" i="11"/>
  <c r="C74" i="11"/>
  <c r="C23" i="11"/>
  <c r="C51" i="27"/>
  <c r="D32" i="27"/>
  <c r="D30" i="27"/>
  <c r="D29" i="27"/>
  <c r="D31" i="27"/>
  <c r="D34" i="27"/>
  <c r="D33" i="27"/>
  <c r="D28" i="27"/>
  <c r="D35" i="27"/>
  <c r="C51" i="9"/>
  <c r="D28" i="9"/>
  <c r="D31" i="9"/>
  <c r="D32" i="9"/>
  <c r="D35" i="9"/>
  <c r="D33" i="9"/>
  <c r="D29" i="9"/>
  <c r="D30" i="9"/>
  <c r="D34" i="9"/>
  <c r="H7" i="28"/>
  <c r="C92" i="8"/>
  <c r="C93" i="8" s="1"/>
  <c r="D36" i="35"/>
  <c r="C52" i="35" s="1"/>
  <c r="C54" i="35" s="1"/>
  <c r="C92" i="10"/>
  <c r="C93" i="10"/>
  <c r="C92" i="9"/>
  <c r="C93" i="9" s="1"/>
  <c r="B112" i="19" l="1"/>
  <c r="H7" i="20"/>
  <c r="C79" i="11"/>
  <c r="B111" i="11" s="1"/>
  <c r="C80" i="9"/>
  <c r="B112" i="35"/>
  <c r="H7" i="36"/>
  <c r="C25" i="11"/>
  <c r="C51" i="11" s="1"/>
  <c r="G9" i="12"/>
  <c r="B112" i="9"/>
  <c r="C25" i="8"/>
  <c r="D35" i="8" s="1"/>
  <c r="C76" i="8"/>
  <c r="C80" i="8" s="1"/>
  <c r="H8" i="12" s="1"/>
  <c r="C65" i="8"/>
  <c r="C14" i="2"/>
  <c r="C97" i="9"/>
  <c r="C98" i="9" s="1"/>
  <c r="C15" i="2"/>
  <c r="C97" i="10"/>
  <c r="C98" i="10" s="1"/>
  <c r="B112" i="10"/>
  <c r="G10" i="12"/>
  <c r="D29" i="11"/>
  <c r="D33" i="11"/>
  <c r="B113" i="10"/>
  <c r="H10" i="12"/>
  <c r="D35" i="11"/>
  <c r="D36" i="27"/>
  <c r="C52" i="27" s="1"/>
  <c r="C54" i="27" s="1"/>
  <c r="D28" i="11"/>
  <c r="D36" i="19"/>
  <c r="C52" i="19" s="1"/>
  <c r="C54" i="19" s="1"/>
  <c r="C97" i="8"/>
  <c r="C98" i="8" s="1"/>
  <c r="C13" i="2"/>
  <c r="B110" i="11"/>
  <c r="D36" i="9"/>
  <c r="C52" i="9" s="1"/>
  <c r="C54" i="9" s="1"/>
  <c r="F7" i="36"/>
  <c r="B110" i="35"/>
  <c r="C101" i="35"/>
  <c r="C51" i="10"/>
  <c r="D32" i="10"/>
  <c r="D35" i="10"/>
  <c r="D28" i="10"/>
  <c r="D30" i="10"/>
  <c r="D29" i="10"/>
  <c r="D31" i="10"/>
  <c r="D33" i="10"/>
  <c r="D34" i="10"/>
  <c r="H9" i="12" l="1"/>
  <c r="H14" i="12" s="1"/>
  <c r="B113" i="9"/>
  <c r="D34" i="11"/>
  <c r="D30" i="11"/>
  <c r="D31" i="11"/>
  <c r="D32" i="11"/>
  <c r="B113" i="8"/>
  <c r="D30" i="8"/>
  <c r="D28" i="8"/>
  <c r="D33" i="8"/>
  <c r="D34" i="8"/>
  <c r="C51" i="8"/>
  <c r="D29" i="8"/>
  <c r="D32" i="8"/>
  <c r="D31" i="8"/>
  <c r="B112" i="8"/>
  <c r="G8" i="12"/>
  <c r="B12" i="4" s="1"/>
  <c r="F9" i="12"/>
  <c r="B111" i="9"/>
  <c r="C102" i="9"/>
  <c r="G111" i="9" s="1"/>
  <c r="F7" i="28"/>
  <c r="B110" i="27"/>
  <c r="C101" i="27"/>
  <c r="F7" i="20"/>
  <c r="B110" i="19"/>
  <c r="C101" i="19"/>
  <c r="D13" i="2"/>
  <c r="I8" i="12"/>
  <c r="I14" i="12" s="1"/>
  <c r="B114" i="8"/>
  <c r="D15" i="2"/>
  <c r="B114" i="10"/>
  <c r="I10" i="12"/>
  <c r="I9" i="12"/>
  <c r="B114" i="9"/>
  <c r="D14" i="2"/>
  <c r="G114" i="35"/>
  <c r="G115" i="35"/>
  <c r="G112" i="35"/>
  <c r="G111" i="35"/>
  <c r="G110" i="35"/>
  <c r="C103" i="35"/>
  <c r="D36" i="11"/>
  <c r="C52" i="11" s="1"/>
  <c r="C54" i="11" s="1"/>
  <c r="D36" i="10"/>
  <c r="C52" i="10" s="1"/>
  <c r="C54" i="10" s="1"/>
  <c r="B111" i="10" l="1"/>
  <c r="F10" i="12"/>
  <c r="C102" i="10"/>
  <c r="D36" i="8"/>
  <c r="C52" i="8" s="1"/>
  <c r="C54" i="8" s="1"/>
  <c r="C102" i="8" s="1"/>
  <c r="G14" i="12"/>
  <c r="J7" i="36"/>
  <c r="B114" i="35"/>
  <c r="B115" i="35" s="1"/>
  <c r="G115" i="27"/>
  <c r="G112" i="27"/>
  <c r="G111" i="27"/>
  <c r="G110" i="27"/>
  <c r="G114" i="27"/>
  <c r="C103" i="27"/>
  <c r="G114" i="19"/>
  <c r="G112" i="19"/>
  <c r="G111" i="19"/>
  <c r="G110" i="19"/>
  <c r="C103" i="19"/>
  <c r="G115" i="19"/>
  <c r="G113" i="9"/>
  <c r="G112" i="9"/>
  <c r="G116" i="9"/>
  <c r="G115" i="9"/>
  <c r="C104" i="9"/>
  <c r="B109" i="11"/>
  <c r="C100" i="11"/>
  <c r="H116" i="10" l="1"/>
  <c r="H113" i="10"/>
  <c r="H112" i="10"/>
  <c r="H111" i="10"/>
  <c r="H115" i="10"/>
  <c r="C104" i="10"/>
  <c r="B111" i="8"/>
  <c r="C104" i="8"/>
  <c r="B115" i="8" s="1"/>
  <c r="H115" i="8"/>
  <c r="H113" i="8"/>
  <c r="H112" i="8"/>
  <c r="H111" i="8"/>
  <c r="H116" i="8"/>
  <c r="F8" i="12"/>
  <c r="F14" i="12" s="1"/>
  <c r="B114" i="19"/>
  <c r="B115" i="19" s="1"/>
  <c r="J7" i="20"/>
  <c r="G109" i="11"/>
  <c r="C102" i="11"/>
  <c r="B113" i="11" s="1"/>
  <c r="B114" i="11" s="1"/>
  <c r="G110" i="11"/>
  <c r="G111" i="11"/>
  <c r="G113" i="11"/>
  <c r="G114" i="11"/>
  <c r="B114" i="27"/>
  <c r="B115" i="27" s="1"/>
  <c r="J7" i="28"/>
  <c r="J9" i="12"/>
  <c r="B115" i="9"/>
  <c r="B116" i="9" s="1"/>
  <c r="E20" i="2"/>
  <c r="K7" i="36"/>
  <c r="B115" i="10" l="1"/>
  <c r="B116" i="10" s="1"/>
  <c r="J10" i="12"/>
  <c r="J8" i="12"/>
  <c r="J14" i="12" s="1"/>
  <c r="B116" i="8"/>
  <c r="E9" i="36"/>
  <c r="B5" i="32"/>
  <c r="E5" i="32" s="1"/>
  <c r="M7" i="36"/>
  <c r="F12" i="1"/>
  <c r="E16" i="2"/>
  <c r="E19" i="2"/>
  <c r="K7" i="28"/>
  <c r="K9" i="12"/>
  <c r="E14" i="2"/>
  <c r="K8" i="12"/>
  <c r="E13" i="2"/>
  <c r="K7" i="20"/>
  <c r="E18" i="2"/>
  <c r="E15" i="2" l="1"/>
  <c r="K10" i="12"/>
  <c r="K14" i="12" s="1"/>
  <c r="E19" i="12"/>
  <c r="F19" i="12" s="1"/>
  <c r="G19" i="12" s="1"/>
  <c r="M9" i="12"/>
  <c r="N9" i="12" s="1"/>
  <c r="E10" i="36"/>
  <c r="F9" i="36"/>
  <c r="B9" i="32" s="1"/>
  <c r="E9" i="32" s="1"/>
  <c r="M8" i="12"/>
  <c r="E18" i="12"/>
  <c r="N7" i="36"/>
  <c r="B7" i="32"/>
  <c r="E7" i="32" s="1"/>
  <c r="B5" i="16"/>
  <c r="E5" i="16" s="1"/>
  <c r="E9" i="20"/>
  <c r="M7" i="20"/>
  <c r="E9" i="28"/>
  <c r="B5" i="24"/>
  <c r="E5" i="24" s="1"/>
  <c r="M7" i="28"/>
  <c r="M10" i="12" l="1"/>
  <c r="N10" i="12" s="1"/>
  <c r="E20" i="12"/>
  <c r="F20" i="12" s="1"/>
  <c r="G20" i="12" s="1"/>
  <c r="G11" i="1"/>
  <c r="H11" i="1" s="1"/>
  <c r="N7" i="20"/>
  <c r="B7" i="16"/>
  <c r="E7" i="16" s="1"/>
  <c r="B8" i="32"/>
  <c r="E8" i="32" s="1"/>
  <c r="N7" i="28"/>
  <c r="B7" i="24"/>
  <c r="E7" i="24" s="1"/>
  <c r="F18" i="12"/>
  <c r="E10" i="20"/>
  <c r="F9" i="20"/>
  <c r="N8" i="12"/>
  <c r="E10" i="28"/>
  <c r="F9" i="28"/>
  <c r="G10" i="1" s="1"/>
  <c r="H10" i="1" s="1"/>
  <c r="F10" i="36"/>
  <c r="G9" i="36"/>
  <c r="G10" i="36" s="1"/>
  <c r="E27" i="12" l="1"/>
  <c r="M14" i="12"/>
  <c r="M13" i="12"/>
  <c r="A8" i="4" s="1"/>
  <c r="B9" i="24"/>
  <c r="E9" i="24" s="1"/>
  <c r="N13" i="12"/>
  <c r="B8" i="4" s="1"/>
  <c r="N14" i="12"/>
  <c r="E14" i="1"/>
  <c r="G9" i="20"/>
  <c r="G10" i="20" s="1"/>
  <c r="F10" i="20"/>
  <c r="B8" i="24"/>
  <c r="E8" i="24" s="1"/>
  <c r="B8" i="16"/>
  <c r="E8" i="16" s="1"/>
  <c r="B9" i="16"/>
  <c r="E9" i="16" s="1"/>
  <c r="G9" i="1"/>
  <c r="H9" i="1" s="1"/>
  <c r="F27" i="12"/>
  <c r="B19" i="4" s="1"/>
  <c r="G18" i="12"/>
  <c r="E19" i="4"/>
  <c r="F10" i="28"/>
  <c r="G9" i="28"/>
  <c r="G10" i="28" s="1"/>
  <c r="F8" i="4" l="1"/>
  <c r="D19" i="4"/>
  <c r="F14" i="1"/>
  <c r="G27" i="12"/>
  <c r="B20" i="4" s="1"/>
  <c r="D20" i="4" s="1"/>
  <c r="E20" i="4"/>
  <c r="G8" i="1"/>
  <c r="H8" i="1" l="1"/>
  <c r="G14" i="1"/>
  <c r="H14" i="1" l="1"/>
  <c r="B17" i="1" s="1"/>
  <c r="D1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C2" authorId="0" shapeId="0" xr:uid="{00000000-0006-0000-0600-000001000000}">
      <text>
        <r>
          <rPr>
            <sz val="11"/>
            <color rgb="FF000000"/>
            <rFont val="Calibri"/>
            <family val="2"/>
            <charset val="1"/>
          </rPr>
          <t>Fórmula quebrada substituída por vínculo direto ao total de colaboradores do Quadro Resumo.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Anderson Ribeiro</author>
  </authors>
  <commentList>
    <comment ref="C14" authorId="0" shapeId="0" xr:uid="{18E01961-D156-4489-93A7-18032E7287C5}">
      <text>
        <r>
          <rPr>
            <b/>
            <sz val="9"/>
            <color indexed="81"/>
            <rFont val="Segoe UI"/>
            <family val="2"/>
          </rPr>
          <t>REMOVIDO</t>
        </r>
        <r>
          <rPr>
            <sz val="9"/>
            <color indexed="81"/>
            <rFont val="Segoe UI"/>
            <family val="2"/>
          </rPr>
          <t>, possuia um real insediro nesta célula
O intervalo esta no submódulo 4.2</t>
        </r>
      </text>
    </comment>
    <comment ref="C65" authorId="0" shapeId="0" xr:uid="{910388DF-F4F9-4627-845C-C55A849DCAD8}">
      <text>
        <r>
          <rPr>
            <b/>
            <sz val="9"/>
            <color indexed="81"/>
            <rFont val="Segoe UI"/>
            <family val="2"/>
          </rPr>
          <t xml:space="preserve">Fórmula corrigida
</t>
        </r>
        <r>
          <rPr>
            <sz val="9"/>
            <color indexed="81"/>
            <rFont val="Segoe UI"/>
            <family val="2"/>
          </rPr>
          <t xml:space="preserve">
</t>
        </r>
      </text>
    </comment>
    <comment ref="D70" authorId="0" shapeId="0" xr:uid="{D657711A-1C1D-44AD-A24F-81A6A779C0BF}">
      <text>
        <r>
          <rPr>
            <b/>
            <sz val="9"/>
            <color indexed="81"/>
            <rFont val="Segoe UI"/>
            <family val="2"/>
          </rPr>
          <t>Fórmula corrigida:
Total submódulo 2.1 divididos por 12</t>
        </r>
      </text>
    </comment>
    <comment ref="C79" authorId="0" shapeId="0" xr:uid="{CE74CE40-0AE2-475E-9605-28D8DDDC3F5B}">
      <text>
        <r>
          <rPr>
            <b/>
            <sz val="9"/>
            <color indexed="81"/>
            <rFont val="Segoe UI"/>
            <family val="2"/>
          </rPr>
          <t>Aplicado a fórmula correta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F7" authorId="0" shapeId="0" xr:uid="{00000000-0006-0000-0A00-000002000000}">
      <text>
        <r>
          <rPr>
            <sz val="11"/>
            <color rgb="FF000000"/>
            <rFont val="Calibri"/>
            <family val="2"/>
            <charset val="1"/>
          </rPr>
          <t>Célula revisada: vinculada à aba Parâmetros CCT 2026 ou corrigida para evitar hardcoding desatualizado.</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E8" authorId="0" shapeId="0" xr:uid="{00000000-0006-0000-0B00-000001000000}">
      <text>
        <r>
          <rPr>
            <sz val="11"/>
            <color rgb="FF000000"/>
            <rFont val="Calibri"/>
            <family val="2"/>
            <charset val="1"/>
          </rPr>
          <t>Referência corrigida para a aba de servente 44h com 40% de insalubridade; a planilha original apontava para 12x36 e G8 continha #REF!.</t>
        </r>
      </text>
    </comment>
    <comment ref="F8" authorId="0" shapeId="0" xr:uid="{00000000-0006-0000-0B00-000002000000}">
      <text>
        <r>
          <rPr>
            <sz val="11"/>
            <color rgb="FF000000"/>
            <rFont val="Calibri"/>
            <family val="2"/>
            <charset val="1"/>
          </rPr>
          <t>Referência corrigida para a aba de servente 44h com 40% de insalubridade; a planilha original apontava para 12x36 e G8 continha #REF!.</t>
        </r>
      </text>
    </comment>
    <comment ref="G8" authorId="0" shapeId="0" xr:uid="{00000000-0006-0000-0B00-000003000000}">
      <text>
        <r>
          <rPr>
            <sz val="11"/>
            <color rgb="FF000000"/>
            <rFont val="Calibri"/>
            <family val="2"/>
            <charset val="1"/>
          </rPr>
          <t>Referência corrigida para a aba de servente 44h com 40% de insalubridade; a planilha original apontava para 12x36 e G8 continha #REF!.</t>
        </r>
      </text>
    </comment>
    <comment ref="H8" authorId="0" shapeId="0" xr:uid="{00000000-0006-0000-0B00-000004000000}">
      <text>
        <r>
          <rPr>
            <sz val="11"/>
            <color rgb="FF000000"/>
            <rFont val="Calibri"/>
            <family val="2"/>
            <charset val="1"/>
          </rPr>
          <t>Referência corrigida para a aba de servente 44h com 40% de insalubridade; a planilha original apontava para 12x36 e G8 continha #REF!.</t>
        </r>
      </text>
    </comment>
    <comment ref="I8" authorId="0" shapeId="0" xr:uid="{00000000-0006-0000-0B00-000005000000}">
      <text>
        <r>
          <rPr>
            <sz val="11"/>
            <color rgb="FF000000"/>
            <rFont val="Calibri"/>
            <family val="2"/>
            <charset val="1"/>
          </rPr>
          <t>Referência corrigida para a aba de servente 44h com 40% de insalubridade; a planilha original apontava para 12x36 e G8 continha #REF!.</t>
        </r>
      </text>
    </comment>
    <comment ref="J8" authorId="0" shapeId="0" xr:uid="{00000000-0006-0000-0B00-000006000000}">
      <text>
        <r>
          <rPr>
            <sz val="11"/>
            <color rgb="FF000000"/>
            <rFont val="Calibri"/>
            <family val="2"/>
            <charset val="1"/>
          </rPr>
          <t>Referência corrigida para a aba de servente 44h com 40% de insalubridade; a planilha original apontava para 12x36 e G8 continha #REF!.</t>
        </r>
      </text>
    </comment>
    <comment ref="K8" authorId="0" shapeId="0" xr:uid="{00000000-0006-0000-0B00-000007000000}">
      <text>
        <r>
          <rPr>
            <sz val="11"/>
            <color rgb="FF000000"/>
            <rFont val="Calibri"/>
            <family val="2"/>
            <charset val="1"/>
          </rPr>
          <t>Referência corrigida para a aba de servente 44h com 40% de insalubridade; a planilha original apontava para 12x36 e G8 continha #REF!.</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C7" authorId="0" shapeId="0" xr:uid="{00000000-0006-0000-1200-000001000000}">
      <text>
        <r>
          <rPr>
            <sz val="11"/>
            <color rgb="FF000000"/>
            <rFont val="Calibri"/>
            <family val="2"/>
            <charset val="1"/>
          </rPr>
          <t>Célula revisada: parâmetro centralizado, erro controlado por IFERROR ou base CCT corrigida conforme primeira planilha.</t>
        </r>
      </text>
    </comment>
    <comment ref="F7" authorId="0" shapeId="0" xr:uid="{00000000-0006-0000-1200-000002000000}">
      <text>
        <r>
          <rPr>
            <sz val="11"/>
            <color rgb="FF000000"/>
            <rFont val="Calibri"/>
            <family val="2"/>
            <charset val="1"/>
          </rPr>
          <t>Célula revisada: parâmetro centralizado, erro controlado por IFERROR ou base CCT corrigida conforme primeira planilha.</t>
        </r>
      </text>
    </comment>
    <comment ref="C10" authorId="0" shapeId="0" xr:uid="{00000000-0006-0000-1200-000003000000}">
      <text>
        <r>
          <rPr>
            <sz val="11"/>
            <color rgb="FF000000"/>
            <rFont val="Calibri"/>
            <family val="2"/>
            <charset val="1"/>
          </rPr>
          <t>Célula revisada: parâmetro centralizado, erro controlado por IFERROR ou base CCT corrigida conforme primeira planilha.</t>
        </r>
      </text>
    </comment>
    <comment ref="D10" authorId="0" shapeId="0" xr:uid="{00000000-0006-0000-1200-000004000000}">
      <text>
        <r>
          <rPr>
            <sz val="11"/>
            <color rgb="FF000000"/>
            <rFont val="Calibri"/>
            <family val="2"/>
            <charset val="1"/>
          </rPr>
          <t>Célula revisada: parâmetro centralizado, erro controlado por IFERROR ou base CCT corrigida conforme primeira planilha.</t>
        </r>
      </text>
    </comment>
    <comment ref="C16" authorId="0" shapeId="0" xr:uid="{00000000-0006-0000-1200-000005000000}">
      <text>
        <r>
          <rPr>
            <sz val="11"/>
            <color rgb="FF000000"/>
            <rFont val="Calibri"/>
            <family val="2"/>
            <charset val="1"/>
          </rPr>
          <t>Célula revisada: parâmetro centralizado, erro controlado por IFERROR ou base CCT corrigida conforme primeira planilha.</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D7" authorId="0" shapeId="0" xr:uid="{00000000-0006-0000-1300-000001000000}">
      <text>
        <r>
          <rPr>
            <sz val="11"/>
            <color rgb="FF000000"/>
            <rFont val="Calibri"/>
            <family val="2"/>
            <charset val="1"/>
          </rPr>
          <t>Vínculo revisado para usar a composição calculada e o quantitativo adotado na Tabela ETP, eliminando valores fixos antigos da segunda tabela.</t>
        </r>
      </text>
    </comment>
    <comment ref="E7" authorId="0" shapeId="0" xr:uid="{00000000-0006-0000-1300-000002000000}">
      <text>
        <r>
          <rPr>
            <sz val="11"/>
            <color rgb="FF000000"/>
            <rFont val="Calibri"/>
            <family val="2"/>
            <charset val="1"/>
          </rPr>
          <t>Vínculo revisado para usar a composição calculada e o quantitativo adotado na Tabela ETP, eliminando valores fixos antigos da segunda tabela.</t>
        </r>
      </text>
    </comment>
    <comment ref="F7" authorId="0" shapeId="0" xr:uid="{00000000-0006-0000-1300-000003000000}">
      <text>
        <r>
          <rPr>
            <sz val="11"/>
            <color rgb="FF000000"/>
            <rFont val="Calibri"/>
            <family val="2"/>
            <charset val="1"/>
          </rPr>
          <t>Vínculo revisado para usar a composição calculada e o quantitativo adotado na Tabela ETP, eliminando valores fixos antigos da segunda tabela.</t>
        </r>
      </text>
    </comment>
    <comment ref="G7" authorId="0" shapeId="0" xr:uid="{00000000-0006-0000-1300-000004000000}">
      <text>
        <r>
          <rPr>
            <sz val="11"/>
            <color rgb="FF000000"/>
            <rFont val="Calibri"/>
            <family val="2"/>
            <charset val="1"/>
          </rPr>
          <t>Vínculo revisado para usar a composição calculada e o quantitativo adotado na Tabela ETP, eliminando valores fixos antigos da segunda tabela.</t>
        </r>
      </text>
    </comment>
    <comment ref="H7" authorId="0" shapeId="0" xr:uid="{00000000-0006-0000-1300-000005000000}">
      <text>
        <r>
          <rPr>
            <sz val="11"/>
            <color rgb="FF000000"/>
            <rFont val="Calibri"/>
            <family val="2"/>
            <charset val="1"/>
          </rPr>
          <t>Vínculo revisado para usar a composição calculada e o quantitativo adotado na Tabela ETP, eliminando valores fixos antigos da segunda tabela.</t>
        </r>
      </text>
    </comment>
    <comment ref="I7" authorId="0" shapeId="0" xr:uid="{00000000-0006-0000-1300-000006000000}">
      <text>
        <r>
          <rPr>
            <sz val="11"/>
            <color rgb="FF000000"/>
            <rFont val="Calibri"/>
            <family val="2"/>
            <charset val="1"/>
          </rPr>
          <t>Vínculo revisado para usar a composição calculada e o quantitativo adotado na Tabela ETP, eliminando valores fixos antigos da segunda tabela.</t>
        </r>
      </text>
    </comment>
    <comment ref="J7" authorId="0" shapeId="0" xr:uid="{00000000-0006-0000-1300-000007000000}">
      <text>
        <r>
          <rPr>
            <sz val="11"/>
            <color rgb="FF000000"/>
            <rFont val="Calibri"/>
            <family val="2"/>
            <charset val="1"/>
          </rPr>
          <t>Vínculo revisado para usar a composição calculada e o quantitativo adotado na Tabela ETP, eliminando valores fixos antigos da segunda tabela.</t>
        </r>
      </text>
    </comment>
    <comment ref="K7" authorId="0" shapeId="0" xr:uid="{00000000-0006-0000-1300-000008000000}">
      <text>
        <r>
          <rPr>
            <sz val="11"/>
            <color rgb="FF000000"/>
            <rFont val="Calibri"/>
            <family val="2"/>
            <charset val="1"/>
          </rPr>
          <t>Vínculo revisado para usar a composição calculada e o quantitativo adotado na Tabela ETP, eliminando valores fixos antigos da segunda tabela.</t>
        </r>
      </text>
    </comment>
    <comment ref="L7" authorId="0" shapeId="0" xr:uid="{00000000-0006-0000-1300-000009000000}">
      <text>
        <r>
          <rPr>
            <sz val="11"/>
            <color rgb="FF000000"/>
            <rFont val="Calibri"/>
            <family val="2"/>
            <charset val="1"/>
          </rPr>
          <t>Vínculo revisado para usar a composição calculada e o quantitativo adotado na Tabela ETP, eliminando valores fixos antigos da segunda tabela.</t>
        </r>
      </text>
    </comment>
    <comment ref="M7" authorId="0" shapeId="0" xr:uid="{00000000-0006-0000-1300-00000A000000}">
      <text>
        <r>
          <rPr>
            <sz val="11"/>
            <color rgb="FF000000"/>
            <rFont val="Calibri"/>
            <family val="2"/>
            <charset val="1"/>
          </rPr>
          <t>Vínculo revisado para usar a composição calculada e o quantitativo adotado na Tabela ETP, eliminando valores fixos antigos da segunda tabela.</t>
        </r>
      </text>
    </comment>
    <comment ref="N7" authorId="0" shapeId="0" xr:uid="{00000000-0006-0000-1300-00000B000000}">
      <text>
        <r>
          <rPr>
            <sz val="11"/>
            <color rgb="FF000000"/>
            <rFont val="Calibri"/>
            <family val="2"/>
            <charset val="1"/>
          </rPr>
          <t>Vínculo revisado para usar a composição calculada e o quantitativo adotado na Tabela ETP, eliminando valores fixos antigos da segunda tabela.</t>
        </r>
      </text>
    </comment>
    <comment ref="D9" authorId="0" shapeId="0" xr:uid="{00000000-0006-0000-1300-00000C000000}">
      <text>
        <r>
          <rPr>
            <sz val="11"/>
            <color rgb="FF000000"/>
            <rFont val="Calibri"/>
            <family val="2"/>
            <charset val="1"/>
          </rPr>
          <t>Vínculo revisado para usar a composição calculada e o quantitativo adotado na Tabela ETP, eliminando valores fixos antigos da segunda tabela.</t>
        </r>
      </text>
    </comment>
    <comment ref="E9" authorId="0" shapeId="0" xr:uid="{00000000-0006-0000-1300-00000D000000}">
      <text>
        <r>
          <rPr>
            <sz val="11"/>
            <color rgb="FF000000"/>
            <rFont val="Calibri"/>
            <family val="2"/>
            <charset val="1"/>
          </rPr>
          <t>Vínculo revisado para usar a composição calculada e o quantitativo adotado na Tabela ETP, eliminando valores fixos antigos da segunda tabela.</t>
        </r>
      </text>
    </comment>
    <comment ref="F9" authorId="0" shapeId="0" xr:uid="{00000000-0006-0000-1300-00000E000000}">
      <text>
        <r>
          <rPr>
            <sz val="11"/>
            <color rgb="FF000000"/>
            <rFont val="Calibri"/>
            <family val="2"/>
            <charset val="1"/>
          </rPr>
          <t>Vínculo revisado para usar a composição calculada e o quantitativo adotado na Tabela ETP, eliminando valores fixos antigos da segunda tabela.</t>
        </r>
      </text>
    </comment>
    <comment ref="G9" authorId="0" shapeId="0" xr:uid="{00000000-0006-0000-1300-00000F000000}">
      <text>
        <r>
          <rPr>
            <sz val="11"/>
            <color rgb="FF000000"/>
            <rFont val="Calibri"/>
            <family val="2"/>
            <charset val="1"/>
          </rPr>
          <t>Vínculo revisado para usar a composição calculada e o quantitativo adotado na Tabela ETP, eliminando valores fixos antigos da segunda tabela.</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D10" authorId="0" shapeId="0" xr:uid="{00000000-0006-0000-1A00-000004000000}">
      <text>
        <r>
          <rPr>
            <sz val="11"/>
            <color rgb="FF000000"/>
            <rFont val="Calibri"/>
            <family val="2"/>
            <charset val="1"/>
          </rPr>
          <t>Célula revisada: parâmetro centralizado, erro controlado por IFERROR ou base CCT corrigida conforme primeira planilha.</t>
        </r>
      </text>
    </comment>
  </commentList>
</comments>
</file>

<file path=xl/sharedStrings.xml><?xml version="1.0" encoding="utf-8"?>
<sst xmlns="http://schemas.openxmlformats.org/spreadsheetml/2006/main" count="4582" uniqueCount="1190">
  <si>
    <t>PLANILHA CONSOLIDADA DE CUSTOS — LIMPEZA E SERVIÇOS AUXILIARES 2026</t>
  </si>
  <si>
    <t>Município de Corumbá/MS — Consolidação dos Lotes 1 a 5 com vínculos internos e validação entre quadros-resumo.</t>
  </si>
  <si>
    <t>Cenário de visualização</t>
  </si>
  <si>
    <t>Base ETP revisada</t>
  </si>
  <si>
    <t>Observação</t>
  </si>
  <si>
    <t>Os totais abaixo são buscados diretamente dos Quadros Resumo de cada lote consolidado.</t>
  </si>
  <si>
    <t>Lote</t>
  </si>
  <si>
    <t>Objeto</t>
  </si>
  <si>
    <t>Aba de origem</t>
  </si>
  <si>
    <t>Quantidade/Postos</t>
  </si>
  <si>
    <t>Total mensal</t>
  </si>
  <si>
    <t>Total anual</t>
  </si>
  <si>
    <t>Diferença entre tabelas</t>
  </si>
  <si>
    <t>Status</t>
  </si>
  <si>
    <t>Link quadro</t>
  </si>
  <si>
    <t>L1</t>
  </si>
  <si>
    <t>Limpeza, higienização e asseio</t>
  </si>
  <si>
    <t>L1 Quadro Resumo</t>
  </si>
  <si>
    <t>Vínculo interno ativo</t>
  </si>
  <si>
    <t>L2</t>
  </si>
  <si>
    <t>Dedetização, desratização e descupinização</t>
  </si>
  <si>
    <t>L2 Quadro Resumo</t>
  </si>
  <si>
    <t>L3</t>
  </si>
  <si>
    <t>Reservatórios e piscinas</t>
  </si>
  <si>
    <t>L3 Quadro Resumo</t>
  </si>
  <si>
    <t>L4</t>
  </si>
  <si>
    <t>Roçada, jardinagem, poda e calha</t>
  </si>
  <si>
    <t>L4 Quadro Resumo</t>
  </si>
  <si>
    <t>L5</t>
  </si>
  <si>
    <t>Supervisor de limpeza e serviços auxiliares</t>
  </si>
  <si>
    <t>L5 Supervisor</t>
  </si>
  <si>
    <t>Vínculo direto ao cálculo do Supervisor</t>
  </si>
  <si>
    <t>TOTAL GERAL</t>
  </si>
  <si>
    <t>KPI de Consistência</t>
  </si>
  <si>
    <t>Diferença total entre tabelas</t>
  </si>
  <si>
    <t>Mapa de abas consolidadas</t>
  </si>
  <si>
    <t>Parâmetros CCT 2026</t>
  </si>
  <si>
    <t>L1 Param CCT</t>
  </si>
  <si>
    <t>Interface</t>
  </si>
  <si>
    <t>L1 Interface</t>
  </si>
  <si>
    <t>material de consumo</t>
  </si>
  <si>
    <t>L1 Material</t>
  </si>
  <si>
    <t>Und Saúde</t>
  </si>
  <si>
    <t>L1 Und Saude</t>
  </si>
  <si>
    <t>Uniforme</t>
  </si>
  <si>
    <t>L1 Uniforme</t>
  </si>
  <si>
    <t>Servente 44hrs 40% Insa</t>
  </si>
  <si>
    <t>L1 Serv 44h 40</t>
  </si>
  <si>
    <t>Calculo Servente 22hrs com 40%</t>
  </si>
  <si>
    <t>L1 Serv 6h 40</t>
  </si>
  <si>
    <t>Calculo Servente 44hrs 12x36 40</t>
  </si>
  <si>
    <t>L1 Serv 12x36 40</t>
  </si>
  <si>
    <t>Calculo Supervisor</t>
  </si>
  <si>
    <t>L1 Supervisor</t>
  </si>
  <si>
    <t>Quadro Resumo</t>
  </si>
  <si>
    <t>Dimensionamento Revisado</t>
  </si>
  <si>
    <t>L1 Dim Revisado</t>
  </si>
  <si>
    <t>Auditoria Técnica</t>
  </si>
  <si>
    <t>L1 Auditoria</t>
  </si>
  <si>
    <t>Memória de Revisão</t>
  </si>
  <si>
    <t>L1 Memoria Rev</t>
  </si>
  <si>
    <t>Painel Executivo</t>
  </si>
  <si>
    <t>L2 Painel</t>
  </si>
  <si>
    <t>L2 Param CCT</t>
  </si>
  <si>
    <t>L2 Uniforme</t>
  </si>
  <si>
    <t>Calculo Dedetização, desratizaç</t>
  </si>
  <si>
    <t>L2 Calc Dedetizacao</t>
  </si>
  <si>
    <t>Dimensionamento ETP</t>
  </si>
  <si>
    <t>L2 Dim ETP</t>
  </si>
  <si>
    <t>Resumo ETP Auxiliares</t>
  </si>
  <si>
    <t>L2 Resumo ETP</t>
  </si>
  <si>
    <t>L2 Auditoria</t>
  </si>
  <si>
    <t>L3 Painel</t>
  </si>
  <si>
    <t>L3 Param CCT</t>
  </si>
  <si>
    <t>L3 Uniforme</t>
  </si>
  <si>
    <t>Calculo Reservatório e Piscinei</t>
  </si>
  <si>
    <t>L3 Calc Reservatorios</t>
  </si>
  <si>
    <t>L3 Dim ETP</t>
  </si>
  <si>
    <t>L3 Resumo ETP</t>
  </si>
  <si>
    <t>L3 Auditoria</t>
  </si>
  <si>
    <t>L4 Painel</t>
  </si>
  <si>
    <t>L4 Param CCT</t>
  </si>
  <si>
    <t>L4 Uniforme</t>
  </si>
  <si>
    <t>L4 Calc Rocada</t>
  </si>
  <si>
    <t>L4 Dim ETP</t>
  </si>
  <si>
    <t>L4 Resumo ETP</t>
  </si>
  <si>
    <t>L4 Auditoria</t>
  </si>
  <si>
    <t>Cálculo Supervisor</t>
  </si>
  <si>
    <t>Auditoria de Uniformes e EPI — Planilha Consolidada 2026</t>
  </si>
  <si>
    <t>Conclusão técnica: uniformes permanecem como custo mensal por trabalhador, sem proporcionalização por jornada. Foi corrigido apenas o rateio dos materiais/EPI do Lote 1, que ainda usava denominador 80; agora o denominador está vinculado ao total de 72 serventes do Quadro Resumo.</t>
  </si>
  <si>
    <t>Correção aplicada</t>
  </si>
  <si>
    <t>Item</t>
  </si>
  <si>
    <t>Antes</t>
  </si>
  <si>
    <t>Depois</t>
  </si>
  <si>
    <t>Justificativa</t>
  </si>
  <si>
    <t>L1 Material!E107 — N. de Profissionais</t>
  </si>
  <si>
    <t>80</t>
  </si>
  <si>
    <t>Vincular ao total de serventes ETP utilizado no Quadro Resumo do Lote 1.</t>
  </si>
  <si>
    <t>L1 Material!F107 — Valor Mensal/Profissional</t>
  </si>
  <si>
    <t>Ratear o total mensal de materiais do Lote 1 pela quantidade efetiva de 72 serventes.</t>
  </si>
  <si>
    <t>Resumo por composição após a correção</t>
  </si>
  <si>
    <t>Composição</t>
  </si>
  <si>
    <t>Uniforme Mensal</t>
  </si>
  <si>
    <t>Materiais/EPI Líq.</t>
  </si>
  <si>
    <t>Total Módulo 5</t>
  </si>
  <si>
    <t>Valor por Trabalhador</t>
  </si>
  <si>
    <t>Critério</t>
  </si>
  <si>
    <t>L1 Calc Serv 44h</t>
  </si>
  <si>
    <t>Uniforme por trabalhador; materiais rateados por 72 serventes</t>
  </si>
  <si>
    <t>Corrigido</t>
  </si>
  <si>
    <t>Apenas uniforme; sem materiais/EPI operacionais</t>
  </si>
  <si>
    <t>Mantido</t>
  </si>
  <si>
    <t>L1 Serv 6h sem</t>
  </si>
  <si>
    <t>Materiais/EPI específicos por serviço</t>
  </si>
  <si>
    <t>Critério técnico adotado</t>
  </si>
  <si>
    <t>Uniforme e EPI são obrigações por empregado/posto, vinculadas à função e ao risco ocupacional, e não à quantidade de horas trabalhadas no mês. Por isso, o custo de uniforme de R$ 85,00/mês foi mantido também para os postos de 6h.</t>
  </si>
  <si>
    <t>A CCT 2026 determina fornecimento gratuito de, no mínimo, dois conjuntos de uniformes e um calçado por empregado, com substituição a cada doze meses, sem estabelecer proporcionalidade por jornada.</t>
  </si>
  <si>
    <t>A NR-6 define EPI como dispositivo/produto de uso individual do trabalhador e atribui à organização o dever de fornecer gratuitamente EPI adequado ao risco, em perfeito estado de conservação e funcionamento.</t>
  </si>
  <si>
    <t>O único ajuste numérico necessário foi o rateio dos materiais/EPI do Lote 1: o denominador 80 foi substituído pelo total de 72 serventes do Quadro Resumo, eliminando subavaliação do custo por trabalhador.</t>
  </si>
  <si>
    <t>PARÂMETROS CCT 2026/2026 — ASSEIO E CONSERVAÇÃO/MS</t>
  </si>
  <si>
    <t>Inputs controlados para conferência e rastreabilidade dos cálculos. Os valores abaixo foram extraídos da CCT anexada e mantidos em área própria para evitar hardcoding desnecessário.</t>
  </si>
  <si>
    <t>Parâmetro</t>
  </si>
  <si>
    <t>Valor</t>
  </si>
  <si>
    <t>Unidade</t>
  </si>
  <si>
    <t>Aplicação na planilha</t>
  </si>
  <si>
    <t>Fundamento CCT 2026</t>
  </si>
  <si>
    <t>Observação técnica</t>
  </si>
  <si>
    <t>Piso salarial da categoria</t>
  </si>
  <si>
    <t>R$/mês</t>
  </si>
  <si>
    <t>Módulo 1 — salário base</t>
  </si>
  <si>
    <t>Cláusula terceira, linhas 57 a 64</t>
  </si>
  <si>
    <t>Piso vigente a partir de 01/01/2026.</t>
  </si>
  <si>
    <t>Salário mínimo nacional usado para insalubridade</t>
  </si>
  <si>
    <t>Base do adicional de insalubridade</t>
  </si>
  <si>
    <t>Cláusula nona, linhas 329 a 333</t>
  </si>
  <si>
    <t>A CCT determina base no salário mínimo nacional. Valor preservado da planilha original para 2026.</t>
  </si>
  <si>
    <t>Insalubridade grau máximo</t>
  </si>
  <si>
    <t>%</t>
  </si>
  <si>
    <t>Agente de higienização de banheiros e áreas coletivas</t>
  </si>
  <si>
    <t>Cláusula nona, parágrafo segundo, linhas 349 a 358</t>
  </si>
  <si>
    <t>Aplicável a banheiros coletivos de grande circulação, hospitais, postos de saúde e coleta de lixo, condicionada a laudo.</t>
  </si>
  <si>
    <t>Adicional noturno</t>
  </si>
  <si>
    <t>Jornada noturna e 12x36 noturna</t>
  </si>
  <si>
    <t>Cláusula oitava, linhas 321 a 324; cláusula 32, parágrafo nono</t>
  </si>
  <si>
    <t>Hora noturna de 60 minutos, período de 22h a 5h.</t>
  </si>
  <si>
    <t>Auxílio alimentação</t>
  </si>
  <si>
    <t>Benefícios mensais</t>
  </si>
  <si>
    <t>Cláusula décima quarta, linhas 579 a 588</t>
  </si>
  <si>
    <t>Integral inclusive para tempo parcial. Não possui natureza salarial.</t>
  </si>
  <si>
    <t>Vale-transporte — tarifa unitária</t>
  </si>
  <si>
    <t>R$/viagem</t>
  </si>
  <si>
    <t>Cláusula décima quinta, linhas 639 a 650</t>
  </si>
  <si>
    <t>Mantida tarifa utilizada na planilha original; desconto legal de 6% sobre salário base.</t>
  </si>
  <si>
    <t>Vale-transporte — desconto empregado</t>
  </si>
  <si>
    <t>Dedução do VT</t>
  </si>
  <si>
    <t>Cláusula décima quinta, parágrafo primeiro</t>
  </si>
  <si>
    <t>Incide sobre o salário base do trabalhador.</t>
  </si>
  <si>
    <t>Benefício Social Sindical</t>
  </si>
  <si>
    <t>R$/mês por trabalhador</t>
  </si>
  <si>
    <t>Cláusula décima oitava, linhas 738 a 743</t>
  </si>
  <si>
    <t>Obrigatório em planilhas de custos, conforme parágrafo quinto.</t>
  </si>
  <si>
    <t>Benefício Assistencial ao Trabalhador PROFAC</t>
  </si>
  <si>
    <t>Cláusula décima nona, linhas 788 a 794</t>
  </si>
  <si>
    <t>Não pode ser descontado do empregado; deve integrar o preço.</t>
  </si>
  <si>
    <t>Prêmio cesta básica</t>
  </si>
  <si>
    <t>Cláusula décima segunda, linhas 486 a 495</t>
  </si>
  <si>
    <t>Não salarial; deve compor o preço quando preenchidas as condições da CCT.</t>
  </si>
  <si>
    <t>Prêmio posto de serviço saúde/hospital</t>
  </si>
  <si>
    <t>Prêmio por posto específico</t>
  </si>
  <si>
    <t>Cláusula décima primeira, linhas 433 a 439</t>
  </si>
  <si>
    <t>Aplicável a hospitais, postos de saúde e locais correlatos, com natureza indenizatória.</t>
  </si>
  <si>
    <t>Dias úteis padrão 44h</t>
  </si>
  <si>
    <t>dias/mês</t>
  </si>
  <si>
    <t>Vale-transporte e alimentação por ausência</t>
  </si>
  <si>
    <t>Cláusula décima quarta, parágrafo sétimo</t>
  </si>
  <si>
    <t>Parâmetro utilizado para jornadas regulares.</t>
  </si>
  <si>
    <t>Dias padrão 12x36</t>
  </si>
  <si>
    <t>Parâmetro utilizado para escala 12x36.</t>
  </si>
  <si>
    <t>Divisor hora mensal CCT</t>
  </si>
  <si>
    <t>horas/mês</t>
  </si>
  <si>
    <t>Horas extras e adicionais</t>
  </si>
  <si>
    <t>Cláusula sétima, parágrafo primeiro</t>
  </si>
  <si>
    <t>Aplicável para todos os regimes, inclusive 12x36.</t>
  </si>
  <si>
    <t>PAINEL EXECUTIVO — PLANILHA DE CUSTOS DE LIMPEZA 2026</t>
  </si>
  <si>
    <t>Fluxo de uso: Inputs controlados na aba Parâmetros CCT 2026; cálculos nas abas de composição; outputs no Quadro Resumo, Dimensionamento Revisado e neste painel.</t>
  </si>
  <si>
    <t>Cenário de conferência</t>
  </si>
  <si>
    <t>Base</t>
  </si>
  <si>
    <t>O cenário conservador aplica 5% apenas para leitura gerencial do total mensal; não altera os módulos oficiais.</t>
  </si>
  <si>
    <t>Total mensal oficial</t>
  </si>
  <si>
    <t>Total anual oficial</t>
  </si>
  <si>
    <t>Postos Quadro Resumo</t>
  </si>
  <si>
    <t>Postos Dimensionamento ETP</t>
  </si>
  <si>
    <t>Diferença ETP x detalhado</t>
  </si>
  <si>
    <t>Total mensal cenário</t>
  </si>
  <si>
    <t>Alertas técnicos</t>
  </si>
  <si>
    <t>Referências quebradas</t>
  </si>
  <si>
    <t>Insalubridade em unidades de saúde</t>
  </si>
  <si>
    <t>Conferência cruzada de totais</t>
  </si>
  <si>
    <t>Métrica</t>
  </si>
  <si>
    <t>Resumo principal</t>
  </si>
  <si>
    <t>Resumo detalhado</t>
  </si>
  <si>
    <t>Diferença relevante</t>
  </si>
  <si>
    <t>Leitura técnica</t>
  </si>
  <si>
    <t>Postos</t>
  </si>
  <si>
    <t>Comparar postos do detalhamento com a tabela ETP antes da publicação.</t>
  </si>
  <si>
    <t>Total mensal — somente serventes ETP</t>
  </si>
  <si>
    <t>Base: Tabela de Postos</t>
  </si>
  <si>
    <t>O bloco detalhado inclui serviços e composições adicionais além do resumo principal.</t>
  </si>
  <si>
    <t>Total anual — somente serventes ETP</t>
  </si>
  <si>
    <t>Usar a linha aderente ao escopo definido no TR/ETP.</t>
  </si>
  <si>
    <t>Descrição/Servente de limpeza/ADM/HOSPITALAR</t>
  </si>
  <si>
    <t>Quantidade Anual</t>
  </si>
  <si>
    <t>valor unitário</t>
  </si>
  <si>
    <t>valor total</t>
  </si>
  <si>
    <t>Calça em Brim uniforme para uso profissional, indicado para construção civil, oficinas, serviços gerais e etc... Cintura em Elástico e cordão, permitindo um pequeno ajuste.</t>
  </si>
  <si>
    <t>Camisa ou Camiseta   Camiseta Gola careca PV, manga curta, com bolso. Tecido com 35% dos fios de  viscose e 65% de poliéster.</t>
  </si>
  <si>
    <t>Óculos de proteção em policarbonato com design moderno, sem pinos metálicos, incolor. Proteção lateral sem pinos metálicos, ideal para uso em serviços de eletricidade e laboratorial. Aplicação: laboratório, aeroportos, serviços de eletricidade entre outras.</t>
  </si>
  <si>
    <t>Mascara N95 PFF2</t>
  </si>
  <si>
    <t>Botina Botina para uso ocupacional, com elástico lateral recoberto, confeccionado em couro estampa relax, dorso acolchoado, forro interno na gáspea não tecido e forro do cano em sanitec dublado com manta de não tecido com tratamento antimicrobiano, bico de plástico, palmilha de montagem não tecido, solado injeção direta bidensidade bicolor e sobrepalmilha antimicrobiana. Biqueira Plástica.</t>
  </si>
  <si>
    <t>Bota de borracha impermeável cor branca.  Altamente resistente a sangue e gordura animal, fungos, bactérias, ambientes refrigerados, ácidos, óleos, solventes, graxas e hidrocarbonetos em geral (derivados de petróleo). Recomendado para indústrias de alimentos (frigoríficos, abatedouros, laticínios, apiários, aviários, indústria pesqueira, fabricas de bebidas), cozinhas industriais, restaurantes, padarias , açougues, hiper mercados, lavanderias, hospitais, laboratórios, centros de pesquisa, hotelaria e serviços de higienização.</t>
  </si>
  <si>
    <t>Luva de borracha. Luva de segurança confeccionada em látex de borracha natural reforçada com banho de látex sintético (neoprene), anatômica, sem virola, antiderrapante na face palmar e dedos, reutilizável</t>
  </si>
  <si>
    <t>Total anual por funcionário</t>
  </si>
  <si>
    <t>valor mensal por funcionário</t>
  </si>
  <si>
    <t>Descrição/Jardineiro/Piscineiro/Roçada/Dedetizador/Serviços Gerais Manutenção</t>
  </si>
  <si>
    <t>Camiseta Manga Longa  Camiseta Gola careca em malha PV, manga longa, com bolso. Tecido com 35% dos fios de  viscose e 65% de poliéster</t>
  </si>
  <si>
    <t>Calça em Brim uniforme para uso profissional, indicado para construção civil, oficinas, serviços gerais e etc... Cintura em Elástico e cordão, permitindo um pequeno ajuste. Com bolsos frontais e um bolso traseiro.</t>
  </si>
  <si>
    <t>Botina para uso ocupacional, com elástico lateral recoberto, confeccionado em couro estampa relax, dorso acolchoado, forro interno na gáspea não tecido e forro do cano em sanitec dublado com manta de não tecido com tratamento antimicrobiano, bico de plástico, palmilha de montagem não tecido, solado injeção direta bidensidade bicolor e sobrepalmilha antimicrobiana. Biqueira Plástica.</t>
  </si>
  <si>
    <t>Bota de borracha impermeável cor preta.  Altamente resistente a sangue e gordura animal, fungos, bactérias, ambientes refrigerados, ácidos, óleos, solventes, graxas e hidrocarbonetos em geral (derivados de petróleo). Recomendado para indústrias de alimentos (frigoríficos, abatedouros, laticínios, apiários, aviários, indústria pesqueira, fabricas de bebidas), cozinhas industriais, restaurantes, padarias , açougues, hiper mercados, lavanderias, hospitais, laboratórios, centros de pesquisa, hotelaria e serviços de higienização.</t>
  </si>
  <si>
    <t>Avental de raspa.</t>
  </si>
  <si>
    <t>Caneleira/Perneira de Segurança confeccionada em duas camadas de material sintético, fixadas através de solda eletrônica; três hastes de polipropileno na parte frontal, costuras de viés nas bordas para arremate.
Indicada : trabalho canavieiro, Jardinagem, Madeireira, Reflorestamento, Poda, Caminhada no Mato, Roçadas.</t>
  </si>
  <si>
    <t>Óculos de proteção facial. Óculos de segurança constituído de armação em nylon e hastes tipo espátula flexível e com ajuste de comprimento, Lente única confeccionada em policarbonato acoplada a armação por meio de encaixes com visor: incolor</t>
  </si>
  <si>
    <t>Boné Árabe</t>
  </si>
  <si>
    <t>Luva de raspa cano médio</t>
  </si>
  <si>
    <t>Protetor Auricular em Silicone e Cordão de Algodão.</t>
  </si>
  <si>
    <t>Meia de algodão par.</t>
  </si>
  <si>
    <t>Descrição/Supervisor</t>
  </si>
  <si>
    <t>valot total</t>
  </si>
  <si>
    <t>Calça Jeans</t>
  </si>
  <si>
    <t>Camiseta PIQUET P.A. (50% POLIESTER 50% ALGODÃO) 2 BOTÕES PUNHO NAS MANGA</t>
  </si>
  <si>
    <t>Sapato - Sapato Sem cadarço.Confortável Cor: Preto. Sapato de segurança com proteção elétrica e mecânica, confeccionada em couro. Super Confortável. Biqueira de polipropileno (plástico). Colarinho soft acolchoado com forração Air Comfort transpirável. Fechamento em elástico. Palmilha de montagem em poliéster resinado. Palmilha Antibacteriana Removível. Solado isolante em PU bidensidade com sistema de absorção de impacto, injetado diretamente ao cabedal.</t>
  </si>
  <si>
    <t>MATERIAIS DE LIMPEZA, ASSEIO E CONSERVAÇÃO</t>
  </si>
  <si>
    <t>Descrição</t>
  </si>
  <si>
    <t>Unid.</t>
  </si>
  <si>
    <t>Qtd. Anual Estimada</t>
  </si>
  <si>
    <t>Valor unitário</t>
  </si>
  <si>
    <t>Total Anual</t>
  </si>
  <si>
    <t>Total Mensal</t>
  </si>
  <si>
    <t>Anual/Esf</t>
  </si>
  <si>
    <t>Álcool 70%</t>
  </si>
  <si>
    <t>Litro</t>
  </si>
  <si>
    <t>Desinfetante Aromático p/banheiro</t>
  </si>
  <si>
    <t>Galão 5 l</t>
  </si>
  <si>
    <t>Detergente Líquido</t>
  </si>
  <si>
    <t>Fr. 500 ml</t>
  </si>
  <si>
    <t>Esponja de lã de aço</t>
  </si>
  <si>
    <t>pct.c/8</t>
  </si>
  <si>
    <t>Esponja dupla face</t>
  </si>
  <si>
    <t>Fibra de limpeza branca</t>
  </si>
  <si>
    <t>Fibra de Limpeza verde</t>
  </si>
  <si>
    <t>Flánela para limpeza</t>
  </si>
  <si>
    <t>Hipoclorito de Sódio a 1%</t>
  </si>
  <si>
    <t>Limpa vidros</t>
  </si>
  <si>
    <t>Limpador multi uso</t>
  </si>
  <si>
    <t>Lustra Móveis</t>
  </si>
  <si>
    <t>Fr. 200 ml</t>
  </si>
  <si>
    <t>Pano de Chão algodão cru</t>
  </si>
  <si>
    <t>Papel higiênico Rolão 300 mts</t>
  </si>
  <si>
    <t>Fardo c/8</t>
  </si>
  <si>
    <t>Papel toalha Interfolhado branco</t>
  </si>
  <si>
    <t>Fardo c/1000 fls</t>
  </si>
  <si>
    <t>Pedra sanitária</t>
  </si>
  <si>
    <t>Refil rodo alumínio 30 cm</t>
  </si>
  <si>
    <t>Refil rodo alumínio 60 cm</t>
  </si>
  <si>
    <t>Sabão em barra</t>
  </si>
  <si>
    <t>pct.c/5</t>
  </si>
  <si>
    <t>Sabão em pó</t>
  </si>
  <si>
    <t>Quilo</t>
  </si>
  <si>
    <t>Sabão gelatinoso</t>
  </si>
  <si>
    <t>Sabonete Líquido</t>
  </si>
  <si>
    <t>Saco para lixo 100 lts</t>
  </si>
  <si>
    <t>pct. c/100</t>
  </si>
  <si>
    <t>Saco para lixo 30 lts</t>
  </si>
  <si>
    <t>pct.c/100</t>
  </si>
  <si>
    <t>Saco para lixo HOSPITALAR 100 lts</t>
  </si>
  <si>
    <t>Saco para lixo HOSPITALAR  30 lts</t>
  </si>
  <si>
    <t>Saponáceo</t>
  </si>
  <si>
    <t>Frasco</t>
  </si>
  <si>
    <t>Impermeabilizante Acrílico</t>
  </si>
  <si>
    <t>Removedor</t>
  </si>
  <si>
    <t>Cera Antiderrapante para granilite</t>
  </si>
  <si>
    <t>Saco para lixo transparente 30Lts</t>
  </si>
  <si>
    <t>Saco para lixo transparente 100Lts</t>
  </si>
  <si>
    <t>MATERIAL DE TRATAMENTO DE PISCINAS</t>
  </si>
  <si>
    <t>Cloro Granulado</t>
  </si>
  <si>
    <t>Sulfato de Alumínio</t>
  </si>
  <si>
    <t>Barilla leve</t>
  </si>
  <si>
    <t>Algicida de Choque</t>
  </si>
  <si>
    <t>Total</t>
  </si>
  <si>
    <t>MATERIAL DE DEDETIZAÇÃO, DESRATIZAÇÃO E DESCUPINIZAÇÃO</t>
  </si>
  <si>
    <t>Inseticida para area interna à base de piretrinha e piretróides</t>
  </si>
  <si>
    <t>Inseticida para area externa a base de lambda, solvente nafta e alquilfenoletoxilad</t>
  </si>
  <si>
    <t>Formicida pó a base de deltametrina e carbonato de cálcio</t>
  </si>
  <si>
    <t>Formicida a base de sulfluramida e benzoato de natonium</t>
  </si>
  <si>
    <t>Formicida granulado a base de sulfluramida</t>
  </si>
  <si>
    <t>Armadilha para roedores</t>
  </si>
  <si>
    <t>Raticida em pó a base de cumatetralil</t>
  </si>
  <si>
    <t>Raticida isca a base de bromadiolone</t>
  </si>
  <si>
    <t>Caixa</t>
  </si>
  <si>
    <t>Cumpinicida a base de imidacloprido</t>
  </si>
  <si>
    <t>EQUIPAMENTOS E UTENSÍLIOS</t>
  </si>
  <si>
    <t>Quantidade Estimada</t>
  </si>
  <si>
    <t>Balde grande de PVC/Plástico 20 litros, redondo com apoio e alca.</t>
  </si>
  <si>
    <t>un</t>
  </si>
  <si>
    <t>Balde médio de PVC/Plástico 10 litros, redondo com apoio e alca.</t>
  </si>
  <si>
    <t>Desentupidor de pias de borracha, cabo em plástico resistente.</t>
  </si>
  <si>
    <t>Desentupidor de ralos e banheiros, de borracha, cabo longo</t>
  </si>
  <si>
    <t>Dispenser sabonete líquido plastico ABS</t>
  </si>
  <si>
    <t>Escada 5 degraus dobrável em alumínio, com trava de segurança, pés com isolamento, antiderrapante.</t>
  </si>
  <si>
    <t>Escova de lavar roupa em material sintético.</t>
  </si>
  <si>
    <t>Escova para vaso sanitário em material sintético.</t>
  </si>
  <si>
    <t>Espanador de teto, cabo longo.</t>
  </si>
  <si>
    <t>Kit completo p/limpeza de vidros</t>
  </si>
  <si>
    <t>Mangueira 50 m</t>
  </si>
  <si>
    <t>Maquina Lava Jato alta pressão</t>
  </si>
  <si>
    <t>Pá de lixo cabo comprido</t>
  </si>
  <si>
    <t>Porta Papel Higiênico Rolão 300 m</t>
  </si>
  <si>
    <t>Porta Papel Toalha</t>
  </si>
  <si>
    <t>Rodo de alumínio 30 cm</t>
  </si>
  <si>
    <t>Rodo de alumínio 60 cm</t>
  </si>
  <si>
    <t>Rodo duplo 60 cm</t>
  </si>
  <si>
    <t>Vassoura de pelo 40 cm</t>
  </si>
  <si>
    <t>Vassoura de piaçava</t>
  </si>
  <si>
    <t xml:space="preserve"> </t>
  </si>
  <si>
    <t>Vassoura sintética cerdas curtas</t>
  </si>
  <si>
    <t>Vassoura limpa teto</t>
  </si>
  <si>
    <t>Placas sinalizadoras piso molhado</t>
  </si>
  <si>
    <t>Coador com Cabo de Alumínio para Piscinas</t>
  </si>
  <si>
    <t>Carrinho MOP</t>
  </si>
  <si>
    <t>Roçadeira com kit de proteção individual</t>
  </si>
  <si>
    <t>Enxada com cabo</t>
  </si>
  <si>
    <t>Rastilho de arame, com regulagem e cabo.</t>
  </si>
  <si>
    <t>Bomba costal de pulverização</t>
  </si>
  <si>
    <t>Lavadora Elétrica para piso industrial com escova</t>
  </si>
  <si>
    <t>Extensão 30 metros</t>
  </si>
  <si>
    <t>Embalagem/Galão 5L para armazenar combustível</t>
  </si>
  <si>
    <t>Enxadão</t>
  </si>
  <si>
    <t>Facão</t>
  </si>
  <si>
    <t>Lima</t>
  </si>
  <si>
    <t>Pá Coração</t>
  </si>
  <si>
    <t>Tesoura de Poda</t>
  </si>
  <si>
    <t>Tesourão</t>
  </si>
  <si>
    <t>Vassourão</t>
  </si>
  <si>
    <t>Fio de Nylon para roçadeira.</t>
  </si>
  <si>
    <t>Metro</t>
  </si>
  <si>
    <t>Gasolina</t>
  </si>
  <si>
    <t>Óleo 02 tempos</t>
  </si>
  <si>
    <t>Podador telescópio de galhos</t>
  </si>
  <si>
    <t>N. de Profissionais</t>
  </si>
  <si>
    <t>Valor Mensal/Profissional</t>
  </si>
  <si>
    <t>Servente</t>
  </si>
  <si>
    <t>Dedetização</t>
  </si>
  <si>
    <t>Limpeza de Caixa d`água, Piscina, limpeza externa e outros serviços externos.</t>
  </si>
  <si>
    <t>Roçada, Jardinagem, Poda, Calha.</t>
  </si>
  <si>
    <t>TOTAL DE COLABORADORES</t>
  </si>
  <si>
    <t>QTD</t>
  </si>
  <si>
    <t>Unidade/Prédio</t>
  </si>
  <si>
    <t>Endereço</t>
  </si>
  <si>
    <t>Horas diárias</t>
  </si>
  <si>
    <t>Horas Semanais</t>
  </si>
  <si>
    <t>Dias de Funcionamento</t>
  </si>
  <si>
    <t>Horário de Funcionamento</t>
  </si>
  <si>
    <t>Eventos</t>
  </si>
  <si>
    <t>Obs</t>
  </si>
  <si>
    <t>Bebedouro</t>
  </si>
  <si>
    <t>Ar Condicionado Filtro de ar</t>
  </si>
  <si>
    <t>Ventilador</t>
  </si>
  <si>
    <t>Roçada/Jardinagem</t>
  </si>
  <si>
    <t>Piscina</t>
  </si>
  <si>
    <t>Lavagem Externa</t>
  </si>
  <si>
    <t>Dedetização/Descupinização/Desratização</t>
  </si>
  <si>
    <t>Caixas Dágua</t>
  </si>
  <si>
    <t>Banheiros Público</t>
  </si>
  <si>
    <t>Banheiros Func.</t>
  </si>
  <si>
    <t>Central de Regulação / Conselho Municipal de Saúde</t>
  </si>
  <si>
    <t>Rua 7 De Setembro, Nº 1.064 – Centro – Cep 79332-010 – Entre As Ruas Cabral E Colombo</t>
  </si>
  <si>
    <t>Segunda à sexta</t>
  </si>
  <si>
    <t>07:00hrs às 17:00hrs</t>
  </si>
  <si>
    <t>Não</t>
  </si>
  <si>
    <t>2 cx de 1000 plastico</t>
  </si>
  <si>
    <t>Frotas / NEPS / Auditoria / Sistema de Informação (CSIS)</t>
  </si>
  <si>
    <t>Rua 13 De Junho, 1620 – Centro – Cep 79330-050 – Entre As Ruas Firmo De Matos E Major Gama</t>
  </si>
  <si>
    <t>Sim</t>
  </si>
  <si>
    <t>7 eventos com público acima de 100 pessoas no Centro de Convenções</t>
  </si>
  <si>
    <t>X</t>
  </si>
  <si>
    <t>2 cx 1 de poliuretano e 1 de amianto</t>
  </si>
  <si>
    <t>Almoxarifado I</t>
  </si>
  <si>
    <t>07:00h as 11:00h – 13:00h as 17:00h</t>
  </si>
  <si>
    <t>2 cx de 1000 de amianto</t>
  </si>
  <si>
    <t>Almoxarifado II</t>
  </si>
  <si>
    <t>Rua Dom Aquino, Nº 3069 E 3105 - Bairro Dom Bosco – Cep 79333-070 – Entre As Ruas Alan Kardec E República Da Bolívia</t>
  </si>
  <si>
    <t>07:00hrs às 16:00hrs</t>
  </si>
  <si>
    <t>Residencial Terapeutico</t>
  </si>
  <si>
    <t>Rua Tiradentes, Nº 732 – Centro – Cep 79302-052 – Entre As Ruas Dom Aquino E América</t>
  </si>
  <si>
    <t>Todos os dias</t>
  </si>
  <si>
    <t>24 hrs</t>
  </si>
  <si>
    <t>2 cx de 1000  Plastico</t>
  </si>
  <si>
    <t>Unidade de Acolhimento Adulto</t>
  </si>
  <si>
    <t>4 cx de 1000L Plastico</t>
  </si>
  <si>
    <t>Academias de Saúde Pública – Arthur Marinho</t>
  </si>
  <si>
    <t>Rua 13 De Junho S/N, Esquina Com A Ciriaco De Toledo – Bairro Dom Bosco – Cep 79300-040</t>
  </si>
  <si>
    <t>1 cx de 1000L Plastico</t>
  </si>
  <si>
    <t>Academias de Saúde Pública – Cristo Redentor</t>
  </si>
  <si>
    <t>Rua Minas Gerais, S/N – Bairro Cristo Redentor – Cep 79311-060 – Entre As Ruas Tiradentes E Ladário</t>
  </si>
  <si>
    <t>Esf Simone Flores</t>
  </si>
  <si>
    <t>Rua José De Barros Maciel, S/Nº - Bairro Guató – Cep 79321-460 – Entre As Ruas Luís Feitosa Rodrigues E 21 De Setembro</t>
  </si>
  <si>
    <t>Sábado (atividade educativa e campanhas de vacina 07-17hrs)</t>
  </si>
  <si>
    <t>1 cx taça 10 mil L/ 1 cx Cisterna 10 mil L</t>
  </si>
  <si>
    <t>Esf Bonifacio Tiaen</t>
  </si>
  <si>
    <t>Rua Pastor Carlos Padilha De Siqueira S/Nº– Conjunto Habitacional Padre Ernesto Sassida – Cep 79310-430 – Entre A Rua União E Alameda Da Luz Antes Da Rua Felicidade</t>
  </si>
  <si>
    <t>5 cx de 1000L Plastico/ 1 cx Cisterna 10 mil L/ 1 cx Taça 10 mil L</t>
  </si>
  <si>
    <t>Esf São Bartolomeu</t>
  </si>
  <si>
    <t>Rua Pernambuco, S\Nº, Vila Guarani – Cep 79321-210 – Entre As Ruas Marechal Deodoro E Marechal Floriano</t>
  </si>
  <si>
    <t>2 cx de 1000L Amianto</t>
  </si>
  <si>
    <t>Esf Enio Cunha I</t>
  </si>
  <si>
    <t>Alameda Tamengo, S\Nº - Bairro Cervejaria – Cep 79333-180 – Entre A Alameda Cacimba E Rua Delamare</t>
  </si>
  <si>
    <t>ESF Enio Cunha II</t>
  </si>
  <si>
    <t>Alameda Laranjeiras, Nº 170, Lote 16 – Bairro Dom Bosco – Cep 79333-230 – Entre As Ruas Alan Kardec E Rua Marechal Floriano</t>
  </si>
  <si>
    <t xml:space="preserve"> 2 de 1000L Amianto</t>
  </si>
  <si>
    <t>Esf Popular Velha</t>
  </si>
  <si>
    <t>Rua Tenente Melquíades De Jesus, S/Nº Esquina Com A Rua Theodomiro Serra – Bairro Centro América – Cep 79310-610</t>
  </si>
  <si>
    <t>2 cx de 1000 L  Amianto</t>
  </si>
  <si>
    <t>Esf Walter Victorio / Fernando Moutinho</t>
  </si>
  <si>
    <t>Rua Santa Catarina, S/Nº - Bairro Popular Nova  – Cep 79321-111 – Entre As Ruas Major Gama E 7 De Setembro.</t>
  </si>
  <si>
    <t xml:space="preserve">3 cx de 2000 Plastico </t>
  </si>
  <si>
    <t>Esf Angelica Anache</t>
  </si>
  <si>
    <t>Alameda Dona Antônia,  S\Nº, Bairro Cristo Redentor – Cep 79311-640 – Entre A Rua Barão De Melgaço E A Curva Da Rua São Paulo</t>
  </si>
  <si>
    <t>2 cx de 1000 Amianto</t>
  </si>
  <si>
    <t>Esf Jardim Dos Estados</t>
  </si>
  <si>
    <t>Rua Marechal Floriano, Lote 18, Nº 3550 – Bairro Popular Nova – Cep 79321-220 – Entre As Ruas Alexandre De Castro E Agostinho Mônaco</t>
  </si>
  <si>
    <t>1 cx de 500 L Plastico</t>
  </si>
  <si>
    <t>Esf Breno De Medeiros I e II</t>
  </si>
  <si>
    <t>Rua Ciríaco De Toledo, S\Nº - Bairro Popular Nova – Cep 79321-160 – Entre As Ruas Dom Pedro Ii E São Paulo</t>
  </si>
  <si>
    <t>1 cx de 1000 L Plastico</t>
  </si>
  <si>
    <t>Esf Nova Corumbá</t>
  </si>
  <si>
    <t>Rua Ciríaco De Toledo, S\Nº - Bairro Kadweus – Cep 79321-160 – Entre As Ruas Alexandre de Castro e Alameda B</t>
  </si>
  <si>
    <t>Esf Rosimeire dos Santos Ajala</t>
  </si>
  <si>
    <t>Rua Delamare 384 – Centro – Cep 79303-010 – Entre As Ruas Tiradentes E Rua Ladário</t>
  </si>
  <si>
    <t>2 Cx de 1000L Plastico</t>
  </si>
  <si>
    <t>Esf Gastão De Oliveira I e II</t>
  </si>
  <si>
    <t>Rua Nossa Sra. Da Conceição S\Nº - Bairro Maria Leite – Cep 79310-090 – Entre As Ruas São Judas Tadeu E Do Carmo</t>
  </si>
  <si>
    <t>2cx de 1000 e 1 cx de 500  Plastico</t>
  </si>
  <si>
    <t>Esf Luis Fragelli</t>
  </si>
  <si>
    <t>Avenida Rio Branco, 1468-1636, Bairro Universitário – Cep 79304-020 – Entre As Ruas Aquidauana E Nossa Senhora Da Candelária</t>
  </si>
  <si>
    <t xml:space="preserve">2 cx de 1000 L Plastico  </t>
  </si>
  <si>
    <t>Esf Ernesto Sassida</t>
  </si>
  <si>
    <t>Rua José Fragelli, S/Nº, Esq. Dom Aquino, Bairro Dom Bosco – Cep 79333-050</t>
  </si>
  <si>
    <t xml:space="preserve">1 cx Taça 20 mil L </t>
  </si>
  <si>
    <t>Esf Dr Joao Fernandes</t>
  </si>
  <si>
    <t>Rua Gonçalves Dias , Nº 141  - Esquina Com A Marechal Floriano – Bairro Aeroporto – Cep 79320-020</t>
  </si>
  <si>
    <t>2 cx de 1000L Plastico</t>
  </si>
  <si>
    <t>Esf Ranulfo Vasconcelos</t>
  </si>
  <si>
    <t>Rua Santos Dumont, Nº 47 - Bairro Aeroporto – Cep 79332-150 – Entre As Ruas Edu Rocha E Alameda Bartolomeu</t>
  </si>
  <si>
    <t xml:space="preserve">1 cx de 500 e 2 cx de 1000 Plastico </t>
  </si>
  <si>
    <t>Ubs Pedro Paulo I / Pedro Paulo II</t>
  </si>
  <si>
    <t>Rua Batista Das Neves, 119 – Centro – Cep 79303-250 – Entre As Ruas Caceres E Geraldino Martins De Barros</t>
  </si>
  <si>
    <t>5 cx de 1000L Plastico</t>
  </si>
  <si>
    <t>Esf Dr Humberto Pereira</t>
  </si>
  <si>
    <t>Rua Luiz Feitosa Rodrigues, Esq. Duque De Caxias, Bairro Nossa Sra. De Fátima – Cep 79320-060</t>
  </si>
  <si>
    <t>Centro De Saude Joao De Brito</t>
  </si>
  <si>
    <t>Rua Tiradentes, Nº 901 – Centro – Cep 79302-051 – Entre As Ruas América E Colombo  (Ao Lado Do Posto Paulista)</t>
  </si>
  <si>
    <t>07:00 hrs às 18:00hrs</t>
  </si>
  <si>
    <t>Centro De Atendimento Psicossocial – CAPS II José Fragell</t>
  </si>
  <si>
    <t>Rua Tenente Melquíades De Jesus, Nº 917 -Centro – Cep 79303 -031 – Entre As Ruas Colombo E Cabral</t>
  </si>
  <si>
    <t>07:00 hrs às 17:00 hrs</t>
  </si>
  <si>
    <t>3 cx de 1000L Amianto</t>
  </si>
  <si>
    <t>Centro De Atendimento Psicossocial Alcool E Drogas – CAPS AD</t>
  </si>
  <si>
    <t>Rua Cabral, Nº 1208 – Centro – Cep 79332-030 – Entre As Ruas Xv De Novembro E Sete De Setembro</t>
  </si>
  <si>
    <t>1 cx de 500L e 1 cx de 1000 Amianto</t>
  </si>
  <si>
    <t>Centro De Atendimento Psicossocial Infanto Juvenil – CAPS I</t>
  </si>
  <si>
    <t>Rua Cuiabá, Nº 1291 – Centro – Cep 793331-100 – Entre As Ruas Xv De Novembro E Sete De Setembro</t>
  </si>
  <si>
    <t>2 cx de 1000L  Amianto</t>
  </si>
  <si>
    <t>Centro De Saude Da Ladeira</t>
  </si>
  <si>
    <t>Ladeira Cunha E Cruz S/Nº Do Lado Da Capitania Dos Portos</t>
  </si>
  <si>
    <t>2 cx de 1000 L  2 cx de 500 L Plastico</t>
  </si>
  <si>
    <t>Laboratorio Municipal</t>
  </si>
  <si>
    <t>Rua Colombo, 1240 – Centro – Cep 79301-070 – Entre As Ruas Xv De Novembro E A 7 De Setembro</t>
  </si>
  <si>
    <t>24hrs</t>
  </si>
  <si>
    <t>Feriados e pontos facultativos trabalhados</t>
  </si>
  <si>
    <t>3 cx de 1000L Plastico</t>
  </si>
  <si>
    <t>regime de plantão 24hs vinculado ao pronto socorro e upa</t>
  </si>
  <si>
    <t>Fisioterapia</t>
  </si>
  <si>
    <t>Rua América, Nº 427 – Centro – Cep 79302-070 – Entre As Ruas Ladário E Tiradentes (Ao Lado Do Posto Paulista)</t>
  </si>
  <si>
    <t>1 cx de 500L Plastico</t>
  </si>
  <si>
    <t>Centro De Referencia em Saude do Trabalhador – Cerest</t>
  </si>
  <si>
    <t>Rua Ladário, S/Nº, Centro (Ao Lado Do Terminal Rodoviário Municipal - Na Praça Do Mercadão Municipal) – Entre As Ruas 13 De Junho E Dom Aquino Correa</t>
  </si>
  <si>
    <t>07:00 hrs às 13:00hrs</t>
  </si>
  <si>
    <t>Centro De Especialidades Odontologicas – CEO</t>
  </si>
  <si>
    <t>Rua Eugênio Cunha, S/Nº – Bairro Universitário - Cep 79304-031 – Entre A Avenida Rio Branco E Rua Afonso Pena</t>
  </si>
  <si>
    <t>4 cx de 500 L Plastico</t>
  </si>
  <si>
    <t>Centro De Controle De Zoonoses – CCZ E Centro De Controle De Vetores (CCV)</t>
  </si>
  <si>
    <t>Rua João Bernardino Alves Couto S/N, Bairro Guaicurus – Cep 79321-450 – Entre As Ruas 21 De Setembro E Eduardo Rocha</t>
  </si>
  <si>
    <t>2 cx de 1000L, 1 cx de 500 L  são de amianto / 2 cx de 1000 L Amianto</t>
  </si>
  <si>
    <t>Serviço Móvel De Urgencia (Samu)</t>
  </si>
  <si>
    <t>Rua Nossa Senhora Da Candelária, S/Nº – Bairro Universitário – Cep 79304-020 – Anexo Ao Quartel Do Bombeiro – Entre A Avenida Rio Branco E A Afonso Pena</t>
  </si>
  <si>
    <t>1 cx Cisterna de 10 mil L/1 cx Taça de 10 mil L</t>
  </si>
  <si>
    <t>ESF Albuquerque</t>
  </si>
  <si>
    <t>Albuquerque</t>
  </si>
  <si>
    <t>07:00hrs às 13:00hrs</t>
  </si>
  <si>
    <t>Sem Caixa d´ Agua</t>
  </si>
  <si>
    <t>ESF Taquaral Tamarineiro I e II</t>
  </si>
  <si>
    <t>Assentamentos Tamarineiro/Taquaral</t>
  </si>
  <si>
    <t>1 cx 15 Mil L Taça/ 1 cx 1000 L plastico</t>
  </si>
  <si>
    <t>ESF Mato Grande I, Maria Coelho, Urucum e São Gabriel</t>
  </si>
  <si>
    <t>Assentamentos Urucum, São Gabriel E Maria Coelho, Mato Grande</t>
  </si>
  <si>
    <t>1 cx de 10 mil L Cisterna / 1 cx de 1000 L Plastico</t>
  </si>
  <si>
    <t>Centro De Saude Da Mulher</t>
  </si>
  <si>
    <t>Rua Major Gama, Nº 786 – Centro – Cep 79331-010 – Entre As Ruas Cuiabá E América (Antiga Prontomed)</t>
  </si>
  <si>
    <t>07:00hrs às 19:00hrs</t>
  </si>
  <si>
    <t>2 cx de 1000L e 1 cx de 2.000 Plastico</t>
  </si>
  <si>
    <t>02 servente 40 h e 1 servente 20h noturno</t>
  </si>
  <si>
    <t>CEM (Centro De Especialidades Médicas)</t>
  </si>
  <si>
    <t>Rua Cabral, 1263 – Centro – Entre As Ruas 7 De Setembro E Xv De Novembro</t>
  </si>
  <si>
    <t>44-20</t>
  </si>
  <si>
    <t>06:00hrs às 21:00hrs</t>
  </si>
  <si>
    <t>2 colaboradores 44hs e 1 colaborador 22hrs</t>
  </si>
  <si>
    <t>1 Cisterna 10 mil L 1 taça 10 mil L</t>
  </si>
  <si>
    <t>Pronto Socorro Municipal</t>
  </si>
  <si>
    <t>Rua América, S/Nº, Centro – Cep 79330-080 - Esquina Com Rua Sete De Setembro</t>
  </si>
  <si>
    <t>12x36</t>
  </si>
  <si>
    <t>1 cx 10 mil L Cisterna/ 1 cx de 10 mil L Cimento</t>
  </si>
  <si>
    <t>seventes 12X36 h com rodízio de turno</t>
  </si>
  <si>
    <t>Unidade De Pronto Atendimento (UPA)</t>
  </si>
  <si>
    <t>Rua Luís Feitosa Rodrigues, 4294 - Bairro Guatós – Cep 79321-005 – Entre As Ruas Delfino Scafa E João Bosco Da Motta</t>
  </si>
  <si>
    <t>1 reservatório 5.000L e Taça de 15.000L</t>
  </si>
  <si>
    <t>Supervisor</t>
  </si>
  <si>
    <t>Dedetização, Desratização e Descupinização</t>
  </si>
  <si>
    <t>Trimestral</t>
  </si>
  <si>
    <t>OBS</t>
  </si>
  <si>
    <t>Progamação de mudança de prédio para locação:</t>
  </si>
  <si>
    <t>CAPS infanto Juvenil</t>
  </si>
  <si>
    <t>Imóvel Com 04 Sanitários</t>
  </si>
  <si>
    <t>CAPS AD</t>
  </si>
  <si>
    <t>Sem Definição De Imóvel</t>
  </si>
  <si>
    <t>CAPS José Fragelli</t>
  </si>
  <si>
    <t>Farmácia Municipal</t>
  </si>
  <si>
    <t>Centro de Saúde da Mulher (CSM)</t>
  </si>
  <si>
    <t>Sem Data Para Prédio Próprio</t>
  </si>
  <si>
    <t>Laboratório Municipal</t>
  </si>
  <si>
    <t>ESF Nova corumbá/ Lucia Maria – fechada</t>
  </si>
  <si>
    <t>Sem data</t>
  </si>
  <si>
    <t>Campanhas de saúde com atendimento no prédio do Poliesportivo com utilização da quadra, copa e sanitários.</t>
  </si>
  <si>
    <t>Sem Data para abertura</t>
  </si>
  <si>
    <t>Plantão</t>
  </si>
  <si>
    <t>Campanhas no Centro de Convenções</t>
  </si>
  <si>
    <t>Unidade CEO poderá funcionar no período noturno</t>
  </si>
  <si>
    <t>Colaboradores com banco de horas poderão ser chamados para cumprimento da função em outros horários e unidades.</t>
  </si>
  <si>
    <t>Feriados e pontos facultativos trabalhados nas unidades em que estiver o colaborador lotado</t>
  </si>
  <si>
    <t>1 (um) dos colaboradores da unidade do Frotas será classificado como volante para auxílio em outras unidades quando precisar.</t>
  </si>
  <si>
    <t>Servente 44hrs com 40% insalubridade</t>
  </si>
  <si>
    <t>MÓDULO 1 - REMUNERAÇÃO</t>
  </si>
  <si>
    <t>Composição da Remuneração:</t>
  </si>
  <si>
    <t>Valor (R$)</t>
  </si>
  <si>
    <t>Salário mínimo nacional</t>
  </si>
  <si>
    <t>Salário Base</t>
  </si>
  <si>
    <t>Gratificação de ambiente hospitalar e postos de saúde.</t>
  </si>
  <si>
    <t>Adicional  de periculosidade</t>
  </si>
  <si>
    <t>Adicional  de insalubridade</t>
  </si>
  <si>
    <t>Hora noturna adicional</t>
  </si>
  <si>
    <t>Adicional de Hora Extra</t>
  </si>
  <si>
    <t>Intervalo Intrajornada</t>
  </si>
  <si>
    <t>Outros (especificar)</t>
  </si>
  <si>
    <t>Total da Remuneração</t>
  </si>
  <si>
    <t>MÓDULO 2:   BENEFÍCIOS ANUAIS, MENSAIS E DIÁRIOS</t>
  </si>
  <si>
    <t>Submódulo 2.1</t>
  </si>
  <si>
    <t xml:space="preserve"> 13º Salário, Férias e Adicional de Férias.</t>
  </si>
  <si>
    <t>Cálculo</t>
  </si>
  <si>
    <t>13º Salário</t>
  </si>
  <si>
    <t>100%/12 meses</t>
  </si>
  <si>
    <t>Férias</t>
  </si>
  <si>
    <t>Adicional de férias</t>
  </si>
  <si>
    <t>Total  13º Salário, Férias e Adicional de Férias.</t>
  </si>
  <si>
    <t>Submódulo 2.2</t>
  </si>
  <si>
    <t>ENCARGOS PREVIDENCIÁRIOS E FGTS</t>
  </si>
  <si>
    <t>Percentual (%)</t>
  </si>
  <si>
    <t>INSS</t>
  </si>
  <si>
    <t>Base de Cálculo: Módulo 1 + Submódulo 2.1</t>
  </si>
  <si>
    <t>SESI ou SESC</t>
  </si>
  <si>
    <t>SENAI ou SENAC</t>
  </si>
  <si>
    <t>INCRA</t>
  </si>
  <si>
    <t>Salário Educação</t>
  </si>
  <si>
    <t>FGTS</t>
  </si>
  <si>
    <t>Seguro acidente do trabalho - GIIL/RAT = RAT (1%, 2% ou 3%) x FAP (0,5 a 2,00)</t>
  </si>
  <si>
    <t>SEBRAE</t>
  </si>
  <si>
    <t>Submódulo 2.3</t>
  </si>
  <si>
    <t> Benefícios Mensais e Diários</t>
  </si>
  <si>
    <t>A</t>
  </si>
  <si>
    <t>Transporte</t>
  </si>
  <si>
    <t>B</t>
  </si>
  <si>
    <t>Auxílio alimentação (Vales, cesta básica etc.)</t>
  </si>
  <si>
    <t>C</t>
  </si>
  <si>
    <t>Assistência médica e familiar</t>
  </si>
  <si>
    <t>D</t>
  </si>
  <si>
    <t>Benefício Assistencial ao Trabalhador - PROFAC</t>
  </si>
  <si>
    <t>E</t>
  </si>
  <si>
    <t>F</t>
  </si>
  <si>
    <t>Benefício Social</t>
  </si>
  <si>
    <t>G</t>
  </si>
  <si>
    <t>Outras Gratificações (Prêmio Cesta Básica)</t>
  </si>
  <si>
    <t>H</t>
  </si>
  <si>
    <t>Outros Benefícios (especificar)</t>
  </si>
  <si>
    <t>I</t>
  </si>
  <si>
    <t> </t>
  </si>
  <si>
    <t>Total de Benefícios mensais e diários</t>
  </si>
  <si>
    <t>MÓDULO 3 - PROVISÃO PARA RESCISÃO</t>
  </si>
  <si>
    <t>Módulo 3</t>
  </si>
  <si>
    <t>Provisão para recisão</t>
  </si>
  <si>
    <t>Aviso Prévio Indenizado</t>
  </si>
  <si>
    <t>Incidência do FGTS sobre o Aviso Prévio Indenizado</t>
  </si>
  <si>
    <t>Multa do FGTS sobre aviso prévio indenizado</t>
  </si>
  <si>
    <t>Aviso Prévio Trabalhado</t>
  </si>
  <si>
    <t>Incidência do submódulo 2.2 sobre o Aviso Prévio Trabalhado</t>
  </si>
  <si>
    <t>Multa do FGTS sobre o Aviso Prévio Trabalhado</t>
  </si>
  <si>
    <t>MÓDULO 4 – CUSTO DE REPOSIÇÃO DO PROFISSIONAL AUSENTE</t>
  </si>
  <si>
    <t>Submódulo 4.1 - Substituto nas Ausências Legais</t>
  </si>
  <si>
    <t xml:space="preserve">Substituto na cobertura de Férias </t>
  </si>
  <si>
    <t>Substituto na cobertura de Ausências Legais</t>
  </si>
  <si>
    <t>Substituto na cobertura de Licença Paternidade</t>
  </si>
  <si>
    <t xml:space="preserve">Substituto na cobertura de Ausência por Acidente de Trabalho </t>
  </si>
  <si>
    <t>Substituto na cobertura de Afastamento Maternidade</t>
  </si>
  <si>
    <t>Substituto na cobertura de Outras Ausências (especificar)</t>
  </si>
  <si>
    <t>Submódulo 4.2 - Intrajornada</t>
  </si>
  <si>
    <t xml:space="preserve"> Substituto na cobertura de Intervalo para repouso ou alimentação</t>
  </si>
  <si>
    <t>TOTAL DO MÓDULO 4</t>
  </si>
  <si>
    <t>MÓDULO 5 - INSUMOS DE MÃO DE OBRA</t>
  </si>
  <si>
    <t>SUBMÓDULO 5.1</t>
  </si>
  <si>
    <t>- INSUMOS DOS UNIFORMES</t>
  </si>
  <si>
    <t>Base de cálculo: Cotação de Preços</t>
  </si>
  <si>
    <t>Indice IPCA</t>
  </si>
  <si>
    <t>SUBMÓDULO 5.2</t>
  </si>
  <si>
    <t>INSUMOS DE MATERIAIS</t>
  </si>
  <si>
    <t>PIS/COFINS (Corresponde ao percentual de 3,20% incidente no custo dos insumos)</t>
  </si>
  <si>
    <t>Valor: Insumos – COFINS</t>
  </si>
  <si>
    <t>MÓDULO 6 – CUSTOS INDIRETOS, TRIBUTOS E LUCRO – CITL</t>
  </si>
  <si>
    <t>Base de cálculo: Módulo 1 + Módulo 2 + Módulo 3 + Módulo 4 + Módulo 5.</t>
  </si>
  <si>
    <t xml:space="preserve">CITL = </t>
  </si>
  <si>
    <t>1+CI</t>
  </si>
  <si>
    <t>Percentual</t>
  </si>
  <si>
    <t>1-T-L</t>
  </si>
  <si>
    <t>Valor: Custo Total x % CITL</t>
  </si>
  <si>
    <t>VALOR TOTAL POR TRABALHADOR</t>
  </si>
  <si>
    <t>Módulo</t>
  </si>
  <si>
    <t xml:space="preserve">Servente 44hrs com 40% insalubridade </t>
  </si>
  <si>
    <t>Remuneração</t>
  </si>
  <si>
    <t>Tributos</t>
  </si>
  <si>
    <t>Encargos e Benefícios</t>
  </si>
  <si>
    <t>ISS</t>
  </si>
  <si>
    <t>Rescisão</t>
  </si>
  <si>
    <t>COFINS</t>
  </si>
  <si>
    <t>Reposição do Profissional Ausente</t>
  </si>
  <si>
    <t>PIS</t>
  </si>
  <si>
    <t>Insumos Diversos</t>
  </si>
  <si>
    <t>Custos Indiretos, Tributos e Lucro</t>
  </si>
  <si>
    <t>Custo Indireto</t>
  </si>
  <si>
    <t>VALOR TOTAL</t>
  </si>
  <si>
    <t>Lucro</t>
  </si>
  <si>
    <t>Servente 20hrs com 40% insalubridade</t>
  </si>
  <si>
    <t>Servente 12x36 com 40% insalubridade</t>
  </si>
  <si>
    <t>valor p/ hora</t>
  </si>
  <si>
    <t>valor hora noturna 25%</t>
  </si>
  <si>
    <t xml:space="preserve">Valor Referente a escala 12/36 </t>
  </si>
  <si>
    <t>escala 18H as 06:00 e não tem o intervalo de uma hora após as 22</t>
  </si>
  <si>
    <t>Servente Supervisor</t>
  </si>
  <si>
    <t>Gratificação por função administrativa</t>
  </si>
  <si>
    <t>Supervisor Administrativo</t>
  </si>
  <si>
    <t>Supervisor Operacional I</t>
  </si>
  <si>
    <t>Cargo de confiança</t>
  </si>
  <si>
    <t>Clausula Sexta , Parag. 1</t>
  </si>
  <si>
    <t>QUADRO RESUMO</t>
  </si>
  <si>
    <t>Insalubridade</t>
  </si>
  <si>
    <t>Valor P/ Trab</t>
  </si>
  <si>
    <t>Qtd.</t>
  </si>
  <si>
    <t>Valor Total Mensal</t>
  </si>
  <si>
    <t>Valor Total Anual</t>
  </si>
  <si>
    <t>Servente de Limpeza 44h sem insalubridade</t>
  </si>
  <si>
    <t>Servente de Limpeza 44h com 40% insalubridade</t>
  </si>
  <si>
    <t>Servente de Limpeza 6h com 40% insalubridade</t>
  </si>
  <si>
    <t>Servente de Limpeza 12x36 com 40% insalubridade</t>
  </si>
  <si>
    <t>Servente de Limpeza 6h sem insalubridade</t>
  </si>
  <si>
    <t>Supervisor 44h semanais</t>
  </si>
  <si>
    <t>Total Geral de Serventes conforme Tabela de Postos (sem Supervisor)</t>
  </si>
  <si>
    <t>Qtd</t>
  </si>
  <si>
    <t>Valor Mensal</t>
  </si>
  <si>
    <t>Valor 12 Meses</t>
  </si>
  <si>
    <t>Supervisor 44h semanais — movido para L5 (item separado)</t>
  </si>
  <si>
    <t>Dedetização, desratização e descupinização — não considerado no quantitativo de serventes</t>
  </si>
  <si>
    <t>Roçada, jardinagem, poda e calha — não considerado no quantitativo de serventes</t>
  </si>
  <si>
    <t>Limpeza de caixa d’água, piscina e serviços externos — não considerado no quantitativo de serventes</t>
  </si>
  <si>
    <t>Reserva técnica/linha não utilizada — não considerado no quantitativo de serventes</t>
  </si>
  <si>
    <t>Total — somente serventes da Tabela de Postos</t>
  </si>
  <si>
    <t>ESTIMATIVA E JUSTIFICATIVA DE POSTOS DE TRABALHO — SERVIÇOS DE LIMPEZA, ASSEIO E HIGIENIZAÇÃO</t>
  </si>
  <si>
    <t>Secretaria Municipal de Saúde — Corumbá/MS  |  Caderno de Logística SEGES/ME 2021 + IN SEGES/MPDG nº 05/2017  |  Critério: Posto de Trabalho</t>
  </si>
  <si>
    <t>Produtividades (m²/dia/servente):  PF=600 | BA=100 | HO=280(44h)/390(12×36) | EL=600 | AL=600 | EX=1.200 | EsqExt=100 | EsqInt=150  ||  Dias/mês: 44h=22 | 12×36=15</t>
  </si>
  <si>
    <t>#</t>
  </si>
  <si>
    <t>Unidade / Prédio</t>
  </si>
  <si>
    <t>Escala</t>
  </si>
  <si>
    <t>Ins.</t>
  </si>
  <si>
    <t>ÁREAS POR CLASSIFICAÇÃO SANITÁRIA (m²)</t>
  </si>
  <si>
    <t>PRODUTIVIDADE DE REFERÊNCIA (m²/dia/servente)</t>
  </si>
  <si>
    <t>DIMENSIONAMENTO DE POSTOS</t>
  </si>
  <si>
    <t>Pisos
Frios</t>
  </si>
  <si>
    <t>Banheir.
(ins.40%)</t>
  </si>
  <si>
    <t>Hosp./
Assem.</t>
  </si>
  <si>
    <t>Esp.
Livres</t>
  </si>
  <si>
    <t>Almox.</t>
  </si>
  <si>
    <t>Ext./
Pátios</t>
  </si>
  <si>
    <t>Esq.
Ext.</t>
  </si>
  <si>
    <t>Esq.
Int.</t>
  </si>
  <si>
    <t>TOTAL
m²</t>
  </si>
  <si>
    <t>P.Frios</t>
  </si>
  <si>
    <t>Banheiro</t>
  </si>
  <si>
    <t>Hosp.</t>
  </si>
  <si>
    <t>Esp.Liv.</t>
  </si>
  <si>
    <t>Externas</t>
  </si>
  <si>
    <t>EsqExt</t>
  </si>
  <si>
    <t>EsqInt</t>
  </si>
  <si>
    <t>Postos
calculado</t>
  </si>
  <si>
    <t>Postos
adotados</t>
  </si>
  <si>
    <t>Dias
trab./mês</t>
  </si>
  <si>
    <t>Cálculo e Justificativa</t>
  </si>
  <si>
    <t>Base Normativa</t>
  </si>
  <si>
    <t>Análise de insalubridade</t>
  </si>
  <si>
    <t>Status do dimensionamento</t>
  </si>
  <si>
    <t>Ação recomendada</t>
  </si>
  <si>
    <t>Academia Arthur Marinho</t>
  </si>
  <si>
    <t>44h</t>
  </si>
  <si>
    <t>40%</t>
  </si>
  <si>
    <t>—</t>
  </si>
  <si>
    <t>PF:68÷600=0.11 + BA:5÷100=0.05 + EX:251÷1200=0.21 = 0.37 → 1 posto(s) (mínimo 1)</t>
  </si>
  <si>
    <t>Caderno de Logística SEGES/ME 2021 / IN SEGES/MPDG nº 05/2017</t>
  </si>
  <si>
    <t>Academia Cristo Redentor</t>
  </si>
  <si>
    <t>PF:68÷600=0.11 + BA:5÷100=0.05 + EX:226÷1200=0.19 = 0.35 → 1 posto(s) (mínimo 1)</t>
  </si>
  <si>
    <t>6h</t>
  </si>
  <si>
    <t>PF:56÷600=0.09 + BA:12÷100=0.12 + HO:53÷280=0.19 + EX:215÷1200=0.18 = 0.58 → 1 posto(s) (mínimo 1)</t>
  </si>
  <si>
    <t>PF:190÷600=0.32 + BA:10÷100=0.10 + AL:436÷600=0.73 + EX:929÷1200=0.77 = 1.92 → 2 posto(s) (mínimo 1)</t>
  </si>
  <si>
    <t>Almoxarifado II (2ª planilha)</t>
  </si>
  <si>
    <t>PF:372÷600=0.62 + BA:36÷100=0.36 + EX:42÷1200=0.04 = 1.01 → 2 posto(s) (mínimo 1)</t>
  </si>
  <si>
    <t>ESF Angélica Anache</t>
  </si>
  <si>
    <t>PF:197÷600=0.33 + BA:28÷100=0.28 + HO:29÷280=0.10 = 0.71 → 1 posto(s) (mínimo 1)</t>
  </si>
  <si>
    <t>ESF Breno de Medeiros</t>
  </si>
  <si>
    <t>PF:152÷600=0.25 + BA:20÷100=0.20 + HO:137÷280=0.49 + AL:2÷600=0.00 + EX:219÷1200=0.18 = 1.12 → 2 posto(s) (mínimo 1)</t>
  </si>
  <si>
    <t>PF:150÷600=0.25 + BA:16÷100=0.16 + HO:18÷280=0.06 + EL:8÷600=0.01 + EX:482÷1200=0.40 = 0.89 → 1 posto(s) (mínimo 1)</t>
  </si>
  <si>
    <t>CAPS I</t>
  </si>
  <si>
    <t>PF:165÷600=0.28 + BA:16÷100=0.16 + EL:12÷600=0.02 + EX:161÷1200=0.13 = 0.59 → 1 posto(s) (mínimo 1)</t>
  </si>
  <si>
    <t>CAPS II</t>
  </si>
  <si>
    <t>PF:261÷600=0.43 + BA:24÷100=0.24 + EX:229÷1200=0.19 = 0.87 → 1 posto(s) (mínimo 1)</t>
  </si>
  <si>
    <t>CCZ / CCV</t>
  </si>
  <si>
    <t>PF:558÷600=0.93 + BA:90÷100=0.90 + HO:12÷280=0.04 = 1.87 → 2 posto(s) (mínimo 1)</t>
  </si>
  <si>
    <t>CEO</t>
  </si>
  <si>
    <t>PF:111÷600=0.18 + BA:9÷100=0.09 + HO:145÷280=0.52 + EL:15÷600=0.02 + AL:5÷600=0.01 + EX:280÷1200=0.23 = 1.06 → 2 posto(s) (mínimo 1)</t>
  </si>
  <si>
    <t>CEREST</t>
  </si>
  <si>
    <t>PF:180÷600=0.30 + BA:12÷100=0.12 + EX:250÷1200=0.21 = 0.63 → 1 posto(s) (mínimo 1)</t>
  </si>
  <si>
    <t>Centro de Especialidades Médicas</t>
  </si>
  <si>
    <t>PF:151÷600=0.25 + BA:71÷100=0.71 + HO:311÷280=1.11 + EL:111÷600=0.19 + EX:65÷1200=0.05 = 2.31 → 3 posto(s) (mínimo 1)</t>
  </si>
  <si>
    <t>Centro de Saúde da Mulher</t>
  </si>
  <si>
    <t>PF:654÷600=1.09 + BA:30÷100=0.30 + HO:22÷280=0.08 = 1.47 → 2 posto(s) (mínimo 1)</t>
  </si>
  <si>
    <t>ESF Beira Rio</t>
  </si>
  <si>
    <t>PF:42÷600=0.07 + BA:19÷100=0.19 + HO:75÷280=0.27 + EX:182÷1200=0.15 = 0.68 → 1 posto(s) (mínimo 1)</t>
  </si>
  <si>
    <t>ESF Gastão de Oliveira</t>
  </si>
  <si>
    <t>PF:141÷600=0.23 + BA:19÷100=0.19 + HO:98÷280=0.35 + EL:36÷600=0.06 + EX:506÷1200=0.42 = 1.26 → 2 posto(s) (mínimo 1)</t>
  </si>
  <si>
    <t>ESF Humberto Pereira</t>
  </si>
  <si>
    <t>PF:279÷600=0.46 + BA:25÷100=0.25 + HO:87÷280=0.31 + EL:26÷600=0.04 + EX:39÷1200=0.03 = 1.10 → 2 posto(s) (mínimo 1)</t>
  </si>
  <si>
    <t>ESF Jardim dos Estados</t>
  </si>
  <si>
    <t>PF:68÷600=0.11 + BA:10÷100=0.10 + HO:22÷280=0.08 + EX:117÷1200=0.10 = 0.39 → 1 posto(s) (mínimo 1)</t>
  </si>
  <si>
    <t>ESF João Fernandes</t>
  </si>
  <si>
    <t>PF:79÷600=0.13 + BA:9÷100=0.09 + HO:26÷280=0.09 + EX:276÷1200=0.23 = 0.55 → 1 posto(s) (mínimo 1)</t>
  </si>
  <si>
    <t>ESF Luís Fragelli</t>
  </si>
  <si>
    <t>PF:99÷600=0.16 + BA:5÷100=0.05 + HO:71÷280=0.25 + EL:37÷600=0.06 = 0.52 → 1 posto(s) (mínimo 1)</t>
  </si>
  <si>
    <t>ESF Maria Coelho</t>
  </si>
  <si>
    <t>PF:25÷600=0.04 + EX:57÷1200=0.05 = 0.09 → 1 posto(s) (mínimo 1)</t>
  </si>
  <si>
    <t>ESF Mato Grande 2</t>
  </si>
  <si>
    <t>HO:21÷280=0.07 + EX:200÷1200=0.17 = 0.24 → 1 posto(s) (mínimo 1)</t>
  </si>
  <si>
    <t>ESF Popular Velha</t>
  </si>
  <si>
    <t>PF:150÷600=0.25 + BA:14÷100=0.14 + HO:68÷280=0.24 + AL:2÷600=0.00 + EX:200÷1200=0.17 = 0.80 → 1 posto(s) (mínimo 1)</t>
  </si>
  <si>
    <t>ESF Ranulfo Vasconcelos</t>
  </si>
  <si>
    <t>PF:81÷600=0.14 + BA:16÷100=0.15 + HO:21÷280=0.07 + EL:38÷600=0.06 + EX:275÷1200=0.23 = 0.66 → 1 posto(s) (mínimo 1)</t>
  </si>
  <si>
    <t>ESF Taquaral / Tamarineiro</t>
  </si>
  <si>
    <t>PF:221÷600=0.37 + BA:23÷100=0.23 + HO:47÷280=0.17 + AL:7÷600=0.01 + EX:200÷1200=0.17 = 0.94 → 1 posto(s) (mínimo 1)</t>
  </si>
  <si>
    <t>ESF Mato Grande I</t>
  </si>
  <si>
    <t>PF:13÷600=0.02 + BA:11÷100=0.11 + EX:204÷1200=0.17 = 0.30 → 1 posto(s) (mínimo 1)</t>
  </si>
  <si>
    <t>ESF Enio Cunha I e II</t>
  </si>
  <si>
    <t>PF:154÷600=0.26 + BA:34÷100=0.34 + HO:146÷280=0.52 + EL:49÷600=0.08 + AL:6÷600=0.01 + EX:41÷1200=0.03 = 1.25 → 2 posto(s) (mínimo 1)</t>
  </si>
  <si>
    <t>PF:190÷600=0.32 + BA:11÷100=0.11 + EX:200÷1200=0.17 = 0.60 → 1 posto(s) (mínimo 1)</t>
  </si>
  <si>
    <t>Frotas / NEPS / Auditoria</t>
  </si>
  <si>
    <t>Centro de Saúde João de Brito</t>
  </si>
  <si>
    <t>PF:107÷600=0.18 + BA:30÷100=0.30 + HO:83÷280=0.30 + AL:22÷600=0.04 + EX:35÷1200=0.03 = 0.84 → 1 posto(s) (mínimo 1)</t>
  </si>
  <si>
    <t>PF:155÷600=0.26 + HO:58÷390=0.15 + AL:3÷600=0.00 + EX:76÷1200=0.06 = 0.47 → 1 posto(s) (mínimo 1)</t>
  </si>
  <si>
    <t>Caderno SEGES 2021 / IN SEGES 05/2017 (prod. 12×36 = fator 1,4×)</t>
  </si>
  <si>
    <t>Centro de Saúde da Ladeira</t>
  </si>
  <si>
    <t>PF:264÷600=0.44 + BA:44÷100=0.44 + HO:129÷280=0.46 + EL:51÷600=0.08 + EX:180÷1200=0.15 = 1.58 → 2 posto(s) (mínimo 1)</t>
  </si>
  <si>
    <t>PE Ernesto Sassida</t>
  </si>
  <si>
    <t>PF:126÷600=0.21 + BA:11÷100=0.11 + HO:74÷280=0.26 + EL:39÷600=0.06 + AL:8÷600=0.01 + EX:106÷1200=0.09 = 0.75 → 1 posto(s) (mínimo 1)</t>
  </si>
  <si>
    <t>UBS Pedro Paulo I e II</t>
  </si>
  <si>
    <t>PF:116÷600=0.19 + BA:8÷100=0.08 + HO:10÷280=0.04 + EX:168÷1200=0.14 = 0.45 → 1 posto(s) (mínimo 1)</t>
  </si>
  <si>
    <t>PF:692÷600=1.15 + HO:900÷390=2.31 + EX:743÷1200=0.62 + EE:108÷100=1.08 + EI:108÷150=0.72 = 5.88 → 6 posto(s) (mínimo 1)</t>
  </si>
  <si>
    <t>Regulação / Conselho</t>
  </si>
  <si>
    <t>PF:266÷600=0.44 + BA:31÷100=0.31 + EL:232÷600=0.39 + EX:256÷1200=0.21 = 1.35 → 2 posto(s) (mínimo 1)</t>
  </si>
  <si>
    <t>Residencial Terapêutico</t>
  </si>
  <si>
    <t>PF:147÷600=0.24 + BA:12÷100=0.12 + EX:199÷1200=0.17 = 0.53 → 1 posto(s) (mínimo 1)</t>
  </si>
  <si>
    <t>SAMU</t>
  </si>
  <si>
    <t>PF:143÷600=0.24 + BA:29÷100=0.29 + EL:34÷600=0.06 + AL:11÷600=0.02 + EX:379÷1200=0.32 = 0.92 → 1 posto(s) (mínimo 1)</t>
  </si>
  <si>
    <t>ESF São Bartolomeu</t>
  </si>
  <si>
    <t>PF:50÷600=0.08 + BA:18÷100=0.18 + HO:49÷280=0.18 + AL:2÷600=0.00 + EX:129÷1200=0.11 = 0.55 → 1 posto(s) (mínimo 1)</t>
  </si>
  <si>
    <t>ESF Simone Flores</t>
  </si>
  <si>
    <t>PF:370÷600=0.62 + BA:39÷100=0.39 + HO:151÷280=0.54 + EL:33÷600=0.06 + AL:13÷600=0.02 + EX:1331÷1200=1.11 = 2.74 → 3 posto(s) (mínimo 1)</t>
  </si>
  <si>
    <t>ESF Tamarineiro</t>
  </si>
  <si>
    <t>PF:93÷600=0.16 + BA:7÷100=0.07 + HO:35÷280=0.12 + EX:9÷1200=0.01 = 0.36 → 1 posto(s) (mínimo 1)</t>
  </si>
  <si>
    <t>ESF Bonifácio Tiaen</t>
  </si>
  <si>
    <t>PF:115÷600=0.19 + BA:19÷100=0.19 + HO:102÷280=0.36 + EL:76÷600=0.13 + AL:7÷600=0.01 = 0.88 → 1 posto(s) (mínimo 1)</t>
  </si>
  <si>
    <t>UBS Fernando Moutinho I</t>
  </si>
  <si>
    <t>PF:130÷600=0.22 + BA:15÷100=0.15 + HO:89÷280=0.32 + AL:3÷600=0.00 + EX:13÷1200=0.01 = 0.70 → 1 posto(s) (mínimo 1)</t>
  </si>
  <si>
    <t>UPA</t>
  </si>
  <si>
    <t>PF:267÷600=0.44 + BA:46÷100=0.46 + HO:236÷390=0.61 + EL:67÷600=0.11 + AL:4÷600=0.01 + EX:3611÷1200=3.01 = 4.64 → 5 posto(s) (mínimo 1)</t>
  </si>
  <si>
    <t>PF:309÷600=0.51 + BA:48÷100=0.48 + EL:18÷600=0.03 + EX:497÷1200=0.41 = 1.44 → 2 posto(s) (mínimo 1)</t>
  </si>
  <si>
    <t>TOTAL</t>
  </si>
  <si>
    <t>Postos adotados por escala</t>
  </si>
  <si>
    <t>12x36 40%</t>
  </si>
  <si>
    <t>6h 40%</t>
  </si>
  <si>
    <t>6h sem insal.</t>
  </si>
  <si>
    <t>AUDITORIA TÉCNICA DAS ALTERAÇÕES REALIZADAS</t>
  </si>
  <si>
    <t>Tipo</t>
  </si>
  <si>
    <t>Local</t>
  </si>
  <si>
    <t>Situação original</t>
  </si>
  <si>
    <t>Ação realizada</t>
  </si>
  <si>
    <t>Fundamento técnico</t>
  </si>
  <si>
    <t>Impacto esperado</t>
  </si>
  <si>
    <t>Erro de referência</t>
  </si>
  <si>
    <t>Und Saúde!C2</t>
  </si>
  <si>
    <t>Fórmula original continha referências inválidas em série na soma de colaboradores.</t>
  </si>
  <si>
    <t>Substituída por =IFERROR('Quadro Resumo'!L12,0)</t>
  </si>
  <si>
    <t>Preservação de vínculo entre abas e controle de erro</t>
  </si>
  <si>
    <t>Total de colaboradores passa a apontar para o resumo consolidado</t>
  </si>
  <si>
    <t>Quadro Resumo!G8</t>
  </si>
  <si>
    <t>Fórmula original continha referência inválida e a linha apontava para aba de escala 12x36.</t>
  </si>
  <si>
    <t>Linha 8 vinculada à aba Servente 44hrs 40% Insa, incluindo G8</t>
  </si>
  <si>
    <t>Regra de links cross-sheet e células exatas</t>
  </si>
  <si>
    <t>Elimina quebra e evita duplicidade de 12x36</t>
  </si>
  <si>
    <t>CCT 2026</t>
  </si>
  <si>
    <t>Módulos de cálculo</t>
  </si>
  <si>
    <t>Dedução hardcoded de R$120,00 no prêmio cesta básica</t>
  </si>
  <si>
    <t>Dedução ajustada para referência ao parâmetro de R$130,00</t>
  </si>
  <si>
    <t>Cláusula décima segunda da CCT</t>
  </si>
  <si>
    <t>Compatibiliza base de reposição com benefício vigente</t>
  </si>
  <si>
    <t>Valores obrigatórios dispersos nas abas</t>
  </si>
  <si>
    <t>Criada aba Parâmetros CCT 2026 e vínculos diretos</t>
  </si>
  <si>
    <t>Cláusulas 11, 12, 14, 15, 18 e 19</t>
  </si>
  <si>
    <t>Melhora rastreabilidade e reduz risco de divergência</t>
  </si>
  <si>
    <t>Implementado</t>
  </si>
  <si>
    <t>Dimensionamento</t>
  </si>
  <si>
    <t>Nova aba Dimensionamento Revisado</t>
  </si>
  <si>
    <t>Tabela ETP existia em arquivo apartado</t>
  </si>
  <si>
    <t>Tabela incorporada com status, insalubridade e somatórios por escala</t>
  </si>
  <si>
    <t>IN SEGES/MPDG nº 05/2017 e Caderno de Logística SEGES/ME 2021 conforme anexo ETP</t>
  </si>
  <si>
    <t>Facilita análise de suficiência por unidade</t>
  </si>
  <si>
    <t>Melhoria visual</t>
  </si>
  <si>
    <t>Todas as abas principais</t>
  </si>
  <si>
    <t>Formatação heterogênea</t>
  </si>
  <si>
    <t>Cabeçalhos, congelamento de painéis, cores discretas, fórmulas destacadas</t>
  </si>
  <si>
    <t>Boa prática de layout Inputs → Calcs → Outputs</t>
  </si>
  <si>
    <t>Leitura e fiscalização mais claras</t>
  </si>
  <si>
    <t>Recurso leve</t>
  </si>
  <si>
    <t>Aba vazia</t>
  </si>
  <si>
    <t>Painel executivo com cenário Base/Conservador +5%</t>
  </si>
  <si>
    <t>Delight feature enxuta, sem alterar cálculos oficiais</t>
  </si>
  <si>
    <t>Apoia leitura gerencial imediata</t>
  </si>
  <si>
    <t>E22:G22</t>
  </si>
  <si>
    <t>A segunda tabela mantinha valor fixo histórico para Supervisor, divergente da composição calculada em Calculo Supervisor!B140.</t>
  </si>
  <si>
    <t>E22 = IFERROR('Calculo Supervisor'!B140,0); F22 = IFERROR(E22*D22,0); G22 = IFERROR(F22*12,0)</t>
  </si>
  <si>
    <t>Alinhar as duas tabelas do Quadro Resumo à mesma fonte calculada do Supervisor.</t>
  </si>
  <si>
    <t>Alta</t>
  </si>
  <si>
    <t>L7:L12; D17:D27</t>
  </si>
  <si>
    <t>A segunda tabela somava quantitativo antigo de 87 postos, incluindo serviços que não são serventes da Tabela de Postos.</t>
  </si>
  <si>
    <t>Quantitativos vinculados por SUMIFS à aba Dimensionamento Revisado; total de serventes passa a ser 72, com supervisor e serviços acessórios zerados no quantitativo de serventes.</t>
  </si>
  <si>
    <t>Atender à orientação do usuário de considerar apenas o quantitativo de serventes da tabela de postos.</t>
  </si>
  <si>
    <t>MEMÓRIA DE REVISÃO E AUTOCHECAGEM DAS 8 REGRAS</t>
  </si>
  <si>
    <t>Regra</t>
  </si>
  <si>
    <t>Checagem</t>
  </si>
  <si>
    <t>Evidência na planilha</t>
  </si>
  <si>
    <t>Resultado</t>
  </si>
  <si>
    <t>A1 syntax only</t>
  </si>
  <si>
    <t>Fórmulas escritas com referências A1; sem referências estruturadas com @.</t>
  </si>
  <si>
    <t>Ex.: =IFERROR('Quadro Resumo'!M12,0)</t>
  </si>
  <si>
    <t>Atendido</t>
  </si>
  <si>
    <t>Links cross-sheet</t>
  </si>
  <si>
    <t>Links entre abas no formato 'Nome da Aba'!A1 com âncoras quando necessário.</t>
  </si>
  <si>
    <t>Ex.: ='Parâmetros CCT 2026'!$B$14</t>
  </si>
  <si>
    <t>Funções apropriadas</t>
  </si>
  <si>
    <t>Uso de IFERROR, SUM, SUMIFS e IFS; sem funções voláteis.</t>
  </si>
  <si>
    <t>Dimensionamento Revisado usa SUMIFS e IFS.</t>
  </si>
  <si>
    <t>Precisão e unidades</t>
  </si>
  <si>
    <t>Parâmetros indicam R$/mês, %, dias/mês e horas/mês.</t>
  </si>
  <si>
    <t>Aba Parâmetros CCT 2026.</t>
  </si>
  <si>
    <t>Controle de erros</t>
  </si>
  <si>
    <t>Riscos de divisão, referência e totalização envolvidos com IFERROR.</t>
  </si>
  <si>
    <t>Quadro Resumo e fórmulas críticas.</t>
  </si>
  <si>
    <t>Layout</t>
  </si>
  <si>
    <t>Inputs, Calcs e Outputs separados; painéis congelados e resultados destacados.</t>
  </si>
  <si>
    <t>Parâmetros, cálculos originais, Quadro Resumo/Interface.</t>
  </si>
  <si>
    <t>Operações estruturais</t>
  </si>
  <si>
    <t>Dimensionamento incorporado com filtros, status e somatórios legíveis.</t>
  </si>
  <si>
    <t>Aba Dimensionamento Revisado.</t>
  </si>
  <si>
    <t>Light delight</t>
  </si>
  <si>
    <t>Incluído cenário gerencial simples sem sobreengenharia.</t>
  </si>
  <si>
    <t>Interface!B4 Base/Conservador +5%.</t>
  </si>
  <si>
    <t>PAINEL EXECUTIVO — Lote 2</t>
  </si>
  <si>
    <t>Resumo simples de conferência: custo por trabalhador, quantitativo ETP adotado, valor mensal e valor anual. Este painel é o recurso adicional leve de validação rápida.</t>
  </si>
  <si>
    <t>Indicador</t>
  </si>
  <si>
    <t>Origem</t>
  </si>
  <si>
    <t>Valor por trabalhador</t>
  </si>
  <si>
    <t>Quadro Resumo!K7</t>
  </si>
  <si>
    <t>Composição completa por posto.</t>
  </si>
  <si>
    <t>Postos adotados ETP</t>
  </si>
  <si>
    <t>postos</t>
  </si>
  <si>
    <t>Dimensionamento ETP!M6</t>
  </si>
  <si>
    <t>Não usa quantidade fixa legada.</t>
  </si>
  <si>
    <t>Quadro Resumo!M7</t>
  </si>
  <si>
    <t>Valor mensal do lote.</t>
  </si>
  <si>
    <t>R$/ano</t>
  </si>
  <si>
    <t>Quadro Resumo!N7</t>
  </si>
  <si>
    <t>Mensal multiplicado por 12.</t>
  </si>
  <si>
    <t>Quadro Resumo!M7 e F9</t>
  </si>
  <si>
    <t>Deve ser zero após a correção.</t>
  </si>
  <si>
    <t>PARÂMETROS CCT 2026 — SERVIÇOS AUXILIARES SMS CORUMBÁ/MS (Controle de vetores e pragas urbanas )</t>
  </si>
  <si>
    <t>Inputs controlados para rastreabilidade dos cálculos. A planilha foi ajustada para evitar valores hardcoded desatualizados e manter as mesmas premissas da primeira revisão.</t>
  </si>
  <si>
    <t>Fundamento</t>
  </si>
  <si>
    <t>Cláusula terceira da CCT 2026</t>
  </si>
  <si>
    <t>Valor utilizado nas planilhas originais e centralizado para rastreabilidade.</t>
  </si>
  <si>
    <t>Cláusula nona da CCT 2026</t>
  </si>
  <si>
    <t>Base preservada das planilhas originais para 2026.</t>
  </si>
  <si>
    <t>Insalubridade grau médio</t>
  </si>
  <si>
    <t>Lote 2 — vetores e pragas</t>
  </si>
  <si>
    <t>ETP Lote 2 e CCT 2026</t>
  </si>
  <si>
    <t>Aplicável ao Lote 2 conforme indicação de 20% no dimensionamento.</t>
  </si>
  <si>
    <t>Quando houver laudo e atividade de alto risco</t>
  </si>
  <si>
    <t>Parâmetro mantido para conferência; não aplicado aos Lotes 3 e 4 neste ajuste.</t>
  </si>
  <si>
    <t>Cláusula décima quarta da CCT 2026</t>
  </si>
  <si>
    <t>Integral inclusive para tempo parcial, conforme regra da CCT.</t>
  </si>
  <si>
    <t>Cláusula décima quinta da CCT 2026</t>
  </si>
  <si>
    <t>Mantida tarifa utilizada na planilha original; desconto legal de 6%.</t>
  </si>
  <si>
    <t>Incide sobre o salário base.</t>
  </si>
  <si>
    <t>Cláusula décima oitava da CCT 2026</t>
  </si>
  <si>
    <t>Obrigatório em planilhas de custos.</t>
  </si>
  <si>
    <t>Cláusula décima nona da CCT 2026</t>
  </si>
  <si>
    <t>Não pode ser descontado do empregado; integra o preço.</t>
  </si>
  <si>
    <t>Cláusula décima segunda da CCT 2026</t>
  </si>
  <si>
    <t>Corrige bases antigas ou zeradas, conforme ajuste realizado na primeira planilha.</t>
  </si>
  <si>
    <t>Cláusula décima primeira da CCT 2026</t>
  </si>
  <si>
    <t>Mantido como parâmetro de conferência, sem aplicação automática nestes lotes.</t>
  </si>
  <si>
    <t>Vale-transporte</t>
  </si>
  <si>
    <t>Parâmetro usado nos lotes auxiliares 44h.</t>
  </si>
  <si>
    <t>Servente Dedetização, Desratização e Descupinização</t>
  </si>
  <si>
    <t>QUADRO RESUMO (Controle de vetores e pragas urbanas )</t>
  </si>
  <si>
    <t>Dedetização, desratização e descupinização 44h</t>
  </si>
  <si>
    <t>LOTE 2 — CONTROLE DE VETORES E PRAGAS: DIMENSIONAMENTO DE POSTOS</t>
  </si>
  <si>
    <t>SÍNTESE USADA NO QUADRO RESUMO</t>
  </si>
  <si>
    <t>Critério: Frequência normativa × Nº unidades ÷ Capacidade operacional diária da equipe</t>
  </si>
  <si>
    <t>Base: RDC ANVISA nº 52/2009 | ABNT NBR 14.922 | Portaria MS nº 2.914/2011</t>
  </si>
  <si>
    <t>Lote 2</t>
  </si>
  <si>
    <t>SEÇÃO 1 — RELAÇÃO DE UNIDADES E SERVIÇOS DEMANDADOS</t>
  </si>
  <si>
    <t>Equivalente calculado</t>
  </si>
  <si>
    <t>Desinset.
(trimest.)</t>
  </si>
  <si>
    <t>Desrat.
(trimest.)</t>
  </si>
  <si>
    <t>Descupin.
(semest.)</t>
  </si>
  <si>
    <t>Piscina
(mensal)</t>
  </si>
  <si>
    <t>Bebed.
(mensal)</t>
  </si>
  <si>
    <t>Aplic.
/ano</t>
  </si>
  <si>
    <t>Tempo
(h/visit.)</t>
  </si>
  <si>
    <t>Postos adotados</t>
  </si>
  <si>
    <t>Academia com bebedouro</t>
  </si>
  <si>
    <t>Insalubridade adotada</t>
  </si>
  <si>
    <t>20% — grau médio, conforme dimensionamento ETP do Lote 2</t>
  </si>
  <si>
    <t>Unidade rural</t>
  </si>
  <si>
    <t>Depósito/armazenamento</t>
  </si>
  <si>
    <t>UBS padrão</t>
  </si>
  <si>
    <t>Área externa relevante</t>
  </si>
  <si>
    <t>Piscina terapêutica</t>
  </si>
  <si>
    <t>Piscina + área ext. 5.700m²</t>
  </si>
  <si>
    <t>Especialidades</t>
  </si>
  <si>
    <t>Saúde trabalhador</t>
  </si>
  <si>
    <t>Grande fluxo</t>
  </si>
  <si>
    <t>Área de várzea</t>
  </si>
  <si>
    <t>Admin.</t>
  </si>
  <si>
    <t>Lab. c/ área crítica</t>
  </si>
  <si>
    <t>PS 24h — prioridade</t>
  </si>
  <si>
    <t>Residencial 24h</t>
  </si>
  <si>
    <t>Urgência</t>
  </si>
  <si>
    <t>Área ext. relevante</t>
  </si>
  <si>
    <t>UPA 24h — prioridade</t>
  </si>
  <si>
    <t>Residencial</t>
  </si>
  <si>
    <t>TOTAL — 46 unidades</t>
  </si>
  <si>
    <t>SEÇÃO 2 — CÁLCULO DO NÚMERO DE POSTOS</t>
  </si>
  <si>
    <t>Serviço</t>
  </si>
  <si>
    <t>Memória de cálculo</t>
  </si>
  <si>
    <t>Dias/período</t>
  </si>
  <si>
    <t>Dias disponíveis</t>
  </si>
  <si>
    <t>Equiv. posto</t>
  </si>
  <si>
    <t>Desinsetização + Desratização (trimestral)</t>
  </si>
  <si>
    <t>46 unid.×2 serv.÷4 unid./dia=23 dias/trim.</t>
  </si>
  <si>
    <t>Aplicações simultâneas na mesma visita</t>
  </si>
  <si>
    <t>Descupinização (semestral)</t>
  </si>
  <si>
    <t>46 unid.÷4 unid./dia=12 dias/sem.</t>
  </si>
  <si>
    <t>Tratamento preventivo e corretivo</t>
  </si>
  <si>
    <t>Piscinas — CCZ + CAPS II + Aqua Park (mensal)</t>
  </si>
  <si>
    <t>3 piscinas ÷ 22 dias = 0.14 posto/mês</t>
  </si>
  <si>
    <t>Tratamento de água e limpeza</t>
  </si>
  <si>
    <t>Bebedouros e filtros (mensal)</t>
  </si>
  <si>
    <t>44 unid.÷8 unid./dia=6 dias</t>
  </si>
  <si>
    <t>Troca de velas e higienização</t>
  </si>
  <si>
    <t>Reserva técnica (emergências, relatórios, logística)</t>
  </si>
  <si>
    <t>20% sobre carga operacional mensal</t>
  </si>
  <si>
    <t>Chamados não programados</t>
  </si>
  <si>
    <t>SOMA DE EQUIVALENTES DE POSTO</t>
  </si>
  <si>
    <t>POSTOS ADOTADOS: 2 postos / 44h semanais / insalubridade 20%
Equivalente calculado = 1.05. Equipe mínima de 2 por exigência de segurança em campo e deslocamento simultâneo.</t>
  </si>
  <si>
    <t>RESUMO CONSOLIDADO — SERVIÇOS AUXILIARES (LOTES 2, 3 e 4): JUSTIFICATIVA DE POSTOS</t>
  </si>
  <si>
    <t>SMS Corumbá/MS — Critério: Disponibilidade Operacional + Frequência Normativa + Segurança do Trabalho</t>
  </si>
  <si>
    <t>Nº Unid.</t>
  </si>
  <si>
    <t>Instalações/Áreas</t>
  </si>
  <si>
    <t>Frequência</t>
  </si>
  <si>
    <t>Equiv.
posto calc.</t>
  </si>
  <si>
    <t>Fundamento técnico e normativo</t>
  </si>
  <si>
    <t>Controle de vetores e pragas</t>
  </si>
  <si>
    <t>46 unid. × 3–5 serv./ano</t>
  </si>
  <si>
    <t>Trimestral + demandas</t>
  </si>
  <si>
    <t>Equipe mínima de 2 para deslocamento simultâneo. Carga: 46 unid. × 4 aplic./ano ÷ 4 unid./dia = ~46 dias/ano. NR-33 (produtos químicos). Base: RDC ANVISA 52/2009 e ABNT NBR 14.922.</t>
  </si>
  <si>
    <t>Lote 3</t>
  </si>
  <si>
    <t>Reservatórios, piscinas, bebedouros e calhas</t>
  </si>
  <si>
    <t>108 caixas | 2 piscinas | 43 bebedouros</t>
  </si>
  <si>
    <t>Semestral/mensal</t>
  </si>
  <si>
    <t>Caixas d'água: 46×2/ano=88 serv./ano. Piscinas: 2×12/ano=36 visitas/ano. Soma mensal ≈ 0.47 postos. NR-33 (espaço confinado). Base: Portaria MS 2.914/2011.</t>
  </si>
  <si>
    <t>Lote 4</t>
  </si>
  <si>
    <t>Roçada, jardinagem, poda e áreas externas</t>
  </si>
  <si>
    <t>18,792.57 m² | CCZ: 5.700,79m² | UPA: 3.610,71m²</t>
  </si>
  <si>
    <t>Quinzenal</t>
  </si>
  <si>
    <t>Área ext. total: 18,792.57m² ÷ 5.000m²/dia ÷ 11dias/ciclo = 0.34p roçada. +capina(0.85p) +poda(0.18p) +reserva(0,15p) = 1.53p. NR-31 (roçadeira). Base: Caderno SEGES 2021.</t>
  </si>
  <si>
    <t>TOTAL GERAL — LOTES 2, 3 e 4 (SERVIÇOS AUXILIARES)</t>
  </si>
  <si>
    <t>NOTA PARA O ETP: O dimensionamento dos Lotes 2, 3 e 4 não utiliza o critério de produtividade por m² do Caderno de Logística SEGES/ME 2021, pois a natureza das atividades (controle sanitário periódico, trabalho em espaço confinado, operação de equipamentos motorizados, deslocamento entre 44+ unidades dispersas) não admite índice de produtividade objetivo por área. O número de 2 postos por lote corresponde à equipe mínima operacional, definida pela carga anual, pelas normas de segurança do trabalho (NR-33 — espaços confinados; NR-31 — máquinas; NR-6 — EPIs) e pela necessidade de deslocamento simultâneo. Fundamento: art. 40, I, Lei nº 14.133/2021; Caderno de Logística SEGES/ME 2021; IN SEGES/MPDG 05/2017.</t>
  </si>
  <si>
    <t>AUDITORIA TÉCNICA — REVISÃO DA PLANILHA</t>
  </si>
  <si>
    <t>Aba</t>
  </si>
  <si>
    <t>Células/área</t>
  </si>
  <si>
    <t>Ajuste realizado</t>
  </si>
  <si>
    <t>Regra atendida</t>
  </si>
  <si>
    <t>Evidência</t>
  </si>
  <si>
    <t>B5:B17</t>
  </si>
  <si>
    <t>Centralização de piso, mínimo, benefícios, prêmio cesta e dias úteis.</t>
  </si>
  <si>
    <t>Inputs → Calcs → Outputs; precisão; unidades.</t>
  </si>
  <si>
    <t>Valores parametrizados e formatados.</t>
  </si>
  <si>
    <t>C7, F7, C39:C45, C100</t>
  </si>
  <si>
    <t>Substituição de hardcoding por referências A1 à aba de parâmetros e correção do prêmio cesta para R$ 130,00.</t>
  </si>
  <si>
    <t>Funções não voláteis; erro controlado.</t>
  </si>
  <si>
    <t>Fórmulas com IFERROR onde há risco.</t>
  </si>
  <si>
    <t>M5:M7</t>
  </si>
  <si>
    <t>Incorporação do dimensionamento do lote e uso dos postos adotados.</t>
  </si>
  <si>
    <t>Vínculo entre ETP e resumo.</t>
  </si>
  <si>
    <t>Lote 2 vinculado ao quantitativo adotado.</t>
  </si>
  <si>
    <t>C7:N10</t>
  </si>
  <si>
    <t>Sincronização da primeira e da segunda tabela; remoção de valores fixos antigos.</t>
  </si>
  <si>
    <t>Clareza estrutural; consistência.</t>
  </si>
  <si>
    <t>Diferença mensal conferida no Painel Executivo.</t>
  </si>
  <si>
    <t>A4:F9</t>
  </si>
  <si>
    <t>Adição de KPI banner leve com conferência instantânea.</t>
  </si>
  <si>
    <t>Delight sem over-engineering.</t>
  </si>
  <si>
    <t>Indicador de diferença entre tabelas.</t>
  </si>
  <si>
    <t>PAINEL EXECUTIVO — Lote 3</t>
  </si>
  <si>
    <t>PARÂMETROS CCT 2026 — SERVIÇOS AUXILIARES SMS CORUMBÁ/MS (Limpeza, desinfecção e manutenção de caixas d’água, reservatórios, piscinas, bebedouros, calhas e filtros de ar-condicionado)</t>
  </si>
  <si>
    <t>Descrição Piscineiro e Reservatórios</t>
  </si>
  <si>
    <t>Luvas de borracha (par)</t>
  </si>
  <si>
    <t>Meia de algodão (par)</t>
  </si>
  <si>
    <t>Servente Limpeza de Reservatório e Piscina</t>
  </si>
  <si>
    <t>Outros: DAS GRATIFICAÇÕES ESPECIFICAS DE FUNÇÕES CCT  2026/2026 (piscineiro)</t>
  </si>
  <si>
    <t>Reservatório e Piscinas</t>
  </si>
  <si>
    <t>QUADRO RESUMO (Limpeza, desinfecção e manutenção de caixas d’água, reservatórios, piscinas, bebedouros, calhas e filtros de ar-condicionado)</t>
  </si>
  <si>
    <t>Reservatórios e piscinas 44h</t>
  </si>
  <si>
    <t>LOTE 3 — LIMPEZA DE RESERVATÓRIOS, PISCINAS E CORRELATOS: DIMENSIONAMENTO</t>
  </si>
  <si>
    <t>Critério: Frequência obrigatória × Nº instalações × Tempo médio ÷ Horas disponíveis/mês</t>
  </si>
  <si>
    <t>Base: Portaria MS nº 2.914/2011 | NBR 5.626 | Resolução CVS-5/2013 | ABNT NBR 10.844</t>
  </si>
  <si>
    <t>SEÇÃO 1 — RELAÇÃO DE UNIDADES E INSTALAÇÕES</t>
  </si>
  <si>
    <t>Cx d'água</t>
  </si>
  <si>
    <t>Volume (L)</t>
  </si>
  <si>
    <t>Bebed.</t>
  </si>
  <si>
    <t>Calha</t>
  </si>
  <si>
    <t>Cx Gord.</t>
  </si>
  <si>
    <t>Aplic./ano</t>
  </si>
  <si>
    <t>Caixas padrão 2.000L</t>
  </si>
  <si>
    <t>0% — mantido conforme planilha original e ETP</t>
  </si>
  <si>
    <t>Unidade rural, calha</t>
  </si>
  <si>
    <t>Grande volume + cx gordura</t>
  </si>
  <si>
    <t>Volume médio</t>
  </si>
  <si>
    <t>Com calha</t>
  </si>
  <si>
    <t>Piscina terapêutica + calha</t>
  </si>
  <si>
    <t>Piscina grande + vol. elevado</t>
  </si>
  <si>
    <t>Especialidades, calha</t>
  </si>
  <si>
    <t>Grande porte</t>
  </si>
  <si>
    <t>Área de várzea, calha</t>
  </si>
  <si>
    <t>Unidade rural pequena</t>
  </si>
  <si>
    <t>Rural, calha</t>
  </si>
  <si>
    <t>Rural pequena</t>
  </si>
  <si>
    <t>Admin. + cx gordura</t>
  </si>
  <si>
    <t>Lab. — cx gordura</t>
  </si>
  <si>
    <t>Grande UBS</t>
  </si>
  <si>
    <t>Grande porte, cx gordura</t>
  </si>
  <si>
    <t>24h, calha</t>
  </si>
  <si>
    <t>Urgência, calha</t>
  </si>
  <si>
    <t>Grande ESF</t>
  </si>
  <si>
    <t>Rural</t>
  </si>
  <si>
    <t>Serv./mês</t>
  </si>
  <si>
    <t>h/serviço</t>
  </si>
  <si>
    <t>h/mês</t>
  </si>
  <si>
    <t>Limpeza/desinfecção de caixas d'água (semestral)</t>
  </si>
  <si>
    <t>46 unid.×2/ano÷12=7.7/mês × 3,5h = 26.8h/mês</t>
  </si>
  <si>
    <t>Esvaziamento, escovação, hipoclorito, enchimento</t>
  </si>
  <si>
    <t>Manutenção e tratamento de piscinas (mensal)</t>
  </si>
  <si>
    <t>3 piscinas × 12/ano÷12 = 3/mês × 4,0h = 12,0h/mês</t>
  </si>
  <si>
    <t>CCZ (grande) + CAPS II + Aqua Park</t>
  </si>
  <si>
    <t>Higienização de bebedouros (mensal)</t>
  </si>
  <si>
    <t>43 unid.×1/mês×0,5h = 21.5h/mês</t>
  </si>
  <si>
    <t>Troca de velas e sanitização</t>
  </si>
  <si>
    <t>Limpeza de calhas e caixas de gordura (semestral)</t>
  </si>
  <si>
    <t>~30 unid. com calha × 2/ano÷12 = 5/mês × 2,0h = 10,0h/mês</t>
  </si>
  <si>
    <t>Calhas, rufos e caixas de gordura</t>
  </si>
  <si>
    <t>Reserva — deslocamento, laudos e emergências</t>
  </si>
  <si>
    <t>15% sobre carga total estimada de 70.3h/mês</t>
  </si>
  <si>
    <t>Registros técnicos e trajetos entre unidades</t>
  </si>
  <si>
    <t>POSTOS ADOTADOS: 2 postos / 44h semanais
Equivalente calculado = 0.47. Exige 2 profissionais para trabalho em espaço confinado (NR-33), uso de produtos químicos e manuseio de equipamentos em altura.</t>
  </si>
  <si>
    <t>Lote 3 vinculado ao quantitativo adotado.</t>
  </si>
  <si>
    <t>PAINEL EXECUTIVO — Lote 4</t>
  </si>
  <si>
    <t>PARÂMETROS CCT 2026 — SERVIÇOS AUXILIARES SMS CORUMBÁ/MS (Roçada, jardinagem, poda, limpeza de áreas externas)</t>
  </si>
  <si>
    <t>Servente de Roçada, Jardinagem, Poda e Calha</t>
  </si>
  <si>
    <t>Outros: DAS GRATIFICAÇÕES ESPECIFICAS DE FUNÇÕES CCT  2026/2026 (JARDINAGEM)</t>
  </si>
  <si>
    <t>Roçada, Jardinagem, Poda e Calha</t>
  </si>
  <si>
    <t>QUADRO RESUMO (Roçada, jardinagem, poda, limpeza de áreas externas)</t>
  </si>
  <si>
    <t>Roçada, jardinagem, poda e calha 44h</t>
  </si>
  <si>
    <t>LOTE 4 — ROÇADA, JARDINAGEM, PODA E ÁREAS EXTERNAS: DIMENSIONAMENTO</t>
  </si>
  <si>
    <t>Área externa total: 18,792.57 m² (inclui CCZ 5.700,79m² e UPA 3.610,71m²) | Produt. roçada: 5.000 m²/dia | Freq.: quinzenal</t>
  </si>
  <si>
    <t>Base: Caderno de Logística SEGES/ME 2021 | NBR 14.653 | NR-31 (máquinas agrícolas)</t>
  </si>
  <si>
    <t>SEÇÃO 1 — RELAÇÃO DE UNIDADES E ÁREAS EXTERNAS</t>
  </si>
  <si>
    <t>Área Ext. (m²)</t>
  </si>
  <si>
    <t>Roçada</t>
  </si>
  <si>
    <t>Capina</t>
  </si>
  <si>
    <t>Poda</t>
  </si>
  <si>
    <t>Freq./mês</t>
  </si>
  <si>
    <t>m²/mês efet.</t>
  </si>
  <si>
    <t>Jardim + poda</t>
  </si>
  <si>
    <t>Rural — capina + poda</t>
  </si>
  <si>
    <t>Grande área + calha</t>
  </si>
  <si>
    <t>Pequena área</t>
  </si>
  <si>
    <t>Jardim terapêutico</t>
  </si>
  <si>
    <t>Jardim</t>
  </si>
  <si>
    <t>Piscina ext. + jardim</t>
  </si>
  <si>
    <t>MAIOR ÁREA — 5.700,79m²</t>
  </si>
  <si>
    <t>Jardim + calha</t>
  </si>
  <si>
    <t>Grande área + poda</t>
  </si>
  <si>
    <t>Capina + poda</t>
  </si>
  <si>
    <t>Capina + calha</t>
  </si>
  <si>
    <t>Capina + poda + calha</t>
  </si>
  <si>
    <t>Jardim pequeno</t>
  </si>
  <si>
    <t>Grande área PS</t>
  </si>
  <si>
    <t>Maior ESF</t>
  </si>
  <si>
    <t>MAIOR ÁREA — 3.610,71m²</t>
  </si>
  <si>
    <t>Jardim terapêutico 24h</t>
  </si>
  <si>
    <t>TOTAL — 37 unidades</t>
  </si>
  <si>
    <t>Área/Qtd.</t>
  </si>
  <si>
    <t>Produt./dia</t>
  </si>
  <si>
    <t>Roçada mecanizada com roçadeira costal (quinzenal)</t>
  </si>
  <si>
    <t>18,792.57m²÷5,000m²/dia÷11dias/ciclo = 0.34p</t>
  </si>
  <si>
    <t>CCZ(5.700,79m²) + UPA(3.610,71m²) + outras 35 unid. = 18,792.57m²</t>
  </si>
  <si>
    <t>Capina manual — áreas de difícil acesso (20% da área total)</t>
  </si>
  <si>
    <t>3,758.51m² ÷ 200m²/dia ÷ 22dias = 0.85p</t>
  </si>
  <si>
    <t>Bordas de calçada, canteiros, acessos internos</t>
  </si>
  <si>
    <t>Poda de árvores e arbustos (trimestral)</t>
  </si>
  <si>
    <t>37 unid.×1poda/trim.÷3meses = ~12/mês × 0,33dia/poda = 0.18p</t>
  </si>
  <si>
    <t>Coleta e destinação de resíduos vegetais incluída</t>
  </si>
  <si>
    <t>Reserva — deslocamento, carregamento de equipamentos e emergências</t>
  </si>
  <si>
    <t>15% sobre carga total estimada</t>
  </si>
  <si>
    <t>Unidades dispersas; transporte de roçadeiras, escadas e EPI</t>
  </si>
  <si>
    <t>POSTOS ADOTADOS: 2 postos / 44h semanais
Equivalente = 1.53. Área ext. total = 18,792.57m² (incl. CCZ 5.700,79m²). Exige 2 por segurança operacional (NR-31: roçadeira; escada para poda; manuseio de resíduos volumosos).</t>
  </si>
  <si>
    <t>Lote 4 vinculado ao quantitativo adotado.</t>
  </si>
  <si>
    <t>Subtotal antes da incidência do Submódulo 2.2</t>
  </si>
  <si>
    <t>Incidência do Submódulo 2.2 sobre o Submódulo 4.1</t>
  </si>
  <si>
    <t xml:space="preserve"> Substituto na cobertura de Intervalo para repouso ou alimentação (1 hora)</t>
  </si>
  <si>
    <t>IN 05/2017 (retenção)</t>
  </si>
  <si>
    <t>Mantido para Rastreabilidade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</si>
</sst>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8" formatCode="&quot;R$&quot;\ #,##0.00;[Red]\-&quot;R$&quot;\ #,##0.00"/>
    <numFmt numFmtId="44" formatCode="_-&quot;R$&quot;\ * #,##0.00_-;\-&quot;R$&quot;\ * #,##0.00_-;_-&quot;R$&quot;\ * &quot;-&quot;??_-;_-@_-"/>
    <numFmt numFmtId="164" formatCode="&quot;R$ &quot;#,##0.00"/>
    <numFmt numFmtId="165" formatCode="[$R$-416]\ #,##0.00;[Red][$R$-416]\ #,##0.00"/>
    <numFmt numFmtId="166" formatCode="[$R$-416]\ #,##0.00;[Red]\-[$R$-416]\ #,##0.00"/>
    <numFmt numFmtId="167" formatCode="m/d/yyyy"/>
    <numFmt numFmtId="168" formatCode="&quot;R$&quot;\ #,##0.00"/>
  </numFmts>
  <fonts count="19" x14ac:knownFonts="1">
    <font>
      <sz val="11"/>
      <color rgb="FF000000"/>
      <name val="Calibri"/>
      <family val="2"/>
      <charset val="1"/>
    </font>
    <font>
      <b/>
      <sz val="12"/>
      <color rgb="FFFFFFFF"/>
      <name val="Calibri"/>
      <family val="2"/>
    </font>
    <font>
      <sz val="10"/>
      <color rgb="FF000000"/>
      <name val="Calibri"/>
      <family val="2"/>
    </font>
    <font>
      <b/>
      <sz val="10"/>
      <color rgb="FF000000"/>
      <name val="Calibri"/>
      <family val="2"/>
    </font>
    <font>
      <sz val="11"/>
      <color rgb="FF000000"/>
      <name val="Arial"/>
      <family val="2"/>
    </font>
    <font>
      <b/>
      <sz val="12"/>
      <color rgb="FFFFFFFF"/>
      <name val="Calibri"/>
      <family val="2"/>
      <charset val="1"/>
    </font>
    <font>
      <sz val="11"/>
      <color rgb="FF000000"/>
      <name val="Times New Roman"/>
      <family val="1"/>
      <charset val="1"/>
    </font>
    <font>
      <sz val="10"/>
      <color rgb="FF000000"/>
      <name val="Times New Roman"/>
      <family val="1"/>
      <charset val="1"/>
    </font>
    <font>
      <b/>
      <sz val="11"/>
      <color rgb="FF000000"/>
      <name val="Times New Roman"/>
      <family val="1"/>
      <charset val="1"/>
    </font>
    <font>
      <sz val="10"/>
      <color rgb="FF000000"/>
      <name val="Calibri"/>
      <family val="2"/>
      <charset val="1"/>
    </font>
    <font>
      <b/>
      <sz val="10"/>
      <color rgb="FF000000"/>
      <name val="Calibri"/>
      <family val="2"/>
      <charset val="1"/>
    </font>
    <font>
      <b/>
      <sz val="10"/>
      <color rgb="FFFF0000"/>
      <name val="Calibri"/>
      <family val="2"/>
    </font>
    <font>
      <sz val="10"/>
      <color rgb="FF000000"/>
      <name val="Calibri"/>
      <family val="2"/>
      <scheme val="minor"/>
    </font>
    <font>
      <sz val="11"/>
      <color indexed="8"/>
      <name val="Calibri"/>
      <family val="2"/>
    </font>
    <font>
      <u/>
      <sz val="11"/>
      <color theme="10"/>
      <name val="Calibri"/>
      <family val="2"/>
      <charset val="1"/>
    </font>
    <font>
      <sz val="11"/>
      <color rgb="FF000000"/>
      <name val="Calibri"/>
      <family val="2"/>
      <charset val="1"/>
    </font>
    <font>
      <sz val="9"/>
      <color indexed="81"/>
      <name val="Segoe UI"/>
      <family val="2"/>
    </font>
    <font>
      <b/>
      <sz val="9"/>
      <color indexed="81"/>
      <name val="Segoe UI"/>
      <family val="2"/>
    </font>
    <font>
      <b/>
      <sz val="10"/>
      <name val="Calibri"/>
      <family val="2"/>
    </font>
  </fonts>
  <fills count="8">
    <fill>
      <patternFill patternType="none"/>
    </fill>
    <fill>
      <patternFill patternType="gray125"/>
    </fill>
    <fill>
      <patternFill patternType="solid">
        <fgColor rgb="FF1F4E78"/>
        <bgColor rgb="FF003366"/>
      </patternFill>
    </fill>
    <fill>
      <patternFill patternType="solid">
        <fgColor rgb="FFD9EAF7"/>
        <bgColor rgb="FFDDEBF7"/>
      </patternFill>
    </fill>
    <fill>
      <patternFill patternType="solid">
        <fgColor rgb="FFDDEBF7"/>
        <bgColor rgb="FFD9EAF7"/>
      </patternFill>
    </fill>
    <fill>
      <patternFill patternType="solid">
        <fgColor rgb="FFD9E1F2"/>
        <bgColor rgb="FFD9E2F3"/>
      </patternFill>
    </fill>
    <fill>
      <patternFill patternType="solid">
        <fgColor rgb="FFEEECE1"/>
        <bgColor rgb="FFDDEBF7"/>
      </patternFill>
    </fill>
    <fill>
      <patternFill patternType="solid">
        <fgColor rgb="FFD9EAF7"/>
        <bgColor indexed="64"/>
      </patternFill>
    </fill>
  </fills>
  <borders count="24">
    <border>
      <left/>
      <right/>
      <top/>
      <bottom/>
      <diagonal/>
    </border>
    <border>
      <left style="thin">
        <color rgb="FFB7B7B7"/>
      </left>
      <right style="thin">
        <color rgb="FFB7B7B7"/>
      </right>
      <top style="medium">
        <color rgb="FF1F4E78"/>
      </top>
      <bottom style="medium">
        <color rgb="FF1F4E78"/>
      </bottom>
      <diagonal/>
    </border>
    <border>
      <left/>
      <right/>
      <top style="medium">
        <color rgb="FF1F4E78"/>
      </top>
      <bottom style="medium">
        <color rgb="FF1F4E78"/>
      </bottom>
      <diagonal/>
    </border>
    <border>
      <left/>
      <right style="thin">
        <color rgb="FFB7B7B7"/>
      </right>
      <top style="medium">
        <color rgb="FF1F4E78"/>
      </top>
      <bottom style="medium">
        <color rgb="FF1F4E78"/>
      </bottom>
      <diagonal/>
    </border>
    <border>
      <left style="thin">
        <color rgb="FFB7B7B7"/>
      </left>
      <right style="thin">
        <color rgb="FFB7B7B7"/>
      </right>
      <top style="thin">
        <color rgb="FFB7B7B7"/>
      </top>
      <bottom style="thin">
        <color rgb="FFB7B7B7"/>
      </bottom>
      <diagonal/>
    </border>
    <border>
      <left style="thin">
        <color rgb="FFB7B7B7"/>
      </left>
      <right style="thin">
        <color rgb="FFB7B7B7"/>
      </right>
      <top/>
      <bottom style="medium">
        <color rgb="FF1F4E78"/>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rgb="FFC0C0C0"/>
      </left>
      <right/>
      <top style="double">
        <color rgb="FFC0C0C0"/>
      </top>
      <bottom style="double">
        <color rgb="FFC0C0C0"/>
      </bottom>
      <diagonal/>
    </border>
    <border>
      <left style="thin">
        <color rgb="FFB7B7B7"/>
      </left>
      <right style="thin">
        <color rgb="FFD9E2F3"/>
      </right>
      <top/>
      <bottom style="medium">
        <color rgb="FF1F4E78"/>
      </bottom>
      <diagonal/>
    </border>
    <border>
      <left style="thin">
        <color rgb="FFD9E2F3"/>
      </left>
      <right style="thin">
        <color rgb="FFD9E2F3"/>
      </right>
      <top style="thin">
        <color rgb="FFD9E2F3"/>
      </top>
      <bottom style="thin">
        <color rgb="FFD9E2F3"/>
      </bottom>
      <diagonal/>
    </border>
    <border>
      <left style="thin">
        <color rgb="FFB7B7B7"/>
      </left>
      <right style="thin">
        <color auto="1"/>
      </right>
      <top/>
      <bottom style="medium">
        <color rgb="FF1F4E78"/>
      </bottom>
      <diagonal/>
    </border>
    <border>
      <left style="thin">
        <color rgb="FFB7B7B7"/>
      </left>
      <right/>
      <top style="medium">
        <color rgb="FF1F4E78"/>
      </top>
      <bottom style="medium">
        <color rgb="FF1F4E78"/>
      </bottom>
      <diagonal/>
    </border>
    <border>
      <left/>
      <right/>
      <top style="medium">
        <color rgb="FF1F4E78"/>
      </top>
      <bottom/>
      <diagonal/>
    </border>
    <border>
      <left/>
      <right style="thin">
        <color rgb="FFB7B7B7"/>
      </right>
      <top style="medium">
        <color rgb="FF1F4E78"/>
      </top>
      <bottom/>
      <diagonal/>
    </border>
    <border>
      <left style="thin">
        <color rgb="FFB7B7B7"/>
      </left>
      <right/>
      <top/>
      <bottom style="medium">
        <color rgb="FF1F4E78"/>
      </bottom>
      <diagonal/>
    </border>
    <border>
      <left/>
      <right/>
      <top/>
      <bottom style="medium">
        <color rgb="FF1F4E78"/>
      </bottom>
      <diagonal/>
    </border>
    <border>
      <left/>
      <right style="thin">
        <color rgb="FFB7B7B7"/>
      </right>
      <top/>
      <bottom style="medium">
        <color rgb="FF1F4E78"/>
      </bottom>
      <diagonal/>
    </border>
    <border>
      <left style="thin">
        <color rgb="FFB7B7B7"/>
      </left>
      <right style="thin">
        <color rgb="FFB7B7B7"/>
      </right>
      <top/>
      <bottom/>
      <diagonal/>
    </border>
    <border>
      <left style="thin">
        <color rgb="FFB7B7B7"/>
      </left>
      <right style="thin">
        <color rgb="FFB7B7B7"/>
      </right>
      <top/>
      <bottom style="thin">
        <color rgb="FFB7B7B7"/>
      </bottom>
      <diagonal/>
    </border>
    <border>
      <left/>
      <right style="thin">
        <color rgb="FFD9E2F3"/>
      </right>
      <top/>
      <bottom style="medium">
        <color rgb="FF1F4E78"/>
      </bottom>
      <diagonal/>
    </border>
    <border>
      <left/>
      <right style="thin">
        <color auto="1"/>
      </right>
      <top/>
      <bottom style="medium">
        <color rgb="FF1F4E78"/>
      </bottom>
      <diagonal/>
    </border>
    <border>
      <left style="medium">
        <color rgb="FFB7B7B7"/>
      </left>
      <right style="medium">
        <color rgb="FFB7B7B7"/>
      </right>
      <top style="medium">
        <color rgb="FF1F4E78"/>
      </top>
      <bottom style="medium">
        <color rgb="FF1F4E78"/>
      </bottom>
      <diagonal/>
    </border>
    <border>
      <left style="medium">
        <color rgb="FFB7B7B7"/>
      </left>
      <right style="medium">
        <color rgb="FFB7B7B7"/>
      </right>
      <top/>
      <bottom style="medium">
        <color rgb="FF1F4E78"/>
      </bottom>
      <diagonal/>
    </border>
  </borders>
  <cellStyleXfs count="7">
    <xf numFmtId="0" fontId="0" fillId="0" borderId="0"/>
    <xf numFmtId="0" fontId="12" fillId="0" borderId="0"/>
    <xf numFmtId="9" fontId="12" fillId="0" borderId="0"/>
    <xf numFmtId="44" fontId="12" fillId="0" borderId="0"/>
    <xf numFmtId="9" fontId="13" fillId="0" borderId="0"/>
    <xf numFmtId="0" fontId="14" fillId="0" borderId="0" applyNumberFormat="0" applyFill="0" applyBorder="0" applyAlignment="0" applyProtection="0"/>
    <xf numFmtId="9" fontId="15" fillId="0" borderId="0" applyFont="0" applyFill="0" applyBorder="0" applyAlignment="0" applyProtection="0"/>
  </cellStyleXfs>
  <cellXfs count="146">
    <xf numFmtId="0" fontId="0" fillId="0" borderId="0" xfId="0"/>
    <xf numFmtId="10" fontId="2" fillId="0" borderId="4" xfId="0" applyNumberFormat="1" applyFont="1" applyBorder="1" applyAlignment="1">
      <alignment horizontal="right" vertical="center"/>
    </xf>
    <xf numFmtId="10" fontId="3" fillId="3" borderId="1" xfId="0" applyNumberFormat="1" applyFont="1" applyFill="1" applyBorder="1" applyAlignment="1">
      <alignment horizontal="center" vertical="center" wrapText="1"/>
    </xf>
    <xf numFmtId="0" fontId="3" fillId="3" borderId="1" xfId="0" applyFont="1" applyFill="1" applyBorder="1" applyAlignment="1">
      <alignment horizontal="center" vertical="center" wrapText="1"/>
    </xf>
    <xf numFmtId="10" fontId="1" fillId="2" borderId="1" xfId="0" applyNumberFormat="1" applyFont="1" applyFill="1" applyBorder="1" applyAlignment="1">
      <alignment horizontal="center" vertical="center" wrapText="1"/>
    </xf>
    <xf numFmtId="164" fontId="1" fillId="2" borderId="1" xfId="0" applyNumberFormat="1" applyFont="1" applyFill="1" applyBorder="1" applyAlignment="1">
      <alignment horizontal="center" vertical="center" wrapText="1"/>
    </xf>
    <xf numFmtId="164" fontId="3" fillId="4" borderId="1" xfId="0" applyNumberFormat="1" applyFont="1" applyFill="1" applyBorder="1" applyAlignment="1">
      <alignment horizontal="left" vertical="center" wrapText="1"/>
    </xf>
    <xf numFmtId="164" fontId="3" fillId="5" borderId="1" xfId="0" applyNumberFormat="1" applyFont="1" applyFill="1" applyBorder="1" applyAlignment="1">
      <alignment horizontal="center" vertical="center" wrapText="1"/>
    </xf>
    <xf numFmtId="0" fontId="3" fillId="5" borderId="1" xfId="0" applyFont="1" applyFill="1" applyBorder="1" applyAlignment="1">
      <alignment horizontal="center" vertical="center" wrapText="1"/>
    </xf>
    <xf numFmtId="0" fontId="2" fillId="0" borderId="0" xfId="0" applyFont="1" applyAlignment="1">
      <alignment horizontal="left" vertical="center"/>
    </xf>
    <xf numFmtId="0" fontId="3" fillId="4" borderId="1" xfId="0" applyFont="1" applyFill="1" applyBorder="1" applyAlignment="1">
      <alignment horizontal="left" vertical="center" wrapText="1"/>
    </xf>
    <xf numFmtId="0" fontId="1" fillId="2" borderId="1" xfId="0" applyFont="1" applyFill="1" applyBorder="1" applyAlignment="1">
      <alignment horizontal="center" vertical="center" wrapText="1"/>
    </xf>
    <xf numFmtId="164" fontId="3" fillId="3" borderId="1" xfId="0" applyNumberFormat="1" applyFont="1" applyFill="1" applyBorder="1" applyAlignment="1">
      <alignment horizontal="center" vertical="center" wrapText="1"/>
    </xf>
    <xf numFmtId="164" fontId="3" fillId="4" borderId="1" xfId="0" applyNumberFormat="1" applyFont="1" applyFill="1" applyBorder="1" applyAlignment="1">
      <alignment horizontal="right" vertical="center" wrapText="1"/>
    </xf>
    <xf numFmtId="0" fontId="3" fillId="4" borderId="1" xfId="0" applyFont="1" applyFill="1" applyBorder="1" applyAlignment="1">
      <alignment horizontal="right" vertical="center" wrapText="1"/>
    </xf>
    <xf numFmtId="0" fontId="0" fillId="0" borderId="2" xfId="0" applyBorder="1"/>
    <xf numFmtId="0" fontId="0" fillId="0" borderId="3" xfId="0" applyBorder="1"/>
    <xf numFmtId="0" fontId="2" fillId="0" borderId="4" xfId="0" applyFont="1" applyBorder="1" applyAlignment="1">
      <alignment horizontal="left" vertical="center"/>
    </xf>
    <xf numFmtId="164" fontId="2" fillId="0" borderId="4" xfId="0" applyNumberFormat="1" applyFont="1" applyBorder="1" applyAlignment="1">
      <alignment horizontal="right" vertical="center" wrapText="1"/>
    </xf>
    <xf numFmtId="164" fontId="2" fillId="0" borderId="4" xfId="0" applyNumberFormat="1" applyFont="1" applyBorder="1" applyAlignment="1">
      <alignment horizontal="right" vertical="center"/>
    </xf>
    <xf numFmtId="0" fontId="2" fillId="0" borderId="4" xfId="0" applyFont="1" applyBorder="1" applyAlignment="1">
      <alignment horizontal="left" vertical="center" wrapText="1"/>
    </xf>
    <xf numFmtId="0" fontId="4" fillId="6" borderId="0" xfId="0" applyFont="1" applyFill="1"/>
    <xf numFmtId="4" fontId="3" fillId="3" borderId="1" xfId="0" applyNumberFormat="1" applyFont="1" applyFill="1" applyBorder="1" applyAlignment="1">
      <alignment horizontal="center" vertical="center" wrapText="1"/>
    </xf>
    <xf numFmtId="164" fontId="2" fillId="0" borderId="4" xfId="0" applyNumberFormat="1" applyFont="1" applyBorder="1" applyAlignment="1">
      <alignment horizontal="left" vertical="center"/>
    </xf>
    <xf numFmtId="0" fontId="3" fillId="4" borderId="1" xfId="0" applyFont="1" applyFill="1" applyBorder="1" applyAlignment="1">
      <alignment horizontal="left" vertical="center"/>
    </xf>
    <xf numFmtId="4" fontId="3" fillId="4" borderId="1" xfId="0" applyNumberFormat="1" applyFont="1" applyFill="1" applyBorder="1" applyAlignment="1">
      <alignment horizontal="left" vertical="center" wrapText="1"/>
    </xf>
    <xf numFmtId="4" fontId="3" fillId="4" borderId="1" xfId="0" applyNumberFormat="1" applyFont="1" applyFill="1" applyBorder="1" applyAlignment="1">
      <alignment horizontal="right" vertical="center" wrapText="1"/>
    </xf>
    <xf numFmtId="10" fontId="3" fillId="4" borderId="1" xfId="0" applyNumberFormat="1" applyFont="1" applyFill="1" applyBorder="1" applyAlignment="1">
      <alignment horizontal="left" vertical="center" wrapText="1"/>
    </xf>
    <xf numFmtId="0" fontId="2" fillId="0" borderId="4" xfId="0" applyFont="1" applyBorder="1" applyAlignment="1">
      <alignment horizontal="right" vertical="center"/>
    </xf>
    <xf numFmtId="10" fontId="2" fillId="0" borderId="4" xfId="0" applyNumberFormat="1" applyFont="1" applyBorder="1" applyAlignment="1">
      <alignment horizontal="left" vertical="center" wrapText="1"/>
    </xf>
    <xf numFmtId="10" fontId="2" fillId="0" borderId="4" xfId="0" applyNumberFormat="1" applyFont="1" applyBorder="1" applyAlignment="1">
      <alignment horizontal="left" vertical="center"/>
    </xf>
    <xf numFmtId="0" fontId="4" fillId="0" borderId="0" xfId="0" applyFont="1"/>
    <xf numFmtId="10" fontId="3" fillId="5" borderId="1" xfId="0"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0" fontId="6" fillId="0" borderId="0" xfId="0" applyFont="1" applyAlignment="1">
      <alignment horizontal="center"/>
    </xf>
    <xf numFmtId="10" fontId="2" fillId="0" borderId="0" xfId="0" applyNumberFormat="1" applyFont="1" applyAlignment="1">
      <alignment horizontal="left" vertical="center"/>
    </xf>
    <xf numFmtId="10" fontId="3" fillId="4" borderId="1" xfId="0" applyNumberFormat="1" applyFont="1" applyFill="1" applyBorder="1" applyAlignment="1">
      <alignment horizontal="left" vertical="center"/>
    </xf>
    <xf numFmtId="0" fontId="2" fillId="0" borderId="6" xfId="0" applyFont="1" applyBorder="1" applyAlignment="1">
      <alignment horizontal="left" vertical="center"/>
    </xf>
    <xf numFmtId="164" fontId="2" fillId="0" borderId="4" xfId="0" applyNumberFormat="1" applyFont="1" applyBorder="1" applyAlignment="1">
      <alignment horizontal="left" vertical="center" wrapText="1"/>
    </xf>
    <xf numFmtId="10" fontId="2" fillId="0" borderId="6" xfId="0" applyNumberFormat="1" applyFont="1" applyBorder="1" applyAlignment="1">
      <alignment horizontal="left" vertical="center"/>
    </xf>
    <xf numFmtId="4" fontId="2" fillId="0" borderId="4" xfId="0" applyNumberFormat="1" applyFont="1" applyBorder="1" applyAlignment="1">
      <alignment horizontal="right" vertical="center"/>
    </xf>
    <xf numFmtId="0" fontId="7" fillId="0" borderId="0" xfId="0" applyFont="1"/>
    <xf numFmtId="165" fontId="3" fillId="3" borderId="1" xfId="0" applyNumberFormat="1" applyFont="1" applyFill="1" applyBorder="1" applyAlignment="1">
      <alignment horizontal="center" vertical="center" wrapText="1"/>
    </xf>
    <xf numFmtId="0" fontId="2" fillId="0" borderId="7" xfId="0" applyFont="1" applyBorder="1" applyAlignment="1">
      <alignment horizontal="left" vertical="center"/>
    </xf>
    <xf numFmtId="10" fontId="3" fillId="4" borderId="1" xfId="0" applyNumberFormat="1" applyFont="1" applyFill="1" applyBorder="1" applyAlignment="1">
      <alignment horizontal="right" vertical="center" wrapText="1"/>
    </xf>
    <xf numFmtId="0" fontId="8" fillId="0" borderId="6" xfId="0" applyFont="1" applyBorder="1" applyAlignment="1">
      <alignment horizontal="center"/>
    </xf>
    <xf numFmtId="10" fontId="6" fillId="0" borderId="6" xfId="0" applyNumberFormat="1" applyFont="1" applyBorder="1" applyAlignment="1">
      <alignment horizontal="center"/>
    </xf>
    <xf numFmtId="166" fontId="3" fillId="3" borderId="1" xfId="0" applyNumberFormat="1" applyFont="1" applyFill="1" applyBorder="1" applyAlignment="1">
      <alignment horizontal="center" vertical="center" wrapText="1"/>
    </xf>
    <xf numFmtId="0" fontId="2" fillId="0" borderId="8" xfId="0" applyFont="1" applyBorder="1" applyAlignment="1">
      <alignment horizontal="left" vertical="center"/>
    </xf>
    <xf numFmtId="165" fontId="2" fillId="0" borderId="0" xfId="0" applyNumberFormat="1" applyFont="1" applyAlignment="1">
      <alignment horizontal="left" vertical="center"/>
    </xf>
    <xf numFmtId="0" fontId="6" fillId="0" borderId="0" xfId="0" applyFont="1"/>
    <xf numFmtId="4" fontId="3" fillId="5" borderId="1" xfId="0" applyNumberFormat="1" applyFont="1" applyFill="1" applyBorder="1" applyAlignment="1">
      <alignment horizontal="center" vertical="center" wrapText="1"/>
    </xf>
    <xf numFmtId="0" fontId="2" fillId="0" borderId="10" xfId="0" applyFont="1" applyBorder="1" applyAlignment="1">
      <alignment horizontal="left" vertical="center"/>
    </xf>
    <xf numFmtId="167" fontId="3" fillId="4" borderId="1" xfId="0" applyNumberFormat="1" applyFont="1" applyFill="1" applyBorder="1" applyAlignment="1">
      <alignment horizontal="left" vertical="center" wrapText="1"/>
    </xf>
    <xf numFmtId="0" fontId="2" fillId="0" borderId="4" xfId="0" applyFont="1" applyBorder="1" applyAlignment="1">
      <alignment horizontal="right" vertical="center" wrapText="1"/>
    </xf>
    <xf numFmtId="167" fontId="3" fillId="5" borderId="1" xfId="0" applyNumberFormat="1" applyFont="1" applyFill="1" applyBorder="1" applyAlignment="1">
      <alignment horizontal="center" vertical="center" wrapText="1"/>
    </xf>
    <xf numFmtId="0" fontId="4" fillId="0" borderId="0" xfId="0" applyFont="1" applyAlignment="1">
      <alignment horizontal="center" vertical="center"/>
    </xf>
    <xf numFmtId="0" fontId="6" fillId="0" borderId="0" xfId="0" applyFont="1" applyAlignment="1">
      <alignment horizontal="center" vertical="center"/>
    </xf>
    <xf numFmtId="167" fontId="3" fillId="3" borderId="1" xfId="0" applyNumberFormat="1" applyFont="1" applyFill="1" applyBorder="1" applyAlignment="1">
      <alignment horizontal="center" vertical="center" wrapText="1"/>
    </xf>
    <xf numFmtId="167" fontId="3" fillId="4" borderId="1" xfId="0" applyNumberFormat="1" applyFont="1" applyFill="1" applyBorder="1" applyAlignment="1">
      <alignment horizontal="right" vertical="center" wrapText="1"/>
    </xf>
    <xf numFmtId="167" fontId="2" fillId="0" borderId="4" xfId="0" applyNumberFormat="1" applyFont="1" applyBorder="1" applyAlignment="1">
      <alignment horizontal="left" vertical="center" wrapText="1"/>
    </xf>
    <xf numFmtId="167" fontId="2" fillId="0" borderId="4" xfId="0" applyNumberFormat="1" applyFont="1" applyBorder="1" applyAlignment="1">
      <alignment horizontal="right" vertical="center"/>
    </xf>
    <xf numFmtId="167" fontId="2" fillId="0" borderId="4" xfId="0" applyNumberFormat="1" applyFont="1" applyBorder="1" applyAlignment="1">
      <alignment horizontal="left" vertical="center"/>
    </xf>
    <xf numFmtId="164" fontId="9" fillId="0" borderId="4" xfId="0" applyNumberFormat="1" applyFont="1" applyBorder="1" applyAlignment="1">
      <alignment horizontal="left" vertical="center" wrapText="1"/>
    </xf>
    <xf numFmtId="3" fontId="3" fillId="5" borderId="1" xfId="0" applyNumberFormat="1" applyFont="1" applyFill="1" applyBorder="1" applyAlignment="1">
      <alignment horizontal="center" vertical="center" wrapText="1"/>
    </xf>
    <xf numFmtId="3" fontId="3" fillId="3" borderId="1" xfId="0" applyNumberFormat="1" applyFont="1" applyFill="1" applyBorder="1" applyAlignment="1">
      <alignment horizontal="center" vertical="center" wrapText="1"/>
    </xf>
    <xf numFmtId="164" fontId="11" fillId="3" borderId="1" xfId="0" applyNumberFormat="1" applyFont="1" applyFill="1" applyBorder="1" applyAlignment="1">
      <alignment horizontal="center" vertical="center" wrapText="1"/>
    </xf>
    <xf numFmtId="10" fontId="11" fillId="3" borderId="1" xfId="0" applyNumberFormat="1" applyFont="1" applyFill="1" applyBorder="1" applyAlignment="1">
      <alignment horizontal="center" vertical="center" wrapText="1"/>
    </xf>
    <xf numFmtId="164" fontId="3" fillId="4" borderId="1" xfId="0" applyNumberFormat="1" applyFont="1" applyFill="1" applyBorder="1" applyAlignment="1">
      <alignment horizontal="center" vertical="center" wrapText="1"/>
    </xf>
    <xf numFmtId="10" fontId="3" fillId="4" borderId="1" xfId="0" applyNumberFormat="1" applyFont="1" applyFill="1" applyBorder="1" applyAlignment="1">
      <alignment horizontal="center" vertical="center" wrapText="1"/>
    </xf>
    <xf numFmtId="168" fontId="3" fillId="3" borderId="1" xfId="0" applyNumberFormat="1" applyFont="1" applyFill="1" applyBorder="1" applyAlignment="1">
      <alignment horizontal="center" vertical="center" wrapText="1"/>
    </xf>
    <xf numFmtId="164" fontId="3" fillId="5" borderId="12" xfId="0" applyNumberFormat="1" applyFont="1" applyFill="1" applyBorder="1" applyAlignment="1">
      <alignment horizontal="center" vertical="center" wrapText="1"/>
    </xf>
    <xf numFmtId="164" fontId="3" fillId="5" borderId="2" xfId="0" applyNumberFormat="1" applyFont="1" applyFill="1" applyBorder="1" applyAlignment="1">
      <alignment horizontal="center" vertical="center" wrapText="1"/>
    </xf>
    <xf numFmtId="164" fontId="3" fillId="5" borderId="3" xfId="0" applyNumberFormat="1" applyFont="1" applyFill="1" applyBorder="1" applyAlignment="1">
      <alignment horizontal="center" vertical="center" wrapText="1"/>
    </xf>
    <xf numFmtId="0" fontId="3" fillId="3" borderId="12" xfId="0" applyFont="1" applyFill="1" applyBorder="1" applyAlignment="1">
      <alignment horizontal="center" vertical="center" wrapText="1"/>
    </xf>
    <xf numFmtId="164" fontId="3" fillId="3" borderId="3" xfId="0" applyNumberFormat="1" applyFont="1" applyFill="1" applyBorder="1" applyAlignment="1">
      <alignment horizontal="center" vertical="center" wrapText="1"/>
    </xf>
    <xf numFmtId="10" fontId="3" fillId="3" borderId="12" xfId="0" applyNumberFormat="1" applyFont="1" applyFill="1" applyBorder="1" applyAlignment="1">
      <alignment horizontal="center" vertical="center" wrapText="1"/>
    </xf>
    <xf numFmtId="8" fontId="3" fillId="7" borderId="22" xfId="0" applyNumberFormat="1" applyFont="1" applyFill="1" applyBorder="1" applyAlignment="1">
      <alignment horizontal="center" vertical="center" wrapText="1"/>
    </xf>
    <xf numFmtId="8" fontId="3" fillId="7" borderId="23" xfId="0" applyNumberFormat="1" applyFont="1" applyFill="1" applyBorder="1" applyAlignment="1">
      <alignment horizontal="center" vertical="center" wrapText="1"/>
    </xf>
    <xf numFmtId="10" fontId="0" fillId="0" borderId="0" xfId="6" applyNumberFormat="1" applyFont="1"/>
    <xf numFmtId="164" fontId="18" fillId="3" borderId="1" xfId="0" applyNumberFormat="1" applyFont="1" applyFill="1" applyBorder="1" applyAlignment="1">
      <alignment horizontal="center" vertical="center" wrapText="1"/>
    </xf>
    <xf numFmtId="10" fontId="18" fillId="3" borderId="1" xfId="0" applyNumberFormat="1" applyFont="1" applyFill="1" applyBorder="1" applyAlignment="1">
      <alignment horizontal="center" vertical="center" wrapText="1"/>
    </xf>
    <xf numFmtId="164" fontId="3" fillId="3" borderId="1" xfId="0" applyNumberFormat="1" applyFont="1" applyFill="1" applyBorder="1" applyAlignment="1">
      <alignment vertical="center" wrapText="1"/>
    </xf>
    <xf numFmtId="164" fontId="2" fillId="0" borderId="4" xfId="0" applyNumberFormat="1" applyFont="1" applyBorder="1" applyAlignment="1">
      <alignment horizontal="center" vertical="center"/>
    </xf>
    <xf numFmtId="0" fontId="2" fillId="0" borderId="4" xfId="0" applyFont="1" applyBorder="1" applyAlignment="1">
      <alignment horizontal="center" vertical="center"/>
    </xf>
    <xf numFmtId="164" fontId="2" fillId="0" borderId="4" xfId="0" applyNumberFormat="1" applyFont="1" applyBorder="1" applyAlignment="1">
      <alignment horizontal="center" vertical="center" wrapText="1"/>
    </xf>
    <xf numFmtId="0" fontId="0" fillId="0" borderId="0" xfId="0" applyAlignment="1">
      <alignment horizontal="justify" vertical="center"/>
    </xf>
    <xf numFmtId="10" fontId="3" fillId="4" borderId="1" xfId="0" applyNumberFormat="1" applyFont="1" applyFill="1" applyBorder="1" applyAlignment="1">
      <alignment horizontal="justify" vertical="center" wrapText="1"/>
    </xf>
    <xf numFmtId="10" fontId="2" fillId="0" borderId="4" xfId="0" applyNumberFormat="1" applyFont="1" applyBorder="1" applyAlignment="1">
      <alignment horizontal="justify" vertical="center" wrapText="1"/>
    </xf>
    <xf numFmtId="10" fontId="2" fillId="0" borderId="4" xfId="0" applyNumberFormat="1" applyFont="1" applyBorder="1" applyAlignment="1">
      <alignment horizontal="justify" vertical="center"/>
    </xf>
    <xf numFmtId="0" fontId="2" fillId="0" borderId="0" xfId="0" applyFont="1" applyAlignment="1">
      <alignment horizontal="justify" vertical="center"/>
    </xf>
    <xf numFmtId="3" fontId="2" fillId="0" borderId="4" xfId="0" applyNumberFormat="1" applyFont="1" applyBorder="1" applyAlignment="1">
      <alignment horizontal="center" vertical="center"/>
    </xf>
    <xf numFmtId="0" fontId="2" fillId="0" borderId="0" xfId="0" applyFont="1" applyAlignment="1">
      <alignment horizontal="center" vertical="center"/>
    </xf>
    <xf numFmtId="4" fontId="2" fillId="0" borderId="4" xfId="0" applyNumberFormat="1" applyFont="1" applyBorder="1" applyAlignment="1">
      <alignment horizontal="center" vertical="center"/>
    </xf>
    <xf numFmtId="0" fontId="0" fillId="0" borderId="0" xfId="0" applyAlignment="1">
      <alignment horizontal="center" vertical="center"/>
    </xf>
    <xf numFmtId="164" fontId="2" fillId="0" borderId="4" xfId="0" applyNumberFormat="1" applyFont="1" applyBorder="1" applyAlignment="1">
      <alignment vertical="center"/>
    </xf>
    <xf numFmtId="10" fontId="2" fillId="0" borderId="4" xfId="0" applyNumberFormat="1" applyFont="1" applyBorder="1" applyAlignment="1">
      <alignment horizontal="center" vertical="center"/>
    </xf>
    <xf numFmtId="0" fontId="18" fillId="3" borderId="1" xfId="5" applyFont="1" applyFill="1" applyBorder="1" applyAlignment="1">
      <alignment horizontal="center" vertical="center" wrapText="1"/>
    </xf>
    <xf numFmtId="10" fontId="3" fillId="3" borderId="1" xfId="6" applyNumberFormat="1" applyFont="1" applyFill="1" applyBorder="1" applyAlignment="1">
      <alignment horizontal="center" vertical="center" wrapText="1"/>
    </xf>
    <xf numFmtId="10" fontId="2" fillId="0" borderId="4" xfId="6" applyNumberFormat="1" applyFont="1" applyBorder="1" applyAlignment="1">
      <alignment horizontal="center" vertical="center"/>
    </xf>
    <xf numFmtId="0" fontId="18" fillId="3" borderId="1" xfId="0" applyFont="1" applyFill="1" applyBorder="1" applyAlignment="1">
      <alignment horizontal="center" vertical="center" wrapText="1"/>
    </xf>
    <xf numFmtId="164" fontId="18" fillId="4" borderId="1" xfId="0" applyNumberFormat="1" applyFont="1" applyFill="1" applyBorder="1" applyAlignment="1">
      <alignment horizontal="center" vertical="center" wrapText="1"/>
    </xf>
    <xf numFmtId="10" fontId="18" fillId="4" borderId="1" xfId="0" applyNumberFormat="1" applyFont="1" applyFill="1" applyBorder="1" applyAlignment="1">
      <alignment horizontal="center" vertical="center" wrapText="1"/>
    </xf>
    <xf numFmtId="168" fontId="18" fillId="3" borderId="1" xfId="0" applyNumberFormat="1" applyFont="1" applyFill="1" applyBorder="1" applyAlignment="1">
      <alignment horizontal="center" vertical="center" wrapText="1"/>
    </xf>
    <xf numFmtId="4" fontId="3" fillId="4" borderId="1" xfId="0" applyNumberFormat="1" applyFont="1" applyFill="1" applyBorder="1" applyAlignment="1">
      <alignment horizontal="center" vertical="center" wrapText="1"/>
    </xf>
    <xf numFmtId="0" fontId="3" fillId="4" borderId="1" xfId="0" applyFont="1" applyFill="1" applyBorder="1" applyAlignment="1">
      <alignment horizontal="center" vertical="center"/>
    </xf>
    <xf numFmtId="10" fontId="3" fillId="4" borderId="1" xfId="6"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xf numFmtId="0" fontId="0" fillId="0" borderId="3" xfId="0" applyBorder="1"/>
    <xf numFmtId="0" fontId="3" fillId="4" borderId="1" xfId="0" applyFont="1" applyFill="1" applyBorder="1" applyAlignment="1">
      <alignment horizontal="left" vertical="center" wrapText="1"/>
    </xf>
    <xf numFmtId="0" fontId="2" fillId="0" borderId="0" xfId="0" applyFont="1" applyAlignment="1">
      <alignment horizontal="left" vertical="center"/>
    </xf>
    <xf numFmtId="0" fontId="0" fillId="0" borderId="0" xfId="0"/>
    <xf numFmtId="0" fontId="3" fillId="5" borderId="1" xfId="0" applyFont="1" applyFill="1" applyBorder="1" applyAlignment="1">
      <alignment horizontal="center" vertical="center" wrapText="1"/>
    </xf>
    <xf numFmtId="164" fontId="3" fillId="5" borderId="1" xfId="0" applyNumberFormat="1" applyFont="1" applyFill="1" applyBorder="1" applyAlignment="1">
      <alignment horizontal="center" vertical="center" wrapText="1"/>
    </xf>
    <xf numFmtId="164" fontId="3" fillId="4" borderId="1" xfId="0" applyNumberFormat="1" applyFont="1" applyFill="1" applyBorder="1" applyAlignment="1">
      <alignment horizontal="left" vertical="center" wrapText="1"/>
    </xf>
    <xf numFmtId="0" fontId="0" fillId="0" borderId="13" xfId="0" applyBorder="1"/>
    <xf numFmtId="0" fontId="0" fillId="0" borderId="14" xfId="0" applyBorder="1"/>
    <xf numFmtId="0" fontId="0" fillId="0" borderId="15" xfId="0" applyBorder="1"/>
    <xf numFmtId="0" fontId="0" fillId="0" borderId="16" xfId="0" applyBorder="1"/>
    <xf numFmtId="0" fontId="0" fillId="0" borderId="17" xfId="0" applyBorder="1"/>
    <xf numFmtId="164" fontId="1" fillId="2" borderId="1" xfId="0" applyNumberFormat="1" applyFont="1" applyFill="1" applyBorder="1" applyAlignment="1">
      <alignment horizontal="center" vertical="center" wrapText="1"/>
    </xf>
    <xf numFmtId="0" fontId="1" fillId="2" borderId="5" xfId="0" applyFont="1" applyFill="1" applyBorder="1" applyAlignment="1">
      <alignment horizontal="center" vertical="center" wrapText="1"/>
    </xf>
    <xf numFmtId="10" fontId="5" fillId="2" borderId="1" xfId="0" applyNumberFormat="1" applyFont="1" applyFill="1" applyBorder="1" applyAlignment="1">
      <alignment horizontal="center" vertical="center" wrapText="1"/>
    </xf>
    <xf numFmtId="10" fontId="1" fillId="2" borderId="1" xfId="0" applyNumberFormat="1" applyFont="1" applyFill="1" applyBorder="1" applyAlignment="1">
      <alignment horizontal="center" vertical="center" wrapText="1"/>
    </xf>
    <xf numFmtId="10" fontId="3" fillId="3" borderId="1" xfId="0" applyNumberFormat="1" applyFont="1" applyFill="1" applyBorder="1" applyAlignment="1">
      <alignment horizontal="center" vertical="center" wrapText="1"/>
    </xf>
    <xf numFmtId="0" fontId="0" fillId="0" borderId="5" xfId="0" applyBorder="1"/>
    <xf numFmtId="164" fontId="3" fillId="5" borderId="12" xfId="0" applyNumberFormat="1" applyFont="1" applyFill="1" applyBorder="1" applyAlignment="1">
      <alignment horizontal="center" vertical="center" wrapText="1"/>
    </xf>
    <xf numFmtId="164" fontId="3" fillId="5" borderId="2" xfId="0" applyNumberFormat="1" applyFont="1" applyFill="1" applyBorder="1" applyAlignment="1">
      <alignment horizontal="center" vertical="center" wrapText="1"/>
    </xf>
    <xf numFmtId="164" fontId="3" fillId="3" borderId="1" xfId="0" applyNumberFormat="1" applyFont="1" applyFill="1" applyBorder="1" applyAlignment="1">
      <alignment horizontal="center" vertical="center" wrapText="1"/>
    </xf>
    <xf numFmtId="9" fontId="3" fillId="3" borderId="1" xfId="6" applyFont="1" applyFill="1" applyBorder="1" applyAlignment="1">
      <alignment horizontal="center" vertical="center" wrapText="1"/>
    </xf>
    <xf numFmtId="9" fontId="0" fillId="0" borderId="5" xfId="6" applyFont="1" applyBorder="1"/>
    <xf numFmtId="0" fontId="0" fillId="0" borderId="18" xfId="0" applyBorder="1"/>
    <xf numFmtId="164" fontId="3" fillId="4" borderId="9" xfId="0" applyNumberFormat="1" applyFont="1" applyFill="1" applyBorder="1" applyAlignment="1">
      <alignment horizontal="center" vertical="center" wrapText="1"/>
    </xf>
    <xf numFmtId="0" fontId="0" fillId="0" borderId="20" xfId="0" applyBorder="1"/>
    <xf numFmtId="0" fontId="4" fillId="0" borderId="0" xfId="0" applyFont="1"/>
    <xf numFmtId="10" fontId="3" fillId="5" borderId="1" xfId="0" applyNumberFormat="1" applyFont="1" applyFill="1" applyBorder="1" applyAlignment="1">
      <alignment horizontal="center" vertical="center" wrapText="1"/>
    </xf>
    <xf numFmtId="164" fontId="3" fillId="4" borderId="11" xfId="0" applyNumberFormat="1" applyFont="1" applyFill="1" applyBorder="1" applyAlignment="1">
      <alignment horizontal="center" vertical="center" wrapText="1"/>
    </xf>
    <xf numFmtId="0" fontId="0" fillId="0" borderId="21" xfId="0" applyBorder="1"/>
    <xf numFmtId="164" fontId="2" fillId="0" borderId="4" xfId="0" applyNumberFormat="1" applyFont="1" applyBorder="1" applyAlignment="1">
      <alignment horizontal="right" vertical="center"/>
    </xf>
    <xf numFmtId="0" fontId="0" fillId="0" borderId="19" xfId="0" applyBorder="1"/>
    <xf numFmtId="164" fontId="10" fillId="4" borderId="11" xfId="0" applyNumberFormat="1" applyFont="1" applyFill="1" applyBorder="1" applyAlignment="1">
      <alignment horizontal="center" vertical="center" wrapText="1"/>
    </xf>
    <xf numFmtId="167" fontId="1" fillId="2" borderId="1" xfId="0" applyNumberFormat="1" applyFont="1" applyFill="1" applyBorder="1" applyAlignment="1">
      <alignment horizontal="center" vertical="center" wrapText="1"/>
    </xf>
    <xf numFmtId="167" fontId="3" fillId="5" borderId="1" xfId="0" applyNumberFormat="1" applyFont="1" applyFill="1" applyBorder="1" applyAlignment="1">
      <alignment horizontal="center" vertical="center" wrapText="1"/>
    </xf>
    <xf numFmtId="164" fontId="5" fillId="2" borderId="1" xfId="0" applyNumberFormat="1" applyFont="1" applyFill="1" applyBorder="1" applyAlignment="1">
      <alignment horizontal="center" vertical="center" wrapText="1"/>
    </xf>
    <xf numFmtId="0" fontId="3" fillId="4" borderId="1" xfId="0" applyFont="1" applyFill="1" applyBorder="1" applyAlignment="1">
      <alignment horizontal="right" vertical="center" wrapText="1"/>
    </xf>
  </cellXfs>
  <cellStyles count="7">
    <cellStyle name="Hiperlink" xfId="5" builtinId="8"/>
    <cellStyle name="Moeda 2" xfId="3" xr:uid="{00000000-0005-0000-0000-000003000000}"/>
    <cellStyle name="Normal" xfId="0" builtinId="0"/>
    <cellStyle name="Normal 2" xfId="1" xr:uid="{00000000-0005-0000-0000-000001000000}"/>
    <cellStyle name="Porcentagem" xfId="6" builtinId="5"/>
    <cellStyle name="Porcentagem 2" xfId="2" xr:uid="{00000000-0005-0000-0000-000002000000}"/>
    <cellStyle name="Porcentagem 4" xfId="4" xr:uid="{00000000-0005-0000-0000-000004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EEECE1"/>
      <rgbColor rgb="FFD9EAF7"/>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DDEBF7"/>
      <rgbColor rgb="FFD9E2F3"/>
      <rgbColor rgb="FFFFFF99"/>
      <rgbColor rgb="FF99CCFF"/>
      <rgbColor rgb="FFFF99CC"/>
      <rgbColor rgb="FFCC99FF"/>
      <rgbColor rgb="FFFFCC99"/>
      <rgbColor rgb="FF3366FF"/>
      <rgbColor rgb="FF33CCCC"/>
      <rgbColor rgb="FF99CC00"/>
      <rgbColor rgb="FFFFCC00"/>
      <rgbColor rgb="FFFF9900"/>
      <rgbColor rgb="FFFF6600"/>
      <rgbColor rgb="FF666699"/>
      <rgbColor rgb="FFB7B7B7"/>
      <rgbColor rgb="FF003366"/>
      <rgbColor rgb="FF339966"/>
      <rgbColor rgb="FF003300"/>
      <rgbColor rgb="FF333300"/>
      <rgbColor rgb="FF993300"/>
      <rgbColor rgb="FF993366"/>
      <rgbColor rgb="FF1F4E78"/>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alcChain" Target="calcChain.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theme/theme1.xml><?xml version="1.0" encoding="utf-8"?>
<a:theme xmlns:a="http://schemas.openxmlformats.org/drawingml/2006/main" name="Tema do 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9.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11.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12.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4.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68"/>
  <sheetViews>
    <sheetView showGridLines="0" tabSelected="1" zoomScaleNormal="100" workbookViewId="0">
      <selection activeCell="F8" sqref="F8"/>
    </sheetView>
  </sheetViews>
  <sheetFormatPr defaultColWidth="8.5703125" defaultRowHeight="15" x14ac:dyDescent="0.25"/>
  <cols>
    <col min="1" max="1" width="34" customWidth="1"/>
    <col min="2" max="2" width="38.140625" customWidth="1"/>
    <col min="3" max="3" width="31" customWidth="1"/>
    <col min="4" max="4" width="19" customWidth="1"/>
    <col min="5" max="5" width="14" customWidth="1"/>
    <col min="6" max="6" width="13.85546875" customWidth="1"/>
    <col min="7" max="7" width="25" customWidth="1"/>
    <col min="8" max="8" width="10.28515625" customWidth="1"/>
    <col min="9" max="9" width="13" customWidth="1"/>
    <col min="10" max="10" width="23" customWidth="1"/>
  </cols>
  <sheetData>
    <row r="1" spans="1:10" x14ac:dyDescent="0.25">
      <c r="A1" s="107" t="s">
        <v>0</v>
      </c>
      <c r="B1" s="108"/>
      <c r="C1" s="108"/>
      <c r="D1" s="108"/>
      <c r="E1" s="108"/>
      <c r="F1" s="108"/>
      <c r="G1" s="108"/>
      <c r="H1" s="108"/>
      <c r="I1" s="108"/>
      <c r="J1" s="109"/>
    </row>
    <row r="2" spans="1:10" x14ac:dyDescent="0.25">
      <c r="A2" s="107" t="s">
        <v>1</v>
      </c>
      <c r="B2" s="108"/>
      <c r="C2" s="108"/>
      <c r="D2" s="108"/>
      <c r="E2" s="108"/>
      <c r="F2" s="108"/>
      <c r="G2" s="108"/>
      <c r="H2" s="108"/>
      <c r="I2" s="108"/>
      <c r="J2" s="109"/>
    </row>
    <row r="3" spans="1:10" x14ac:dyDescent="0.25">
      <c r="A3" s="9"/>
      <c r="B3" s="9"/>
      <c r="C3" s="9"/>
      <c r="D3" s="9"/>
      <c r="E3" s="9"/>
      <c r="F3" s="9"/>
      <c r="G3" s="9"/>
      <c r="H3" s="9"/>
      <c r="I3" s="9"/>
      <c r="J3" s="9"/>
    </row>
    <row r="4" spans="1:10" x14ac:dyDescent="0.25">
      <c r="A4" s="3" t="s">
        <v>2</v>
      </c>
      <c r="B4" s="3" t="s">
        <v>3</v>
      </c>
      <c r="C4" s="3"/>
      <c r="D4" s="3"/>
      <c r="E4" s="3"/>
      <c r="F4" s="3"/>
      <c r="G4" s="3"/>
      <c r="H4" s="3"/>
      <c r="I4" s="3"/>
      <c r="J4" s="3"/>
    </row>
    <row r="5" spans="1:10" x14ac:dyDescent="0.25">
      <c r="A5" s="10" t="s">
        <v>4</v>
      </c>
      <c r="B5" s="110" t="s">
        <v>5</v>
      </c>
      <c r="C5" s="108"/>
      <c r="D5" s="108"/>
      <c r="E5" s="108"/>
      <c r="F5" s="108"/>
      <c r="G5" s="108"/>
      <c r="H5" s="108"/>
      <c r="I5" s="108"/>
      <c r="J5" s="109"/>
    </row>
    <row r="6" spans="1:10" ht="15.75" thickBot="1" x14ac:dyDescent="0.3">
      <c r="A6" s="9"/>
      <c r="B6" s="9"/>
      <c r="C6" s="9"/>
      <c r="D6" s="9"/>
      <c r="E6" s="9"/>
      <c r="F6" s="9"/>
      <c r="G6" s="9"/>
      <c r="H6" s="9"/>
      <c r="I6" s="9"/>
      <c r="J6" s="9"/>
    </row>
    <row r="7" spans="1:10" ht="15.75" thickBot="1" x14ac:dyDescent="0.3">
      <c r="A7" s="33" t="s">
        <v>6</v>
      </c>
      <c r="B7" s="33" t="s">
        <v>7</v>
      </c>
      <c r="C7" s="33" t="s">
        <v>8</v>
      </c>
      <c r="D7" s="68" t="s">
        <v>9</v>
      </c>
      <c r="E7" s="68" t="s">
        <v>10</v>
      </c>
      <c r="F7" s="68" t="s">
        <v>11</v>
      </c>
      <c r="G7" s="68" t="s">
        <v>12</v>
      </c>
      <c r="H7" s="33" t="s">
        <v>13</v>
      </c>
      <c r="I7" s="33" t="s">
        <v>14</v>
      </c>
      <c r="J7" s="33" t="s">
        <v>4</v>
      </c>
    </row>
    <row r="8" spans="1:10" ht="15.75" thickBot="1" x14ac:dyDescent="0.3">
      <c r="A8" s="3" t="s">
        <v>15</v>
      </c>
      <c r="B8" s="3" t="s">
        <v>16</v>
      </c>
      <c r="C8" s="3" t="s">
        <v>17</v>
      </c>
      <c r="D8" s="3">
        <f>IFERROR('L1 Quadro Resumo'!L14,0)</f>
        <v>69</v>
      </c>
      <c r="E8" s="77">
        <v>479436.29</v>
      </c>
      <c r="F8" s="12">
        <f t="shared" ref="F8:F11" si="0">IFERROR(E8*12,0)</f>
        <v>5753235.4799999995</v>
      </c>
      <c r="G8" s="12">
        <f>IFERROR('L1 Quadro Resumo'!M14-'L1 Quadro Resumo'!F27,0)</f>
        <v>0</v>
      </c>
      <c r="H8" s="3" t="str">
        <f>IF(ABS(G8)&lt;0.01,"OK","Divergente")</f>
        <v>OK</v>
      </c>
      <c r="I8" s="3" t="str">
        <f>HYPERLINK("#'L1 Quadro Resumo'!A1","Abrir")</f>
        <v>Abrir</v>
      </c>
      <c r="J8" s="3" t="s">
        <v>18</v>
      </c>
    </row>
    <row r="9" spans="1:10" ht="15.75" thickBot="1" x14ac:dyDescent="0.3">
      <c r="A9" s="3" t="s">
        <v>19</v>
      </c>
      <c r="B9" s="3" t="s">
        <v>20</v>
      </c>
      <c r="C9" s="3" t="s">
        <v>21</v>
      </c>
      <c r="D9" s="3">
        <f>IFERROR('L2 Quadro Resumo'!L7,0)</f>
        <v>2</v>
      </c>
      <c r="E9" s="78">
        <v>14350.62</v>
      </c>
      <c r="F9" s="12">
        <f t="shared" si="0"/>
        <v>172207.44</v>
      </c>
      <c r="G9" s="12">
        <f>IFERROR('L2 Quadro Resumo'!M7-'L2 Quadro Resumo'!F9,0)</f>
        <v>0</v>
      </c>
      <c r="H9" s="3" t="str">
        <f>IF(ABS(G9)&lt;0.01,"OK","Divergente")</f>
        <v>OK</v>
      </c>
      <c r="I9" s="3" t="str">
        <f>HYPERLINK("#'L2 Quadro Resumo'!A1","Abrir")</f>
        <v>Abrir</v>
      </c>
      <c r="J9" s="3" t="s">
        <v>18</v>
      </c>
    </row>
    <row r="10" spans="1:10" ht="15.75" thickBot="1" x14ac:dyDescent="0.3">
      <c r="A10" s="3" t="s">
        <v>22</v>
      </c>
      <c r="B10" s="3" t="s">
        <v>23</v>
      </c>
      <c r="C10" s="3" t="s">
        <v>24</v>
      </c>
      <c r="D10" s="3">
        <f>IFERROR('L3 Quadro Resumo'!L7,0)</f>
        <v>2</v>
      </c>
      <c r="E10" s="78">
        <v>12220.31</v>
      </c>
      <c r="F10" s="12">
        <f t="shared" si="0"/>
        <v>146643.72</v>
      </c>
      <c r="G10" s="12">
        <f>IFERROR('L3 Quadro Resumo'!M7-'L3 Quadro Resumo'!F9,0)</f>
        <v>0</v>
      </c>
      <c r="H10" s="3" t="str">
        <f>IF(ABS(G10)&lt;0.01,"OK","Divergente")</f>
        <v>OK</v>
      </c>
      <c r="I10" s="3" t="str">
        <f>HYPERLINK("#'L3 Quadro Resumo'!A1","Abrir")</f>
        <v>Abrir</v>
      </c>
      <c r="J10" s="3" t="s">
        <v>18</v>
      </c>
    </row>
    <row r="11" spans="1:10" ht="15.75" thickBot="1" x14ac:dyDescent="0.3">
      <c r="A11" s="3" t="s">
        <v>25</v>
      </c>
      <c r="B11" s="3" t="s">
        <v>26</v>
      </c>
      <c r="C11" s="3" t="s">
        <v>27</v>
      </c>
      <c r="D11" s="3">
        <f>IFERROR('L4 Quadro Resumo'!L7,0)</f>
        <v>2</v>
      </c>
      <c r="E11" s="78">
        <v>12306.2</v>
      </c>
      <c r="F11" s="12">
        <f t="shared" si="0"/>
        <v>147674.40000000002</v>
      </c>
      <c r="G11" s="12">
        <f>IFERROR('L4 Quadro Resumo'!M7-'L4 Quadro Resumo'!F9,0)</f>
        <v>0</v>
      </c>
      <c r="H11" s="3" t="str">
        <f>IF(ABS(G11)&lt;0.01,"OK","Divergente")</f>
        <v>OK</v>
      </c>
      <c r="I11" s="3" t="str">
        <f>HYPERLINK("#'L4 Quadro Resumo'!A1","Abrir")</f>
        <v>Abrir</v>
      </c>
      <c r="J11" s="3" t="s">
        <v>18</v>
      </c>
    </row>
    <row r="12" spans="1:10" ht="26.25" thickBot="1" x14ac:dyDescent="0.3">
      <c r="A12" s="3" t="s">
        <v>28</v>
      </c>
      <c r="B12" s="3" t="s">
        <v>29</v>
      </c>
      <c r="C12" s="3" t="s">
        <v>30</v>
      </c>
      <c r="D12" s="3">
        <v>1</v>
      </c>
      <c r="E12" s="78">
        <v>8408.81</v>
      </c>
      <c r="F12" s="12">
        <f>IFERROR(E12*12,0)</f>
        <v>100905.72</v>
      </c>
      <c r="G12" s="12">
        <v>0</v>
      </c>
      <c r="H12" s="3" t="str">
        <f>IF(ABS(G12)&lt;0.01,"OK","Divergente")</f>
        <v>OK</v>
      </c>
      <c r="I12" s="3" t="str">
        <f>HYPERLINK("#'L1 Supervisor'!A1","Abrir")</f>
        <v>Abrir</v>
      </c>
      <c r="J12" s="3" t="s">
        <v>31</v>
      </c>
    </row>
    <row r="13" spans="1:10" ht="15.75" thickBot="1" x14ac:dyDescent="0.3">
      <c r="A13" s="9"/>
      <c r="B13" s="9"/>
      <c r="C13" s="9"/>
      <c r="D13" s="9"/>
      <c r="E13" s="9"/>
      <c r="F13" s="9"/>
      <c r="G13" s="9"/>
      <c r="H13" s="9"/>
      <c r="I13" s="9"/>
      <c r="J13" s="9"/>
    </row>
    <row r="14" spans="1:10" ht="15.75" thickBot="1" x14ac:dyDescent="0.3">
      <c r="A14" s="10" t="s">
        <v>32</v>
      </c>
      <c r="B14" s="3"/>
      <c r="C14" s="3"/>
      <c r="D14" s="33">
        <f>IFERROR(SUM(D8:D12),0)</f>
        <v>76</v>
      </c>
      <c r="E14" s="13">
        <f>IFERROR(SUM(E8:E12),0)</f>
        <v>526722.23</v>
      </c>
      <c r="F14" s="13">
        <f>IFERROR(SUM(F8:F12),0)</f>
        <v>6320666.7599999998</v>
      </c>
      <c r="G14" s="68">
        <f>IFERROR(SUM(G8:G12),0)</f>
        <v>0</v>
      </c>
      <c r="H14" s="33" t="str">
        <f>IF(ABS(G14)&lt;0.01,"OK","Divergente")</f>
        <v>OK</v>
      </c>
      <c r="I14" s="3"/>
      <c r="J14" s="3"/>
    </row>
    <row r="15" spans="1:10" x14ac:dyDescent="0.25">
      <c r="A15" s="9"/>
      <c r="B15" s="9"/>
      <c r="C15" s="9"/>
      <c r="D15" s="9"/>
      <c r="E15" s="9"/>
      <c r="F15" s="9"/>
      <c r="G15" s="9"/>
      <c r="H15" s="9"/>
      <c r="I15" s="9"/>
      <c r="J15" s="9"/>
    </row>
    <row r="16" spans="1:10" ht="15.75" thickBot="1" x14ac:dyDescent="0.3">
      <c r="A16" s="9"/>
      <c r="B16" s="9"/>
      <c r="C16" s="9"/>
      <c r="D16" s="9"/>
      <c r="E16" s="9"/>
      <c r="F16" s="9"/>
      <c r="G16" s="9"/>
      <c r="H16" s="9"/>
      <c r="I16" s="9"/>
      <c r="J16" s="9"/>
    </row>
    <row r="17" spans="1:10" ht="15.75" thickBot="1" x14ac:dyDescent="0.3">
      <c r="A17" s="10" t="s">
        <v>33</v>
      </c>
      <c r="B17" s="14" t="str">
        <f>H14</f>
        <v>OK</v>
      </c>
      <c r="C17" s="10" t="s">
        <v>34</v>
      </c>
      <c r="D17" s="68">
        <f>G14</f>
        <v>0</v>
      </c>
      <c r="E17" s="3"/>
      <c r="F17" s="3"/>
      <c r="G17" s="3"/>
      <c r="H17" s="3"/>
      <c r="I17" s="3"/>
      <c r="J17" s="3"/>
    </row>
    <row r="18" spans="1:10" x14ac:dyDescent="0.25">
      <c r="A18" s="9"/>
      <c r="B18" s="9"/>
      <c r="C18" s="9"/>
      <c r="D18" s="9"/>
      <c r="E18" s="9"/>
      <c r="F18" s="9"/>
      <c r="G18" s="9"/>
      <c r="H18" s="9"/>
      <c r="I18" s="9"/>
      <c r="J18" s="9"/>
    </row>
    <row r="19" spans="1:10" x14ac:dyDescent="0.25">
      <c r="A19" s="111"/>
      <c r="B19" s="112"/>
      <c r="C19" s="112"/>
      <c r="D19" s="112"/>
      <c r="E19" s="112"/>
      <c r="F19" s="112"/>
      <c r="G19" s="112"/>
      <c r="H19" s="112"/>
      <c r="I19" s="112"/>
      <c r="J19" s="112"/>
    </row>
    <row r="20" spans="1:10" x14ac:dyDescent="0.25">
      <c r="A20" s="8" t="s">
        <v>35</v>
      </c>
      <c r="B20" s="15"/>
      <c r="C20" s="15"/>
      <c r="D20" s="15"/>
      <c r="E20" s="15"/>
      <c r="F20" s="15"/>
      <c r="G20" s="15"/>
      <c r="H20" s="15"/>
      <c r="I20" s="15"/>
      <c r="J20" s="16"/>
    </row>
    <row r="21" spans="1:10" x14ac:dyDescent="0.25">
      <c r="A21" s="3" t="s">
        <v>15</v>
      </c>
      <c r="B21" s="3" t="s">
        <v>16</v>
      </c>
      <c r="C21" s="3"/>
      <c r="D21" s="3"/>
      <c r="E21" s="3"/>
      <c r="F21" s="3"/>
      <c r="G21" s="3"/>
      <c r="H21" s="3"/>
      <c r="I21" s="3"/>
      <c r="J21" s="3"/>
    </row>
    <row r="22" spans="1:10" x14ac:dyDescent="0.25">
      <c r="A22" s="3"/>
      <c r="B22" s="3" t="s">
        <v>36</v>
      </c>
      <c r="C22" s="3" t="s">
        <v>37</v>
      </c>
      <c r="D22" s="12" t="str">
        <f>HYPERLINK("#'L1 Param CCT'!A1","Abrir")</f>
        <v>Abrir</v>
      </c>
      <c r="E22" s="3"/>
      <c r="F22" s="3"/>
      <c r="G22" s="3"/>
      <c r="H22" s="3"/>
      <c r="I22" s="3"/>
      <c r="J22" s="3"/>
    </row>
    <row r="23" spans="1:10" x14ac:dyDescent="0.25">
      <c r="A23" s="3"/>
      <c r="B23" s="3" t="s">
        <v>38</v>
      </c>
      <c r="C23" s="3" t="s">
        <v>39</v>
      </c>
      <c r="D23" s="12" t="str">
        <f>HYPERLINK("#'L1 Interface'!A1","Abrir")</f>
        <v>Abrir</v>
      </c>
      <c r="E23" s="3"/>
      <c r="F23" s="3"/>
      <c r="G23" s="3"/>
      <c r="H23" s="3"/>
      <c r="I23" s="3"/>
      <c r="J23" s="3"/>
    </row>
    <row r="24" spans="1:10" x14ac:dyDescent="0.25">
      <c r="A24" s="3"/>
      <c r="B24" s="3" t="s">
        <v>40</v>
      </c>
      <c r="C24" s="3" t="s">
        <v>41</v>
      </c>
      <c r="D24" s="12" t="str">
        <f>HYPERLINK("#'L1 Material'!A1","Abrir")</f>
        <v>Abrir</v>
      </c>
      <c r="E24" s="3"/>
      <c r="F24" s="3"/>
      <c r="G24" s="3"/>
      <c r="H24" s="3"/>
      <c r="I24" s="3"/>
      <c r="J24" s="3"/>
    </row>
    <row r="25" spans="1:10" x14ac:dyDescent="0.25">
      <c r="A25" s="3"/>
      <c r="B25" s="3" t="s">
        <v>42</v>
      </c>
      <c r="C25" s="3" t="s">
        <v>43</v>
      </c>
      <c r="D25" s="12" t="str">
        <f>HYPERLINK("#'L1 Und Saude'!A1","Abrir")</f>
        <v>Abrir</v>
      </c>
      <c r="E25" s="3"/>
      <c r="F25" s="3"/>
      <c r="G25" s="3"/>
      <c r="H25" s="3"/>
      <c r="I25" s="3"/>
      <c r="J25" s="3"/>
    </row>
    <row r="26" spans="1:10" x14ac:dyDescent="0.25">
      <c r="A26" s="3"/>
      <c r="B26" s="3" t="s">
        <v>44</v>
      </c>
      <c r="C26" s="3" t="s">
        <v>45</v>
      </c>
      <c r="D26" s="12" t="str">
        <f>HYPERLINK("#'L1 Uniforme'!A1","Abrir")</f>
        <v>Abrir</v>
      </c>
      <c r="E26" s="3"/>
      <c r="F26" s="3"/>
      <c r="G26" s="3"/>
      <c r="H26" s="3"/>
      <c r="I26" s="3"/>
      <c r="J26" s="3"/>
    </row>
    <row r="27" spans="1:10" x14ac:dyDescent="0.25">
      <c r="A27" s="9"/>
      <c r="B27" s="17"/>
      <c r="C27" s="17"/>
      <c r="D27" s="17"/>
      <c r="E27" s="9"/>
      <c r="F27" s="9"/>
      <c r="G27" s="9"/>
      <c r="H27" s="9"/>
      <c r="I27" s="9"/>
      <c r="J27" s="9"/>
    </row>
    <row r="28" spans="1:10" x14ac:dyDescent="0.25">
      <c r="A28" s="3"/>
      <c r="B28" s="3" t="s">
        <v>46</v>
      </c>
      <c r="C28" s="3" t="s">
        <v>47</v>
      </c>
      <c r="D28" s="12" t="str">
        <f>HYPERLINK("#'L1 Serv 44h 40'!A1","Abrir")</f>
        <v>Abrir</v>
      </c>
      <c r="E28" s="3"/>
      <c r="F28" s="3"/>
      <c r="G28" s="3"/>
      <c r="H28" s="3"/>
      <c r="I28" s="3"/>
      <c r="J28" s="3"/>
    </row>
    <row r="29" spans="1:10" x14ac:dyDescent="0.25">
      <c r="A29" s="3"/>
      <c r="B29" s="3" t="s">
        <v>48</v>
      </c>
      <c r="C29" s="3" t="s">
        <v>49</v>
      </c>
      <c r="D29" s="12" t="str">
        <f>HYPERLINK("#'L1 Serv 6h 40'!A1","Abrir")</f>
        <v>Abrir</v>
      </c>
      <c r="E29" s="3"/>
      <c r="F29" s="3"/>
      <c r="G29" s="3"/>
      <c r="H29" s="3"/>
      <c r="I29" s="3"/>
      <c r="J29" s="3"/>
    </row>
    <row r="30" spans="1:10" x14ac:dyDescent="0.25">
      <c r="A30" s="3"/>
      <c r="B30" s="3" t="s">
        <v>50</v>
      </c>
      <c r="C30" s="3" t="s">
        <v>51</v>
      </c>
      <c r="D30" s="12" t="str">
        <f>HYPERLINK("#'L1 Serv 12x36 40'!A1","Abrir")</f>
        <v>Abrir</v>
      </c>
      <c r="E30" s="3"/>
      <c r="F30" s="3"/>
      <c r="G30" s="3"/>
      <c r="H30" s="3"/>
      <c r="I30" s="3"/>
      <c r="J30" s="3"/>
    </row>
    <row r="31" spans="1:10" x14ac:dyDescent="0.25">
      <c r="A31" s="3"/>
      <c r="B31" s="3" t="s">
        <v>52</v>
      </c>
      <c r="C31" s="3" t="s">
        <v>53</v>
      </c>
      <c r="D31" s="12" t="str">
        <f>HYPERLINK("#'L1 Supervisor'!A1","Abrir")</f>
        <v>Abrir</v>
      </c>
      <c r="E31" s="3"/>
      <c r="F31" s="3"/>
      <c r="G31" s="3"/>
      <c r="H31" s="3"/>
      <c r="I31" s="3"/>
      <c r="J31" s="3"/>
    </row>
    <row r="32" spans="1:10" x14ac:dyDescent="0.25">
      <c r="A32" s="3"/>
      <c r="B32" s="3" t="s">
        <v>54</v>
      </c>
      <c r="C32" s="3" t="s">
        <v>17</v>
      </c>
      <c r="D32" s="12" t="str">
        <f>HYPERLINK("#'L1 Quadro Resumo'!A1","Abrir")</f>
        <v>Abrir</v>
      </c>
      <c r="E32" s="3"/>
      <c r="F32" s="3"/>
      <c r="G32" s="3"/>
      <c r="H32" s="3"/>
      <c r="I32" s="3"/>
      <c r="J32" s="3"/>
    </row>
    <row r="33" spans="1:10" x14ac:dyDescent="0.25">
      <c r="A33" s="3"/>
      <c r="B33" s="3" t="s">
        <v>55</v>
      </c>
      <c r="C33" s="3" t="s">
        <v>56</v>
      </c>
      <c r="D33" s="12" t="str">
        <f>HYPERLINK("#'L1 Dim Revisado'!A1","Abrir")</f>
        <v>Abrir</v>
      </c>
      <c r="E33" s="3"/>
      <c r="F33" s="3"/>
      <c r="G33" s="3"/>
      <c r="H33" s="3"/>
      <c r="I33" s="3"/>
      <c r="J33" s="3"/>
    </row>
    <row r="34" spans="1:10" x14ac:dyDescent="0.25">
      <c r="A34" s="3"/>
      <c r="B34" s="3" t="s">
        <v>57</v>
      </c>
      <c r="C34" s="3" t="s">
        <v>58</v>
      </c>
      <c r="D34" s="12" t="str">
        <f>HYPERLINK("#'L1 Auditoria'!A1","Abrir")</f>
        <v>Abrir</v>
      </c>
      <c r="E34" s="3"/>
      <c r="F34" s="3"/>
      <c r="G34" s="3"/>
      <c r="H34" s="3"/>
      <c r="I34" s="3"/>
      <c r="J34" s="3"/>
    </row>
    <row r="35" spans="1:10" x14ac:dyDescent="0.25">
      <c r="A35" s="3"/>
      <c r="B35" s="3" t="s">
        <v>59</v>
      </c>
      <c r="C35" s="3" t="s">
        <v>60</v>
      </c>
      <c r="D35" s="12" t="str">
        <f>HYPERLINK("#'L1 Memoria Rev'!A1","Abrir")</f>
        <v>Abrir</v>
      </c>
      <c r="E35" s="3"/>
      <c r="F35" s="3"/>
      <c r="G35" s="3"/>
      <c r="H35" s="3"/>
      <c r="I35" s="3"/>
      <c r="J35" s="3"/>
    </row>
    <row r="36" spans="1:10" x14ac:dyDescent="0.25">
      <c r="A36" s="9"/>
      <c r="B36" s="9"/>
      <c r="C36" s="9"/>
      <c r="D36" s="9"/>
      <c r="E36" s="9"/>
      <c r="F36" s="9"/>
      <c r="G36" s="9"/>
      <c r="H36" s="9"/>
      <c r="I36" s="9"/>
      <c r="J36" s="9"/>
    </row>
    <row r="37" spans="1:10" x14ac:dyDescent="0.25">
      <c r="A37" s="3" t="s">
        <v>19</v>
      </c>
      <c r="B37" s="3" t="s">
        <v>20</v>
      </c>
      <c r="C37" s="3"/>
      <c r="D37" s="3"/>
      <c r="E37" s="3"/>
      <c r="F37" s="3"/>
      <c r="G37" s="3"/>
      <c r="H37" s="3"/>
      <c r="I37" s="3"/>
      <c r="J37" s="3"/>
    </row>
    <row r="38" spans="1:10" x14ac:dyDescent="0.25">
      <c r="A38" s="3"/>
      <c r="B38" s="3" t="s">
        <v>61</v>
      </c>
      <c r="C38" s="3" t="s">
        <v>62</v>
      </c>
      <c r="D38" s="12" t="str">
        <f>HYPERLINK("#'L2 Painel'!A1","Abrir")</f>
        <v>Abrir</v>
      </c>
      <c r="E38" s="3"/>
      <c r="F38" s="3"/>
      <c r="G38" s="3"/>
      <c r="H38" s="3"/>
      <c r="I38" s="3"/>
      <c r="J38" s="3"/>
    </row>
    <row r="39" spans="1:10" x14ac:dyDescent="0.25">
      <c r="A39" s="3"/>
      <c r="B39" s="3" t="s">
        <v>36</v>
      </c>
      <c r="C39" s="3" t="s">
        <v>63</v>
      </c>
      <c r="D39" s="12" t="str">
        <f>HYPERLINK("#'L2 Param CCT'!A1","Abrir")</f>
        <v>Abrir</v>
      </c>
      <c r="E39" s="3"/>
      <c r="F39" s="3"/>
      <c r="G39" s="3"/>
      <c r="H39" s="3"/>
      <c r="I39" s="3"/>
      <c r="J39" s="3"/>
    </row>
    <row r="40" spans="1:10" x14ac:dyDescent="0.25">
      <c r="A40" s="3"/>
      <c r="B40" s="3" t="s">
        <v>44</v>
      </c>
      <c r="C40" s="3" t="s">
        <v>64</v>
      </c>
      <c r="D40" s="12" t="str">
        <f>HYPERLINK("#'L2 Uniforme'!A1","Abrir")</f>
        <v>Abrir</v>
      </c>
      <c r="E40" s="3"/>
      <c r="F40" s="3"/>
      <c r="G40" s="3"/>
      <c r="H40" s="3"/>
      <c r="I40" s="3"/>
      <c r="J40" s="3"/>
    </row>
    <row r="41" spans="1:10" x14ac:dyDescent="0.25">
      <c r="A41" s="3"/>
      <c r="B41" s="3" t="s">
        <v>65</v>
      </c>
      <c r="C41" s="3" t="s">
        <v>66</v>
      </c>
      <c r="D41" s="12" t="str">
        <f>HYPERLINK("#'L2 Calc Dedetizacao'!A1","Abrir")</f>
        <v>Abrir</v>
      </c>
      <c r="E41" s="3"/>
      <c r="F41" s="3"/>
      <c r="G41" s="3"/>
      <c r="H41" s="3"/>
      <c r="I41" s="3"/>
      <c r="J41" s="3"/>
    </row>
    <row r="42" spans="1:10" x14ac:dyDescent="0.25">
      <c r="A42" s="3"/>
      <c r="B42" s="3" t="s">
        <v>54</v>
      </c>
      <c r="C42" s="3" t="s">
        <v>21</v>
      </c>
      <c r="D42" s="12" t="str">
        <f>HYPERLINK("#'L2 Quadro Resumo'!A1","Abrir")</f>
        <v>Abrir</v>
      </c>
      <c r="E42" s="3"/>
      <c r="F42" s="3"/>
      <c r="G42" s="3"/>
      <c r="H42" s="3"/>
      <c r="I42" s="3"/>
      <c r="J42" s="3"/>
    </row>
    <row r="43" spans="1:10" x14ac:dyDescent="0.25">
      <c r="A43" s="3"/>
      <c r="B43" s="3" t="s">
        <v>67</v>
      </c>
      <c r="C43" s="3" t="s">
        <v>68</v>
      </c>
      <c r="D43" s="12" t="str">
        <f>HYPERLINK("#'L2 Dim ETP'!A1","Abrir")</f>
        <v>Abrir</v>
      </c>
      <c r="E43" s="3"/>
      <c r="F43" s="3"/>
      <c r="G43" s="3"/>
      <c r="H43" s="3"/>
      <c r="I43" s="3"/>
      <c r="J43" s="3"/>
    </row>
    <row r="44" spans="1:10" x14ac:dyDescent="0.25">
      <c r="A44" s="3"/>
      <c r="B44" s="3" t="s">
        <v>69</v>
      </c>
      <c r="C44" s="3" t="s">
        <v>70</v>
      </c>
      <c r="D44" s="12" t="str">
        <f>HYPERLINK("#'L2 Resumo ETP'!A1","Abrir")</f>
        <v>Abrir</v>
      </c>
      <c r="E44" s="3"/>
      <c r="F44" s="3"/>
      <c r="G44" s="3"/>
      <c r="H44" s="3"/>
      <c r="I44" s="3"/>
      <c r="J44" s="3"/>
    </row>
    <row r="45" spans="1:10" x14ac:dyDescent="0.25">
      <c r="A45" s="3"/>
      <c r="B45" s="3" t="s">
        <v>57</v>
      </c>
      <c r="C45" s="3" t="s">
        <v>71</v>
      </c>
      <c r="D45" s="12" t="str">
        <f>HYPERLINK("#'L2 Auditoria'!A1","Abrir")</f>
        <v>Abrir</v>
      </c>
      <c r="E45" s="3"/>
      <c r="F45" s="3"/>
      <c r="G45" s="3"/>
      <c r="H45" s="3"/>
      <c r="I45" s="3"/>
      <c r="J45" s="3"/>
    </row>
    <row r="46" spans="1:10" x14ac:dyDescent="0.25">
      <c r="A46" s="9"/>
      <c r="B46" s="9"/>
      <c r="C46" s="9"/>
      <c r="D46" s="9"/>
      <c r="E46" s="9"/>
      <c r="F46" s="9"/>
      <c r="G46" s="9"/>
      <c r="H46" s="9"/>
      <c r="I46" s="9"/>
      <c r="J46" s="9"/>
    </row>
    <row r="47" spans="1:10" x14ac:dyDescent="0.25">
      <c r="A47" s="3" t="s">
        <v>22</v>
      </c>
      <c r="B47" s="3" t="s">
        <v>23</v>
      </c>
      <c r="C47" s="3"/>
      <c r="D47" s="3"/>
      <c r="E47" s="3"/>
      <c r="F47" s="3"/>
      <c r="G47" s="3"/>
      <c r="H47" s="3"/>
      <c r="I47" s="3"/>
      <c r="J47" s="3"/>
    </row>
    <row r="48" spans="1:10" x14ac:dyDescent="0.25">
      <c r="A48" s="3"/>
      <c r="B48" s="3" t="s">
        <v>61</v>
      </c>
      <c r="C48" s="3" t="s">
        <v>72</v>
      </c>
      <c r="D48" s="12" t="str">
        <f>HYPERLINK("#'L3 Painel'!A1","Abrir")</f>
        <v>Abrir</v>
      </c>
      <c r="E48" s="3"/>
      <c r="F48" s="3"/>
      <c r="G48" s="3"/>
      <c r="H48" s="3"/>
      <c r="I48" s="3"/>
      <c r="J48" s="3"/>
    </row>
    <row r="49" spans="1:10" x14ac:dyDescent="0.25">
      <c r="A49" s="3"/>
      <c r="B49" s="3" t="s">
        <v>36</v>
      </c>
      <c r="C49" s="3" t="s">
        <v>73</v>
      </c>
      <c r="D49" s="12" t="str">
        <f>HYPERLINK("#'L3 Param CCT'!A1","Abrir")</f>
        <v>Abrir</v>
      </c>
      <c r="E49" s="3"/>
      <c r="F49" s="3"/>
      <c r="G49" s="3"/>
      <c r="H49" s="3"/>
      <c r="I49" s="3"/>
      <c r="J49" s="3"/>
    </row>
    <row r="50" spans="1:10" x14ac:dyDescent="0.25">
      <c r="A50" s="3"/>
      <c r="B50" s="3" t="s">
        <v>44</v>
      </c>
      <c r="C50" s="3" t="s">
        <v>74</v>
      </c>
      <c r="D50" s="12" t="str">
        <f>HYPERLINK("#'L3 Uniforme'!A1","Abrir")</f>
        <v>Abrir</v>
      </c>
      <c r="E50" s="3"/>
      <c r="F50" s="3"/>
      <c r="G50" s="3"/>
      <c r="H50" s="3"/>
      <c r="I50" s="3"/>
      <c r="J50" s="3"/>
    </row>
    <row r="51" spans="1:10" x14ac:dyDescent="0.25">
      <c r="A51" s="3"/>
      <c r="B51" s="3" t="s">
        <v>75</v>
      </c>
      <c r="C51" s="3" t="s">
        <v>76</v>
      </c>
      <c r="D51" s="12" t="str">
        <f>HYPERLINK("#'L3 Calc Reservatorios'!A1","Abrir")</f>
        <v>Abrir</v>
      </c>
      <c r="E51" s="3"/>
      <c r="F51" s="3"/>
      <c r="G51" s="3"/>
      <c r="H51" s="3"/>
      <c r="I51" s="3"/>
      <c r="J51" s="3"/>
    </row>
    <row r="52" spans="1:10" x14ac:dyDescent="0.25">
      <c r="A52" s="3"/>
      <c r="B52" s="3" t="s">
        <v>54</v>
      </c>
      <c r="C52" s="3" t="s">
        <v>24</v>
      </c>
      <c r="D52" s="12" t="str">
        <f>HYPERLINK("#'L3 Quadro Resumo'!A1","Abrir")</f>
        <v>Abrir</v>
      </c>
      <c r="E52" s="3"/>
      <c r="F52" s="3"/>
      <c r="G52" s="3"/>
      <c r="H52" s="3"/>
      <c r="I52" s="3"/>
      <c r="J52" s="3"/>
    </row>
    <row r="53" spans="1:10" x14ac:dyDescent="0.25">
      <c r="A53" s="3"/>
      <c r="B53" s="3" t="s">
        <v>67</v>
      </c>
      <c r="C53" s="3" t="s">
        <v>77</v>
      </c>
      <c r="D53" s="12" t="str">
        <f>HYPERLINK("#'L3 Dim ETP'!A1","Abrir")</f>
        <v>Abrir</v>
      </c>
      <c r="E53" s="3"/>
      <c r="F53" s="3"/>
      <c r="G53" s="3"/>
      <c r="H53" s="3"/>
      <c r="I53" s="3"/>
      <c r="J53" s="3"/>
    </row>
    <row r="54" spans="1:10" x14ac:dyDescent="0.25">
      <c r="A54" s="3"/>
      <c r="B54" s="3" t="s">
        <v>69</v>
      </c>
      <c r="C54" s="3" t="s">
        <v>78</v>
      </c>
      <c r="D54" s="12" t="str">
        <f>HYPERLINK("#'L3 Resumo ETP'!A1","Abrir")</f>
        <v>Abrir</v>
      </c>
      <c r="E54" s="3"/>
      <c r="F54" s="3"/>
      <c r="G54" s="3"/>
      <c r="H54" s="3"/>
      <c r="I54" s="3"/>
      <c r="J54" s="3"/>
    </row>
    <row r="55" spans="1:10" x14ac:dyDescent="0.25">
      <c r="A55" s="3"/>
      <c r="B55" s="3" t="s">
        <v>57</v>
      </c>
      <c r="C55" s="3" t="s">
        <v>79</v>
      </c>
      <c r="D55" s="12" t="str">
        <f>HYPERLINK("#'L3 Auditoria'!A1","Abrir")</f>
        <v>Abrir</v>
      </c>
      <c r="E55" s="3"/>
      <c r="F55" s="3"/>
      <c r="G55" s="3"/>
      <c r="H55" s="3"/>
      <c r="I55" s="3"/>
      <c r="J55" s="3"/>
    </row>
    <row r="56" spans="1:10" x14ac:dyDescent="0.25">
      <c r="A56" s="9"/>
      <c r="B56" s="9"/>
      <c r="C56" s="9"/>
      <c r="D56" s="9"/>
      <c r="E56" s="9"/>
      <c r="F56" s="9"/>
      <c r="G56" s="9"/>
      <c r="H56" s="9"/>
      <c r="I56" s="9"/>
      <c r="J56" s="9"/>
    </row>
    <row r="57" spans="1:10" x14ac:dyDescent="0.25">
      <c r="A57" s="3" t="s">
        <v>25</v>
      </c>
      <c r="B57" s="3" t="s">
        <v>26</v>
      </c>
      <c r="C57" s="3"/>
      <c r="D57" s="3"/>
      <c r="E57" s="3"/>
      <c r="F57" s="3"/>
      <c r="G57" s="3"/>
      <c r="H57" s="3"/>
      <c r="I57" s="3"/>
      <c r="J57" s="3"/>
    </row>
    <row r="58" spans="1:10" x14ac:dyDescent="0.25">
      <c r="A58" s="3"/>
      <c r="B58" s="3" t="s">
        <v>61</v>
      </c>
      <c r="C58" s="3" t="s">
        <v>80</v>
      </c>
      <c r="D58" s="12" t="str">
        <f>HYPERLINK("#'L4 Painel'!A1","Abrir")</f>
        <v>Abrir</v>
      </c>
      <c r="E58" s="3"/>
      <c r="F58" s="3"/>
      <c r="G58" s="3"/>
      <c r="H58" s="3"/>
      <c r="I58" s="3"/>
      <c r="J58" s="3"/>
    </row>
    <row r="59" spans="1:10" x14ac:dyDescent="0.25">
      <c r="A59" s="3"/>
      <c r="B59" s="3" t="s">
        <v>36</v>
      </c>
      <c r="C59" s="3" t="s">
        <v>81</v>
      </c>
      <c r="D59" s="12" t="str">
        <f>HYPERLINK("#'L4 Param CCT'!A1","Abrir")</f>
        <v>Abrir</v>
      </c>
      <c r="E59" s="3"/>
      <c r="F59" s="3"/>
      <c r="G59" s="3"/>
      <c r="H59" s="3"/>
      <c r="I59" s="3"/>
      <c r="J59" s="3"/>
    </row>
    <row r="60" spans="1:10" x14ac:dyDescent="0.25">
      <c r="A60" s="3"/>
      <c r="B60" s="3" t="s">
        <v>44</v>
      </c>
      <c r="C60" s="3" t="s">
        <v>82</v>
      </c>
      <c r="D60" s="12" t="str">
        <f>HYPERLINK("#'L4 Uniforme'!A1","Abrir")</f>
        <v>Abrir</v>
      </c>
      <c r="E60" s="3"/>
      <c r="F60" s="3"/>
      <c r="G60" s="3"/>
      <c r="H60" s="3"/>
      <c r="I60" s="3"/>
      <c r="J60" s="3"/>
    </row>
    <row r="61" spans="1:10" x14ac:dyDescent="0.25">
      <c r="A61" s="3"/>
      <c r="B61" s="3" t="s">
        <v>75</v>
      </c>
      <c r="C61" s="3" t="s">
        <v>83</v>
      </c>
      <c r="D61" s="12" t="str">
        <f>HYPERLINK("#'L4 Calc Rocada'!A1","Abrir")</f>
        <v>Abrir</v>
      </c>
      <c r="E61" s="3"/>
      <c r="F61" s="3"/>
      <c r="G61" s="3"/>
      <c r="H61" s="3"/>
      <c r="I61" s="3"/>
      <c r="J61" s="3"/>
    </row>
    <row r="62" spans="1:10" x14ac:dyDescent="0.25">
      <c r="A62" s="3"/>
      <c r="B62" s="3" t="s">
        <v>54</v>
      </c>
      <c r="C62" s="3" t="s">
        <v>27</v>
      </c>
      <c r="D62" s="12" t="str">
        <f>HYPERLINK("#'L4 Quadro Resumo'!A1","Abrir")</f>
        <v>Abrir</v>
      </c>
      <c r="E62" s="3"/>
      <c r="F62" s="3"/>
      <c r="G62" s="3"/>
      <c r="H62" s="3"/>
      <c r="I62" s="3"/>
      <c r="J62" s="3"/>
    </row>
    <row r="63" spans="1:10" x14ac:dyDescent="0.25">
      <c r="A63" s="3"/>
      <c r="B63" s="3" t="s">
        <v>67</v>
      </c>
      <c r="C63" s="3" t="s">
        <v>84</v>
      </c>
      <c r="D63" s="12" t="str">
        <f>HYPERLINK("#'L4 Dim ETP'!A1","Abrir")</f>
        <v>Abrir</v>
      </c>
      <c r="E63" s="3"/>
      <c r="F63" s="3"/>
      <c r="G63" s="3"/>
      <c r="H63" s="3"/>
      <c r="I63" s="3"/>
      <c r="J63" s="3"/>
    </row>
    <row r="64" spans="1:10" ht="15.75" thickBot="1" x14ac:dyDescent="0.3">
      <c r="A64" s="3"/>
      <c r="B64" s="3" t="s">
        <v>69</v>
      </c>
      <c r="C64" s="3" t="s">
        <v>85</v>
      </c>
      <c r="D64" s="12" t="str">
        <f>HYPERLINK("#'L4 Resumo ETP'!A1","Abrir")</f>
        <v>Abrir</v>
      </c>
      <c r="E64" s="3"/>
      <c r="F64" s="3"/>
      <c r="G64" s="3"/>
      <c r="H64" s="3"/>
      <c r="I64" s="3"/>
      <c r="J64" s="3"/>
    </row>
    <row r="65" spans="1:10" ht="15.75" thickBot="1" x14ac:dyDescent="0.3">
      <c r="A65" s="3"/>
      <c r="B65" s="3" t="s">
        <v>57</v>
      </c>
      <c r="C65" s="3" t="s">
        <v>86</v>
      </c>
      <c r="D65" s="97" t="str">
        <f>HYPERLINK("#'L4 Auditoria'!A1","Abrir")</f>
        <v>Abrir</v>
      </c>
      <c r="E65" s="3"/>
      <c r="F65" s="3"/>
      <c r="G65" s="3"/>
      <c r="H65" s="3"/>
      <c r="I65" s="3"/>
      <c r="J65" s="3"/>
    </row>
    <row r="66" spans="1:10" ht="15.75" thickBot="1" x14ac:dyDescent="0.3"/>
    <row r="67" spans="1:10" ht="15.75" thickBot="1" x14ac:dyDescent="0.3">
      <c r="A67" s="3" t="s">
        <v>28</v>
      </c>
      <c r="B67" s="3" t="s">
        <v>29</v>
      </c>
      <c r="C67" s="3"/>
      <c r="D67" s="3"/>
    </row>
    <row r="68" spans="1:10" ht="15.75" thickBot="1" x14ac:dyDescent="0.3">
      <c r="A68" s="3"/>
      <c r="B68" s="3" t="s">
        <v>87</v>
      </c>
      <c r="C68" s="3" t="s">
        <v>30</v>
      </c>
      <c r="D68" s="12" t="str">
        <f>HYPERLINK("#'L5 Supervisor'!A1","Abrir")</f>
        <v>Abrir</v>
      </c>
    </row>
  </sheetData>
  <autoFilter ref="A4:J64" xr:uid="{00000000-0009-0000-0000-000000000000}"/>
  <mergeCells count="4">
    <mergeCell ref="A1:J1"/>
    <mergeCell ref="B5:J5"/>
    <mergeCell ref="A19:J19"/>
    <mergeCell ref="A2:J2"/>
  </mergeCells>
  <printOptions horizontalCentered="1"/>
  <pageMargins left="0.35" right="0.35" top="0.55000000000000004" bottom="0.55000000000000004" header="0.511811023622047" footer="0.511811023622047"/>
  <pageSetup paperSize="9" scale="64"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27"/>
  <sheetViews>
    <sheetView showGridLines="0" topLeftCell="A7" zoomScaleNormal="100" workbookViewId="0">
      <pane ySplit="11" topLeftCell="A12" activePane="bottomLeft" state="frozen"/>
      <selection activeCell="A7" sqref="A7"/>
      <selection pane="bottomLeft"/>
    </sheetView>
  </sheetViews>
  <sheetFormatPr defaultColWidth="8.5703125" defaultRowHeight="15" x14ac:dyDescent="0.25"/>
  <cols>
    <col min="1" max="2" width="34" customWidth="1"/>
    <col min="3" max="3" width="20" customWidth="1"/>
    <col min="4" max="4" width="34" customWidth="1"/>
    <col min="5" max="5" width="23" customWidth="1"/>
    <col min="6" max="6" width="34" customWidth="1"/>
    <col min="7" max="7" width="11" customWidth="1"/>
    <col min="8" max="9" width="8" customWidth="1"/>
  </cols>
  <sheetData>
    <row r="1" spans="1:9" ht="24" customHeight="1" x14ac:dyDescent="0.25">
      <c r="A1" s="107" t="s">
        <v>88</v>
      </c>
      <c r="B1" s="108"/>
      <c r="C1" s="108"/>
      <c r="D1" s="108"/>
      <c r="E1" s="108"/>
      <c r="F1" s="108"/>
      <c r="G1" s="108"/>
      <c r="H1" s="108"/>
      <c r="I1" s="109"/>
    </row>
    <row r="2" spans="1:9" ht="24" customHeight="1" x14ac:dyDescent="0.25">
      <c r="A2" s="110" t="s">
        <v>89</v>
      </c>
      <c r="B2" s="116"/>
      <c r="C2" s="116"/>
      <c r="D2" s="116"/>
      <c r="E2" s="116"/>
      <c r="F2" s="116"/>
      <c r="G2" s="116"/>
      <c r="H2" s="116"/>
      <c r="I2" s="117"/>
    </row>
    <row r="3" spans="1:9" ht="18" customHeight="1" x14ac:dyDescent="0.25">
      <c r="A3" s="118"/>
      <c r="B3" s="119"/>
      <c r="C3" s="119"/>
      <c r="D3" s="119"/>
      <c r="E3" s="119"/>
      <c r="F3" s="119"/>
      <c r="G3" s="119"/>
      <c r="H3" s="119"/>
      <c r="I3" s="120"/>
    </row>
    <row r="4" spans="1:9" ht="18" customHeight="1" x14ac:dyDescent="0.25">
      <c r="A4" s="9"/>
      <c r="B4" s="9"/>
      <c r="C4" s="9"/>
      <c r="D4" s="9"/>
      <c r="E4" s="9"/>
      <c r="F4" s="9"/>
      <c r="G4" s="9"/>
      <c r="H4" s="9"/>
      <c r="I4" s="9"/>
    </row>
    <row r="5" spans="1:9" ht="18" customHeight="1" x14ac:dyDescent="0.25">
      <c r="A5" s="113" t="s">
        <v>90</v>
      </c>
      <c r="B5" s="108"/>
      <c r="C5" s="108"/>
      <c r="D5" s="108"/>
      <c r="E5" s="108"/>
      <c r="F5" s="108"/>
      <c r="G5" s="108"/>
      <c r="H5" s="108"/>
      <c r="I5" s="109"/>
    </row>
    <row r="6" spans="1:9" ht="18" customHeight="1" x14ac:dyDescent="0.25">
      <c r="A6" s="8" t="s">
        <v>91</v>
      </c>
      <c r="B6" s="7" t="s">
        <v>92</v>
      </c>
      <c r="C6" s="7" t="s">
        <v>93</v>
      </c>
      <c r="D6" s="114" t="s">
        <v>94</v>
      </c>
      <c r="E6" s="108"/>
      <c r="F6" s="108"/>
      <c r="G6" s="108"/>
      <c r="H6" s="108"/>
      <c r="I6" s="109"/>
    </row>
    <row r="7" spans="1:9" ht="24" customHeight="1" x14ac:dyDescent="0.25">
      <c r="A7" s="10" t="s">
        <v>95</v>
      </c>
      <c r="B7" s="6" t="s">
        <v>96</v>
      </c>
      <c r="C7" s="13">
        <f>'L1 Quadro Resumo'!$L$13</f>
        <v>69</v>
      </c>
      <c r="D7" s="115" t="s">
        <v>97</v>
      </c>
      <c r="E7" s="108"/>
      <c r="F7" s="108"/>
      <c r="G7" s="108"/>
      <c r="H7" s="108"/>
      <c r="I7" s="109"/>
    </row>
    <row r="8" spans="1:9" ht="24" customHeight="1" x14ac:dyDescent="0.25">
      <c r="A8" s="10" t="s">
        <v>98</v>
      </c>
      <c r="B8" s="13">
        <f>D107/80</f>
        <v>0</v>
      </c>
      <c r="C8" s="13">
        <f>IFERROR(D107/E107,0)</f>
        <v>0</v>
      </c>
      <c r="D8" s="115" t="s">
        <v>99</v>
      </c>
      <c r="E8" s="108"/>
      <c r="F8" s="108"/>
      <c r="G8" s="108"/>
      <c r="H8" s="108"/>
      <c r="I8" s="109"/>
    </row>
    <row r="9" spans="1:9" ht="18" customHeight="1" x14ac:dyDescent="0.25">
      <c r="A9" s="9"/>
      <c r="B9" s="9"/>
      <c r="C9" s="9"/>
      <c r="D9" s="9"/>
      <c r="E9" s="9"/>
      <c r="F9" s="9"/>
      <c r="G9" s="9"/>
      <c r="H9" s="9"/>
      <c r="I9" s="9"/>
    </row>
    <row r="10" spans="1:9" ht="24" customHeight="1" x14ac:dyDescent="0.25">
      <c r="A10" s="107" t="s">
        <v>100</v>
      </c>
      <c r="B10" s="108"/>
      <c r="C10" s="108"/>
      <c r="D10" s="108"/>
      <c r="E10" s="108"/>
      <c r="F10" s="108"/>
      <c r="G10" s="108"/>
      <c r="H10" s="108"/>
      <c r="I10" s="109"/>
    </row>
    <row r="11" spans="1:9" ht="21.75" customHeight="1" x14ac:dyDescent="0.25">
      <c r="A11" s="10" t="s">
        <v>101</v>
      </c>
      <c r="B11" s="6" t="s">
        <v>102</v>
      </c>
      <c r="C11" s="6" t="s">
        <v>103</v>
      </c>
      <c r="D11" s="6" t="s">
        <v>104</v>
      </c>
      <c r="E11" s="6" t="s">
        <v>105</v>
      </c>
      <c r="F11" s="10" t="s">
        <v>106</v>
      </c>
      <c r="G11" s="10" t="s">
        <v>13</v>
      </c>
      <c r="H11" s="3"/>
      <c r="I11" s="3"/>
    </row>
    <row r="12" spans="1:9" ht="18" customHeight="1" x14ac:dyDescent="0.25">
      <c r="A12" s="17" t="s">
        <v>107</v>
      </c>
      <c r="B12" s="19">
        <v>0</v>
      </c>
      <c r="C12" s="19">
        <v>0</v>
      </c>
      <c r="D12" s="19">
        <v>0</v>
      </c>
      <c r="E12" s="19">
        <v>0</v>
      </c>
      <c r="F12" s="20" t="s">
        <v>108</v>
      </c>
      <c r="G12" s="17" t="s">
        <v>109</v>
      </c>
      <c r="H12" s="9"/>
      <c r="I12" s="9"/>
    </row>
    <row r="13" spans="1:9" ht="21.75" customHeight="1" x14ac:dyDescent="0.25">
      <c r="A13" s="3" t="s">
        <v>47</v>
      </c>
      <c r="B13" s="12">
        <f>'L1 Serv 44h 40'!$C$87</f>
        <v>97.71</v>
      </c>
      <c r="C13" s="12">
        <f>'L1 Serv 44h 40'!$C$93</f>
        <v>299.34792934621572</v>
      </c>
      <c r="D13" s="12">
        <f>'L1 Serv 44h 40'!$C$98</f>
        <v>397.0579293462157</v>
      </c>
      <c r="E13" s="12">
        <f>'L1 Serv 44h 40'!$B$116</f>
        <v>6833.9435208969962</v>
      </c>
      <c r="F13" s="3" t="s">
        <v>108</v>
      </c>
      <c r="G13" s="3" t="s">
        <v>109</v>
      </c>
      <c r="H13" s="3"/>
      <c r="I13" s="3"/>
    </row>
    <row r="14" spans="1:9" ht="21.75" customHeight="1" x14ac:dyDescent="0.25">
      <c r="A14" s="3" t="s">
        <v>49</v>
      </c>
      <c r="B14" s="12">
        <f>'L1 Serv 6h 40'!$C$87</f>
        <v>97.71</v>
      </c>
      <c r="C14" s="12">
        <f>'L1 Serv 6h 40'!$C$93</f>
        <v>299.34792934621572</v>
      </c>
      <c r="D14" s="12">
        <f>'L1 Serv 6h 40'!$C$98</f>
        <v>397.0579293462157</v>
      </c>
      <c r="E14" s="12">
        <f>'L1 Serv 6h 40'!$B$116</f>
        <v>4971.4347720125406</v>
      </c>
      <c r="F14" s="3" t="s">
        <v>108</v>
      </c>
      <c r="G14" s="3" t="s">
        <v>109</v>
      </c>
      <c r="H14" s="3"/>
      <c r="I14" s="3"/>
    </row>
    <row r="15" spans="1:9" ht="21.75" customHeight="1" x14ac:dyDescent="0.25">
      <c r="A15" s="3" t="s">
        <v>51</v>
      </c>
      <c r="B15" s="12">
        <f>'L1 Serv 12x36 40'!$C$87</f>
        <v>97.71</v>
      </c>
      <c r="C15" s="12">
        <f>'L1 Serv 12x36 40'!$C$93</f>
        <v>299.34792934621572</v>
      </c>
      <c r="D15" s="12">
        <f>'L1 Serv 12x36 40'!$C$98</f>
        <v>397.0579293462157</v>
      </c>
      <c r="E15" s="12">
        <f>'L1 Serv 12x36 40'!$B$116</f>
        <v>7957.4197789513219</v>
      </c>
      <c r="F15" s="3" t="s">
        <v>108</v>
      </c>
      <c r="G15" s="3" t="s">
        <v>109</v>
      </c>
      <c r="H15" s="3"/>
      <c r="I15" s="3"/>
    </row>
    <row r="16" spans="1:9" ht="21.75" customHeight="1" x14ac:dyDescent="0.25">
      <c r="A16" s="3" t="s">
        <v>53</v>
      </c>
      <c r="B16" s="12">
        <f>'L5 Supervisor'!$C$86</f>
        <v>85</v>
      </c>
      <c r="C16" s="12">
        <f>'L5 Supervisor'!$C$91</f>
        <v>0</v>
      </c>
      <c r="D16" s="12">
        <f>'L5 Supervisor'!$C$96</f>
        <v>63.14</v>
      </c>
      <c r="E16" s="12">
        <f>'L5 Supervisor'!$B$114</f>
        <v>8408.8071795542255</v>
      </c>
      <c r="F16" s="3" t="s">
        <v>110</v>
      </c>
      <c r="G16" s="3" t="s">
        <v>111</v>
      </c>
      <c r="H16" s="3"/>
      <c r="I16" s="3"/>
    </row>
    <row r="17" spans="1:9" ht="21.75" customHeight="1" x14ac:dyDescent="0.25">
      <c r="A17" s="3" t="s">
        <v>112</v>
      </c>
      <c r="B17" s="12" t="e">
        <f>#REF!</f>
        <v>#REF!</v>
      </c>
      <c r="C17" s="12" t="e">
        <f>#REF!</f>
        <v>#REF!</v>
      </c>
      <c r="D17" s="12" t="e">
        <f>#REF!</f>
        <v>#REF!</v>
      </c>
      <c r="E17" s="12" t="e">
        <f>#REF!</f>
        <v>#REF!</v>
      </c>
      <c r="F17" s="3" t="s">
        <v>108</v>
      </c>
      <c r="G17" s="3" t="s">
        <v>109</v>
      </c>
      <c r="H17" s="3"/>
      <c r="I17" s="3"/>
    </row>
    <row r="18" spans="1:9" ht="21.75" customHeight="1" x14ac:dyDescent="0.25">
      <c r="A18" s="3" t="s">
        <v>66</v>
      </c>
      <c r="B18" s="12">
        <f>'L2 Calc Dedetizacao'!$C$86</f>
        <v>94.54</v>
      </c>
      <c r="C18" s="12">
        <f>'L2 Calc Dedetizacao'!$C$92</f>
        <v>1222.9615200000001</v>
      </c>
      <c r="D18" s="12">
        <f>'L2 Calc Dedetizacao'!$C$97</f>
        <v>1317.50152</v>
      </c>
      <c r="E18" s="12">
        <f>'L2 Calc Dedetizacao'!$B$115</f>
        <v>7175.3124713380603</v>
      </c>
      <c r="F18" s="3" t="s">
        <v>113</v>
      </c>
      <c r="G18" s="3" t="s">
        <v>111</v>
      </c>
      <c r="H18" s="3"/>
      <c r="I18" s="3"/>
    </row>
    <row r="19" spans="1:9" ht="21.75" customHeight="1" x14ac:dyDescent="0.25">
      <c r="A19" s="3" t="s">
        <v>76</v>
      </c>
      <c r="B19" s="12">
        <f>'L3 Calc Reservatorios'!$C$86</f>
        <v>94.54</v>
      </c>
      <c r="C19" s="12">
        <f>'L3 Calc Reservatorios'!$C$92</f>
        <v>623.59528</v>
      </c>
      <c r="D19" s="12">
        <f>'L3 Calc Reservatorios'!$C$97</f>
        <v>718.13527999999997</v>
      </c>
      <c r="E19" s="12">
        <f>'L3 Calc Reservatorios'!$B$115</f>
        <v>6110.1569998407531</v>
      </c>
      <c r="F19" s="3" t="s">
        <v>113</v>
      </c>
      <c r="G19" s="3" t="s">
        <v>111</v>
      </c>
      <c r="H19" s="3"/>
      <c r="I19" s="3"/>
    </row>
    <row r="20" spans="1:9" ht="21.75" customHeight="1" x14ac:dyDescent="0.25">
      <c r="A20" s="3" t="s">
        <v>83</v>
      </c>
      <c r="B20" s="12">
        <f>'L4 Calc Rocada'!$C$86</f>
        <v>94.54</v>
      </c>
      <c r="C20" s="12">
        <f>'L4 Calc Rocada'!$C$92</f>
        <v>335.63463999999999</v>
      </c>
      <c r="D20" s="12">
        <f>'L4 Calc Rocada'!$C$97</f>
        <v>430.17464000000001</v>
      </c>
      <c r="E20" s="12">
        <f>'L4 Calc Rocada'!$B$115</f>
        <v>6153.099254339525</v>
      </c>
      <c r="F20" s="3" t="s">
        <v>113</v>
      </c>
      <c r="G20" s="3" t="s">
        <v>111</v>
      </c>
      <c r="H20" s="3"/>
      <c r="I20" s="3"/>
    </row>
    <row r="21" spans="1:9" ht="18" customHeight="1" x14ac:dyDescent="0.25">
      <c r="A21" s="9"/>
      <c r="B21" s="9"/>
      <c r="C21" s="9"/>
      <c r="D21" s="9"/>
      <c r="E21" s="9"/>
      <c r="F21" s="9"/>
      <c r="G21" s="9"/>
      <c r="H21" s="9"/>
      <c r="I21" s="9"/>
    </row>
    <row r="22" spans="1:9" ht="18" customHeight="1" x14ac:dyDescent="0.25">
      <c r="A22" s="9"/>
      <c r="B22" s="9"/>
      <c r="C22" s="9"/>
      <c r="D22" s="9"/>
      <c r="E22" s="9"/>
      <c r="F22" s="9"/>
      <c r="G22" s="9"/>
      <c r="H22" s="9"/>
      <c r="I22" s="9"/>
    </row>
    <row r="23" spans="1:9" ht="18" customHeight="1" x14ac:dyDescent="0.25">
      <c r="A23" s="113" t="s">
        <v>114</v>
      </c>
      <c r="B23" s="108"/>
      <c r="C23" s="108"/>
      <c r="D23" s="108"/>
      <c r="E23" s="108"/>
      <c r="F23" s="108"/>
      <c r="G23" s="108"/>
      <c r="H23" s="108"/>
      <c r="I23" s="109"/>
    </row>
    <row r="24" spans="1:9" ht="24" customHeight="1" x14ac:dyDescent="0.25">
      <c r="A24" s="11">
        <v>1</v>
      </c>
      <c r="B24" s="121" t="s">
        <v>115</v>
      </c>
      <c r="C24" s="108"/>
      <c r="D24" s="108"/>
      <c r="E24" s="108"/>
      <c r="F24" s="108"/>
      <c r="G24" s="108"/>
      <c r="H24" s="108"/>
      <c r="I24" s="109"/>
    </row>
    <row r="25" spans="1:9" ht="24" customHeight="1" x14ac:dyDescent="0.25">
      <c r="A25" s="11">
        <v>2</v>
      </c>
      <c r="B25" s="121" t="s">
        <v>116</v>
      </c>
      <c r="C25" s="108"/>
      <c r="D25" s="108"/>
      <c r="E25" s="108"/>
      <c r="F25" s="108"/>
      <c r="G25" s="108"/>
      <c r="H25" s="108"/>
      <c r="I25" s="109"/>
    </row>
    <row r="26" spans="1:9" ht="30" customHeight="1" x14ac:dyDescent="0.25">
      <c r="A26" s="8">
        <v>3</v>
      </c>
      <c r="B26" s="114" t="s">
        <v>117</v>
      </c>
      <c r="C26" s="108"/>
      <c r="D26" s="108"/>
      <c r="E26" s="108"/>
      <c r="F26" s="108"/>
      <c r="G26" s="108"/>
      <c r="H26" s="108"/>
      <c r="I26" s="109"/>
    </row>
    <row r="27" spans="1:9" ht="24" customHeight="1" x14ac:dyDescent="0.25">
      <c r="A27" s="14">
        <v>4</v>
      </c>
      <c r="B27" s="115" t="s">
        <v>118</v>
      </c>
      <c r="C27" s="108"/>
      <c r="D27" s="108"/>
      <c r="E27" s="108"/>
      <c r="F27" s="108"/>
      <c r="G27" s="108"/>
      <c r="H27" s="108"/>
      <c r="I27" s="109"/>
    </row>
  </sheetData>
  <autoFilter ref="A11:I27" xr:uid="{00000000-0009-0000-0000-000001000000}"/>
  <mergeCells count="12">
    <mergeCell ref="A1:I1"/>
    <mergeCell ref="A23:I23"/>
    <mergeCell ref="D6:I6"/>
    <mergeCell ref="B27:I27"/>
    <mergeCell ref="D7:I7"/>
    <mergeCell ref="D8:I8"/>
    <mergeCell ref="B26:I26"/>
    <mergeCell ref="A2:I3"/>
    <mergeCell ref="A10:I10"/>
    <mergeCell ref="B25:I25"/>
    <mergeCell ref="A5:I5"/>
    <mergeCell ref="B24:I24"/>
  </mergeCells>
  <printOptions horizontalCentered="1"/>
  <pageMargins left="0.35" right="0.35" top="0.55000000000000004" bottom="0.55000000000000004" header="0.511811023622047" footer="0.511811023622047"/>
  <pageSetup paperSize="9" fitToHeight="0" orientation="landscape"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F18"/>
  <sheetViews>
    <sheetView showGridLines="0" zoomScaleNormal="100" workbookViewId="0">
      <pane ySplit="4" topLeftCell="A5" activePane="bottomLeft" state="frozen"/>
      <selection pane="bottomLeft" activeCell="E10" sqref="E10"/>
    </sheetView>
  </sheetViews>
  <sheetFormatPr defaultColWidth="8.5703125" defaultRowHeight="15" x14ac:dyDescent="0.25"/>
  <cols>
    <col min="1" max="1" width="34" customWidth="1"/>
    <col min="2" max="2" width="13" customWidth="1"/>
    <col min="3" max="3" width="24" customWidth="1"/>
    <col min="4" max="6" width="34" customWidth="1"/>
  </cols>
  <sheetData>
    <row r="1" spans="1:6" ht="24" customHeight="1" x14ac:dyDescent="0.25">
      <c r="A1" s="121" t="s">
        <v>119</v>
      </c>
      <c r="B1" s="108"/>
      <c r="C1" s="108"/>
      <c r="D1" s="108"/>
      <c r="E1" s="108"/>
      <c r="F1" s="109"/>
    </row>
    <row r="2" spans="1:6" ht="41.25" customHeight="1" x14ac:dyDescent="0.25">
      <c r="A2" s="121" t="s">
        <v>120</v>
      </c>
      <c r="B2" s="108"/>
      <c r="C2" s="108"/>
      <c r="D2" s="108"/>
      <c r="E2" s="108"/>
      <c r="F2" s="109"/>
    </row>
    <row r="3" spans="1:6" ht="18" customHeight="1" x14ac:dyDescent="0.25">
      <c r="A3" s="9"/>
      <c r="B3" s="9"/>
      <c r="C3" s="9"/>
      <c r="D3" s="9"/>
      <c r="E3" s="9"/>
      <c r="F3" s="9"/>
    </row>
    <row r="4" spans="1:6" ht="21.75" customHeight="1" x14ac:dyDescent="0.25">
      <c r="A4" s="12" t="s">
        <v>121</v>
      </c>
      <c r="B4" s="12" t="s">
        <v>122</v>
      </c>
      <c r="C4" s="12" t="s">
        <v>123</v>
      </c>
      <c r="D4" s="12" t="s">
        <v>124</v>
      </c>
      <c r="E4" s="3" t="s">
        <v>125</v>
      </c>
      <c r="F4" s="12" t="s">
        <v>126</v>
      </c>
    </row>
    <row r="5" spans="1:6" ht="15" customHeight="1" x14ac:dyDescent="0.25">
      <c r="A5" s="12" t="s">
        <v>127</v>
      </c>
      <c r="B5" s="12">
        <v>1651</v>
      </c>
      <c r="C5" s="12" t="s">
        <v>128</v>
      </c>
      <c r="D5" s="12" t="s">
        <v>129</v>
      </c>
      <c r="E5" s="3" t="s">
        <v>130</v>
      </c>
      <c r="F5" s="12" t="s">
        <v>131</v>
      </c>
    </row>
    <row r="6" spans="1:6" ht="38.25" customHeight="1" x14ac:dyDescent="0.25">
      <c r="A6" s="12" t="s">
        <v>132</v>
      </c>
      <c r="B6" s="12">
        <v>1621</v>
      </c>
      <c r="C6" s="12" t="s">
        <v>128</v>
      </c>
      <c r="D6" s="12" t="s">
        <v>133</v>
      </c>
      <c r="E6" s="3" t="s">
        <v>134</v>
      </c>
      <c r="F6" s="12" t="s">
        <v>135</v>
      </c>
    </row>
    <row r="7" spans="1:6" ht="38.25" customHeight="1" x14ac:dyDescent="0.25">
      <c r="A7" s="12" t="s">
        <v>136</v>
      </c>
      <c r="B7" s="2">
        <v>0.4</v>
      </c>
      <c r="C7" s="12" t="s">
        <v>137</v>
      </c>
      <c r="D7" s="12" t="s">
        <v>138</v>
      </c>
      <c r="E7" s="3" t="s">
        <v>139</v>
      </c>
      <c r="F7" s="12" t="s">
        <v>140</v>
      </c>
    </row>
    <row r="8" spans="1:6" ht="25.5" customHeight="1" x14ac:dyDescent="0.25">
      <c r="A8" s="12" t="s">
        <v>141</v>
      </c>
      <c r="B8" s="2">
        <v>0.25</v>
      </c>
      <c r="C8" s="12" t="s">
        <v>137</v>
      </c>
      <c r="D8" s="12" t="s">
        <v>142</v>
      </c>
      <c r="E8" s="3" t="s">
        <v>143</v>
      </c>
      <c r="F8" s="12" t="s">
        <v>144</v>
      </c>
    </row>
    <row r="9" spans="1:6" ht="25.5" customHeight="1" x14ac:dyDescent="0.25">
      <c r="A9" s="12" t="s">
        <v>145</v>
      </c>
      <c r="B9" s="12">
        <v>400</v>
      </c>
      <c r="C9" s="12" t="s">
        <v>128</v>
      </c>
      <c r="D9" s="12" t="s">
        <v>146</v>
      </c>
      <c r="E9" s="3" t="s">
        <v>147</v>
      </c>
      <c r="F9" s="12" t="s">
        <v>148</v>
      </c>
    </row>
    <row r="10" spans="1:6" ht="38.25" customHeight="1" x14ac:dyDescent="0.25">
      <c r="A10" s="12" t="s">
        <v>149</v>
      </c>
      <c r="B10" s="12">
        <v>3.7</v>
      </c>
      <c r="C10" s="12" t="s">
        <v>150</v>
      </c>
      <c r="D10" s="12" t="s">
        <v>146</v>
      </c>
      <c r="E10" s="3" t="s">
        <v>151</v>
      </c>
      <c r="F10" s="12" t="s">
        <v>152</v>
      </c>
    </row>
    <row r="11" spans="1:6" ht="25.5" customHeight="1" x14ac:dyDescent="0.25">
      <c r="A11" s="12" t="s">
        <v>153</v>
      </c>
      <c r="B11" s="2">
        <v>0.06</v>
      </c>
      <c r="C11" s="12" t="s">
        <v>137</v>
      </c>
      <c r="D11" s="12" t="s">
        <v>154</v>
      </c>
      <c r="E11" s="3" t="s">
        <v>155</v>
      </c>
      <c r="F11" s="12" t="s">
        <v>156</v>
      </c>
    </row>
    <row r="12" spans="1:6" ht="25.5" customHeight="1" x14ac:dyDescent="0.25">
      <c r="A12" s="12" t="s">
        <v>157</v>
      </c>
      <c r="B12" s="12">
        <v>14.66</v>
      </c>
      <c r="C12" s="12" t="s">
        <v>158</v>
      </c>
      <c r="D12" s="12" t="s">
        <v>146</v>
      </c>
      <c r="E12" s="3" t="s">
        <v>159</v>
      </c>
      <c r="F12" s="12" t="s">
        <v>160</v>
      </c>
    </row>
    <row r="13" spans="1:6" ht="25.5" customHeight="1" x14ac:dyDescent="0.25">
      <c r="A13" s="12" t="s">
        <v>161</v>
      </c>
      <c r="B13" s="12">
        <v>6.4</v>
      </c>
      <c r="C13" s="12" t="s">
        <v>158</v>
      </c>
      <c r="D13" s="12" t="s">
        <v>146</v>
      </c>
      <c r="E13" s="3" t="s">
        <v>162</v>
      </c>
      <c r="F13" s="12" t="s">
        <v>163</v>
      </c>
    </row>
    <row r="14" spans="1:6" ht="25.5" customHeight="1" x14ac:dyDescent="0.25">
      <c r="A14" s="12" t="s">
        <v>164</v>
      </c>
      <c r="B14" s="12">
        <v>130</v>
      </c>
      <c r="C14" s="12" t="s">
        <v>128</v>
      </c>
      <c r="D14" s="12" t="s">
        <v>146</v>
      </c>
      <c r="E14" s="3" t="s">
        <v>165</v>
      </c>
      <c r="F14" s="12" t="s">
        <v>166</v>
      </c>
    </row>
    <row r="15" spans="1:6" ht="38.25" customHeight="1" x14ac:dyDescent="0.25">
      <c r="A15" s="12" t="s">
        <v>167</v>
      </c>
      <c r="B15" s="12">
        <v>112</v>
      </c>
      <c r="C15" s="12" t="s">
        <v>128</v>
      </c>
      <c r="D15" s="12" t="s">
        <v>168</v>
      </c>
      <c r="E15" s="3" t="s">
        <v>169</v>
      </c>
      <c r="F15" s="12" t="s">
        <v>170</v>
      </c>
    </row>
    <row r="16" spans="1:6" ht="25.5" customHeight="1" x14ac:dyDescent="0.25">
      <c r="A16" s="12" t="s">
        <v>171</v>
      </c>
      <c r="B16" s="3">
        <v>22</v>
      </c>
      <c r="C16" s="12" t="s">
        <v>172</v>
      </c>
      <c r="D16" s="12" t="s">
        <v>173</v>
      </c>
      <c r="E16" s="3" t="s">
        <v>174</v>
      </c>
      <c r="F16" s="12" t="s">
        <v>175</v>
      </c>
    </row>
    <row r="17" spans="1:6" ht="26.25" customHeight="1" x14ac:dyDescent="0.25">
      <c r="A17" s="12" t="s">
        <v>176</v>
      </c>
      <c r="B17" s="3">
        <v>15</v>
      </c>
      <c r="C17" s="12" t="s">
        <v>172</v>
      </c>
      <c r="D17" s="12" t="s">
        <v>173</v>
      </c>
      <c r="E17" s="3" t="s">
        <v>174</v>
      </c>
      <c r="F17" s="12" t="s">
        <v>177</v>
      </c>
    </row>
    <row r="18" spans="1:6" ht="26.25" customHeight="1" x14ac:dyDescent="0.25">
      <c r="A18" s="12" t="s">
        <v>178</v>
      </c>
      <c r="B18" s="3">
        <v>220</v>
      </c>
      <c r="C18" s="12" t="s">
        <v>179</v>
      </c>
      <c r="D18" s="12" t="s">
        <v>180</v>
      </c>
      <c r="E18" s="3" t="s">
        <v>181</v>
      </c>
      <c r="F18" s="12" t="s">
        <v>182</v>
      </c>
    </row>
  </sheetData>
  <autoFilter ref="A4:F18" xr:uid="{00000000-0009-0000-0000-000002000000}"/>
  <mergeCells count="2">
    <mergeCell ref="A2:F2"/>
    <mergeCell ref="A1:F1"/>
  </mergeCells>
  <printOptions horizontalCentered="1"/>
  <pageMargins left="0.35416666666666702" right="0.35416666666666702" top="0.55138888888888904" bottom="0.55138888888888904" header="0.511811023622047" footer="0.511811023622047"/>
  <pageSetup paperSize="9" scale="80" fitToHeight="0"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O23"/>
  <sheetViews>
    <sheetView showGridLines="0" zoomScaleNormal="100" workbookViewId="0">
      <pane ySplit="4" topLeftCell="A5" activePane="bottomLeft" state="frozen"/>
      <selection pane="bottomLeft" activeCell="L23" sqref="L23"/>
    </sheetView>
  </sheetViews>
  <sheetFormatPr defaultColWidth="8.5703125" defaultRowHeight="15" x14ac:dyDescent="0.25"/>
  <cols>
    <col min="1" max="2" width="34" customWidth="1"/>
    <col min="3" max="3" width="24" customWidth="1"/>
    <col min="4" max="4" width="28" customWidth="1"/>
    <col min="5" max="5" width="27" customWidth="1"/>
    <col min="6" max="6" width="34" customWidth="1"/>
    <col min="7" max="8" width="8" customWidth="1"/>
    <col min="15" max="15" width="9" hidden="1" customWidth="1"/>
  </cols>
  <sheetData>
    <row r="1" spans="1:14" ht="24" customHeight="1" x14ac:dyDescent="0.25">
      <c r="A1" s="121" t="s">
        <v>183</v>
      </c>
      <c r="B1" s="108"/>
      <c r="C1" s="108"/>
      <c r="D1" s="108"/>
      <c r="E1" s="108"/>
      <c r="F1" s="108"/>
      <c r="G1" s="108"/>
      <c r="H1" s="109"/>
      <c r="I1" s="21"/>
      <c r="J1" s="21"/>
      <c r="K1" s="21"/>
      <c r="L1" s="21"/>
      <c r="M1" s="21"/>
      <c r="N1" s="21"/>
    </row>
    <row r="2" spans="1:14" ht="24" customHeight="1" x14ac:dyDescent="0.25">
      <c r="A2" s="121" t="s">
        <v>184</v>
      </c>
      <c r="B2" s="108"/>
      <c r="C2" s="108"/>
      <c r="D2" s="108"/>
      <c r="E2" s="108"/>
      <c r="F2" s="108"/>
      <c r="G2" s="108"/>
      <c r="H2" s="109"/>
      <c r="I2" s="21"/>
      <c r="J2" s="21"/>
      <c r="K2" s="21"/>
      <c r="L2" s="21"/>
      <c r="M2" s="21"/>
      <c r="N2" s="21"/>
    </row>
    <row r="3" spans="1:14" ht="18" customHeight="1" x14ac:dyDescent="0.25">
      <c r="A3" s="9"/>
      <c r="B3" s="9"/>
      <c r="C3" s="9"/>
      <c r="D3" s="9"/>
      <c r="E3" s="9"/>
      <c r="F3" s="9"/>
      <c r="G3" s="9"/>
      <c r="H3" s="9"/>
      <c r="I3" s="21"/>
      <c r="J3" s="21"/>
      <c r="K3" s="21"/>
      <c r="L3" s="21"/>
      <c r="M3" s="21"/>
      <c r="N3" s="21"/>
    </row>
    <row r="4" spans="1:14" ht="21.75" customHeight="1" x14ac:dyDescent="0.25">
      <c r="A4" s="12" t="s">
        <v>185</v>
      </c>
      <c r="B4" s="12" t="s">
        <v>186</v>
      </c>
      <c r="C4" s="3"/>
      <c r="D4" s="3"/>
      <c r="E4" s="3"/>
      <c r="F4" s="3"/>
      <c r="G4" s="3"/>
      <c r="H4" s="3"/>
      <c r="I4" s="21"/>
      <c r="J4" s="21"/>
      <c r="K4" s="21"/>
      <c r="L4" s="21"/>
      <c r="M4" s="21"/>
      <c r="N4" s="21"/>
    </row>
    <row r="5" spans="1:14" ht="30" customHeight="1" x14ac:dyDescent="0.25">
      <c r="A5" s="6" t="s">
        <v>4</v>
      </c>
      <c r="B5" s="115" t="s">
        <v>187</v>
      </c>
      <c r="C5" s="108"/>
      <c r="D5" s="108"/>
      <c r="E5" s="108"/>
      <c r="F5" s="108"/>
      <c r="G5" s="108"/>
      <c r="H5" s="109"/>
      <c r="I5" s="21"/>
      <c r="J5" s="21"/>
      <c r="K5" s="21"/>
      <c r="L5" s="21"/>
      <c r="M5" s="21"/>
      <c r="N5" s="21"/>
    </row>
    <row r="6" spans="1:14" ht="18" customHeight="1" x14ac:dyDescent="0.25">
      <c r="A6" s="9"/>
      <c r="B6" s="9"/>
      <c r="C6" s="9"/>
      <c r="D6" s="9"/>
      <c r="E6" s="9"/>
      <c r="F6" s="9"/>
      <c r="G6" s="9"/>
      <c r="H6" s="9"/>
      <c r="I6" s="21"/>
      <c r="J6" s="21"/>
      <c r="K6" s="21"/>
      <c r="L6" s="21"/>
      <c r="M6" s="21"/>
      <c r="N6" s="21"/>
    </row>
    <row r="7" spans="1:14" ht="21.75" customHeight="1" x14ac:dyDescent="0.25">
      <c r="A7" s="6" t="s">
        <v>188</v>
      </c>
      <c r="B7" s="6" t="s">
        <v>189</v>
      </c>
      <c r="C7" s="10" t="s">
        <v>190</v>
      </c>
      <c r="D7" s="10" t="s">
        <v>191</v>
      </c>
      <c r="E7" s="10" t="s">
        <v>192</v>
      </c>
      <c r="F7" s="6" t="s">
        <v>193</v>
      </c>
      <c r="G7" s="3"/>
      <c r="H7" s="3"/>
      <c r="I7" s="21"/>
      <c r="J7" s="21"/>
      <c r="K7" s="21"/>
      <c r="L7" s="21"/>
      <c r="M7" s="21"/>
      <c r="N7" s="21"/>
    </row>
    <row r="8" spans="1:14" ht="21.75" customHeight="1" x14ac:dyDescent="0.25">
      <c r="A8" s="12">
        <f>'L1 Quadro Resumo'!M13</f>
        <v>479436.29179189127</v>
      </c>
      <c r="B8" s="12">
        <f>'L1 Quadro Resumo'!N13</f>
        <v>5753235.5015026955</v>
      </c>
      <c r="C8" s="22">
        <f>'L1 Quadro Resumo'!L13</f>
        <v>69</v>
      </c>
      <c r="D8" s="22">
        <f>IFERROR(SUM('L1 Dim Revisado'!$W$7:$W$52),0)</f>
        <v>72</v>
      </c>
      <c r="E8" s="22">
        <f>IFERROR(C8-D8,0)</f>
        <v>-3</v>
      </c>
      <c r="F8" s="12">
        <f>'L1 Quadro Resumo'!M13</f>
        <v>479436.29179189127</v>
      </c>
      <c r="G8" s="3"/>
      <c r="H8" s="3"/>
      <c r="I8" s="21"/>
      <c r="J8" s="21"/>
      <c r="K8" s="21"/>
      <c r="L8" s="21"/>
      <c r="M8" s="21"/>
      <c r="N8" s="21"/>
    </row>
    <row r="9" spans="1:14" ht="18" customHeight="1" x14ac:dyDescent="0.25">
      <c r="A9" s="9"/>
      <c r="B9" s="9"/>
      <c r="C9" s="9"/>
      <c r="D9" s="9"/>
      <c r="E9" s="9"/>
      <c r="F9" s="9"/>
      <c r="G9" s="9"/>
      <c r="H9" s="9"/>
      <c r="I9" s="21"/>
      <c r="J9" s="21"/>
      <c r="K9" s="21"/>
      <c r="L9" s="21"/>
      <c r="M9" s="21"/>
      <c r="N9" s="21"/>
    </row>
    <row r="10" spans="1:14" ht="18" customHeight="1" x14ac:dyDescent="0.25">
      <c r="A10" s="9"/>
      <c r="B10" s="9"/>
      <c r="C10" s="9"/>
      <c r="D10" s="9"/>
      <c r="E10" s="9"/>
      <c r="F10" s="9"/>
      <c r="G10" s="9"/>
      <c r="H10" s="9"/>
      <c r="I10" s="21"/>
      <c r="J10" s="21"/>
      <c r="K10" s="21"/>
      <c r="L10" s="21"/>
      <c r="M10" s="21"/>
      <c r="N10" s="21"/>
    </row>
    <row r="11" spans="1:14" ht="18" customHeight="1" x14ac:dyDescent="0.25">
      <c r="A11" s="23" t="s">
        <v>194</v>
      </c>
      <c r="B11" s="9"/>
      <c r="C11" s="9"/>
      <c r="D11" s="9"/>
      <c r="E11" s="9"/>
      <c r="F11" s="9"/>
      <c r="G11" s="9"/>
      <c r="H11" s="9"/>
      <c r="I11" s="21"/>
      <c r="J11" s="21"/>
      <c r="K11" s="21"/>
      <c r="L11" s="21"/>
      <c r="M11" s="21"/>
      <c r="N11" s="21"/>
    </row>
    <row r="12" spans="1:14" ht="21.75" customHeight="1" x14ac:dyDescent="0.25">
      <c r="A12" s="12" t="s">
        <v>195</v>
      </c>
      <c r="B12" s="12" t="str">
        <f>IFERROR(IF(ISERROR('L1 Quadro Resumo'!G8),"Revisar","Corrigidas"),"Revisar")</f>
        <v>Corrigidas</v>
      </c>
      <c r="C12" s="3"/>
      <c r="D12" s="3"/>
      <c r="E12" s="3"/>
      <c r="F12" s="3"/>
      <c r="G12" s="3"/>
      <c r="H12" s="3"/>
      <c r="I12" s="21"/>
      <c r="J12" s="21"/>
      <c r="K12" s="21"/>
      <c r="L12" s="21"/>
      <c r="M12" s="21"/>
      <c r="N12" s="21"/>
    </row>
    <row r="13" spans="1:14" ht="21.75" customHeight="1" x14ac:dyDescent="0.25">
      <c r="A13" s="12" t="s">
        <v>164</v>
      </c>
      <c r="B13" s="12" t="str">
        <f>IFERROR(IF('L1 Param CCT'!B14=130,"Compatível com CCT","Revisar"),"Revisar")</f>
        <v>Compatível com CCT</v>
      </c>
      <c r="C13" s="3"/>
      <c r="D13" s="3"/>
      <c r="E13" s="3"/>
      <c r="F13" s="3"/>
      <c r="G13" s="3"/>
      <c r="H13" s="3"/>
      <c r="I13" s="21"/>
      <c r="J13" s="21"/>
      <c r="K13" s="21"/>
      <c r="L13" s="21"/>
      <c r="M13" s="21"/>
      <c r="N13" s="21"/>
    </row>
    <row r="14" spans="1:14" ht="21.75" customHeight="1" x14ac:dyDescent="0.25">
      <c r="A14" s="12" t="s">
        <v>196</v>
      </c>
      <c r="B14" s="12" t="str">
        <f>IFERROR(IF('L1 Dim Revisado'!W54&gt;0,"Parametrizada por unidade","Revisar"),"Revisar")</f>
        <v>Parametrizada por unidade</v>
      </c>
      <c r="C14" s="3"/>
      <c r="D14" s="3"/>
      <c r="E14" s="3"/>
      <c r="F14" s="3"/>
      <c r="G14" s="3"/>
      <c r="H14" s="3"/>
      <c r="I14" s="21"/>
      <c r="J14" s="21"/>
      <c r="K14" s="21"/>
      <c r="L14" s="21"/>
      <c r="M14" s="21"/>
      <c r="N14" s="21"/>
    </row>
    <row r="15" spans="1:14" ht="18" customHeight="1" x14ac:dyDescent="0.25">
      <c r="A15" s="9"/>
      <c r="B15" s="9"/>
      <c r="C15" s="9"/>
      <c r="D15" s="9"/>
      <c r="E15" s="9"/>
      <c r="F15" s="9"/>
      <c r="G15" s="9"/>
      <c r="H15" s="9"/>
      <c r="I15" s="21"/>
      <c r="J15" s="21"/>
      <c r="K15" s="21"/>
      <c r="L15" s="21"/>
      <c r="M15" s="21"/>
      <c r="N15" s="21"/>
    </row>
    <row r="16" spans="1:14" ht="18" customHeight="1" x14ac:dyDescent="0.25">
      <c r="A16" s="6" t="s">
        <v>197</v>
      </c>
      <c r="B16" s="24"/>
      <c r="C16" s="24"/>
      <c r="D16" s="24"/>
      <c r="E16" s="24"/>
      <c r="F16" s="24"/>
      <c r="G16" s="24"/>
      <c r="H16" s="24"/>
      <c r="I16" s="21"/>
      <c r="J16" s="21"/>
      <c r="K16" s="21"/>
      <c r="L16" s="21"/>
      <c r="M16" s="21"/>
      <c r="N16" s="21"/>
    </row>
    <row r="17" spans="1:14" ht="21.75" customHeight="1" x14ac:dyDescent="0.25">
      <c r="A17" s="12" t="s">
        <v>198</v>
      </c>
      <c r="B17" s="12" t="s">
        <v>199</v>
      </c>
      <c r="C17" s="3" t="s">
        <v>200</v>
      </c>
      <c r="D17" s="3" t="s">
        <v>67</v>
      </c>
      <c r="E17" s="3" t="s">
        <v>201</v>
      </c>
      <c r="F17" s="12" t="s">
        <v>202</v>
      </c>
      <c r="G17" s="3"/>
      <c r="H17" s="3"/>
      <c r="I17" s="21"/>
      <c r="J17" s="21"/>
      <c r="K17" s="21"/>
      <c r="L17" s="21"/>
      <c r="M17" s="21"/>
      <c r="N17" s="21"/>
    </row>
    <row r="18" spans="1:14" ht="21.75" customHeight="1" x14ac:dyDescent="0.25">
      <c r="A18" s="12" t="s">
        <v>203</v>
      </c>
      <c r="B18" s="12" t="str">
        <f>""&amp;IFERROR('L1 Quadro Resumo'!L12,0)</f>
        <v>0</v>
      </c>
      <c r="C18" s="22">
        <f>IFERROR(SUM('L1 Quadro Resumo'!D16:D25),0)</f>
        <v>69</v>
      </c>
      <c r="D18" s="22">
        <f>IFERROR('L1 Dim Revisado'!W54,0)</f>
        <v>72</v>
      </c>
      <c r="E18" s="22">
        <f>IFERROR('L1 Dim Revisado'!W54-SUM('L1 Quadro Resumo'!D16:D25),0)</f>
        <v>3</v>
      </c>
      <c r="F18" s="12" t="s">
        <v>204</v>
      </c>
      <c r="G18" s="3"/>
      <c r="H18" s="3"/>
      <c r="I18" s="21"/>
      <c r="J18" s="21"/>
      <c r="K18" s="21"/>
      <c r="L18" s="21"/>
      <c r="M18" s="21"/>
      <c r="N18" s="21"/>
    </row>
    <row r="19" spans="1:14" ht="21.75" customHeight="1" x14ac:dyDescent="0.25">
      <c r="A19" s="6" t="s">
        <v>205</v>
      </c>
      <c r="B19" s="13">
        <f>'L1 Quadro Resumo'!F27</f>
        <v>479436.29179189127</v>
      </c>
      <c r="C19" s="25" t="s">
        <v>206</v>
      </c>
      <c r="D19" s="26">
        <f>IFERROR(B19-A8,0)</f>
        <v>0</v>
      </c>
      <c r="E19" s="26">
        <f>IFERROR(SUM('L1 Quadro Resumo'!F16:F25)-'L1 Quadro Resumo'!M12,0)</f>
        <v>479436.29179189127</v>
      </c>
      <c r="F19" s="6" t="s">
        <v>207</v>
      </c>
      <c r="G19" s="3"/>
      <c r="H19" s="3"/>
      <c r="I19" s="21"/>
      <c r="J19" s="21"/>
      <c r="K19" s="21"/>
      <c r="L19" s="21"/>
      <c r="M19" s="21"/>
      <c r="N19" s="21"/>
    </row>
    <row r="20" spans="1:14" ht="18" customHeight="1" x14ac:dyDescent="0.25">
      <c r="A20" s="6" t="s">
        <v>208</v>
      </c>
      <c r="B20" s="13">
        <f>'L1 Quadro Resumo'!G27</f>
        <v>5753235.5015026955</v>
      </c>
      <c r="C20" s="25" t="s">
        <v>206</v>
      </c>
      <c r="D20" s="26">
        <f>IFERROR(B20-B8,0)</f>
        <v>0</v>
      </c>
      <c r="E20" s="26">
        <f>IFERROR(SUM('L1 Quadro Resumo'!G16:G25)-'L1 Quadro Resumo'!N12,0)</f>
        <v>5753235.5015026955</v>
      </c>
      <c r="F20" s="6" t="s">
        <v>209</v>
      </c>
      <c r="G20" s="24"/>
      <c r="H20" s="24"/>
      <c r="I20" s="21"/>
      <c r="J20" s="21"/>
      <c r="K20" s="21"/>
      <c r="L20" s="21"/>
      <c r="M20" s="21"/>
      <c r="N20" s="21"/>
    </row>
    <row r="21" spans="1:14" ht="13.5" customHeight="1" x14ac:dyDescent="0.25">
      <c r="A21" s="21"/>
      <c r="B21" s="21"/>
      <c r="C21" s="21"/>
      <c r="D21" s="21"/>
      <c r="E21" s="21"/>
      <c r="F21" s="21"/>
      <c r="G21" s="21"/>
      <c r="H21" s="21"/>
      <c r="I21" s="21"/>
      <c r="J21" s="21"/>
      <c r="K21" s="21"/>
      <c r="L21" s="21"/>
      <c r="M21" s="21"/>
      <c r="N21" s="21"/>
    </row>
    <row r="22" spans="1:14" ht="13.5" customHeight="1" x14ac:dyDescent="0.25">
      <c r="A22" s="21"/>
      <c r="B22" s="21"/>
      <c r="C22" s="21"/>
      <c r="D22" s="21"/>
      <c r="E22" s="21"/>
      <c r="F22" s="21"/>
      <c r="G22" s="21"/>
      <c r="H22" s="21"/>
      <c r="I22" s="21"/>
      <c r="J22" s="21"/>
      <c r="K22" s="21"/>
      <c r="L22" s="21"/>
      <c r="M22" s="21"/>
      <c r="N22" s="21"/>
    </row>
    <row r="23" spans="1:14" ht="13.5" customHeight="1" x14ac:dyDescent="0.25">
      <c r="A23" s="21"/>
      <c r="B23" s="21"/>
      <c r="C23" s="21"/>
      <c r="D23" s="21"/>
      <c r="E23" s="21"/>
      <c r="F23" s="21"/>
      <c r="G23" s="21"/>
      <c r="H23" s="21"/>
      <c r="I23" s="21"/>
      <c r="J23" s="21"/>
      <c r="K23" s="21"/>
      <c r="L23" s="21"/>
      <c r="M23" s="21"/>
      <c r="N23" s="21"/>
    </row>
  </sheetData>
  <autoFilter ref="A4:H20" xr:uid="{00000000-0009-0000-0000-000003000000}"/>
  <mergeCells count="3">
    <mergeCell ref="B5:H5"/>
    <mergeCell ref="A2:H2"/>
    <mergeCell ref="A1:H1"/>
  </mergeCells>
  <printOptions horizontalCentered="1"/>
  <pageMargins left="0.35" right="0.35" top="0.55000000000000004" bottom="0.55000000000000004" header="0.511811023622047" footer="0.511811023622047"/>
  <pageSetup paperSize="9" fitToHeight="0"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2:AMJ33"/>
  <sheetViews>
    <sheetView showGridLines="0" zoomScaleNormal="100" workbookViewId="0">
      <pane xSplit="1" ySplit="2" topLeftCell="B3" activePane="bottomRight" state="frozen"/>
      <selection pane="topRight" activeCell="B1" sqref="B1"/>
      <selection pane="bottomLeft" activeCell="A3" sqref="A3"/>
      <selection pane="bottomRight" activeCell="C5" sqref="C5"/>
    </sheetView>
  </sheetViews>
  <sheetFormatPr defaultColWidth="8.5703125" defaultRowHeight="15" x14ac:dyDescent="0.25"/>
  <cols>
    <col min="2" max="2" width="7" style="94" customWidth="1"/>
    <col min="3" max="3" width="51.140625" style="86" customWidth="1"/>
    <col min="4" max="4" width="18" style="94" customWidth="1"/>
    <col min="5" max="5" width="16" style="94" customWidth="1"/>
    <col min="6" max="6" width="13" style="94" customWidth="1"/>
  </cols>
  <sheetData>
    <row r="2" spans="2:1024" x14ac:dyDescent="0.25">
      <c r="B2" s="33" t="s">
        <v>91</v>
      </c>
      <c r="C2" s="87" t="s">
        <v>210</v>
      </c>
      <c r="D2" s="68" t="s">
        <v>211</v>
      </c>
      <c r="E2" s="68" t="s">
        <v>212</v>
      </c>
      <c r="F2" s="68" t="s">
        <v>213</v>
      </c>
    </row>
    <row r="3" spans="2:1024" ht="38.25" x14ac:dyDescent="0.25">
      <c r="B3" s="84">
        <v>1</v>
      </c>
      <c r="C3" s="88" t="s">
        <v>214</v>
      </c>
      <c r="D3" s="91">
        <v>4</v>
      </c>
      <c r="E3" s="83">
        <v>51.03</v>
      </c>
      <c r="F3" s="83">
        <f t="shared" ref="F3:F9" si="0">E3*D3</f>
        <v>204.12</v>
      </c>
    </row>
    <row r="4" spans="2:1024" ht="38.25" x14ac:dyDescent="0.25">
      <c r="B4" s="84">
        <v>2</v>
      </c>
      <c r="C4" s="88" t="s">
        <v>215</v>
      </c>
      <c r="D4" s="91">
        <v>6</v>
      </c>
      <c r="E4" s="83">
        <v>28.97</v>
      </c>
      <c r="F4" s="83">
        <f t="shared" si="0"/>
        <v>173.82</v>
      </c>
    </row>
    <row r="5" spans="2:1024" ht="63.75" x14ac:dyDescent="0.25">
      <c r="B5" s="84">
        <v>3</v>
      </c>
      <c r="C5" s="88" t="s">
        <v>216</v>
      </c>
      <c r="D5" s="91">
        <v>12</v>
      </c>
      <c r="E5" s="83">
        <v>16.010000000000002</v>
      </c>
      <c r="F5" s="83">
        <f t="shared" si="0"/>
        <v>192.12</v>
      </c>
    </row>
    <row r="6" spans="2:1024" x14ac:dyDescent="0.25">
      <c r="B6" s="84">
        <v>4</v>
      </c>
      <c r="C6" s="89" t="s">
        <v>217</v>
      </c>
      <c r="D6" s="91">
        <v>48</v>
      </c>
      <c r="E6" s="83">
        <v>7.08</v>
      </c>
      <c r="F6" s="83">
        <f t="shared" si="0"/>
        <v>339.84000000000003</v>
      </c>
    </row>
    <row r="7" spans="2:1024" ht="89.25" x14ac:dyDescent="0.25">
      <c r="B7" s="84">
        <v>5</v>
      </c>
      <c r="C7" s="88" t="s">
        <v>218</v>
      </c>
      <c r="D7" s="91">
        <v>2</v>
      </c>
      <c r="E7" s="83">
        <v>48.89</v>
      </c>
      <c r="F7" s="83">
        <f t="shared" si="0"/>
        <v>97.78</v>
      </c>
    </row>
    <row r="8" spans="2:1024" ht="127.5" x14ac:dyDescent="0.25">
      <c r="B8" s="84">
        <v>6</v>
      </c>
      <c r="C8" s="88" t="s">
        <v>219</v>
      </c>
      <c r="D8" s="91">
        <v>2</v>
      </c>
      <c r="E8" s="83">
        <v>62.52</v>
      </c>
      <c r="F8" s="83">
        <f t="shared" si="0"/>
        <v>125.04</v>
      </c>
    </row>
    <row r="9" spans="2:1024" ht="51" x14ac:dyDescent="0.25">
      <c r="B9" s="84">
        <v>7</v>
      </c>
      <c r="C9" s="88" t="s">
        <v>220</v>
      </c>
      <c r="D9" s="91">
        <v>6</v>
      </c>
      <c r="E9" s="83">
        <v>6.64</v>
      </c>
      <c r="F9" s="83">
        <f t="shared" si="0"/>
        <v>39.839999999999996</v>
      </c>
    </row>
    <row r="10" spans="2:1024" x14ac:dyDescent="0.25">
      <c r="B10" s="110" t="s">
        <v>221</v>
      </c>
      <c r="C10" s="108"/>
      <c r="D10" s="108"/>
      <c r="E10" s="109"/>
      <c r="F10" s="68">
        <f>SUM(F3:F9)</f>
        <v>1172.56</v>
      </c>
    </row>
    <row r="11" spans="2:1024" x14ac:dyDescent="0.25">
      <c r="B11" s="113" t="s">
        <v>222</v>
      </c>
      <c r="C11" s="108"/>
      <c r="D11" s="108"/>
      <c r="E11" s="109"/>
      <c r="F11" s="7">
        <f>1172.56/12</f>
        <v>97.713333333333324</v>
      </c>
    </row>
    <row r="12" spans="2:1024" x14ac:dyDescent="0.25">
      <c r="B12" s="92"/>
      <c r="C12" s="90"/>
      <c r="D12" s="92"/>
      <c r="E12" s="92"/>
      <c r="F12" s="92"/>
    </row>
    <row r="13" spans="2:1024" ht="25.5" x14ac:dyDescent="0.25">
      <c r="B13" s="33" t="s">
        <v>91</v>
      </c>
      <c r="C13" s="87" t="s">
        <v>223</v>
      </c>
      <c r="D13" s="68" t="s">
        <v>211</v>
      </c>
      <c r="E13" s="68" t="s">
        <v>212</v>
      </c>
      <c r="F13" s="68" t="s">
        <v>213</v>
      </c>
      <c r="AME13" s="31"/>
      <c r="AMF13" s="31"/>
      <c r="AMG13" s="31"/>
      <c r="AMH13" s="31"/>
      <c r="AMI13" s="31"/>
      <c r="AMJ13" s="31"/>
    </row>
    <row r="14" spans="2:1024" ht="38.25" x14ac:dyDescent="0.25">
      <c r="B14" s="84">
        <v>8</v>
      </c>
      <c r="C14" s="88" t="s">
        <v>224</v>
      </c>
      <c r="D14" s="93">
        <v>6</v>
      </c>
      <c r="E14" s="83">
        <v>31.68</v>
      </c>
      <c r="F14" s="83">
        <f t="shared" ref="F14:F24" si="1">E14*D14</f>
        <v>190.07999999999998</v>
      </c>
    </row>
    <row r="15" spans="2:1024" ht="51" x14ac:dyDescent="0.25">
      <c r="B15" s="84">
        <v>9</v>
      </c>
      <c r="C15" s="88" t="s">
        <v>225</v>
      </c>
      <c r="D15" s="91">
        <v>4</v>
      </c>
      <c r="E15" s="83">
        <v>55.92</v>
      </c>
      <c r="F15" s="83">
        <f t="shared" si="1"/>
        <v>223.68</v>
      </c>
    </row>
    <row r="16" spans="2:1024" ht="89.25" x14ac:dyDescent="0.25">
      <c r="B16" s="84">
        <v>10</v>
      </c>
      <c r="C16" s="88" t="s">
        <v>226</v>
      </c>
      <c r="D16" s="91">
        <v>2</v>
      </c>
      <c r="E16" s="83">
        <v>48.89</v>
      </c>
      <c r="F16" s="83">
        <f t="shared" si="1"/>
        <v>97.78</v>
      </c>
    </row>
    <row r="17" spans="2:1024" ht="127.5" x14ac:dyDescent="0.25">
      <c r="B17" s="84">
        <v>11</v>
      </c>
      <c r="C17" s="88" t="s">
        <v>227</v>
      </c>
      <c r="D17" s="91">
        <v>2</v>
      </c>
      <c r="E17" s="83">
        <v>64</v>
      </c>
      <c r="F17" s="83">
        <f t="shared" si="1"/>
        <v>128</v>
      </c>
    </row>
    <row r="18" spans="2:1024" x14ac:dyDescent="0.25">
      <c r="B18" s="84">
        <v>12</v>
      </c>
      <c r="C18" s="89" t="s">
        <v>228</v>
      </c>
      <c r="D18" s="91">
        <v>2</v>
      </c>
      <c r="E18" s="83">
        <v>23.98</v>
      </c>
      <c r="F18" s="83">
        <f t="shared" si="1"/>
        <v>47.96</v>
      </c>
    </row>
    <row r="19" spans="2:1024" ht="76.5" x14ac:dyDescent="0.25">
      <c r="B19" s="84">
        <v>13</v>
      </c>
      <c r="C19" s="88" t="s">
        <v>229</v>
      </c>
      <c r="D19" s="91">
        <v>2</v>
      </c>
      <c r="E19" s="83">
        <v>22.54</v>
      </c>
      <c r="F19" s="83">
        <f t="shared" si="1"/>
        <v>45.08</v>
      </c>
    </row>
    <row r="20" spans="2:1024" ht="63.75" x14ac:dyDescent="0.25">
      <c r="B20" s="84">
        <v>14</v>
      </c>
      <c r="C20" s="88" t="s">
        <v>230</v>
      </c>
      <c r="D20" s="91">
        <v>4</v>
      </c>
      <c r="E20" s="83">
        <v>16.010000000000002</v>
      </c>
      <c r="F20" s="83">
        <f t="shared" si="1"/>
        <v>64.040000000000006</v>
      </c>
    </row>
    <row r="21" spans="2:1024" x14ac:dyDescent="0.25">
      <c r="B21" s="84">
        <v>15</v>
      </c>
      <c r="C21" s="89" t="s">
        <v>231</v>
      </c>
      <c r="D21" s="91">
        <v>4</v>
      </c>
      <c r="E21" s="83">
        <v>28.55</v>
      </c>
      <c r="F21" s="83">
        <f t="shared" si="1"/>
        <v>114.2</v>
      </c>
    </row>
    <row r="22" spans="2:1024" x14ac:dyDescent="0.25">
      <c r="B22" s="84">
        <v>16</v>
      </c>
      <c r="C22" s="89" t="s">
        <v>232</v>
      </c>
      <c r="D22" s="91">
        <v>6</v>
      </c>
      <c r="E22" s="83">
        <v>23.47</v>
      </c>
      <c r="F22" s="83">
        <f t="shared" si="1"/>
        <v>140.82</v>
      </c>
    </row>
    <row r="23" spans="2:1024" x14ac:dyDescent="0.25">
      <c r="B23" s="84">
        <v>17</v>
      </c>
      <c r="C23" s="88" t="s">
        <v>233</v>
      </c>
      <c r="D23" s="91">
        <v>4</v>
      </c>
      <c r="E23" s="83">
        <v>1.98</v>
      </c>
      <c r="F23" s="83">
        <f t="shared" si="1"/>
        <v>7.92</v>
      </c>
    </row>
    <row r="24" spans="2:1024" x14ac:dyDescent="0.25">
      <c r="B24" s="84">
        <v>18</v>
      </c>
      <c r="C24" s="89" t="s">
        <v>234</v>
      </c>
      <c r="D24" s="91">
        <v>8</v>
      </c>
      <c r="E24" s="83">
        <v>9.3699999999999992</v>
      </c>
      <c r="F24" s="83">
        <f t="shared" si="1"/>
        <v>74.959999999999994</v>
      </c>
    </row>
    <row r="25" spans="2:1024" x14ac:dyDescent="0.25">
      <c r="B25" s="110" t="s">
        <v>221</v>
      </c>
      <c r="C25" s="108"/>
      <c r="D25" s="108"/>
      <c r="E25" s="109"/>
      <c r="F25" s="68">
        <f>SUM(F14:F24)</f>
        <v>1134.5200000000002</v>
      </c>
    </row>
    <row r="26" spans="2:1024" x14ac:dyDescent="0.25">
      <c r="B26" s="113" t="s">
        <v>222</v>
      </c>
      <c r="C26" s="108"/>
      <c r="D26" s="108"/>
      <c r="E26" s="109"/>
      <c r="F26" s="7">
        <f>1134.52/12</f>
        <v>94.543333333333337</v>
      </c>
    </row>
    <row r="27" spans="2:1024" x14ac:dyDescent="0.25">
      <c r="B27" s="92"/>
      <c r="C27" s="90"/>
      <c r="D27" s="92"/>
      <c r="E27" s="92"/>
      <c r="F27" s="92"/>
    </row>
    <row r="28" spans="2:1024" x14ac:dyDescent="0.25">
      <c r="B28" s="33" t="s">
        <v>91</v>
      </c>
      <c r="C28" s="87" t="s">
        <v>235</v>
      </c>
      <c r="D28" s="68" t="s">
        <v>211</v>
      </c>
      <c r="E28" s="68" t="s">
        <v>212</v>
      </c>
      <c r="F28" s="68" t="s">
        <v>236</v>
      </c>
      <c r="AME28" s="31"/>
      <c r="AMF28" s="31"/>
      <c r="AMG28" s="31"/>
      <c r="AMH28" s="31"/>
      <c r="AMI28" s="31"/>
      <c r="AMJ28" s="31"/>
    </row>
    <row r="29" spans="2:1024" x14ac:dyDescent="0.25">
      <c r="B29" s="84">
        <v>19</v>
      </c>
      <c r="C29" s="89" t="s">
        <v>237</v>
      </c>
      <c r="D29" s="91">
        <v>4</v>
      </c>
      <c r="E29" s="83">
        <v>52.55</v>
      </c>
      <c r="F29" s="83">
        <f>E29*D29</f>
        <v>210.2</v>
      </c>
    </row>
    <row r="30" spans="2:1024" ht="25.5" x14ac:dyDescent="0.25">
      <c r="B30" s="84">
        <v>20</v>
      </c>
      <c r="C30" s="88" t="s">
        <v>238</v>
      </c>
      <c r="D30" s="91">
        <v>6</v>
      </c>
      <c r="E30" s="83">
        <v>62.66</v>
      </c>
      <c r="F30" s="83">
        <f>E30*D30</f>
        <v>375.96</v>
      </c>
    </row>
    <row r="31" spans="2:1024" ht="114.75" x14ac:dyDescent="0.25">
      <c r="B31" s="84">
        <v>21</v>
      </c>
      <c r="C31" s="88" t="s">
        <v>239</v>
      </c>
      <c r="D31" s="91">
        <v>2</v>
      </c>
      <c r="E31" s="83">
        <v>85.73</v>
      </c>
      <c r="F31" s="83">
        <f>E31*D31</f>
        <v>171.46</v>
      </c>
    </row>
    <row r="32" spans="2:1024" x14ac:dyDescent="0.25">
      <c r="B32" s="110" t="s">
        <v>221</v>
      </c>
      <c r="C32" s="108"/>
      <c r="D32" s="108"/>
      <c r="E32" s="109"/>
      <c r="F32" s="68">
        <f>SUM(F29:F31)</f>
        <v>757.62</v>
      </c>
    </row>
    <row r="33" spans="2:6" x14ac:dyDescent="0.25">
      <c r="B33" s="113" t="s">
        <v>222</v>
      </c>
      <c r="C33" s="108"/>
      <c r="D33" s="108"/>
      <c r="E33" s="109"/>
      <c r="F33" s="7">
        <f>F32/12</f>
        <v>63.134999999999998</v>
      </c>
    </row>
  </sheetData>
  <autoFilter ref="B2:F33" xr:uid="{00000000-0009-0000-0000-000004000000}"/>
  <mergeCells count="6">
    <mergeCell ref="B26:E26"/>
    <mergeCell ref="B33:E33"/>
    <mergeCell ref="B11:E11"/>
    <mergeCell ref="B25:E25"/>
    <mergeCell ref="B10:E10"/>
    <mergeCell ref="B32:E32"/>
  </mergeCells>
  <printOptions horizontalCentered="1"/>
  <pageMargins left="0.35416666666666702" right="0.35416666666666702" top="0.55138888888888904" bottom="0.55138888888888904" header="0.511811023622047" footer="0.511811023622047"/>
  <pageSetup paperSize="9" scale="99" fitToHeight="0" pageOrder="overThenDown" orientation="portrait" useFirstPageNumber="1"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2:I111"/>
  <sheetViews>
    <sheetView showGridLines="0" zoomScaleNormal="100" workbookViewId="0">
      <selection activeCell="C49" sqref="C49"/>
    </sheetView>
  </sheetViews>
  <sheetFormatPr defaultColWidth="8.5703125" defaultRowHeight="15" x14ac:dyDescent="0.25"/>
  <cols>
    <col min="1" max="1" width="7.5703125" customWidth="1"/>
    <col min="2" max="2" width="4.7109375" customWidth="1"/>
    <col min="3" max="3" width="34" customWidth="1"/>
    <col min="4" max="4" width="18" customWidth="1"/>
    <col min="5" max="5" width="21" customWidth="1"/>
    <col min="6" max="6" width="27" customWidth="1"/>
    <col min="7" max="7" width="13" customWidth="1"/>
    <col min="8" max="8" width="14" customWidth="1"/>
    <col min="9" max="9" width="13" customWidth="1"/>
  </cols>
  <sheetData>
    <row r="2" spans="2:9" ht="15.75" x14ac:dyDescent="0.25">
      <c r="B2" s="123" t="s">
        <v>240</v>
      </c>
      <c r="C2" s="108"/>
      <c r="D2" s="108"/>
      <c r="E2" s="108"/>
      <c r="F2" s="108"/>
      <c r="G2" s="108"/>
      <c r="H2" s="109"/>
      <c r="I2" s="4"/>
    </row>
    <row r="3" spans="2:9" x14ac:dyDescent="0.25">
      <c r="B3" s="10" t="s">
        <v>91</v>
      </c>
      <c r="C3" s="27" t="s">
        <v>241</v>
      </c>
      <c r="D3" s="6" t="s">
        <v>242</v>
      </c>
      <c r="E3" s="6" t="s">
        <v>243</v>
      </c>
      <c r="F3" s="6" t="s">
        <v>244</v>
      </c>
      <c r="G3" s="6" t="s">
        <v>245</v>
      </c>
      <c r="H3" s="6" t="s">
        <v>246</v>
      </c>
      <c r="I3" s="6" t="s">
        <v>247</v>
      </c>
    </row>
    <row r="4" spans="2:9" x14ac:dyDescent="0.25">
      <c r="B4" s="8">
        <v>22</v>
      </c>
      <c r="C4" s="32" t="s">
        <v>248</v>
      </c>
      <c r="D4" s="7" t="s">
        <v>249</v>
      </c>
      <c r="E4" s="64">
        <v>872</v>
      </c>
      <c r="F4" s="7">
        <v>8.4166666666666696</v>
      </c>
      <c r="G4" s="7">
        <f t="shared" ref="G4:G36" si="0">E4*F4</f>
        <v>7339.3333333333358</v>
      </c>
      <c r="H4" s="7">
        <f t="shared" ref="H4:H36" si="1">G4/12</f>
        <v>611.61111111111131</v>
      </c>
      <c r="I4" s="7">
        <f t="shared" ref="I4:I36" si="2">E4/47</f>
        <v>18.553191489361701</v>
      </c>
    </row>
    <row r="5" spans="2:9" x14ac:dyDescent="0.25">
      <c r="B5" s="8">
        <v>23</v>
      </c>
      <c r="C5" s="32" t="s">
        <v>250</v>
      </c>
      <c r="D5" s="7" t="s">
        <v>251</v>
      </c>
      <c r="E5" s="64">
        <v>292</v>
      </c>
      <c r="F5" s="7">
        <v>11.48</v>
      </c>
      <c r="G5" s="7">
        <f t="shared" si="0"/>
        <v>3352.1600000000003</v>
      </c>
      <c r="H5" s="7">
        <f t="shared" si="1"/>
        <v>279.34666666666669</v>
      </c>
      <c r="I5" s="7">
        <f t="shared" si="2"/>
        <v>6.2127659574468082</v>
      </c>
    </row>
    <row r="6" spans="2:9" x14ac:dyDescent="0.25">
      <c r="B6" s="8">
        <v>24</v>
      </c>
      <c r="C6" s="32" t="s">
        <v>252</v>
      </c>
      <c r="D6" s="7" t="s">
        <v>251</v>
      </c>
      <c r="E6" s="64">
        <v>178</v>
      </c>
      <c r="F6" s="7">
        <v>53.006666666666703</v>
      </c>
      <c r="G6" s="7">
        <f t="shared" si="0"/>
        <v>9435.1866666666738</v>
      </c>
      <c r="H6" s="7">
        <f t="shared" si="1"/>
        <v>786.26555555555615</v>
      </c>
      <c r="I6" s="7">
        <f t="shared" si="2"/>
        <v>3.7872340425531914</v>
      </c>
    </row>
    <row r="7" spans="2:9" x14ac:dyDescent="0.25">
      <c r="B7" s="8">
        <v>25</v>
      </c>
      <c r="C7" s="32" t="s">
        <v>252</v>
      </c>
      <c r="D7" s="7" t="s">
        <v>253</v>
      </c>
      <c r="E7" s="64">
        <v>292</v>
      </c>
      <c r="F7" s="7">
        <v>2.0099999999999998</v>
      </c>
      <c r="G7" s="7">
        <f t="shared" si="0"/>
        <v>586.91999999999996</v>
      </c>
      <c r="H7" s="7">
        <f t="shared" si="1"/>
        <v>48.91</v>
      </c>
      <c r="I7" s="7">
        <f t="shared" si="2"/>
        <v>6.2127659574468082</v>
      </c>
    </row>
    <row r="8" spans="2:9" x14ac:dyDescent="0.25">
      <c r="B8" s="8">
        <v>26</v>
      </c>
      <c r="C8" s="32" t="s">
        <v>254</v>
      </c>
      <c r="D8" s="7" t="s">
        <v>255</v>
      </c>
      <c r="E8" s="64">
        <v>184</v>
      </c>
      <c r="F8" s="7">
        <v>2.2866666666666702</v>
      </c>
      <c r="G8" s="7">
        <f t="shared" si="0"/>
        <v>420.74666666666729</v>
      </c>
      <c r="H8" s="7">
        <f t="shared" si="1"/>
        <v>35.062222222222275</v>
      </c>
      <c r="I8" s="7">
        <f t="shared" si="2"/>
        <v>3.9148936170212765</v>
      </c>
    </row>
    <row r="9" spans="2:9" x14ac:dyDescent="0.25">
      <c r="B9" s="8">
        <v>27</v>
      </c>
      <c r="C9" s="32" t="s">
        <v>256</v>
      </c>
      <c r="D9" s="7" t="s">
        <v>123</v>
      </c>
      <c r="E9" s="64">
        <v>1480</v>
      </c>
      <c r="F9" s="7">
        <v>2.39333333333333</v>
      </c>
      <c r="G9" s="7">
        <f t="shared" si="0"/>
        <v>3542.1333333333282</v>
      </c>
      <c r="H9" s="7">
        <f t="shared" si="1"/>
        <v>295.17777777777735</v>
      </c>
      <c r="I9" s="7">
        <f t="shared" si="2"/>
        <v>31.48936170212766</v>
      </c>
    </row>
    <row r="10" spans="2:9" x14ac:dyDescent="0.25">
      <c r="B10" s="8">
        <v>28</v>
      </c>
      <c r="C10" s="32" t="s">
        <v>257</v>
      </c>
      <c r="D10" s="7" t="s">
        <v>123</v>
      </c>
      <c r="E10" s="64">
        <v>456</v>
      </c>
      <c r="F10" s="7">
        <v>5.62</v>
      </c>
      <c r="G10" s="7">
        <f t="shared" si="0"/>
        <v>2562.7200000000003</v>
      </c>
      <c r="H10" s="7">
        <f t="shared" si="1"/>
        <v>213.56000000000003</v>
      </c>
      <c r="I10" s="7">
        <f t="shared" si="2"/>
        <v>9.7021276595744688</v>
      </c>
    </row>
    <row r="11" spans="2:9" x14ac:dyDescent="0.25">
      <c r="B11" s="8">
        <v>29</v>
      </c>
      <c r="C11" s="32" t="s">
        <v>258</v>
      </c>
      <c r="D11" s="7" t="s">
        <v>123</v>
      </c>
      <c r="E11" s="64">
        <v>620</v>
      </c>
      <c r="F11" s="7">
        <v>4.7733333333333299</v>
      </c>
      <c r="G11" s="7">
        <f t="shared" si="0"/>
        <v>2959.4666666666644</v>
      </c>
      <c r="H11" s="7">
        <f t="shared" si="1"/>
        <v>246.62222222222204</v>
      </c>
      <c r="I11" s="7">
        <f t="shared" si="2"/>
        <v>13.191489361702128</v>
      </c>
    </row>
    <row r="12" spans="2:9" x14ac:dyDescent="0.25">
      <c r="B12" s="8">
        <v>30</v>
      </c>
      <c r="C12" s="32" t="s">
        <v>259</v>
      </c>
      <c r="D12" s="7" t="s">
        <v>123</v>
      </c>
      <c r="E12" s="64">
        <v>1124</v>
      </c>
      <c r="F12" s="7">
        <v>3.5766666666666702</v>
      </c>
      <c r="G12" s="7">
        <f t="shared" si="0"/>
        <v>4020.1733333333373</v>
      </c>
      <c r="H12" s="7">
        <f t="shared" si="1"/>
        <v>335.01444444444479</v>
      </c>
      <c r="I12" s="7">
        <f t="shared" si="2"/>
        <v>23.914893617021278</v>
      </c>
    </row>
    <row r="13" spans="2:9" x14ac:dyDescent="0.25">
      <c r="B13" s="8">
        <v>31</v>
      </c>
      <c r="C13" s="32" t="s">
        <v>260</v>
      </c>
      <c r="D13" s="7" t="s">
        <v>251</v>
      </c>
      <c r="E13" s="64">
        <v>408</v>
      </c>
      <c r="F13" s="7">
        <v>8.76</v>
      </c>
      <c r="G13" s="7">
        <f t="shared" si="0"/>
        <v>3574.08</v>
      </c>
      <c r="H13" s="7">
        <f t="shared" si="1"/>
        <v>297.83999999999997</v>
      </c>
      <c r="I13" s="7">
        <f t="shared" si="2"/>
        <v>8.6808510638297864</v>
      </c>
    </row>
    <row r="14" spans="2:9" x14ac:dyDescent="0.25">
      <c r="B14" s="8">
        <v>32</v>
      </c>
      <c r="C14" s="32" t="s">
        <v>261</v>
      </c>
      <c r="D14" s="7" t="s">
        <v>251</v>
      </c>
      <c r="E14" s="64">
        <v>172</v>
      </c>
      <c r="F14" s="7">
        <v>21.816666666666698</v>
      </c>
      <c r="G14" s="7">
        <f t="shared" si="0"/>
        <v>3752.4666666666722</v>
      </c>
      <c r="H14" s="7">
        <f t="shared" si="1"/>
        <v>312.70555555555603</v>
      </c>
      <c r="I14" s="7">
        <f t="shared" si="2"/>
        <v>3.6595744680851063</v>
      </c>
    </row>
    <row r="15" spans="2:9" x14ac:dyDescent="0.25">
      <c r="B15" s="8">
        <v>33</v>
      </c>
      <c r="C15" s="32" t="s">
        <v>262</v>
      </c>
      <c r="D15" s="7" t="s">
        <v>253</v>
      </c>
      <c r="E15" s="64">
        <v>1424</v>
      </c>
      <c r="F15" s="7">
        <v>2.9933333333333301</v>
      </c>
      <c r="G15" s="7">
        <f t="shared" si="0"/>
        <v>4262.5066666666617</v>
      </c>
      <c r="H15" s="7">
        <f t="shared" si="1"/>
        <v>355.20888888888845</v>
      </c>
      <c r="I15" s="7">
        <f t="shared" si="2"/>
        <v>30.297872340425531</v>
      </c>
    </row>
    <row r="16" spans="2:9" x14ac:dyDescent="0.25">
      <c r="B16" s="8">
        <v>34</v>
      </c>
      <c r="C16" s="32" t="s">
        <v>263</v>
      </c>
      <c r="D16" s="7" t="s">
        <v>264</v>
      </c>
      <c r="E16" s="64">
        <v>304</v>
      </c>
      <c r="F16" s="7">
        <v>10.446666666666699</v>
      </c>
      <c r="G16" s="7">
        <f t="shared" si="0"/>
        <v>3175.7866666666764</v>
      </c>
      <c r="H16" s="7">
        <f t="shared" si="1"/>
        <v>264.6488888888897</v>
      </c>
      <c r="I16" s="7">
        <f t="shared" si="2"/>
        <v>6.4680851063829783</v>
      </c>
    </row>
    <row r="17" spans="2:9" x14ac:dyDescent="0.25">
      <c r="B17" s="8">
        <v>35</v>
      </c>
      <c r="C17" s="32" t="s">
        <v>265</v>
      </c>
      <c r="D17" s="7" t="s">
        <v>123</v>
      </c>
      <c r="E17" s="64">
        <v>1380</v>
      </c>
      <c r="F17" s="7">
        <v>8.6933000000000007</v>
      </c>
      <c r="G17" s="7">
        <f t="shared" si="0"/>
        <v>11996.754000000001</v>
      </c>
      <c r="H17" s="7">
        <f t="shared" si="1"/>
        <v>999.72950000000003</v>
      </c>
      <c r="I17" s="7">
        <f t="shared" si="2"/>
        <v>29.361702127659573</v>
      </c>
    </row>
    <row r="18" spans="2:9" x14ac:dyDescent="0.25">
      <c r="B18" s="8">
        <v>36</v>
      </c>
      <c r="C18" s="32" t="s">
        <v>266</v>
      </c>
      <c r="D18" s="7" t="s">
        <v>267</v>
      </c>
      <c r="E18" s="64">
        <v>354</v>
      </c>
      <c r="F18" s="7">
        <v>51.26</v>
      </c>
      <c r="G18" s="7">
        <f t="shared" si="0"/>
        <v>18146.04</v>
      </c>
      <c r="H18" s="7">
        <f t="shared" si="1"/>
        <v>1512.17</v>
      </c>
      <c r="I18" s="7">
        <f t="shared" si="2"/>
        <v>7.5319148936170217</v>
      </c>
    </row>
    <row r="19" spans="2:9" x14ac:dyDescent="0.25">
      <c r="B19" s="8">
        <v>37</v>
      </c>
      <c r="C19" s="32" t="s">
        <v>268</v>
      </c>
      <c r="D19" s="7" t="s">
        <v>269</v>
      </c>
      <c r="E19" s="64">
        <v>2026</v>
      </c>
      <c r="F19" s="7">
        <v>10.623333333333299</v>
      </c>
      <c r="G19" s="7">
        <f t="shared" si="0"/>
        <v>21522.873333333264</v>
      </c>
      <c r="H19" s="7">
        <f t="shared" si="1"/>
        <v>1793.572777777772</v>
      </c>
      <c r="I19" s="7">
        <f t="shared" si="2"/>
        <v>43.106382978723403</v>
      </c>
    </row>
    <row r="20" spans="2:9" x14ac:dyDescent="0.25">
      <c r="B20" s="8">
        <v>38</v>
      </c>
      <c r="C20" s="32" t="s">
        <v>270</v>
      </c>
      <c r="D20" s="7" t="s">
        <v>123</v>
      </c>
      <c r="E20" s="64">
        <v>1506</v>
      </c>
      <c r="F20" s="7">
        <v>1.93</v>
      </c>
      <c r="G20" s="7">
        <f t="shared" si="0"/>
        <v>2906.58</v>
      </c>
      <c r="H20" s="7">
        <f t="shared" si="1"/>
        <v>242.215</v>
      </c>
      <c r="I20" s="7">
        <f t="shared" si="2"/>
        <v>32.042553191489361</v>
      </c>
    </row>
    <row r="21" spans="2:9" x14ac:dyDescent="0.25">
      <c r="B21" s="8">
        <v>39</v>
      </c>
      <c r="C21" s="32" t="s">
        <v>271</v>
      </c>
      <c r="D21" s="7" t="s">
        <v>123</v>
      </c>
      <c r="E21" s="64">
        <v>124</v>
      </c>
      <c r="F21" s="7">
        <v>8.6266666666666705</v>
      </c>
      <c r="G21" s="7">
        <f t="shared" si="0"/>
        <v>1069.7066666666672</v>
      </c>
      <c r="H21" s="7">
        <f t="shared" si="1"/>
        <v>89.142222222222259</v>
      </c>
      <c r="I21" s="7">
        <f t="shared" si="2"/>
        <v>2.6382978723404253</v>
      </c>
    </row>
    <row r="22" spans="2:9" x14ac:dyDescent="0.25">
      <c r="B22" s="8">
        <v>40</v>
      </c>
      <c r="C22" s="32" t="s">
        <v>272</v>
      </c>
      <c r="D22" s="7" t="s">
        <v>123</v>
      </c>
      <c r="E22" s="64">
        <v>220</v>
      </c>
      <c r="F22" s="7">
        <v>8.6266666666666705</v>
      </c>
      <c r="G22" s="7">
        <f t="shared" si="0"/>
        <v>1897.8666666666675</v>
      </c>
      <c r="H22" s="7">
        <f t="shared" si="1"/>
        <v>158.15555555555562</v>
      </c>
      <c r="I22" s="7">
        <f t="shared" si="2"/>
        <v>4.6808510638297873</v>
      </c>
    </row>
    <row r="23" spans="2:9" x14ac:dyDescent="0.25">
      <c r="B23" s="8">
        <v>41</v>
      </c>
      <c r="C23" s="32" t="s">
        <v>273</v>
      </c>
      <c r="D23" s="7" t="s">
        <v>274</v>
      </c>
      <c r="E23" s="64">
        <v>186</v>
      </c>
      <c r="F23" s="7">
        <v>10</v>
      </c>
      <c r="G23" s="7">
        <f t="shared" si="0"/>
        <v>1860</v>
      </c>
      <c r="H23" s="7">
        <f t="shared" si="1"/>
        <v>155</v>
      </c>
      <c r="I23" s="7">
        <f t="shared" si="2"/>
        <v>3.9574468085106385</v>
      </c>
    </row>
    <row r="24" spans="2:9" x14ac:dyDescent="0.25">
      <c r="B24" s="8">
        <v>42</v>
      </c>
      <c r="C24" s="32" t="s">
        <v>275</v>
      </c>
      <c r="D24" s="7" t="s">
        <v>276</v>
      </c>
      <c r="E24" s="64">
        <v>222</v>
      </c>
      <c r="F24" s="7">
        <v>7.14</v>
      </c>
      <c r="G24" s="7">
        <f t="shared" si="0"/>
        <v>1585.08</v>
      </c>
      <c r="H24" s="7">
        <f t="shared" si="1"/>
        <v>132.09</v>
      </c>
      <c r="I24" s="7">
        <f t="shared" si="2"/>
        <v>4.7234042553191493</v>
      </c>
    </row>
    <row r="25" spans="2:9" x14ac:dyDescent="0.25">
      <c r="B25" s="8">
        <v>43</v>
      </c>
      <c r="C25" s="32" t="s">
        <v>277</v>
      </c>
      <c r="D25" s="7" t="s">
        <v>251</v>
      </c>
      <c r="E25" s="64">
        <v>376</v>
      </c>
      <c r="F25" s="7">
        <v>20.956666666666699</v>
      </c>
      <c r="G25" s="7">
        <f t="shared" si="0"/>
        <v>7879.7066666666788</v>
      </c>
      <c r="H25" s="7">
        <f t="shared" si="1"/>
        <v>656.64222222222327</v>
      </c>
      <c r="I25" s="7">
        <f t="shared" si="2"/>
        <v>8</v>
      </c>
    </row>
    <row r="26" spans="2:9" x14ac:dyDescent="0.25">
      <c r="B26" s="8">
        <v>44</v>
      </c>
      <c r="C26" s="32" t="s">
        <v>278</v>
      </c>
      <c r="D26" s="7" t="s">
        <v>251</v>
      </c>
      <c r="E26" s="64">
        <v>186</v>
      </c>
      <c r="F26" s="7">
        <v>24.8266666666667</v>
      </c>
      <c r="G26" s="7">
        <f t="shared" si="0"/>
        <v>4617.7600000000066</v>
      </c>
      <c r="H26" s="7">
        <f t="shared" si="1"/>
        <v>384.8133333333339</v>
      </c>
      <c r="I26" s="7">
        <f t="shared" si="2"/>
        <v>3.9574468085106385</v>
      </c>
    </row>
    <row r="27" spans="2:9" x14ac:dyDescent="0.25">
      <c r="B27" s="8">
        <v>45</v>
      </c>
      <c r="C27" s="32" t="s">
        <v>279</v>
      </c>
      <c r="D27" s="7" t="s">
        <v>280</v>
      </c>
      <c r="E27" s="64">
        <v>124</v>
      </c>
      <c r="F27" s="7">
        <v>27.15</v>
      </c>
      <c r="G27" s="7">
        <f t="shared" si="0"/>
        <v>3366.6</v>
      </c>
      <c r="H27" s="7">
        <f t="shared" si="1"/>
        <v>280.55</v>
      </c>
      <c r="I27" s="7">
        <f t="shared" si="2"/>
        <v>2.6382978723404253</v>
      </c>
    </row>
    <row r="28" spans="2:9" x14ac:dyDescent="0.25">
      <c r="B28" s="8">
        <v>46</v>
      </c>
      <c r="C28" s="32" t="s">
        <v>281</v>
      </c>
      <c r="D28" s="7" t="s">
        <v>282</v>
      </c>
      <c r="E28" s="64">
        <v>244</v>
      </c>
      <c r="F28" s="7">
        <v>12.79</v>
      </c>
      <c r="G28" s="7">
        <f t="shared" si="0"/>
        <v>3120.7599999999998</v>
      </c>
      <c r="H28" s="7">
        <f t="shared" si="1"/>
        <v>260.06333333333333</v>
      </c>
      <c r="I28" s="7">
        <f t="shared" si="2"/>
        <v>5.1914893617021276</v>
      </c>
    </row>
    <row r="29" spans="2:9" x14ac:dyDescent="0.25">
      <c r="B29" s="8">
        <v>47</v>
      </c>
      <c r="C29" s="32" t="s">
        <v>283</v>
      </c>
      <c r="D29" s="7" t="s">
        <v>280</v>
      </c>
      <c r="E29" s="64">
        <v>126</v>
      </c>
      <c r="F29" s="7">
        <v>30.2</v>
      </c>
      <c r="G29" s="7">
        <f t="shared" si="0"/>
        <v>3805.2</v>
      </c>
      <c r="H29" s="7">
        <f t="shared" si="1"/>
        <v>317.09999999999997</v>
      </c>
      <c r="I29" s="7">
        <f t="shared" si="2"/>
        <v>2.6808510638297873</v>
      </c>
    </row>
    <row r="30" spans="2:9" x14ac:dyDescent="0.25">
      <c r="B30" s="8">
        <v>48</v>
      </c>
      <c r="C30" s="32" t="s">
        <v>284</v>
      </c>
      <c r="D30" s="7" t="s">
        <v>282</v>
      </c>
      <c r="E30" s="64">
        <v>244</v>
      </c>
      <c r="F30" s="7">
        <v>24.35</v>
      </c>
      <c r="G30" s="7">
        <f t="shared" si="0"/>
        <v>5941.4000000000005</v>
      </c>
      <c r="H30" s="7">
        <f t="shared" si="1"/>
        <v>495.11666666666673</v>
      </c>
      <c r="I30" s="7">
        <f t="shared" si="2"/>
        <v>5.1914893617021276</v>
      </c>
    </row>
    <row r="31" spans="2:9" x14ac:dyDescent="0.25">
      <c r="B31" s="8">
        <v>49</v>
      </c>
      <c r="C31" s="32" t="s">
        <v>285</v>
      </c>
      <c r="D31" s="7" t="s">
        <v>286</v>
      </c>
      <c r="E31" s="64">
        <v>354</v>
      </c>
      <c r="F31" s="7">
        <v>17.54</v>
      </c>
      <c r="G31" s="7">
        <f t="shared" si="0"/>
        <v>6209.16</v>
      </c>
      <c r="H31" s="7">
        <f t="shared" si="1"/>
        <v>517.42999999999995</v>
      </c>
      <c r="I31" s="7">
        <f t="shared" si="2"/>
        <v>7.5319148936170217</v>
      </c>
    </row>
    <row r="32" spans="2:9" x14ac:dyDescent="0.25">
      <c r="B32" s="8">
        <v>50</v>
      </c>
      <c r="C32" s="32" t="s">
        <v>287</v>
      </c>
      <c r="D32" s="7" t="s">
        <v>123</v>
      </c>
      <c r="E32" s="64">
        <v>48</v>
      </c>
      <c r="F32" s="7">
        <v>178.28</v>
      </c>
      <c r="G32" s="7">
        <f t="shared" si="0"/>
        <v>8557.44</v>
      </c>
      <c r="H32" s="7">
        <f t="shared" si="1"/>
        <v>713.12</v>
      </c>
      <c r="I32" s="7">
        <f t="shared" si="2"/>
        <v>1.0212765957446808</v>
      </c>
    </row>
    <row r="33" spans="2:9" x14ac:dyDescent="0.25">
      <c r="B33" s="8">
        <v>51</v>
      </c>
      <c r="C33" s="32" t="s">
        <v>288</v>
      </c>
      <c r="D33" s="7" t="s">
        <v>123</v>
      </c>
      <c r="E33" s="64">
        <v>48</v>
      </c>
      <c r="F33" s="7">
        <v>111.02</v>
      </c>
      <c r="G33" s="7">
        <f t="shared" si="0"/>
        <v>5328.96</v>
      </c>
      <c r="H33" s="7">
        <f t="shared" si="1"/>
        <v>444.08</v>
      </c>
      <c r="I33" s="7">
        <f t="shared" si="2"/>
        <v>1.0212765957446808</v>
      </c>
    </row>
    <row r="34" spans="2:9" x14ac:dyDescent="0.25">
      <c r="B34" s="8">
        <v>52</v>
      </c>
      <c r="C34" s="32" t="s">
        <v>289</v>
      </c>
      <c r="D34" s="7" t="s">
        <v>123</v>
      </c>
      <c r="E34" s="64">
        <v>122</v>
      </c>
      <c r="F34" s="7">
        <v>5.33</v>
      </c>
      <c r="G34" s="7">
        <f t="shared" si="0"/>
        <v>650.26</v>
      </c>
      <c r="H34" s="7">
        <f t="shared" si="1"/>
        <v>54.188333333333333</v>
      </c>
      <c r="I34" s="7">
        <f t="shared" si="2"/>
        <v>2.5957446808510638</v>
      </c>
    </row>
    <row r="35" spans="2:9" x14ac:dyDescent="0.25">
      <c r="B35" s="8">
        <v>53</v>
      </c>
      <c r="C35" s="32" t="s">
        <v>290</v>
      </c>
      <c r="D35" s="7" t="s">
        <v>123</v>
      </c>
      <c r="E35" s="64">
        <v>200</v>
      </c>
      <c r="F35" s="7">
        <v>8.7100000000000009</v>
      </c>
      <c r="G35" s="7">
        <f t="shared" si="0"/>
        <v>1742.0000000000002</v>
      </c>
      <c r="H35" s="7">
        <f t="shared" si="1"/>
        <v>145.16666666666669</v>
      </c>
      <c r="I35" s="7">
        <f t="shared" si="2"/>
        <v>4.2553191489361701</v>
      </c>
    </row>
    <row r="36" spans="2:9" x14ac:dyDescent="0.25">
      <c r="B36" s="8">
        <v>54</v>
      </c>
      <c r="C36" s="32" t="s">
        <v>291</v>
      </c>
      <c r="D36" s="7" t="s">
        <v>123</v>
      </c>
      <c r="E36" s="64">
        <v>100</v>
      </c>
      <c r="F36" s="7">
        <v>14.07</v>
      </c>
      <c r="G36" s="7">
        <f t="shared" si="0"/>
        <v>1407</v>
      </c>
      <c r="H36" s="7">
        <f t="shared" si="1"/>
        <v>117.25</v>
      </c>
      <c r="I36" s="7">
        <f t="shared" si="2"/>
        <v>2.1276595744680851</v>
      </c>
    </row>
    <row r="37" spans="2:9" x14ac:dyDescent="0.25">
      <c r="B37" s="3"/>
      <c r="C37" s="3"/>
      <c r="D37" s="3"/>
      <c r="E37" s="3"/>
      <c r="F37" s="3"/>
      <c r="G37" s="12">
        <f>SUM(G4:G36)</f>
        <v>162594.82733333332</v>
      </c>
      <c r="H37" s="12">
        <f>SUM(H4:H36)</f>
        <v>13549.568944444442</v>
      </c>
      <c r="I37" s="3"/>
    </row>
    <row r="38" spans="2:9" ht="15.75" x14ac:dyDescent="0.25">
      <c r="B38" s="11"/>
      <c r="C38" s="124" t="s">
        <v>292</v>
      </c>
      <c r="D38" s="108"/>
      <c r="E38" s="108"/>
      <c r="F38" s="108"/>
      <c r="G38" s="108"/>
      <c r="H38" s="108"/>
      <c r="I38" s="109"/>
    </row>
    <row r="39" spans="2:9" x14ac:dyDescent="0.25">
      <c r="B39" s="10" t="s">
        <v>91</v>
      </c>
      <c r="C39" s="27" t="s">
        <v>241</v>
      </c>
      <c r="D39" s="6" t="s">
        <v>242</v>
      </c>
      <c r="E39" s="6" t="s">
        <v>243</v>
      </c>
      <c r="F39" s="6" t="s">
        <v>244</v>
      </c>
      <c r="G39" s="6" t="s">
        <v>245</v>
      </c>
      <c r="H39" s="6" t="s">
        <v>246</v>
      </c>
      <c r="I39" s="6" t="s">
        <v>247</v>
      </c>
    </row>
    <row r="40" spans="2:9" x14ac:dyDescent="0.25">
      <c r="B40" s="8">
        <v>55</v>
      </c>
      <c r="C40" s="32" t="s">
        <v>293</v>
      </c>
      <c r="D40" s="7" t="s">
        <v>276</v>
      </c>
      <c r="E40" s="64">
        <v>20</v>
      </c>
      <c r="F40" s="7">
        <v>50.84</v>
      </c>
      <c r="G40" s="7">
        <f>E40*F40</f>
        <v>1016.8000000000001</v>
      </c>
      <c r="H40" s="7">
        <f>G40/12</f>
        <v>84.733333333333334</v>
      </c>
      <c r="I40" s="7">
        <f>E40/47</f>
        <v>0.42553191489361702</v>
      </c>
    </row>
    <row r="41" spans="2:9" x14ac:dyDescent="0.25">
      <c r="B41" s="8">
        <v>56</v>
      </c>
      <c r="C41" s="32" t="s">
        <v>294</v>
      </c>
      <c r="D41" s="7" t="s">
        <v>276</v>
      </c>
      <c r="E41" s="64">
        <v>17</v>
      </c>
      <c r="F41" s="7">
        <v>17.2</v>
      </c>
      <c r="G41" s="7">
        <f>E41*F41</f>
        <v>292.39999999999998</v>
      </c>
      <c r="H41" s="7">
        <f>G41/12</f>
        <v>24.366666666666664</v>
      </c>
      <c r="I41" s="7">
        <f>E41/47</f>
        <v>0.36170212765957449</v>
      </c>
    </row>
    <row r="42" spans="2:9" x14ac:dyDescent="0.25">
      <c r="B42" s="8">
        <v>57</v>
      </c>
      <c r="C42" s="32" t="s">
        <v>295</v>
      </c>
      <c r="D42" s="7" t="s">
        <v>276</v>
      </c>
      <c r="E42" s="64">
        <v>12</v>
      </c>
      <c r="F42" s="7">
        <v>31.63</v>
      </c>
      <c r="G42" s="7">
        <f>E42*F42</f>
        <v>379.56</v>
      </c>
      <c r="H42" s="7">
        <f>G42/12</f>
        <v>31.63</v>
      </c>
      <c r="I42" s="7">
        <f>E42/47</f>
        <v>0.25531914893617019</v>
      </c>
    </row>
    <row r="43" spans="2:9" x14ac:dyDescent="0.25">
      <c r="B43" s="8">
        <v>58</v>
      </c>
      <c r="C43" s="32" t="s">
        <v>296</v>
      </c>
      <c r="D43" s="7" t="s">
        <v>249</v>
      </c>
      <c r="E43" s="64">
        <v>6</v>
      </c>
      <c r="F43" s="7">
        <v>32.56</v>
      </c>
      <c r="G43" s="7">
        <f>E43*F43</f>
        <v>195.36</v>
      </c>
      <c r="H43" s="7">
        <f>G43/12</f>
        <v>16.28</v>
      </c>
      <c r="I43" s="7">
        <f>E43/47</f>
        <v>0.1276595744680851</v>
      </c>
    </row>
    <row r="44" spans="2:9" x14ac:dyDescent="0.25">
      <c r="B44" s="110" t="s">
        <v>297</v>
      </c>
      <c r="C44" s="108"/>
      <c r="D44" s="108"/>
      <c r="E44" s="108"/>
      <c r="F44" s="109"/>
      <c r="G44" s="13">
        <f>SUM(G40:G43)</f>
        <v>1884.12</v>
      </c>
      <c r="H44" s="13">
        <f>SUM(H40:H43)</f>
        <v>157.01</v>
      </c>
      <c r="I44" s="33"/>
    </row>
    <row r="45" spans="2:9" x14ac:dyDescent="0.25">
      <c r="B45" s="9"/>
      <c r="C45" s="9"/>
      <c r="D45" s="9"/>
      <c r="E45" s="9"/>
      <c r="F45" s="9"/>
      <c r="G45" s="9"/>
      <c r="H45" s="9"/>
      <c r="I45" s="9"/>
    </row>
    <row r="46" spans="2:9" ht="15.75" x14ac:dyDescent="0.25">
      <c r="B46" s="107" t="s">
        <v>298</v>
      </c>
      <c r="C46" s="108"/>
      <c r="D46" s="108"/>
      <c r="E46" s="108"/>
      <c r="F46" s="108"/>
      <c r="G46" s="108"/>
      <c r="H46" s="109"/>
      <c r="I46" s="11"/>
    </row>
    <row r="47" spans="2:9" x14ac:dyDescent="0.25">
      <c r="B47" s="10" t="s">
        <v>91</v>
      </c>
      <c r="C47" s="27" t="s">
        <v>241</v>
      </c>
      <c r="D47" s="6" t="s">
        <v>242</v>
      </c>
      <c r="E47" s="6" t="s">
        <v>243</v>
      </c>
      <c r="F47" s="6" t="s">
        <v>244</v>
      </c>
      <c r="G47" s="6" t="s">
        <v>245</v>
      </c>
      <c r="H47" s="6" t="s">
        <v>246</v>
      </c>
      <c r="I47" s="6" t="s">
        <v>247</v>
      </c>
    </row>
    <row r="48" spans="2:9" ht="25.5" x14ac:dyDescent="0.25">
      <c r="B48" s="8">
        <v>59</v>
      </c>
      <c r="C48" s="32" t="s">
        <v>299</v>
      </c>
      <c r="D48" s="7" t="s">
        <v>249</v>
      </c>
      <c r="E48" s="64">
        <v>77</v>
      </c>
      <c r="F48" s="7">
        <v>39.176666666666698</v>
      </c>
      <c r="G48" s="7">
        <f t="shared" ref="G48:G56" si="3">E48*F48</f>
        <v>3016.6033333333357</v>
      </c>
      <c r="H48" s="7">
        <f t="shared" ref="H48:H56" si="4">G48/12</f>
        <v>251.38361111111132</v>
      </c>
      <c r="I48" s="7">
        <f t="shared" ref="I48:I56" si="5">E48/47</f>
        <v>1.6382978723404256</v>
      </c>
    </row>
    <row r="49" spans="2:9" ht="38.25" x14ac:dyDescent="0.25">
      <c r="B49" s="8">
        <v>60</v>
      </c>
      <c r="C49" s="32" t="s">
        <v>300</v>
      </c>
      <c r="D49" s="7" t="s">
        <v>249</v>
      </c>
      <c r="E49" s="64">
        <v>77</v>
      </c>
      <c r="F49" s="7">
        <v>103.29666666666699</v>
      </c>
      <c r="G49" s="7">
        <f t="shared" si="3"/>
        <v>7953.8433333333587</v>
      </c>
      <c r="H49" s="7">
        <f t="shared" si="4"/>
        <v>662.82027777777989</v>
      </c>
      <c r="I49" s="7">
        <f t="shared" si="5"/>
        <v>1.6382978723404256</v>
      </c>
    </row>
    <row r="50" spans="2:9" ht="25.5" x14ac:dyDescent="0.25">
      <c r="B50" s="8">
        <v>61</v>
      </c>
      <c r="C50" s="32" t="s">
        <v>301</v>
      </c>
      <c r="D50" s="7" t="s">
        <v>276</v>
      </c>
      <c r="E50" s="64">
        <v>26</v>
      </c>
      <c r="F50" s="7">
        <v>83.803333333333299</v>
      </c>
      <c r="G50" s="7">
        <f t="shared" si="3"/>
        <v>2178.8866666666659</v>
      </c>
      <c r="H50" s="7">
        <f t="shared" si="4"/>
        <v>181.57388888888883</v>
      </c>
      <c r="I50" s="7">
        <f t="shared" si="5"/>
        <v>0.55319148936170215</v>
      </c>
    </row>
    <row r="51" spans="2:9" ht="25.5" x14ac:dyDescent="0.25">
      <c r="B51" s="8">
        <v>62</v>
      </c>
      <c r="C51" s="32" t="s">
        <v>302</v>
      </c>
      <c r="D51" s="7" t="s">
        <v>276</v>
      </c>
      <c r="E51" s="64">
        <v>26</v>
      </c>
      <c r="F51" s="7">
        <v>34.1666666666667</v>
      </c>
      <c r="G51" s="7">
        <f t="shared" si="3"/>
        <v>888.33333333333417</v>
      </c>
      <c r="H51" s="7">
        <f t="shared" si="4"/>
        <v>74.027777777777843</v>
      </c>
      <c r="I51" s="7">
        <f t="shared" si="5"/>
        <v>0.55319148936170215</v>
      </c>
    </row>
    <row r="52" spans="2:9" ht="25.5" x14ac:dyDescent="0.25">
      <c r="B52" s="8">
        <v>63</v>
      </c>
      <c r="C52" s="32" t="s">
        <v>303</v>
      </c>
      <c r="D52" s="7" t="s">
        <v>276</v>
      </c>
      <c r="E52" s="64">
        <v>26</v>
      </c>
      <c r="F52" s="7">
        <v>40.086666666666702</v>
      </c>
      <c r="G52" s="7">
        <f t="shared" si="3"/>
        <v>1042.2533333333342</v>
      </c>
      <c r="H52" s="7">
        <f t="shared" si="4"/>
        <v>86.854444444444525</v>
      </c>
      <c r="I52" s="7">
        <f t="shared" si="5"/>
        <v>0.55319148936170215</v>
      </c>
    </row>
    <row r="53" spans="2:9" x14ac:dyDescent="0.25">
      <c r="B53" s="8">
        <v>64</v>
      </c>
      <c r="C53" s="32" t="s">
        <v>304</v>
      </c>
      <c r="D53" s="7" t="s">
        <v>123</v>
      </c>
      <c r="E53" s="64">
        <v>320</v>
      </c>
      <c r="F53" s="7">
        <v>40.1</v>
      </c>
      <c r="G53" s="7">
        <f t="shared" si="3"/>
        <v>12832</v>
      </c>
      <c r="H53" s="7">
        <f t="shared" si="4"/>
        <v>1069.3333333333333</v>
      </c>
      <c r="I53" s="7">
        <f t="shared" si="5"/>
        <v>6.8085106382978724</v>
      </c>
    </row>
    <row r="54" spans="2:9" x14ac:dyDescent="0.25">
      <c r="B54" s="8">
        <v>65</v>
      </c>
      <c r="C54" s="32" t="s">
        <v>305</v>
      </c>
      <c r="D54" s="7" t="s">
        <v>276</v>
      </c>
      <c r="E54" s="64">
        <v>9</v>
      </c>
      <c r="F54" s="7">
        <v>95.4</v>
      </c>
      <c r="G54" s="7">
        <f t="shared" si="3"/>
        <v>858.6</v>
      </c>
      <c r="H54" s="7">
        <f t="shared" si="4"/>
        <v>71.55</v>
      </c>
      <c r="I54" s="7">
        <f t="shared" si="5"/>
        <v>0.19148936170212766</v>
      </c>
    </row>
    <row r="55" spans="2:9" x14ac:dyDescent="0.25">
      <c r="B55" s="8">
        <v>66</v>
      </c>
      <c r="C55" s="32" t="s">
        <v>306</v>
      </c>
      <c r="D55" s="7" t="s">
        <v>307</v>
      </c>
      <c r="E55" s="64">
        <v>8</v>
      </c>
      <c r="F55" s="7">
        <v>1.6766666666666701</v>
      </c>
      <c r="G55" s="7">
        <f t="shared" si="3"/>
        <v>13.413333333333361</v>
      </c>
      <c r="H55" s="7">
        <f t="shared" si="4"/>
        <v>1.11777777777778</v>
      </c>
      <c r="I55" s="7">
        <f t="shared" si="5"/>
        <v>0.1702127659574468</v>
      </c>
    </row>
    <row r="56" spans="2:9" x14ac:dyDescent="0.25">
      <c r="B56" s="8">
        <v>67</v>
      </c>
      <c r="C56" s="32" t="s">
        <v>308</v>
      </c>
      <c r="D56" s="7" t="s">
        <v>123</v>
      </c>
      <c r="E56" s="64">
        <v>23</v>
      </c>
      <c r="F56" s="7">
        <v>32.926666666666698</v>
      </c>
      <c r="G56" s="7">
        <f t="shared" si="3"/>
        <v>757.31333333333407</v>
      </c>
      <c r="H56" s="7">
        <f t="shared" si="4"/>
        <v>63.109444444444506</v>
      </c>
      <c r="I56" s="7">
        <f t="shared" si="5"/>
        <v>0.48936170212765956</v>
      </c>
    </row>
    <row r="57" spans="2:9" x14ac:dyDescent="0.25">
      <c r="B57" s="110" t="s">
        <v>297</v>
      </c>
      <c r="C57" s="108"/>
      <c r="D57" s="108"/>
      <c r="E57" s="108"/>
      <c r="F57" s="109"/>
      <c r="G57" s="13">
        <f>SUM(G48:G56)</f>
        <v>29541.246666666695</v>
      </c>
      <c r="H57" s="13">
        <f>SUM(H48:H56)</f>
        <v>2461.7705555555581</v>
      </c>
      <c r="I57" s="33"/>
    </row>
    <row r="58" spans="2:9" x14ac:dyDescent="0.25">
      <c r="B58" s="9"/>
      <c r="C58" s="9"/>
      <c r="D58" s="9"/>
      <c r="E58" s="9"/>
      <c r="F58" s="9"/>
      <c r="G58" s="9"/>
      <c r="H58" s="9"/>
      <c r="I58" s="9"/>
    </row>
    <row r="59" spans="2:9" x14ac:dyDescent="0.25">
      <c r="B59" s="122" t="s">
        <v>309</v>
      </c>
      <c r="C59" s="119"/>
      <c r="D59" s="119"/>
      <c r="E59" s="119"/>
      <c r="F59" s="119"/>
      <c r="G59" s="119"/>
      <c r="H59" s="119"/>
      <c r="I59" s="120"/>
    </row>
    <row r="60" spans="2:9" x14ac:dyDescent="0.25">
      <c r="B60" s="10" t="s">
        <v>91</v>
      </c>
      <c r="C60" s="27" t="s">
        <v>241</v>
      </c>
      <c r="D60" s="6" t="s">
        <v>123</v>
      </c>
      <c r="E60" s="6" t="s">
        <v>310</v>
      </c>
      <c r="F60" s="6" t="s">
        <v>244</v>
      </c>
      <c r="G60" s="6" t="s">
        <v>245</v>
      </c>
      <c r="H60" s="6" t="s">
        <v>246</v>
      </c>
      <c r="I60" s="6" t="s">
        <v>247</v>
      </c>
    </row>
    <row r="61" spans="2:9" ht="25.5" x14ac:dyDescent="0.25">
      <c r="B61" s="8">
        <v>68</v>
      </c>
      <c r="C61" s="32" t="s">
        <v>311</v>
      </c>
      <c r="D61" s="7" t="s">
        <v>312</v>
      </c>
      <c r="E61" s="64">
        <v>156</v>
      </c>
      <c r="F61" s="7">
        <v>17.02</v>
      </c>
      <c r="G61" s="7">
        <f t="shared" ref="G61:G103" si="6">E61*F61</f>
        <v>2655.12</v>
      </c>
      <c r="H61" s="7">
        <f t="shared" ref="H61:H103" si="7">G61/12</f>
        <v>221.26</v>
      </c>
      <c r="I61" s="7">
        <f t="shared" ref="I61:I103" si="8">E61/47</f>
        <v>3.3191489361702127</v>
      </c>
    </row>
    <row r="62" spans="2:9" ht="25.5" x14ac:dyDescent="0.25">
      <c r="B62" s="8">
        <v>69</v>
      </c>
      <c r="C62" s="32" t="s">
        <v>313</v>
      </c>
      <c r="D62" s="7" t="s">
        <v>312</v>
      </c>
      <c r="E62" s="64">
        <v>222</v>
      </c>
      <c r="F62" s="7">
        <v>16.48</v>
      </c>
      <c r="G62" s="7">
        <f t="shared" si="6"/>
        <v>3658.56</v>
      </c>
      <c r="H62" s="7">
        <f t="shared" si="7"/>
        <v>304.88</v>
      </c>
      <c r="I62" s="7">
        <f t="shared" si="8"/>
        <v>4.7234042553191493</v>
      </c>
    </row>
    <row r="63" spans="2:9" ht="25.5" x14ac:dyDescent="0.25">
      <c r="B63" s="8">
        <v>70</v>
      </c>
      <c r="C63" s="32" t="s">
        <v>314</v>
      </c>
      <c r="D63" s="7" t="s">
        <v>312</v>
      </c>
      <c r="E63" s="64">
        <v>82</v>
      </c>
      <c r="F63" s="7">
        <v>12.25</v>
      </c>
      <c r="G63" s="7">
        <f t="shared" si="6"/>
        <v>1004.5</v>
      </c>
      <c r="H63" s="7">
        <f t="shared" si="7"/>
        <v>83.708333333333329</v>
      </c>
      <c r="I63" s="7">
        <f t="shared" si="8"/>
        <v>1.7446808510638299</v>
      </c>
    </row>
    <row r="64" spans="2:9" ht="25.5" x14ac:dyDescent="0.25">
      <c r="B64" s="8">
        <v>71</v>
      </c>
      <c r="C64" s="32" t="s">
        <v>315</v>
      </c>
      <c r="D64" s="7" t="s">
        <v>312</v>
      </c>
      <c r="E64" s="64">
        <v>82</v>
      </c>
      <c r="F64" s="7">
        <v>22.17</v>
      </c>
      <c r="G64" s="7">
        <f t="shared" si="6"/>
        <v>1817.94</v>
      </c>
      <c r="H64" s="7">
        <f t="shared" si="7"/>
        <v>151.495</v>
      </c>
      <c r="I64" s="7">
        <f t="shared" si="8"/>
        <v>1.7446808510638299</v>
      </c>
    </row>
    <row r="65" spans="2:9" x14ac:dyDescent="0.25">
      <c r="B65" s="8">
        <v>72</v>
      </c>
      <c r="C65" s="32" t="s">
        <v>316</v>
      </c>
      <c r="D65" s="7" t="s">
        <v>312</v>
      </c>
      <c r="E65" s="64">
        <v>98</v>
      </c>
      <c r="F65" s="7">
        <v>24.6</v>
      </c>
      <c r="G65" s="7">
        <f t="shared" si="6"/>
        <v>2410.8000000000002</v>
      </c>
      <c r="H65" s="7">
        <f t="shared" si="7"/>
        <v>200.9</v>
      </c>
      <c r="I65" s="7">
        <f t="shared" si="8"/>
        <v>2.0851063829787235</v>
      </c>
    </row>
    <row r="66" spans="2:9" ht="38.25" x14ac:dyDescent="0.25">
      <c r="B66" s="8">
        <v>73</v>
      </c>
      <c r="C66" s="32" t="s">
        <v>317</v>
      </c>
      <c r="D66" s="7" t="s">
        <v>312</v>
      </c>
      <c r="E66" s="64">
        <v>4</v>
      </c>
      <c r="F66" s="7">
        <v>119</v>
      </c>
      <c r="G66" s="7">
        <f t="shared" si="6"/>
        <v>476</v>
      </c>
      <c r="H66" s="7">
        <f t="shared" si="7"/>
        <v>39.666666666666664</v>
      </c>
      <c r="I66" s="7">
        <f t="shared" si="8"/>
        <v>8.5106382978723402E-2</v>
      </c>
    </row>
    <row r="67" spans="2:9" ht="25.5" x14ac:dyDescent="0.25">
      <c r="B67" s="8">
        <v>74</v>
      </c>
      <c r="C67" s="32" t="s">
        <v>318</v>
      </c>
      <c r="D67" s="7" t="s">
        <v>312</v>
      </c>
      <c r="E67" s="64">
        <v>160</v>
      </c>
      <c r="F67" s="7">
        <v>4.28</v>
      </c>
      <c r="G67" s="7">
        <f t="shared" si="6"/>
        <v>684.80000000000007</v>
      </c>
      <c r="H67" s="7">
        <f t="shared" si="7"/>
        <v>57.06666666666667</v>
      </c>
      <c r="I67" s="7">
        <f t="shared" si="8"/>
        <v>3.4042553191489362</v>
      </c>
    </row>
    <row r="68" spans="2:9" ht="25.5" x14ac:dyDescent="0.25">
      <c r="B68" s="8">
        <v>75</v>
      </c>
      <c r="C68" s="32" t="s">
        <v>319</v>
      </c>
      <c r="D68" s="7" t="s">
        <v>312</v>
      </c>
      <c r="E68" s="64">
        <v>152</v>
      </c>
      <c r="F68" s="7">
        <v>16.2</v>
      </c>
      <c r="G68" s="7">
        <f t="shared" si="6"/>
        <v>2462.4</v>
      </c>
      <c r="H68" s="7">
        <f t="shared" si="7"/>
        <v>205.20000000000002</v>
      </c>
      <c r="I68" s="7">
        <f t="shared" si="8"/>
        <v>3.2340425531914891</v>
      </c>
    </row>
    <row r="69" spans="2:9" x14ac:dyDescent="0.25">
      <c r="B69" s="8">
        <v>76</v>
      </c>
      <c r="C69" s="32" t="s">
        <v>320</v>
      </c>
      <c r="D69" s="7" t="s">
        <v>312</v>
      </c>
      <c r="E69" s="64">
        <v>82</v>
      </c>
      <c r="F69" s="7">
        <v>17.09</v>
      </c>
      <c r="G69" s="7">
        <f t="shared" si="6"/>
        <v>1401.3799999999999</v>
      </c>
      <c r="H69" s="7">
        <f t="shared" si="7"/>
        <v>116.78166666666665</v>
      </c>
      <c r="I69" s="7">
        <f t="shared" si="8"/>
        <v>1.7446808510638299</v>
      </c>
    </row>
    <row r="70" spans="2:9" x14ac:dyDescent="0.25">
      <c r="B70" s="8">
        <v>77</v>
      </c>
      <c r="C70" s="32" t="s">
        <v>321</v>
      </c>
      <c r="D70" s="7" t="s">
        <v>312</v>
      </c>
      <c r="E70" s="64">
        <v>20</v>
      </c>
      <c r="F70" s="7">
        <v>69.59</v>
      </c>
      <c r="G70" s="7">
        <f t="shared" si="6"/>
        <v>1391.8000000000002</v>
      </c>
      <c r="H70" s="7">
        <f t="shared" si="7"/>
        <v>115.98333333333335</v>
      </c>
      <c r="I70" s="7">
        <f t="shared" si="8"/>
        <v>0.42553191489361702</v>
      </c>
    </row>
    <row r="71" spans="2:9" x14ac:dyDescent="0.25">
      <c r="B71" s="8">
        <v>78</v>
      </c>
      <c r="C71" s="32" t="s">
        <v>322</v>
      </c>
      <c r="D71" s="7" t="s">
        <v>312</v>
      </c>
      <c r="E71" s="64">
        <v>8</v>
      </c>
      <c r="F71" s="7">
        <v>103.94</v>
      </c>
      <c r="G71" s="7">
        <f t="shared" si="6"/>
        <v>831.52</v>
      </c>
      <c r="H71" s="7">
        <f t="shared" si="7"/>
        <v>69.293333333333337</v>
      </c>
      <c r="I71" s="7">
        <f t="shared" si="8"/>
        <v>0.1702127659574468</v>
      </c>
    </row>
    <row r="72" spans="2:9" x14ac:dyDescent="0.25">
      <c r="B72" s="8">
        <v>79</v>
      </c>
      <c r="C72" s="32" t="s">
        <v>323</v>
      </c>
      <c r="D72" s="7" t="s">
        <v>312</v>
      </c>
      <c r="E72" s="64">
        <v>3</v>
      </c>
      <c r="F72" s="7">
        <v>230</v>
      </c>
      <c r="G72" s="7">
        <f t="shared" si="6"/>
        <v>690</v>
      </c>
      <c r="H72" s="7">
        <f t="shared" si="7"/>
        <v>57.5</v>
      </c>
      <c r="I72" s="7">
        <f t="shared" si="8"/>
        <v>6.3829787234042548E-2</v>
      </c>
    </row>
    <row r="73" spans="2:9" x14ac:dyDescent="0.25">
      <c r="B73" s="8">
        <v>80</v>
      </c>
      <c r="C73" s="32" t="s">
        <v>324</v>
      </c>
      <c r="D73" s="7" t="s">
        <v>312</v>
      </c>
      <c r="E73" s="64">
        <v>100</v>
      </c>
      <c r="F73" s="7">
        <v>5.34</v>
      </c>
      <c r="G73" s="7">
        <f t="shared" si="6"/>
        <v>534</v>
      </c>
      <c r="H73" s="7">
        <f t="shared" si="7"/>
        <v>44.5</v>
      </c>
      <c r="I73" s="7">
        <f t="shared" si="8"/>
        <v>2.1276595744680851</v>
      </c>
    </row>
    <row r="74" spans="2:9" x14ac:dyDescent="0.25">
      <c r="B74" s="8">
        <v>81</v>
      </c>
      <c r="C74" s="32" t="s">
        <v>325</v>
      </c>
      <c r="D74" s="7" t="s">
        <v>312</v>
      </c>
      <c r="E74" s="64">
        <v>98</v>
      </c>
      <c r="F74" s="7">
        <v>51.81</v>
      </c>
      <c r="G74" s="7">
        <f t="shared" si="6"/>
        <v>5077.38</v>
      </c>
      <c r="H74" s="7">
        <f t="shared" si="7"/>
        <v>423.11500000000001</v>
      </c>
      <c r="I74" s="7">
        <f t="shared" si="8"/>
        <v>2.0851063829787235</v>
      </c>
    </row>
    <row r="75" spans="2:9" x14ac:dyDescent="0.25">
      <c r="B75" s="8">
        <v>82</v>
      </c>
      <c r="C75" s="32" t="s">
        <v>326</v>
      </c>
      <c r="D75" s="7" t="s">
        <v>312</v>
      </c>
      <c r="E75" s="64">
        <v>98</v>
      </c>
      <c r="F75" s="7">
        <v>46.92</v>
      </c>
      <c r="G75" s="7">
        <f t="shared" si="6"/>
        <v>4598.16</v>
      </c>
      <c r="H75" s="7">
        <f t="shared" si="7"/>
        <v>383.18</v>
      </c>
      <c r="I75" s="7">
        <f t="shared" si="8"/>
        <v>2.0851063829787235</v>
      </c>
    </row>
    <row r="76" spans="2:9" x14ac:dyDescent="0.25">
      <c r="B76" s="8">
        <v>83</v>
      </c>
      <c r="C76" s="32" t="s">
        <v>327</v>
      </c>
      <c r="D76" s="7" t="s">
        <v>312</v>
      </c>
      <c r="E76" s="64">
        <v>114</v>
      </c>
      <c r="F76" s="7">
        <v>17.61</v>
      </c>
      <c r="G76" s="7">
        <f t="shared" si="6"/>
        <v>2007.54</v>
      </c>
      <c r="H76" s="7">
        <f t="shared" si="7"/>
        <v>167.29499999999999</v>
      </c>
      <c r="I76" s="7">
        <f t="shared" si="8"/>
        <v>2.4255319148936172</v>
      </c>
    </row>
    <row r="77" spans="2:9" x14ac:dyDescent="0.25">
      <c r="B77" s="8">
        <v>84</v>
      </c>
      <c r="C77" s="32" t="s">
        <v>328</v>
      </c>
      <c r="D77" s="7" t="s">
        <v>312</v>
      </c>
      <c r="E77" s="64">
        <v>192</v>
      </c>
      <c r="F77" s="7">
        <v>22.57</v>
      </c>
      <c r="G77" s="7">
        <f t="shared" si="6"/>
        <v>4333.4400000000005</v>
      </c>
      <c r="H77" s="7">
        <f t="shared" si="7"/>
        <v>361.12000000000006</v>
      </c>
      <c r="I77" s="7">
        <f t="shared" si="8"/>
        <v>4.0851063829787231</v>
      </c>
    </row>
    <row r="78" spans="2:9" x14ac:dyDescent="0.25">
      <c r="B78" s="8">
        <v>85</v>
      </c>
      <c r="C78" s="32" t="s">
        <v>329</v>
      </c>
      <c r="D78" s="7" t="s">
        <v>312</v>
      </c>
      <c r="E78" s="64">
        <v>76</v>
      </c>
      <c r="F78" s="7">
        <v>9.5399999999999991</v>
      </c>
      <c r="G78" s="7">
        <f t="shared" si="6"/>
        <v>725.04</v>
      </c>
      <c r="H78" s="7">
        <f t="shared" si="7"/>
        <v>60.419999999999995</v>
      </c>
      <c r="I78" s="7">
        <f t="shared" si="8"/>
        <v>1.6170212765957446</v>
      </c>
    </row>
    <row r="79" spans="2:9" x14ac:dyDescent="0.25">
      <c r="B79" s="8">
        <v>86</v>
      </c>
      <c r="C79" s="32" t="s">
        <v>330</v>
      </c>
      <c r="D79" s="7" t="s">
        <v>312</v>
      </c>
      <c r="E79" s="64">
        <v>136</v>
      </c>
      <c r="F79" s="7">
        <v>11.2</v>
      </c>
      <c r="G79" s="7">
        <f t="shared" si="6"/>
        <v>1523.1999999999998</v>
      </c>
      <c r="H79" s="7">
        <f t="shared" si="7"/>
        <v>126.93333333333332</v>
      </c>
      <c r="I79" s="7">
        <f t="shared" si="8"/>
        <v>2.8936170212765959</v>
      </c>
    </row>
    <row r="80" spans="2:9" x14ac:dyDescent="0.25">
      <c r="B80" s="8">
        <v>87</v>
      </c>
      <c r="C80" s="32" t="s">
        <v>331</v>
      </c>
      <c r="D80" s="7" t="s">
        <v>332</v>
      </c>
      <c r="E80" s="64">
        <v>196</v>
      </c>
      <c r="F80" s="7">
        <v>8.58</v>
      </c>
      <c r="G80" s="7">
        <f t="shared" si="6"/>
        <v>1681.68</v>
      </c>
      <c r="H80" s="7">
        <f t="shared" si="7"/>
        <v>140.14000000000001</v>
      </c>
      <c r="I80" s="7">
        <f t="shared" si="8"/>
        <v>4.1702127659574471</v>
      </c>
    </row>
    <row r="81" spans="2:9" x14ac:dyDescent="0.25">
      <c r="B81" s="8">
        <v>88</v>
      </c>
      <c r="C81" s="32" t="s">
        <v>333</v>
      </c>
      <c r="D81" s="7" t="s">
        <v>312</v>
      </c>
      <c r="E81" s="64">
        <v>196</v>
      </c>
      <c r="F81" s="7">
        <v>9.93</v>
      </c>
      <c r="G81" s="7">
        <f t="shared" si="6"/>
        <v>1946.28</v>
      </c>
      <c r="H81" s="7">
        <f t="shared" si="7"/>
        <v>162.19</v>
      </c>
      <c r="I81" s="7">
        <f t="shared" si="8"/>
        <v>4.1702127659574471</v>
      </c>
    </row>
    <row r="82" spans="2:9" x14ac:dyDescent="0.25">
      <c r="B82" s="8">
        <v>89</v>
      </c>
      <c r="C82" s="32" t="s">
        <v>334</v>
      </c>
      <c r="D82" s="7" t="s">
        <v>312</v>
      </c>
      <c r="E82" s="64">
        <v>82</v>
      </c>
      <c r="F82" s="7">
        <v>13.49</v>
      </c>
      <c r="G82" s="7">
        <f t="shared" si="6"/>
        <v>1106.18</v>
      </c>
      <c r="H82" s="7">
        <f t="shared" si="7"/>
        <v>92.181666666666672</v>
      </c>
      <c r="I82" s="7">
        <f t="shared" si="8"/>
        <v>1.7446808510638299</v>
      </c>
    </row>
    <row r="83" spans="2:9" x14ac:dyDescent="0.25">
      <c r="B83" s="8">
        <v>90</v>
      </c>
      <c r="C83" s="32" t="s">
        <v>335</v>
      </c>
      <c r="D83" s="7" t="s">
        <v>312</v>
      </c>
      <c r="E83" s="64">
        <v>224</v>
      </c>
      <c r="F83" s="7">
        <v>37.04</v>
      </c>
      <c r="G83" s="7">
        <f t="shared" si="6"/>
        <v>8296.9599999999991</v>
      </c>
      <c r="H83" s="7">
        <f t="shared" si="7"/>
        <v>691.4133333333333</v>
      </c>
      <c r="I83" s="7">
        <f t="shared" si="8"/>
        <v>4.7659574468085104</v>
      </c>
    </row>
    <row r="84" spans="2:9" ht="25.5" x14ac:dyDescent="0.25">
      <c r="B84" s="8">
        <v>91</v>
      </c>
      <c r="C84" s="32" t="s">
        <v>336</v>
      </c>
      <c r="D84" s="7" t="s">
        <v>312</v>
      </c>
      <c r="E84" s="64">
        <v>10</v>
      </c>
      <c r="F84" s="7">
        <v>30.03</v>
      </c>
      <c r="G84" s="7">
        <f t="shared" si="6"/>
        <v>300.3</v>
      </c>
      <c r="H84" s="7">
        <f t="shared" si="7"/>
        <v>25.025000000000002</v>
      </c>
      <c r="I84" s="7">
        <f t="shared" si="8"/>
        <v>0.21276595744680851</v>
      </c>
    </row>
    <row r="85" spans="2:9" x14ac:dyDescent="0.25">
      <c r="B85" s="8">
        <v>92</v>
      </c>
      <c r="C85" s="32" t="s">
        <v>337</v>
      </c>
      <c r="D85" s="7" t="s">
        <v>312</v>
      </c>
      <c r="E85" s="64">
        <v>8</v>
      </c>
      <c r="F85" s="7">
        <v>500</v>
      </c>
      <c r="G85" s="7">
        <f t="shared" si="6"/>
        <v>4000</v>
      </c>
      <c r="H85" s="7">
        <f t="shared" si="7"/>
        <v>333.33333333333331</v>
      </c>
      <c r="I85" s="7">
        <f t="shared" si="8"/>
        <v>0.1702127659574468</v>
      </c>
    </row>
    <row r="86" spans="2:9" x14ac:dyDescent="0.25">
      <c r="B86" s="8">
        <v>93</v>
      </c>
      <c r="C86" s="32" t="s">
        <v>338</v>
      </c>
      <c r="D86" s="7" t="s">
        <v>312</v>
      </c>
      <c r="E86" s="64">
        <v>2</v>
      </c>
      <c r="F86" s="7">
        <v>1100</v>
      </c>
      <c r="G86" s="7">
        <f t="shared" si="6"/>
        <v>2200</v>
      </c>
      <c r="H86" s="7">
        <f t="shared" si="7"/>
        <v>183.33333333333334</v>
      </c>
      <c r="I86" s="7">
        <f t="shared" si="8"/>
        <v>4.2553191489361701E-2</v>
      </c>
    </row>
    <row r="87" spans="2:9" x14ac:dyDescent="0.25">
      <c r="B87" s="8">
        <v>94</v>
      </c>
      <c r="C87" s="32" t="s">
        <v>339</v>
      </c>
      <c r="D87" s="7" t="s">
        <v>312</v>
      </c>
      <c r="E87" s="64">
        <v>12</v>
      </c>
      <c r="F87" s="7">
        <v>35.36</v>
      </c>
      <c r="G87" s="7">
        <f t="shared" si="6"/>
        <v>424.32</v>
      </c>
      <c r="H87" s="7">
        <f t="shared" si="7"/>
        <v>35.36</v>
      </c>
      <c r="I87" s="7">
        <f t="shared" si="8"/>
        <v>0.25531914893617019</v>
      </c>
    </row>
    <row r="88" spans="2:9" ht="25.5" x14ac:dyDescent="0.25">
      <c r="B88" s="8">
        <v>95</v>
      </c>
      <c r="C88" s="32" t="s">
        <v>340</v>
      </c>
      <c r="D88" s="7" t="s">
        <v>312</v>
      </c>
      <c r="E88" s="64">
        <v>16</v>
      </c>
      <c r="F88" s="7">
        <v>17.73</v>
      </c>
      <c r="G88" s="7">
        <f t="shared" si="6"/>
        <v>283.68</v>
      </c>
      <c r="H88" s="7">
        <f t="shared" si="7"/>
        <v>23.64</v>
      </c>
      <c r="I88" s="7">
        <f t="shared" si="8"/>
        <v>0.34042553191489361</v>
      </c>
    </row>
    <row r="89" spans="2:9" x14ac:dyDescent="0.25">
      <c r="B89" s="8">
        <v>96</v>
      </c>
      <c r="C89" s="32" t="s">
        <v>341</v>
      </c>
      <c r="D89" s="7" t="s">
        <v>312</v>
      </c>
      <c r="E89" s="64">
        <v>4</v>
      </c>
      <c r="F89" s="7">
        <v>195</v>
      </c>
      <c r="G89" s="7">
        <f t="shared" si="6"/>
        <v>780</v>
      </c>
      <c r="H89" s="7">
        <f t="shared" si="7"/>
        <v>65</v>
      </c>
      <c r="I89" s="7">
        <f t="shared" si="8"/>
        <v>8.5106382978723402E-2</v>
      </c>
    </row>
    <row r="90" spans="2:9" ht="25.5" x14ac:dyDescent="0.25">
      <c r="B90" s="8">
        <v>97</v>
      </c>
      <c r="C90" s="32" t="s">
        <v>342</v>
      </c>
      <c r="D90" s="7" t="s">
        <v>312</v>
      </c>
      <c r="E90" s="64">
        <v>4</v>
      </c>
      <c r="F90" s="7">
        <v>9580</v>
      </c>
      <c r="G90" s="7">
        <f t="shared" si="6"/>
        <v>38320</v>
      </c>
      <c r="H90" s="7">
        <f t="shared" si="7"/>
        <v>3193.3333333333335</v>
      </c>
      <c r="I90" s="7">
        <f t="shared" si="8"/>
        <v>8.5106382978723402E-2</v>
      </c>
    </row>
    <row r="91" spans="2:9" x14ac:dyDescent="0.25">
      <c r="B91" s="8">
        <v>98</v>
      </c>
      <c r="C91" s="32" t="s">
        <v>343</v>
      </c>
      <c r="D91" s="7" t="s">
        <v>312</v>
      </c>
      <c r="E91" s="64">
        <v>4</v>
      </c>
      <c r="F91" s="7">
        <v>152.21</v>
      </c>
      <c r="G91" s="7">
        <f t="shared" si="6"/>
        <v>608.84</v>
      </c>
      <c r="H91" s="7">
        <f t="shared" si="7"/>
        <v>50.736666666666672</v>
      </c>
      <c r="I91" s="7">
        <f t="shared" si="8"/>
        <v>8.5106382978723402E-2</v>
      </c>
    </row>
    <row r="92" spans="2:9" ht="25.5" x14ac:dyDescent="0.25">
      <c r="B92" s="8">
        <v>99</v>
      </c>
      <c r="C92" s="32" t="s">
        <v>344</v>
      </c>
      <c r="D92" s="7" t="s">
        <v>312</v>
      </c>
      <c r="E92" s="64">
        <v>4</v>
      </c>
      <c r="F92" s="7">
        <v>15.15</v>
      </c>
      <c r="G92" s="7">
        <f t="shared" si="6"/>
        <v>60.6</v>
      </c>
      <c r="H92" s="7">
        <f t="shared" si="7"/>
        <v>5.05</v>
      </c>
      <c r="I92" s="7">
        <f t="shared" si="8"/>
        <v>8.5106382978723402E-2</v>
      </c>
    </row>
    <row r="93" spans="2:9" x14ac:dyDescent="0.25">
      <c r="B93" s="8">
        <v>100</v>
      </c>
      <c r="C93" s="32" t="s">
        <v>345</v>
      </c>
      <c r="D93" s="7" t="s">
        <v>312</v>
      </c>
      <c r="E93" s="64">
        <v>4</v>
      </c>
      <c r="F93" s="7">
        <v>23.14</v>
      </c>
      <c r="G93" s="7">
        <f t="shared" si="6"/>
        <v>92.56</v>
      </c>
      <c r="H93" s="7">
        <f t="shared" si="7"/>
        <v>7.7133333333333338</v>
      </c>
      <c r="I93" s="7">
        <f t="shared" si="8"/>
        <v>8.5106382978723402E-2</v>
      </c>
    </row>
    <row r="94" spans="2:9" x14ac:dyDescent="0.25">
      <c r="B94" s="8">
        <v>101</v>
      </c>
      <c r="C94" s="32" t="s">
        <v>346</v>
      </c>
      <c r="D94" s="7" t="s">
        <v>312</v>
      </c>
      <c r="E94" s="64">
        <v>2</v>
      </c>
      <c r="F94" s="7">
        <v>19.04</v>
      </c>
      <c r="G94" s="7">
        <f t="shared" si="6"/>
        <v>38.08</v>
      </c>
      <c r="H94" s="7">
        <f t="shared" si="7"/>
        <v>3.1733333333333333</v>
      </c>
      <c r="I94" s="7">
        <f t="shared" si="8"/>
        <v>4.2553191489361701E-2</v>
      </c>
    </row>
    <row r="95" spans="2:9" x14ac:dyDescent="0.25">
      <c r="B95" s="8">
        <v>102</v>
      </c>
      <c r="C95" s="32" t="s">
        <v>347</v>
      </c>
      <c r="D95" s="7" t="s">
        <v>312</v>
      </c>
      <c r="E95" s="64">
        <v>2</v>
      </c>
      <c r="F95" s="7">
        <v>35.29</v>
      </c>
      <c r="G95" s="7">
        <f t="shared" si="6"/>
        <v>70.58</v>
      </c>
      <c r="H95" s="7">
        <f t="shared" si="7"/>
        <v>5.8816666666666668</v>
      </c>
      <c r="I95" s="7">
        <f t="shared" si="8"/>
        <v>4.2553191489361701E-2</v>
      </c>
    </row>
    <row r="96" spans="2:9" x14ac:dyDescent="0.25">
      <c r="B96" s="8">
        <v>103</v>
      </c>
      <c r="C96" s="32" t="s">
        <v>348</v>
      </c>
      <c r="D96" s="7" t="s">
        <v>312</v>
      </c>
      <c r="E96" s="64">
        <v>2</v>
      </c>
      <c r="F96" s="7">
        <v>41.53</v>
      </c>
      <c r="G96" s="7">
        <f t="shared" si="6"/>
        <v>83.06</v>
      </c>
      <c r="H96" s="7">
        <f t="shared" si="7"/>
        <v>6.9216666666666669</v>
      </c>
      <c r="I96" s="7">
        <f t="shared" si="8"/>
        <v>4.2553191489361701E-2</v>
      </c>
    </row>
    <row r="97" spans="2:9" x14ac:dyDescent="0.25">
      <c r="B97" s="8">
        <v>104</v>
      </c>
      <c r="C97" s="32" t="s">
        <v>349</v>
      </c>
      <c r="D97" s="7" t="s">
        <v>312</v>
      </c>
      <c r="E97" s="64">
        <v>2</v>
      </c>
      <c r="F97" s="7">
        <v>67.81</v>
      </c>
      <c r="G97" s="7">
        <f t="shared" si="6"/>
        <v>135.62</v>
      </c>
      <c r="H97" s="7">
        <f t="shared" si="7"/>
        <v>11.301666666666668</v>
      </c>
      <c r="I97" s="7">
        <f t="shared" si="8"/>
        <v>4.2553191489361701E-2</v>
      </c>
    </row>
    <row r="98" spans="2:9" x14ac:dyDescent="0.25">
      <c r="B98" s="8">
        <v>105</v>
      </c>
      <c r="C98" s="32" t="s">
        <v>350</v>
      </c>
      <c r="D98" s="7" t="s">
        <v>312</v>
      </c>
      <c r="E98" s="64">
        <v>2</v>
      </c>
      <c r="F98" s="7">
        <v>30</v>
      </c>
      <c r="G98" s="7">
        <f t="shared" si="6"/>
        <v>60</v>
      </c>
      <c r="H98" s="7">
        <f t="shared" si="7"/>
        <v>5</v>
      </c>
      <c r="I98" s="7">
        <f t="shared" si="8"/>
        <v>4.2553191489361701E-2</v>
      </c>
    </row>
    <row r="99" spans="2:9" x14ac:dyDescent="0.25">
      <c r="B99" s="8">
        <v>106</v>
      </c>
      <c r="C99" s="32" t="s">
        <v>351</v>
      </c>
      <c r="D99" s="7" t="s">
        <v>312</v>
      </c>
      <c r="E99" s="64">
        <v>2</v>
      </c>
      <c r="F99" s="7">
        <v>8.3699999999999992</v>
      </c>
      <c r="G99" s="7">
        <f t="shared" si="6"/>
        <v>16.739999999999998</v>
      </c>
      <c r="H99" s="7">
        <f t="shared" si="7"/>
        <v>1.3949999999999998</v>
      </c>
      <c r="I99" s="7">
        <f t="shared" si="8"/>
        <v>4.2553191489361701E-2</v>
      </c>
    </row>
    <row r="100" spans="2:9" x14ac:dyDescent="0.25">
      <c r="B100" s="8">
        <v>107</v>
      </c>
      <c r="C100" s="32" t="s">
        <v>352</v>
      </c>
      <c r="D100" s="7" t="s">
        <v>353</v>
      </c>
      <c r="E100" s="64">
        <v>200</v>
      </c>
      <c r="F100" s="7">
        <v>41.63</v>
      </c>
      <c r="G100" s="7">
        <f t="shared" si="6"/>
        <v>8326</v>
      </c>
      <c r="H100" s="7">
        <f t="shared" si="7"/>
        <v>693.83333333333337</v>
      </c>
      <c r="I100" s="7">
        <f t="shared" si="8"/>
        <v>4.2553191489361701</v>
      </c>
    </row>
    <row r="101" spans="2:9" x14ac:dyDescent="0.25">
      <c r="B101" s="8">
        <v>108</v>
      </c>
      <c r="C101" s="32" t="s">
        <v>354</v>
      </c>
      <c r="D101" s="7" t="s">
        <v>249</v>
      </c>
      <c r="E101" s="64">
        <v>140</v>
      </c>
      <c r="F101" s="7">
        <v>5.35</v>
      </c>
      <c r="G101" s="7">
        <f t="shared" si="6"/>
        <v>749</v>
      </c>
      <c r="H101" s="7">
        <f t="shared" si="7"/>
        <v>62.416666666666664</v>
      </c>
      <c r="I101" s="7">
        <f t="shared" si="8"/>
        <v>2.978723404255319</v>
      </c>
    </row>
    <row r="102" spans="2:9" x14ac:dyDescent="0.25">
      <c r="B102" s="8">
        <v>109</v>
      </c>
      <c r="C102" s="32" t="s">
        <v>355</v>
      </c>
      <c r="D102" s="7" t="s">
        <v>249</v>
      </c>
      <c r="E102" s="64">
        <v>12</v>
      </c>
      <c r="F102" s="7">
        <v>20.61</v>
      </c>
      <c r="G102" s="7">
        <f t="shared" si="6"/>
        <v>247.32</v>
      </c>
      <c r="H102" s="7">
        <f t="shared" si="7"/>
        <v>20.61</v>
      </c>
      <c r="I102" s="7">
        <f t="shared" si="8"/>
        <v>0.25531914893617019</v>
      </c>
    </row>
    <row r="103" spans="2:9" x14ac:dyDescent="0.25">
      <c r="B103" s="8">
        <v>110</v>
      </c>
      <c r="C103" s="32" t="s">
        <v>356</v>
      </c>
      <c r="D103" s="7" t="s">
        <v>312</v>
      </c>
      <c r="E103" s="64">
        <v>8</v>
      </c>
      <c r="F103" s="7">
        <v>1003.26</v>
      </c>
      <c r="G103" s="7">
        <f t="shared" si="6"/>
        <v>8026.08</v>
      </c>
      <c r="H103" s="7">
        <f t="shared" si="7"/>
        <v>668.84</v>
      </c>
      <c r="I103" s="7">
        <f t="shared" si="8"/>
        <v>0.1702127659574468</v>
      </c>
    </row>
    <row r="104" spans="2:9" x14ac:dyDescent="0.25">
      <c r="B104" s="110" t="s">
        <v>297</v>
      </c>
      <c r="C104" s="108"/>
      <c r="D104" s="108"/>
      <c r="E104" s="108"/>
      <c r="F104" s="109"/>
      <c r="G104" s="13">
        <f>SUM(G61:G102)</f>
        <v>108111.38000000002</v>
      </c>
      <c r="H104" s="13">
        <f>SUM(H61:H102)</f>
        <v>9009.2816666666677</v>
      </c>
      <c r="I104" s="33"/>
    </row>
    <row r="105" spans="2:9" x14ac:dyDescent="0.25">
      <c r="B105" s="3"/>
      <c r="C105" s="3"/>
      <c r="D105" s="3"/>
      <c r="E105" s="3"/>
      <c r="F105" s="3"/>
      <c r="G105" s="3"/>
      <c r="H105" s="3"/>
      <c r="I105" s="3"/>
    </row>
    <row r="106" spans="2:9" x14ac:dyDescent="0.25">
      <c r="B106" s="3"/>
      <c r="C106" s="27" t="s">
        <v>297</v>
      </c>
      <c r="D106" s="6" t="s">
        <v>246</v>
      </c>
      <c r="E106" s="6" t="s">
        <v>357</v>
      </c>
      <c r="F106" s="6" t="s">
        <v>358</v>
      </c>
      <c r="G106" s="3"/>
      <c r="H106" s="3"/>
      <c r="I106" s="3"/>
    </row>
    <row r="107" spans="2:9" x14ac:dyDescent="0.25">
      <c r="B107" s="3"/>
      <c r="C107" s="2" t="s">
        <v>359</v>
      </c>
      <c r="D107" s="12">
        <f>H37+H61+H62+H63+H64+H65+H67+H68+H69+H70+H71+H72+H73+H74+H75+H76+H77+H78+H79+H80+H81+H82+H83+H84+H85+H90</f>
        <v>21337.817277777773</v>
      </c>
      <c r="E107" s="65">
        <f>'L1 Quadro Resumo'!$L$13</f>
        <v>69</v>
      </c>
      <c r="F107" s="12">
        <f>IFERROR(D107/E107,0)</f>
        <v>309.24372866344601</v>
      </c>
      <c r="G107" s="3"/>
      <c r="H107" s="3"/>
      <c r="I107" s="3"/>
    </row>
    <row r="108" spans="2:9" x14ac:dyDescent="0.25">
      <c r="B108" s="3"/>
      <c r="C108" s="2" t="s">
        <v>360</v>
      </c>
      <c r="D108" s="12">
        <f>H57+H89</f>
        <v>2526.7705555555581</v>
      </c>
      <c r="E108" s="65">
        <v>2</v>
      </c>
      <c r="F108" s="12">
        <f>D108/2</f>
        <v>1263.385277777779</v>
      </c>
      <c r="G108" s="3"/>
      <c r="H108" s="3"/>
      <c r="I108" s="3"/>
    </row>
    <row r="109" spans="2:9" ht="25.5" x14ac:dyDescent="0.25">
      <c r="B109" s="3"/>
      <c r="C109" s="2" t="s">
        <v>361</v>
      </c>
      <c r="D109" s="12">
        <f>H44+H66+H86+H87+H88+H91+H92+H93+H94+H95+H100+H101+H102</f>
        <v>1288.425</v>
      </c>
      <c r="E109" s="65">
        <v>2</v>
      </c>
      <c r="F109" s="12">
        <f>D109/2</f>
        <v>644.21249999999998</v>
      </c>
      <c r="G109" s="3"/>
      <c r="H109" s="3"/>
      <c r="I109" s="3"/>
    </row>
    <row r="110" spans="2:9" x14ac:dyDescent="0.25">
      <c r="B110" s="3"/>
      <c r="C110" s="2" t="s">
        <v>362</v>
      </c>
      <c r="D110" s="12">
        <f>H96+H97+H98+H99+H103</f>
        <v>693.45833333333337</v>
      </c>
      <c r="E110" s="65">
        <v>2</v>
      </c>
      <c r="F110" s="12">
        <f>D110/E110</f>
        <v>346.72916666666669</v>
      </c>
      <c r="G110" s="3"/>
      <c r="H110" s="3"/>
      <c r="I110" s="3"/>
    </row>
    <row r="111" spans="2:9" x14ac:dyDescent="0.25">
      <c r="B111" s="8"/>
      <c r="C111" s="8"/>
      <c r="D111" s="8"/>
      <c r="E111" s="64">
        <f>SUM(E107:E110)</f>
        <v>75</v>
      </c>
      <c r="F111" s="8"/>
      <c r="G111" s="8"/>
      <c r="H111" s="8"/>
      <c r="I111" s="8"/>
    </row>
  </sheetData>
  <mergeCells count="7">
    <mergeCell ref="B44:F44"/>
    <mergeCell ref="B104:F104"/>
    <mergeCell ref="B59:I59"/>
    <mergeCell ref="B2:H2"/>
    <mergeCell ref="C38:I38"/>
    <mergeCell ref="B57:F57"/>
    <mergeCell ref="B46:H46"/>
  </mergeCells>
  <printOptions horizontalCentered="1"/>
  <pageMargins left="0.35" right="0.35" top="0.55000000000000004" bottom="0.55000000000000004" header="0.511811023622047" footer="0.511811023622047"/>
  <pageSetup paperSize="9" scale="92" fitToHeight="0" pageOrder="overThenDown" orientation="landscape" useFirstPageNumber="1" horizontalDpi="300" verticalDpi="300"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V90"/>
  <sheetViews>
    <sheetView showGridLines="0" topLeftCell="A7" zoomScaleNormal="100" workbookViewId="0">
      <pane ySplit="2" topLeftCell="A72" activePane="bottomLeft" state="frozen"/>
      <selection activeCell="A7" sqref="A7"/>
      <selection pane="bottomLeft"/>
    </sheetView>
  </sheetViews>
  <sheetFormatPr defaultColWidth="8.5703125" defaultRowHeight="15" x14ac:dyDescent="0.25"/>
  <cols>
    <col min="1" max="1" width="8" customWidth="1"/>
    <col min="2" max="3" width="34" customWidth="1"/>
    <col min="4" max="4" width="15" customWidth="1"/>
    <col min="5" max="5" width="16" customWidth="1"/>
    <col min="6" max="6" width="23" customWidth="1"/>
    <col min="7" max="7" width="34" customWidth="1"/>
    <col min="8" max="8" width="9" customWidth="1"/>
    <col min="9" max="9" width="34" customWidth="1"/>
    <col min="10" max="10" width="11" customWidth="1"/>
    <col min="11" max="11" width="30" customWidth="1"/>
    <col min="12" max="12" width="12" customWidth="1"/>
    <col min="13" max="13" width="19" customWidth="1"/>
    <col min="14" max="14" width="9" customWidth="1"/>
    <col min="15" max="15" width="17" customWidth="1"/>
    <col min="16" max="18" width="34" customWidth="1"/>
    <col min="19" max="19" width="19" customWidth="1"/>
    <col min="20" max="20" width="17" customWidth="1"/>
    <col min="21" max="21" width="14" customWidth="1"/>
    <col min="22" max="22" width="10.42578125" customWidth="1"/>
    <col min="1013" max="1013" width="10.42578125" customWidth="1"/>
  </cols>
  <sheetData>
    <row r="1" spans="1:22" ht="13.5" customHeight="1" x14ac:dyDescent="0.25"/>
    <row r="2" spans="1:22" ht="24" customHeight="1" x14ac:dyDescent="0.25">
      <c r="A2" s="11"/>
      <c r="B2" s="6" t="s">
        <v>363</v>
      </c>
      <c r="C2" s="26">
        <f>IFERROR('L1 Quadro Resumo'!L12,0)</f>
        <v>0</v>
      </c>
      <c r="D2" s="11"/>
      <c r="E2" s="11"/>
      <c r="F2" s="11"/>
      <c r="G2" s="11"/>
      <c r="H2" s="11"/>
      <c r="I2" s="11"/>
      <c r="J2" s="11"/>
      <c r="K2" s="11"/>
      <c r="L2" s="11"/>
      <c r="M2" s="11"/>
      <c r="N2" s="11"/>
      <c r="O2" s="11"/>
      <c r="P2" s="11"/>
      <c r="Q2" s="11"/>
      <c r="R2" s="11"/>
      <c r="S2" s="11"/>
      <c r="T2" s="11"/>
    </row>
    <row r="3" spans="1:22" ht="18" customHeight="1" x14ac:dyDescent="0.25">
      <c r="A3" s="9"/>
      <c r="B3" s="9"/>
      <c r="C3" s="9"/>
      <c r="D3" s="9"/>
      <c r="E3" s="9"/>
      <c r="F3" s="9"/>
      <c r="G3" s="9"/>
      <c r="H3" s="9"/>
      <c r="I3" s="9"/>
      <c r="J3" s="9"/>
      <c r="K3" s="9"/>
      <c r="L3" s="9"/>
      <c r="M3" s="9"/>
      <c r="N3" s="9"/>
      <c r="O3" s="9"/>
      <c r="P3" s="9"/>
      <c r="Q3" s="9"/>
      <c r="R3" s="9"/>
      <c r="S3" s="9"/>
      <c r="T3" s="9"/>
    </row>
    <row r="4" spans="1:22" ht="21.75" customHeight="1" x14ac:dyDescent="0.25">
      <c r="A4" s="3" t="s">
        <v>364</v>
      </c>
      <c r="B4" s="12" t="s">
        <v>365</v>
      </c>
      <c r="C4" s="3" t="s">
        <v>366</v>
      </c>
      <c r="D4" s="3" t="s">
        <v>367</v>
      </c>
      <c r="E4" s="3" t="s">
        <v>368</v>
      </c>
      <c r="F4" s="3" t="s">
        <v>369</v>
      </c>
      <c r="G4" s="3" t="s">
        <v>370</v>
      </c>
      <c r="H4" s="2" t="s">
        <v>371</v>
      </c>
      <c r="I4" s="2" t="s">
        <v>372</v>
      </c>
      <c r="J4" s="2" t="s">
        <v>373</v>
      </c>
      <c r="K4" s="2" t="s">
        <v>374</v>
      </c>
      <c r="L4" s="2" t="s">
        <v>375</v>
      </c>
      <c r="M4" s="2" t="s">
        <v>376</v>
      </c>
      <c r="N4" s="3" t="s">
        <v>377</v>
      </c>
      <c r="O4" s="2" t="s">
        <v>378</v>
      </c>
      <c r="P4" s="2" t="s">
        <v>379</v>
      </c>
      <c r="Q4" s="3" t="s">
        <v>380</v>
      </c>
      <c r="R4" s="3"/>
      <c r="S4" s="3" t="s">
        <v>381</v>
      </c>
      <c r="T4" s="3" t="s">
        <v>382</v>
      </c>
    </row>
    <row r="5" spans="1:22" ht="21.75" customHeight="1" x14ac:dyDescent="0.25">
      <c r="A5" s="22">
        <v>1</v>
      </c>
      <c r="B5" s="12" t="s">
        <v>383</v>
      </c>
      <c r="C5" s="3" t="s">
        <v>384</v>
      </c>
      <c r="D5" s="3">
        <f>17-7</f>
        <v>10</v>
      </c>
      <c r="E5" s="22">
        <v>44</v>
      </c>
      <c r="F5" s="3" t="s">
        <v>385</v>
      </c>
      <c r="G5" s="3" t="s">
        <v>386</v>
      </c>
      <c r="H5" s="2" t="s">
        <v>387</v>
      </c>
      <c r="I5" s="2"/>
      <c r="J5" s="2"/>
      <c r="K5" s="3"/>
      <c r="L5" s="3"/>
      <c r="M5" s="3"/>
      <c r="N5" s="3"/>
      <c r="O5" s="3"/>
      <c r="P5" s="3"/>
      <c r="Q5" s="3" t="s">
        <v>388</v>
      </c>
      <c r="R5" s="3"/>
      <c r="S5" s="22">
        <v>2</v>
      </c>
      <c r="T5" s="22">
        <v>1</v>
      </c>
      <c r="V5" s="34"/>
    </row>
    <row r="6" spans="1:22" ht="21.75" customHeight="1" x14ac:dyDescent="0.25">
      <c r="A6" s="22">
        <v>2</v>
      </c>
      <c r="B6" s="12" t="s">
        <v>389</v>
      </c>
      <c r="C6" s="3" t="s">
        <v>390</v>
      </c>
      <c r="D6" s="3">
        <f>17-7</f>
        <v>10</v>
      </c>
      <c r="E6" s="22">
        <v>44</v>
      </c>
      <c r="F6" s="3" t="s">
        <v>385</v>
      </c>
      <c r="G6" s="3" t="s">
        <v>386</v>
      </c>
      <c r="H6" s="2" t="s">
        <v>391</v>
      </c>
      <c r="I6" s="2" t="s">
        <v>392</v>
      </c>
      <c r="J6" s="2" t="s">
        <v>393</v>
      </c>
      <c r="K6" s="2" t="s">
        <v>393</v>
      </c>
      <c r="L6" s="2" t="s">
        <v>393</v>
      </c>
      <c r="M6" s="3"/>
      <c r="N6" s="3"/>
      <c r="O6" s="2" t="s">
        <v>393</v>
      </c>
      <c r="P6" s="2" t="s">
        <v>393</v>
      </c>
      <c r="Q6" s="3" t="s">
        <v>394</v>
      </c>
      <c r="R6" s="3"/>
      <c r="S6" s="22">
        <v>1</v>
      </c>
      <c r="T6" s="22">
        <v>3</v>
      </c>
      <c r="V6" s="34"/>
    </row>
    <row r="7" spans="1:22" ht="21.75" customHeight="1" x14ac:dyDescent="0.25">
      <c r="A7" s="22">
        <v>3</v>
      </c>
      <c r="B7" s="12" t="s">
        <v>395</v>
      </c>
      <c r="C7" s="3"/>
      <c r="D7" s="22">
        <v>8</v>
      </c>
      <c r="E7" s="22">
        <v>44</v>
      </c>
      <c r="F7" s="3" t="s">
        <v>385</v>
      </c>
      <c r="G7" s="3" t="s">
        <v>396</v>
      </c>
      <c r="H7" s="2" t="s">
        <v>387</v>
      </c>
      <c r="I7" s="2"/>
      <c r="J7" s="2" t="s">
        <v>393</v>
      </c>
      <c r="K7" s="2" t="s">
        <v>393</v>
      </c>
      <c r="L7" s="2" t="s">
        <v>393</v>
      </c>
      <c r="M7" s="2" t="s">
        <v>393</v>
      </c>
      <c r="N7" s="3"/>
      <c r="O7" s="2" t="s">
        <v>393</v>
      </c>
      <c r="P7" s="2" t="s">
        <v>393</v>
      </c>
      <c r="Q7" s="3" t="s">
        <v>397</v>
      </c>
      <c r="R7" s="3"/>
      <c r="S7" s="3"/>
      <c r="T7" s="22">
        <v>1</v>
      </c>
      <c r="V7" s="34"/>
    </row>
    <row r="8" spans="1:22" ht="21.75" customHeight="1" x14ac:dyDescent="0.25">
      <c r="A8" s="22">
        <v>4</v>
      </c>
      <c r="B8" s="12" t="s">
        <v>398</v>
      </c>
      <c r="C8" s="3" t="s">
        <v>399</v>
      </c>
      <c r="D8" s="3">
        <f>16-7</f>
        <v>9</v>
      </c>
      <c r="E8" s="22">
        <v>44</v>
      </c>
      <c r="F8" s="3" t="s">
        <v>385</v>
      </c>
      <c r="G8" s="3" t="s">
        <v>400</v>
      </c>
      <c r="H8" s="2" t="s">
        <v>387</v>
      </c>
      <c r="I8" s="2"/>
      <c r="J8" s="2" t="s">
        <v>393</v>
      </c>
      <c r="K8" s="2" t="s">
        <v>393</v>
      </c>
      <c r="L8" s="2" t="s">
        <v>393</v>
      </c>
      <c r="M8" s="2" t="s">
        <v>393</v>
      </c>
      <c r="N8" s="3"/>
      <c r="O8" s="2" t="s">
        <v>393</v>
      </c>
      <c r="P8" s="2" t="s">
        <v>393</v>
      </c>
      <c r="Q8" s="3"/>
      <c r="R8" s="3"/>
      <c r="S8" s="22">
        <v>1</v>
      </c>
      <c r="T8" s="22">
        <v>3</v>
      </c>
      <c r="V8" s="34"/>
    </row>
    <row r="9" spans="1:22" ht="21.75" customHeight="1" x14ac:dyDescent="0.25">
      <c r="A9" s="22">
        <v>5</v>
      </c>
      <c r="B9" s="12" t="s">
        <v>401</v>
      </c>
      <c r="C9" s="3" t="s">
        <v>402</v>
      </c>
      <c r="D9" s="22">
        <v>8</v>
      </c>
      <c r="E9" s="22">
        <v>44</v>
      </c>
      <c r="F9" s="3" t="s">
        <v>403</v>
      </c>
      <c r="G9" s="3" t="s">
        <v>404</v>
      </c>
      <c r="H9" s="2" t="s">
        <v>387</v>
      </c>
      <c r="I9" s="2"/>
      <c r="J9" s="2" t="s">
        <v>393</v>
      </c>
      <c r="K9" s="2" t="s">
        <v>393</v>
      </c>
      <c r="L9" s="2" t="s">
        <v>393</v>
      </c>
      <c r="M9" s="3"/>
      <c r="N9" s="3"/>
      <c r="O9" s="2" t="s">
        <v>393</v>
      </c>
      <c r="P9" s="2" t="s">
        <v>393</v>
      </c>
      <c r="Q9" s="3" t="s">
        <v>405</v>
      </c>
      <c r="R9" s="3"/>
      <c r="S9" s="22">
        <v>3</v>
      </c>
      <c r="T9" s="22">
        <v>1</v>
      </c>
    </row>
    <row r="10" spans="1:22" ht="21.75" customHeight="1" x14ac:dyDescent="0.25">
      <c r="A10" s="22">
        <v>6</v>
      </c>
      <c r="B10" s="12" t="s">
        <v>406</v>
      </c>
      <c r="C10" s="3"/>
      <c r="D10" s="22">
        <v>8</v>
      </c>
      <c r="E10" s="22">
        <v>44</v>
      </c>
      <c r="F10" s="3" t="s">
        <v>403</v>
      </c>
      <c r="G10" s="3" t="s">
        <v>404</v>
      </c>
      <c r="H10" s="2" t="s">
        <v>387</v>
      </c>
      <c r="I10" s="2"/>
      <c r="J10" s="2" t="s">
        <v>393</v>
      </c>
      <c r="K10" s="2" t="s">
        <v>393</v>
      </c>
      <c r="L10" s="2" t="s">
        <v>393</v>
      </c>
      <c r="M10" s="2" t="s">
        <v>393</v>
      </c>
      <c r="N10" s="3"/>
      <c r="O10" s="2" t="s">
        <v>393</v>
      </c>
      <c r="P10" s="2" t="s">
        <v>393</v>
      </c>
      <c r="Q10" s="3" t="s">
        <v>407</v>
      </c>
      <c r="R10" s="3"/>
      <c r="S10" s="22">
        <v>6</v>
      </c>
      <c r="T10" s="22">
        <v>1</v>
      </c>
    </row>
    <row r="11" spans="1:22" ht="21.75" customHeight="1" x14ac:dyDescent="0.25">
      <c r="A11" s="22">
        <v>7</v>
      </c>
      <c r="B11" s="12" t="s">
        <v>408</v>
      </c>
      <c r="C11" s="3" t="s">
        <v>409</v>
      </c>
      <c r="D11" s="22">
        <v>8</v>
      </c>
      <c r="E11" s="22">
        <v>44</v>
      </c>
      <c r="F11" s="3" t="s">
        <v>385</v>
      </c>
      <c r="G11" s="3" t="s">
        <v>396</v>
      </c>
      <c r="H11" s="2" t="s">
        <v>387</v>
      </c>
      <c r="I11" s="2"/>
      <c r="J11" s="2" t="s">
        <v>393</v>
      </c>
      <c r="K11" s="2" t="s">
        <v>393</v>
      </c>
      <c r="L11" s="2" t="s">
        <v>393</v>
      </c>
      <c r="M11" s="2" t="s">
        <v>393</v>
      </c>
      <c r="N11" s="3"/>
      <c r="O11" s="2" t="s">
        <v>393</v>
      </c>
      <c r="P11" s="2" t="s">
        <v>393</v>
      </c>
      <c r="Q11" s="3" t="s">
        <v>410</v>
      </c>
      <c r="R11" s="3"/>
      <c r="S11" s="22">
        <v>1</v>
      </c>
      <c r="T11" s="3"/>
      <c r="V11" s="34"/>
    </row>
    <row r="12" spans="1:22" ht="21.75" customHeight="1" x14ac:dyDescent="0.25">
      <c r="A12" s="22">
        <v>8</v>
      </c>
      <c r="B12" s="12" t="s">
        <v>411</v>
      </c>
      <c r="C12" s="3" t="s">
        <v>412</v>
      </c>
      <c r="D12" s="22">
        <v>8</v>
      </c>
      <c r="E12" s="22">
        <v>44</v>
      </c>
      <c r="F12" s="3" t="s">
        <v>385</v>
      </c>
      <c r="G12" s="3" t="s">
        <v>396</v>
      </c>
      <c r="H12" s="2" t="s">
        <v>387</v>
      </c>
      <c r="I12" s="3"/>
      <c r="J12" s="2" t="s">
        <v>393</v>
      </c>
      <c r="K12" s="2" t="s">
        <v>393</v>
      </c>
      <c r="L12" s="2" t="s">
        <v>393</v>
      </c>
      <c r="M12" s="2" t="s">
        <v>393</v>
      </c>
      <c r="N12" s="3"/>
      <c r="O12" s="2" t="s">
        <v>393</v>
      </c>
      <c r="P12" s="2" t="s">
        <v>393</v>
      </c>
      <c r="Q12" s="3" t="s">
        <v>410</v>
      </c>
      <c r="R12" s="3"/>
      <c r="S12" s="22">
        <v>1</v>
      </c>
      <c r="T12" s="3"/>
      <c r="V12" s="34"/>
    </row>
    <row r="13" spans="1:22" ht="18" customHeight="1" x14ac:dyDescent="0.25">
      <c r="A13" s="24"/>
      <c r="B13" s="6" t="s">
        <v>297</v>
      </c>
      <c r="C13" s="24"/>
      <c r="D13" s="24"/>
      <c r="E13" s="24"/>
      <c r="F13" s="24"/>
      <c r="G13" s="24"/>
      <c r="H13" s="24"/>
      <c r="I13" s="24"/>
      <c r="J13" s="24"/>
      <c r="K13" s="24"/>
      <c r="L13" s="24"/>
      <c r="M13" s="24"/>
      <c r="N13" s="24"/>
      <c r="O13" s="24"/>
      <c r="P13" s="24"/>
      <c r="Q13" s="24"/>
      <c r="R13" s="24"/>
      <c r="S13" s="24"/>
      <c r="T13" s="24"/>
      <c r="V13" s="34"/>
    </row>
    <row r="14" spans="1:22" ht="18" customHeight="1" x14ac:dyDescent="0.25">
      <c r="A14" s="9"/>
      <c r="B14" s="9"/>
      <c r="C14" s="9"/>
      <c r="D14" s="9"/>
      <c r="E14" s="9"/>
      <c r="F14" s="9"/>
      <c r="G14" s="9"/>
      <c r="H14" s="9"/>
      <c r="I14" s="9"/>
      <c r="J14" s="35"/>
      <c r="K14" s="35"/>
      <c r="L14" s="35"/>
      <c r="M14" s="9"/>
      <c r="N14" s="9"/>
      <c r="O14" s="35"/>
      <c r="P14" s="35"/>
      <c r="Q14" s="9"/>
      <c r="R14" s="9"/>
      <c r="S14" s="9"/>
      <c r="T14" s="9"/>
      <c r="V14" s="34"/>
    </row>
    <row r="15" spans="1:22" ht="21.75" customHeight="1" x14ac:dyDescent="0.25">
      <c r="A15" s="22">
        <v>9</v>
      </c>
      <c r="B15" s="12" t="s">
        <v>413</v>
      </c>
      <c r="C15" s="3" t="s">
        <v>414</v>
      </c>
      <c r="D15" s="22">
        <v>8</v>
      </c>
      <c r="E15" s="22">
        <v>44</v>
      </c>
      <c r="F15" s="3" t="s">
        <v>385</v>
      </c>
      <c r="G15" s="3" t="s">
        <v>396</v>
      </c>
      <c r="H15" s="2" t="s">
        <v>391</v>
      </c>
      <c r="I15" s="2" t="s">
        <v>415</v>
      </c>
      <c r="J15" s="2" t="s">
        <v>393</v>
      </c>
      <c r="K15" s="2" t="s">
        <v>393</v>
      </c>
      <c r="L15" s="2" t="s">
        <v>393</v>
      </c>
      <c r="M15" s="2" t="s">
        <v>393</v>
      </c>
      <c r="N15" s="3"/>
      <c r="O15" s="2" t="s">
        <v>393</v>
      </c>
      <c r="P15" s="2" t="s">
        <v>393</v>
      </c>
      <c r="Q15" s="3" t="s">
        <v>416</v>
      </c>
      <c r="R15" s="3"/>
      <c r="S15" s="22">
        <v>4</v>
      </c>
      <c r="T15" s="22">
        <v>1</v>
      </c>
      <c r="V15" s="34"/>
    </row>
    <row r="16" spans="1:22" ht="21.75" customHeight="1" x14ac:dyDescent="0.25">
      <c r="A16" s="22">
        <v>10</v>
      </c>
      <c r="B16" s="12" t="s">
        <v>417</v>
      </c>
      <c r="C16" s="3" t="s">
        <v>418</v>
      </c>
      <c r="D16" s="22">
        <v>8</v>
      </c>
      <c r="E16" s="22">
        <v>44</v>
      </c>
      <c r="F16" s="3" t="s">
        <v>385</v>
      </c>
      <c r="G16" s="3" t="s">
        <v>396</v>
      </c>
      <c r="H16" s="2" t="s">
        <v>391</v>
      </c>
      <c r="I16" s="2" t="s">
        <v>415</v>
      </c>
      <c r="J16" s="2" t="s">
        <v>393</v>
      </c>
      <c r="K16" s="2" t="s">
        <v>393</v>
      </c>
      <c r="L16" s="2" t="s">
        <v>393</v>
      </c>
      <c r="M16" s="2" t="s">
        <v>393</v>
      </c>
      <c r="N16" s="3"/>
      <c r="O16" s="2" t="s">
        <v>393</v>
      </c>
      <c r="P16" s="2" t="s">
        <v>393</v>
      </c>
      <c r="Q16" s="3" t="s">
        <v>419</v>
      </c>
      <c r="R16" s="3"/>
      <c r="S16" s="22">
        <v>2</v>
      </c>
      <c r="T16" s="22">
        <v>1</v>
      </c>
      <c r="V16" s="34"/>
    </row>
    <row r="17" spans="1:22" ht="21.75" customHeight="1" x14ac:dyDescent="0.25">
      <c r="A17" s="22">
        <v>11</v>
      </c>
      <c r="B17" s="12" t="s">
        <v>420</v>
      </c>
      <c r="C17" s="3" t="s">
        <v>421</v>
      </c>
      <c r="D17" s="22">
        <v>8</v>
      </c>
      <c r="E17" s="22">
        <v>44</v>
      </c>
      <c r="F17" s="3" t="s">
        <v>385</v>
      </c>
      <c r="G17" s="3" t="s">
        <v>396</v>
      </c>
      <c r="H17" s="2" t="s">
        <v>391</v>
      </c>
      <c r="I17" s="2" t="s">
        <v>415</v>
      </c>
      <c r="J17" s="2" t="s">
        <v>393</v>
      </c>
      <c r="K17" s="2" t="s">
        <v>393</v>
      </c>
      <c r="L17" s="2" t="s">
        <v>393</v>
      </c>
      <c r="M17" s="2" t="s">
        <v>393</v>
      </c>
      <c r="N17" s="3"/>
      <c r="O17" s="2" t="s">
        <v>393</v>
      </c>
      <c r="P17" s="2" t="s">
        <v>393</v>
      </c>
      <c r="Q17" s="3" t="s">
        <v>422</v>
      </c>
      <c r="R17" s="3"/>
      <c r="S17" s="22">
        <v>2</v>
      </c>
      <c r="T17" s="22">
        <v>2</v>
      </c>
      <c r="V17" s="34"/>
    </row>
    <row r="18" spans="1:22" ht="21.75" customHeight="1" x14ac:dyDescent="0.25">
      <c r="A18" s="22">
        <v>12</v>
      </c>
      <c r="B18" s="12" t="s">
        <v>423</v>
      </c>
      <c r="C18" s="3" t="s">
        <v>424</v>
      </c>
      <c r="D18" s="22">
        <v>8</v>
      </c>
      <c r="E18" s="22">
        <v>44</v>
      </c>
      <c r="F18" s="3" t="s">
        <v>385</v>
      </c>
      <c r="G18" s="3" t="s">
        <v>396</v>
      </c>
      <c r="H18" s="2" t="s">
        <v>391</v>
      </c>
      <c r="I18" s="2" t="s">
        <v>415</v>
      </c>
      <c r="J18" s="2" t="s">
        <v>393</v>
      </c>
      <c r="K18" s="2" t="s">
        <v>393</v>
      </c>
      <c r="L18" s="2" t="s">
        <v>393</v>
      </c>
      <c r="M18" s="2" t="s">
        <v>393</v>
      </c>
      <c r="N18" s="3"/>
      <c r="O18" s="2" t="s">
        <v>393</v>
      </c>
      <c r="P18" s="2" t="s">
        <v>393</v>
      </c>
      <c r="Q18" s="3" t="s">
        <v>410</v>
      </c>
      <c r="R18" s="3"/>
      <c r="S18" s="22">
        <v>3</v>
      </c>
      <c r="T18" s="22">
        <v>1</v>
      </c>
      <c r="V18" s="34"/>
    </row>
    <row r="19" spans="1:22" ht="21.75" customHeight="1" x14ac:dyDescent="0.25">
      <c r="A19" s="22">
        <v>13</v>
      </c>
      <c r="B19" s="12" t="s">
        <v>425</v>
      </c>
      <c r="C19" s="3" t="s">
        <v>426</v>
      </c>
      <c r="D19" s="22">
        <v>8</v>
      </c>
      <c r="E19" s="22">
        <v>44</v>
      </c>
      <c r="F19" s="3" t="s">
        <v>385</v>
      </c>
      <c r="G19" s="3" t="s">
        <v>396</v>
      </c>
      <c r="H19" s="2" t="s">
        <v>391</v>
      </c>
      <c r="I19" s="2" t="s">
        <v>415</v>
      </c>
      <c r="J19" s="2" t="s">
        <v>393</v>
      </c>
      <c r="K19" s="2" t="s">
        <v>393</v>
      </c>
      <c r="L19" s="2" t="s">
        <v>393</v>
      </c>
      <c r="M19" s="3"/>
      <c r="N19" s="3" t="s">
        <v>393</v>
      </c>
      <c r="O19" s="2" t="s">
        <v>393</v>
      </c>
      <c r="P19" s="2" t="s">
        <v>393</v>
      </c>
      <c r="Q19" s="3" t="s">
        <v>427</v>
      </c>
      <c r="R19" s="3"/>
      <c r="S19" s="22">
        <v>3</v>
      </c>
      <c r="T19" s="22">
        <v>1</v>
      </c>
      <c r="V19" s="34"/>
    </row>
    <row r="20" spans="1:22" ht="21.75" customHeight="1" x14ac:dyDescent="0.25">
      <c r="A20" s="22">
        <v>14</v>
      </c>
      <c r="B20" s="12" t="s">
        <v>428</v>
      </c>
      <c r="C20" s="3" t="s">
        <v>429</v>
      </c>
      <c r="D20" s="22">
        <v>8</v>
      </c>
      <c r="E20" s="22">
        <v>44</v>
      </c>
      <c r="F20" s="3" t="s">
        <v>385</v>
      </c>
      <c r="G20" s="3" t="s">
        <v>396</v>
      </c>
      <c r="H20" s="2" t="s">
        <v>391</v>
      </c>
      <c r="I20" s="2" t="s">
        <v>415</v>
      </c>
      <c r="J20" s="2" t="s">
        <v>393</v>
      </c>
      <c r="K20" s="2" t="s">
        <v>393</v>
      </c>
      <c r="L20" s="2" t="s">
        <v>393</v>
      </c>
      <c r="M20" s="2" t="s">
        <v>393</v>
      </c>
      <c r="N20" s="3"/>
      <c r="O20" s="2" t="s">
        <v>393</v>
      </c>
      <c r="P20" s="2" t="s">
        <v>393</v>
      </c>
      <c r="Q20" s="3" t="s">
        <v>430</v>
      </c>
      <c r="R20" s="3"/>
      <c r="S20" s="22">
        <v>1</v>
      </c>
      <c r="T20" s="22">
        <v>3</v>
      </c>
    </row>
    <row r="21" spans="1:22" ht="21.75" customHeight="1" x14ac:dyDescent="0.25">
      <c r="A21" s="22">
        <v>15</v>
      </c>
      <c r="B21" s="12" t="s">
        <v>431</v>
      </c>
      <c r="C21" s="3" t="s">
        <v>432</v>
      </c>
      <c r="D21" s="22">
        <v>8</v>
      </c>
      <c r="E21" s="22">
        <v>44</v>
      </c>
      <c r="F21" s="3" t="s">
        <v>385</v>
      </c>
      <c r="G21" s="3" t="s">
        <v>396</v>
      </c>
      <c r="H21" s="2" t="s">
        <v>391</v>
      </c>
      <c r="I21" s="2" t="s">
        <v>415</v>
      </c>
      <c r="J21" s="2" t="s">
        <v>393</v>
      </c>
      <c r="K21" s="2" t="s">
        <v>393</v>
      </c>
      <c r="L21" s="2" t="s">
        <v>393</v>
      </c>
      <c r="M21" s="2" t="s">
        <v>393</v>
      </c>
      <c r="N21" s="3"/>
      <c r="O21" s="2" t="s">
        <v>393</v>
      </c>
      <c r="P21" s="2" t="s">
        <v>393</v>
      </c>
      <c r="Q21" s="3" t="s">
        <v>433</v>
      </c>
      <c r="R21" s="3"/>
      <c r="S21" s="22">
        <v>2</v>
      </c>
      <c r="T21" s="22">
        <v>2</v>
      </c>
    </row>
    <row r="22" spans="1:22" ht="21.75" customHeight="1" x14ac:dyDescent="0.25">
      <c r="A22" s="22">
        <v>16</v>
      </c>
      <c r="B22" s="12" t="s">
        <v>434</v>
      </c>
      <c r="C22" s="3" t="s">
        <v>435</v>
      </c>
      <c r="D22" s="22">
        <v>8</v>
      </c>
      <c r="E22" s="22">
        <v>44</v>
      </c>
      <c r="F22" s="3" t="s">
        <v>385</v>
      </c>
      <c r="G22" s="3" t="s">
        <v>396</v>
      </c>
      <c r="H22" s="2" t="s">
        <v>391</v>
      </c>
      <c r="I22" s="2" t="s">
        <v>415</v>
      </c>
      <c r="J22" s="2" t="s">
        <v>393</v>
      </c>
      <c r="K22" s="2" t="s">
        <v>393</v>
      </c>
      <c r="L22" s="2" t="s">
        <v>393</v>
      </c>
      <c r="M22" s="2" t="s">
        <v>393</v>
      </c>
      <c r="N22" s="3"/>
      <c r="O22" s="2" t="s">
        <v>393</v>
      </c>
      <c r="P22" s="2" t="s">
        <v>393</v>
      </c>
      <c r="Q22" s="3" t="s">
        <v>436</v>
      </c>
      <c r="R22" s="3"/>
      <c r="S22" s="22">
        <v>2</v>
      </c>
      <c r="T22" s="22">
        <v>2</v>
      </c>
    </row>
    <row r="23" spans="1:22" ht="21.75" customHeight="1" x14ac:dyDescent="0.25">
      <c r="A23" s="22">
        <v>17</v>
      </c>
      <c r="B23" s="12" t="s">
        <v>437</v>
      </c>
      <c r="C23" s="3" t="s">
        <v>438</v>
      </c>
      <c r="D23" s="22">
        <v>8</v>
      </c>
      <c r="E23" s="22">
        <v>44</v>
      </c>
      <c r="F23" s="3" t="s">
        <v>385</v>
      </c>
      <c r="G23" s="3" t="s">
        <v>396</v>
      </c>
      <c r="H23" s="2" t="s">
        <v>391</v>
      </c>
      <c r="I23" s="2" t="s">
        <v>415</v>
      </c>
      <c r="J23" s="2" t="s">
        <v>393</v>
      </c>
      <c r="K23" s="2" t="s">
        <v>393</v>
      </c>
      <c r="L23" s="2" t="s">
        <v>393</v>
      </c>
      <c r="M23" s="2" t="s">
        <v>393</v>
      </c>
      <c r="N23" s="3"/>
      <c r="O23" s="2" t="s">
        <v>393</v>
      </c>
      <c r="P23" s="2" t="s">
        <v>393</v>
      </c>
      <c r="Q23" s="3" t="s">
        <v>439</v>
      </c>
      <c r="R23" s="3"/>
      <c r="S23" s="22">
        <v>1</v>
      </c>
      <c r="T23" s="22">
        <v>1</v>
      </c>
    </row>
    <row r="24" spans="1:22" ht="21.75" customHeight="1" x14ac:dyDescent="0.25">
      <c r="A24" s="22">
        <v>18</v>
      </c>
      <c r="B24" s="12" t="s">
        <v>440</v>
      </c>
      <c r="C24" s="3" t="s">
        <v>441</v>
      </c>
      <c r="D24" s="22">
        <v>8</v>
      </c>
      <c r="E24" s="22">
        <v>44</v>
      </c>
      <c r="F24" s="3" t="s">
        <v>385</v>
      </c>
      <c r="G24" s="3" t="s">
        <v>396</v>
      </c>
      <c r="H24" s="2" t="s">
        <v>391</v>
      </c>
      <c r="I24" s="2" t="s">
        <v>415</v>
      </c>
      <c r="J24" s="2" t="s">
        <v>393</v>
      </c>
      <c r="K24" s="2" t="s">
        <v>393</v>
      </c>
      <c r="L24" s="2" t="s">
        <v>393</v>
      </c>
      <c r="M24" s="2" t="s">
        <v>393</v>
      </c>
      <c r="N24" s="3"/>
      <c r="O24" s="2" t="s">
        <v>393</v>
      </c>
      <c r="P24" s="2" t="s">
        <v>393</v>
      </c>
      <c r="Q24" s="3" t="s">
        <v>442</v>
      </c>
      <c r="R24" s="3"/>
      <c r="S24" s="22">
        <v>1</v>
      </c>
      <c r="T24" s="22">
        <v>2</v>
      </c>
    </row>
    <row r="25" spans="1:22" ht="21.75" customHeight="1" x14ac:dyDescent="0.25">
      <c r="A25" s="22">
        <v>19</v>
      </c>
      <c r="B25" s="12" t="s">
        <v>443</v>
      </c>
      <c r="C25" s="3" t="s">
        <v>444</v>
      </c>
      <c r="D25" s="22">
        <v>8</v>
      </c>
      <c r="E25" s="22">
        <v>44</v>
      </c>
      <c r="F25" s="3" t="s">
        <v>385</v>
      </c>
      <c r="G25" s="3" t="s">
        <v>396</v>
      </c>
      <c r="H25" s="2" t="s">
        <v>391</v>
      </c>
      <c r="I25" s="2" t="s">
        <v>415</v>
      </c>
      <c r="J25" s="2" t="s">
        <v>393</v>
      </c>
      <c r="K25" s="2" t="s">
        <v>393</v>
      </c>
      <c r="L25" s="2" t="s">
        <v>393</v>
      </c>
      <c r="M25" s="3"/>
      <c r="N25" s="3"/>
      <c r="O25" s="2" t="s">
        <v>393</v>
      </c>
      <c r="P25" s="2" t="s">
        <v>393</v>
      </c>
      <c r="Q25" s="3" t="s">
        <v>436</v>
      </c>
      <c r="R25" s="3"/>
      <c r="S25" s="22">
        <v>2</v>
      </c>
      <c r="T25" s="22">
        <v>1</v>
      </c>
    </row>
    <row r="26" spans="1:22" ht="21.75" customHeight="1" x14ac:dyDescent="0.25">
      <c r="A26" s="22">
        <v>20</v>
      </c>
      <c r="B26" s="12" t="s">
        <v>445</v>
      </c>
      <c r="C26" s="3" t="s">
        <v>446</v>
      </c>
      <c r="D26" s="22">
        <v>8</v>
      </c>
      <c r="E26" s="22">
        <v>44</v>
      </c>
      <c r="F26" s="3" t="s">
        <v>385</v>
      </c>
      <c r="G26" s="3" t="s">
        <v>396</v>
      </c>
      <c r="H26" s="2" t="s">
        <v>391</v>
      </c>
      <c r="I26" s="2" t="s">
        <v>415</v>
      </c>
      <c r="J26" s="2" t="s">
        <v>393</v>
      </c>
      <c r="K26" s="2" t="s">
        <v>393</v>
      </c>
      <c r="L26" s="2" t="s">
        <v>393</v>
      </c>
      <c r="M26" s="3"/>
      <c r="N26" s="3"/>
      <c r="O26" s="2" t="s">
        <v>393</v>
      </c>
      <c r="P26" s="2" t="s">
        <v>393</v>
      </c>
      <c r="Q26" s="3" t="s">
        <v>447</v>
      </c>
      <c r="R26" s="3"/>
      <c r="S26" s="22">
        <v>1</v>
      </c>
      <c r="T26" s="22">
        <v>1</v>
      </c>
    </row>
    <row r="27" spans="1:22" ht="21.75" customHeight="1" x14ac:dyDescent="0.25">
      <c r="A27" s="22">
        <v>21</v>
      </c>
      <c r="B27" s="12" t="s">
        <v>448</v>
      </c>
      <c r="C27" s="3" t="s">
        <v>449</v>
      </c>
      <c r="D27" s="22">
        <v>8</v>
      </c>
      <c r="E27" s="22">
        <v>44</v>
      </c>
      <c r="F27" s="3" t="s">
        <v>385</v>
      </c>
      <c r="G27" s="3" t="s">
        <v>396</v>
      </c>
      <c r="H27" s="2" t="s">
        <v>391</v>
      </c>
      <c r="I27" s="2" t="s">
        <v>415</v>
      </c>
      <c r="J27" s="2" t="s">
        <v>393</v>
      </c>
      <c r="K27" s="2" t="s">
        <v>393</v>
      </c>
      <c r="L27" s="2" t="s">
        <v>393</v>
      </c>
      <c r="M27" s="2" t="s">
        <v>393</v>
      </c>
      <c r="N27" s="3"/>
      <c r="O27" s="2" t="s">
        <v>393</v>
      </c>
      <c r="P27" s="2" t="s">
        <v>393</v>
      </c>
      <c r="Q27" s="3" t="s">
        <v>450</v>
      </c>
      <c r="R27" s="3"/>
      <c r="S27" s="22">
        <v>3</v>
      </c>
      <c r="T27" s="22">
        <v>2</v>
      </c>
    </row>
    <row r="28" spans="1:22" ht="21.75" customHeight="1" x14ac:dyDescent="0.25">
      <c r="A28" s="22">
        <v>22</v>
      </c>
      <c r="B28" s="12" t="s">
        <v>451</v>
      </c>
      <c r="C28" s="3" t="s">
        <v>452</v>
      </c>
      <c r="D28" s="22">
        <v>8</v>
      </c>
      <c r="E28" s="22">
        <v>44</v>
      </c>
      <c r="F28" s="3" t="s">
        <v>385</v>
      </c>
      <c r="G28" s="3" t="s">
        <v>396</v>
      </c>
      <c r="H28" s="2" t="s">
        <v>391</v>
      </c>
      <c r="I28" s="2" t="s">
        <v>415</v>
      </c>
      <c r="J28" s="2" t="s">
        <v>393</v>
      </c>
      <c r="K28" s="2" t="s">
        <v>393</v>
      </c>
      <c r="L28" s="2" t="s">
        <v>393</v>
      </c>
      <c r="M28" s="2" t="s">
        <v>393</v>
      </c>
      <c r="N28" s="3"/>
      <c r="O28" s="2" t="s">
        <v>393</v>
      </c>
      <c r="P28" s="2" t="s">
        <v>393</v>
      </c>
      <c r="Q28" s="3" t="s">
        <v>453</v>
      </c>
      <c r="R28" s="3"/>
      <c r="S28" s="22">
        <v>2</v>
      </c>
      <c r="T28" s="22">
        <v>1</v>
      </c>
    </row>
    <row r="29" spans="1:22" ht="21.75" customHeight="1" x14ac:dyDescent="0.25">
      <c r="A29" s="22">
        <v>23</v>
      </c>
      <c r="B29" s="12" t="s">
        <v>454</v>
      </c>
      <c r="C29" s="3" t="s">
        <v>455</v>
      </c>
      <c r="D29" s="22">
        <v>8</v>
      </c>
      <c r="E29" s="22">
        <v>44</v>
      </c>
      <c r="F29" s="3" t="s">
        <v>385</v>
      </c>
      <c r="G29" s="3" t="s">
        <v>396</v>
      </c>
      <c r="H29" s="2" t="s">
        <v>391</v>
      </c>
      <c r="I29" s="2" t="s">
        <v>415</v>
      </c>
      <c r="J29" s="2" t="s">
        <v>393</v>
      </c>
      <c r="K29" s="2" t="s">
        <v>393</v>
      </c>
      <c r="L29" s="2" t="s">
        <v>393</v>
      </c>
      <c r="M29" s="2" t="s">
        <v>393</v>
      </c>
      <c r="N29" s="3"/>
      <c r="O29" s="2" t="s">
        <v>393</v>
      </c>
      <c r="P29" s="2" t="s">
        <v>393</v>
      </c>
      <c r="Q29" s="3" t="s">
        <v>456</v>
      </c>
      <c r="R29" s="3"/>
      <c r="S29" s="22">
        <v>2</v>
      </c>
      <c r="T29" s="22">
        <v>1</v>
      </c>
    </row>
    <row r="30" spans="1:22" ht="21.75" customHeight="1" x14ac:dyDescent="0.25">
      <c r="A30" s="22">
        <v>24</v>
      </c>
      <c r="B30" s="12" t="s">
        <v>457</v>
      </c>
      <c r="C30" s="3" t="s">
        <v>458</v>
      </c>
      <c r="D30" s="22">
        <v>8</v>
      </c>
      <c r="E30" s="22">
        <v>44</v>
      </c>
      <c r="F30" s="3" t="s">
        <v>385</v>
      </c>
      <c r="G30" s="3" t="s">
        <v>396</v>
      </c>
      <c r="H30" s="2" t="s">
        <v>391</v>
      </c>
      <c r="I30" s="2" t="s">
        <v>415</v>
      </c>
      <c r="J30" s="2" t="s">
        <v>393</v>
      </c>
      <c r="K30" s="2" t="s">
        <v>393</v>
      </c>
      <c r="L30" s="2" t="s">
        <v>393</v>
      </c>
      <c r="M30" s="2" t="s">
        <v>393</v>
      </c>
      <c r="N30" s="3"/>
      <c r="O30" s="2" t="s">
        <v>393</v>
      </c>
      <c r="P30" s="2" t="s">
        <v>393</v>
      </c>
      <c r="Q30" s="3" t="s">
        <v>459</v>
      </c>
      <c r="R30" s="3"/>
      <c r="S30" s="22">
        <v>2</v>
      </c>
      <c r="T30" s="22">
        <v>1</v>
      </c>
    </row>
    <row r="31" spans="1:22" ht="21.75" customHeight="1" x14ac:dyDescent="0.25">
      <c r="A31" s="22">
        <v>25</v>
      </c>
      <c r="B31" s="12" t="s">
        <v>460</v>
      </c>
      <c r="C31" s="3" t="s">
        <v>461</v>
      </c>
      <c r="D31" s="22">
        <v>8</v>
      </c>
      <c r="E31" s="22">
        <v>44</v>
      </c>
      <c r="F31" s="3" t="s">
        <v>385</v>
      </c>
      <c r="G31" s="3" t="s">
        <v>396</v>
      </c>
      <c r="H31" s="2" t="s">
        <v>391</v>
      </c>
      <c r="I31" s="2" t="s">
        <v>415</v>
      </c>
      <c r="J31" s="2" t="s">
        <v>393</v>
      </c>
      <c r="K31" s="2" t="s">
        <v>393</v>
      </c>
      <c r="L31" s="2" t="s">
        <v>393</v>
      </c>
      <c r="M31" s="2" t="s">
        <v>393</v>
      </c>
      <c r="N31" s="3"/>
      <c r="O31" s="2" t="s">
        <v>393</v>
      </c>
      <c r="P31" s="2" t="s">
        <v>393</v>
      </c>
      <c r="Q31" s="3" t="s">
        <v>462</v>
      </c>
      <c r="R31" s="3"/>
      <c r="S31" s="22">
        <v>1</v>
      </c>
      <c r="T31" s="22">
        <v>1</v>
      </c>
    </row>
    <row r="32" spans="1:22" ht="21.75" customHeight="1" x14ac:dyDescent="0.25">
      <c r="A32" s="22">
        <v>26</v>
      </c>
      <c r="B32" s="12" t="s">
        <v>463</v>
      </c>
      <c r="C32" s="3" t="s">
        <v>464</v>
      </c>
      <c r="D32" s="22">
        <v>8</v>
      </c>
      <c r="E32" s="22">
        <v>44</v>
      </c>
      <c r="F32" s="3" t="s">
        <v>385</v>
      </c>
      <c r="G32" s="3" t="s">
        <v>396</v>
      </c>
      <c r="H32" s="2" t="s">
        <v>391</v>
      </c>
      <c r="I32" s="2" t="s">
        <v>415</v>
      </c>
      <c r="J32" s="2" t="s">
        <v>393</v>
      </c>
      <c r="K32" s="2" t="s">
        <v>393</v>
      </c>
      <c r="L32" s="2" t="s">
        <v>393</v>
      </c>
      <c r="M32" s="2" t="s">
        <v>393</v>
      </c>
      <c r="N32" s="3"/>
      <c r="O32" s="2" t="s">
        <v>393</v>
      </c>
      <c r="P32" s="2" t="s">
        <v>393</v>
      </c>
      <c r="Q32" s="3" t="s">
        <v>465</v>
      </c>
      <c r="R32" s="3"/>
      <c r="S32" s="22">
        <v>2</v>
      </c>
      <c r="T32" s="22">
        <v>1</v>
      </c>
    </row>
    <row r="33" spans="1:20" ht="21.75" customHeight="1" x14ac:dyDescent="0.25">
      <c r="A33" s="22">
        <v>27</v>
      </c>
      <c r="B33" s="12" t="s">
        <v>466</v>
      </c>
      <c r="C33" s="3" t="s">
        <v>467</v>
      </c>
      <c r="D33" s="22">
        <v>8</v>
      </c>
      <c r="E33" s="22">
        <v>44</v>
      </c>
      <c r="F33" s="3" t="s">
        <v>385</v>
      </c>
      <c r="G33" s="3" t="s">
        <v>396</v>
      </c>
      <c r="H33" s="2" t="s">
        <v>391</v>
      </c>
      <c r="I33" s="2" t="s">
        <v>415</v>
      </c>
      <c r="J33" s="2" t="s">
        <v>393</v>
      </c>
      <c r="K33" s="2" t="s">
        <v>393</v>
      </c>
      <c r="L33" s="2" t="s">
        <v>393</v>
      </c>
      <c r="M33" s="2" t="s">
        <v>393</v>
      </c>
      <c r="N33" s="3"/>
      <c r="O33" s="2" t="s">
        <v>393</v>
      </c>
      <c r="P33" s="2" t="s">
        <v>393</v>
      </c>
      <c r="Q33" s="3" t="s">
        <v>459</v>
      </c>
      <c r="R33" s="3"/>
      <c r="S33" s="22">
        <v>2</v>
      </c>
      <c r="T33" s="22">
        <v>1</v>
      </c>
    </row>
    <row r="34" spans="1:20" ht="21.75" customHeight="1" x14ac:dyDescent="0.25">
      <c r="A34" s="22">
        <v>28</v>
      </c>
      <c r="B34" s="12" t="s">
        <v>468</v>
      </c>
      <c r="C34" s="3" t="s">
        <v>469</v>
      </c>
      <c r="D34" s="3">
        <f>18-7</f>
        <v>11</v>
      </c>
      <c r="E34" s="22">
        <v>44</v>
      </c>
      <c r="F34" s="3" t="s">
        <v>385</v>
      </c>
      <c r="G34" s="3" t="s">
        <v>470</v>
      </c>
      <c r="H34" s="2" t="s">
        <v>387</v>
      </c>
      <c r="I34" s="2"/>
      <c r="J34" s="2" t="s">
        <v>393</v>
      </c>
      <c r="K34" s="2" t="s">
        <v>393</v>
      </c>
      <c r="L34" s="2" t="s">
        <v>393</v>
      </c>
      <c r="M34" s="3"/>
      <c r="N34" s="3"/>
      <c r="O34" s="2" t="s">
        <v>393</v>
      </c>
      <c r="P34" s="2" t="s">
        <v>393</v>
      </c>
      <c r="Q34" s="3" t="s">
        <v>388</v>
      </c>
      <c r="R34" s="3"/>
      <c r="S34" s="22">
        <v>1</v>
      </c>
      <c r="T34" s="22">
        <v>1</v>
      </c>
    </row>
    <row r="35" spans="1:20" ht="21.75" customHeight="1" x14ac:dyDescent="0.25">
      <c r="A35" s="22">
        <v>29</v>
      </c>
      <c r="B35" s="12" t="s">
        <v>471</v>
      </c>
      <c r="C35" s="3" t="s">
        <v>472</v>
      </c>
      <c r="D35" s="3">
        <f>17-7</f>
        <v>10</v>
      </c>
      <c r="E35" s="22">
        <v>44</v>
      </c>
      <c r="F35" s="3" t="s">
        <v>385</v>
      </c>
      <c r="G35" s="3" t="s">
        <v>473</v>
      </c>
      <c r="H35" s="2" t="s">
        <v>387</v>
      </c>
      <c r="I35" s="2"/>
      <c r="J35" s="2" t="s">
        <v>393</v>
      </c>
      <c r="K35" s="2" t="s">
        <v>393</v>
      </c>
      <c r="L35" s="2" t="s">
        <v>393</v>
      </c>
      <c r="M35" s="2" t="s">
        <v>393</v>
      </c>
      <c r="N35" s="3" t="s">
        <v>393</v>
      </c>
      <c r="O35" s="2" t="s">
        <v>393</v>
      </c>
      <c r="P35" s="2" t="s">
        <v>393</v>
      </c>
      <c r="Q35" s="3" t="s">
        <v>474</v>
      </c>
      <c r="R35" s="3"/>
      <c r="S35" s="3"/>
      <c r="T35" s="3"/>
    </row>
    <row r="36" spans="1:20" ht="21.75" customHeight="1" x14ac:dyDescent="0.25">
      <c r="A36" s="22">
        <v>30</v>
      </c>
      <c r="B36" s="12" t="s">
        <v>475</v>
      </c>
      <c r="C36" s="3" t="s">
        <v>476</v>
      </c>
      <c r="D36" s="3">
        <f>17-7</f>
        <v>10</v>
      </c>
      <c r="E36" s="22">
        <v>44</v>
      </c>
      <c r="F36" s="3" t="s">
        <v>385</v>
      </c>
      <c r="G36" s="3" t="s">
        <v>473</v>
      </c>
      <c r="H36" s="2" t="s">
        <v>387</v>
      </c>
      <c r="I36" s="2"/>
      <c r="J36" s="2" t="s">
        <v>393</v>
      </c>
      <c r="K36" s="2" t="s">
        <v>393</v>
      </c>
      <c r="L36" s="2" t="s">
        <v>393</v>
      </c>
      <c r="M36" s="2" t="s">
        <v>393</v>
      </c>
      <c r="N36" s="3" t="s">
        <v>393</v>
      </c>
      <c r="O36" s="2" t="s">
        <v>393</v>
      </c>
      <c r="P36" s="2" t="s">
        <v>393</v>
      </c>
      <c r="Q36" s="3" t="s">
        <v>477</v>
      </c>
      <c r="R36" s="3"/>
      <c r="S36" s="22">
        <v>2</v>
      </c>
      <c r="T36" s="22">
        <v>3</v>
      </c>
    </row>
    <row r="37" spans="1:20" ht="21.75" customHeight="1" x14ac:dyDescent="0.25">
      <c r="A37" s="22">
        <v>31</v>
      </c>
      <c r="B37" s="12" t="s">
        <v>478</v>
      </c>
      <c r="C37" s="3" t="s">
        <v>479</v>
      </c>
      <c r="D37" s="3">
        <f>17-7</f>
        <v>10</v>
      </c>
      <c r="E37" s="22">
        <v>44</v>
      </c>
      <c r="F37" s="3" t="s">
        <v>385</v>
      </c>
      <c r="G37" s="3" t="s">
        <v>473</v>
      </c>
      <c r="H37" s="2" t="s">
        <v>387</v>
      </c>
      <c r="I37" s="2"/>
      <c r="J37" s="2" t="s">
        <v>393</v>
      </c>
      <c r="K37" s="2" t="s">
        <v>393</v>
      </c>
      <c r="L37" s="2" t="s">
        <v>393</v>
      </c>
      <c r="M37" s="3"/>
      <c r="N37" s="3"/>
      <c r="O37" s="2" t="s">
        <v>393</v>
      </c>
      <c r="P37" s="2" t="s">
        <v>393</v>
      </c>
      <c r="Q37" s="3" t="s">
        <v>480</v>
      </c>
      <c r="R37" s="3"/>
      <c r="S37" s="22">
        <v>1</v>
      </c>
      <c r="T37" s="22">
        <v>2</v>
      </c>
    </row>
    <row r="38" spans="1:20" ht="21.75" customHeight="1" x14ac:dyDescent="0.25">
      <c r="A38" s="22">
        <v>32</v>
      </c>
      <c r="B38" s="12" t="s">
        <v>481</v>
      </c>
      <c r="C38" s="3" t="s">
        <v>482</v>
      </c>
      <c r="D38" s="22">
        <v>8</v>
      </c>
      <c r="E38" s="22">
        <v>44</v>
      </c>
      <c r="F38" s="3" t="s">
        <v>385</v>
      </c>
      <c r="G38" s="3" t="s">
        <v>396</v>
      </c>
      <c r="H38" s="2" t="s">
        <v>391</v>
      </c>
      <c r="I38" s="2" t="s">
        <v>415</v>
      </c>
      <c r="J38" s="2" t="s">
        <v>393</v>
      </c>
      <c r="K38" s="2" t="s">
        <v>393</v>
      </c>
      <c r="L38" s="2" t="s">
        <v>393</v>
      </c>
      <c r="M38" s="3"/>
      <c r="N38" s="3"/>
      <c r="O38" s="2" t="s">
        <v>393</v>
      </c>
      <c r="P38" s="2" t="s">
        <v>393</v>
      </c>
      <c r="Q38" s="3" t="s">
        <v>483</v>
      </c>
      <c r="R38" s="3"/>
      <c r="S38" s="22">
        <v>4</v>
      </c>
      <c r="T38" s="22">
        <v>4</v>
      </c>
    </row>
    <row r="39" spans="1:20" ht="21.75" customHeight="1" x14ac:dyDescent="0.25">
      <c r="A39" s="22">
        <v>33</v>
      </c>
      <c r="B39" s="12" t="s">
        <v>484</v>
      </c>
      <c r="C39" s="3" t="s">
        <v>485</v>
      </c>
      <c r="D39" s="22">
        <v>8</v>
      </c>
      <c r="E39" s="22">
        <v>44</v>
      </c>
      <c r="F39" s="3" t="s">
        <v>403</v>
      </c>
      <c r="G39" s="3" t="s">
        <v>486</v>
      </c>
      <c r="H39" s="2" t="s">
        <v>387</v>
      </c>
      <c r="I39" s="2" t="s">
        <v>487</v>
      </c>
      <c r="J39" s="2" t="s">
        <v>393</v>
      </c>
      <c r="K39" s="2" t="s">
        <v>393</v>
      </c>
      <c r="L39" s="2" t="s">
        <v>393</v>
      </c>
      <c r="M39" s="2" t="s">
        <v>393</v>
      </c>
      <c r="N39" s="3"/>
      <c r="O39" s="2" t="s">
        <v>393</v>
      </c>
      <c r="P39" s="2" t="s">
        <v>393</v>
      </c>
      <c r="Q39" s="3" t="s">
        <v>488</v>
      </c>
      <c r="R39" s="3" t="s">
        <v>489</v>
      </c>
      <c r="S39" s="22">
        <v>4</v>
      </c>
      <c r="T39" s="22">
        <v>1</v>
      </c>
    </row>
    <row r="40" spans="1:20" ht="21.75" customHeight="1" x14ac:dyDescent="0.25">
      <c r="A40" s="22">
        <v>34</v>
      </c>
      <c r="B40" s="12" t="s">
        <v>490</v>
      </c>
      <c r="C40" s="3" t="s">
        <v>491</v>
      </c>
      <c r="D40" s="22">
        <v>8</v>
      </c>
      <c r="E40" s="22">
        <v>44</v>
      </c>
      <c r="F40" s="3" t="s">
        <v>385</v>
      </c>
      <c r="G40" s="3" t="s">
        <v>396</v>
      </c>
      <c r="H40" s="2" t="s">
        <v>387</v>
      </c>
      <c r="I40" s="2"/>
      <c r="J40" s="2" t="s">
        <v>393</v>
      </c>
      <c r="K40" s="2" t="s">
        <v>393</v>
      </c>
      <c r="L40" s="2" t="s">
        <v>393</v>
      </c>
      <c r="M40" s="2" t="s">
        <v>393</v>
      </c>
      <c r="N40" s="3"/>
      <c r="O40" s="2" t="s">
        <v>393</v>
      </c>
      <c r="P40" s="2" t="s">
        <v>393</v>
      </c>
      <c r="Q40" s="3" t="s">
        <v>492</v>
      </c>
      <c r="R40" s="3"/>
      <c r="S40" s="3"/>
      <c r="T40" s="3"/>
    </row>
    <row r="41" spans="1:20" ht="21.75" customHeight="1" x14ac:dyDescent="0.25">
      <c r="A41" s="22">
        <v>35</v>
      </c>
      <c r="B41" s="12" t="s">
        <v>493</v>
      </c>
      <c r="C41" s="3" t="s">
        <v>494</v>
      </c>
      <c r="D41" s="3">
        <f>13-7</f>
        <v>6</v>
      </c>
      <c r="E41" s="22">
        <v>44</v>
      </c>
      <c r="F41" s="3" t="s">
        <v>385</v>
      </c>
      <c r="G41" s="3" t="s">
        <v>495</v>
      </c>
      <c r="H41" s="2" t="s">
        <v>387</v>
      </c>
      <c r="I41" s="2"/>
      <c r="J41" s="2" t="s">
        <v>393</v>
      </c>
      <c r="K41" s="2" t="s">
        <v>393</v>
      </c>
      <c r="L41" s="2" t="s">
        <v>393</v>
      </c>
      <c r="M41" s="2" t="s">
        <v>393</v>
      </c>
      <c r="N41" s="3"/>
      <c r="O41" s="2" t="s">
        <v>393</v>
      </c>
      <c r="P41" s="2" t="s">
        <v>393</v>
      </c>
      <c r="Q41" s="3" t="s">
        <v>410</v>
      </c>
      <c r="R41" s="3"/>
      <c r="S41" s="22">
        <v>2</v>
      </c>
      <c r="T41" s="22">
        <v>2</v>
      </c>
    </row>
    <row r="42" spans="1:20" ht="21.75" customHeight="1" x14ac:dyDescent="0.25">
      <c r="A42" s="22">
        <v>36</v>
      </c>
      <c r="B42" s="12" t="s">
        <v>496</v>
      </c>
      <c r="C42" s="3" t="s">
        <v>497</v>
      </c>
      <c r="D42" s="22">
        <v>8</v>
      </c>
      <c r="E42" s="22">
        <v>44</v>
      </c>
      <c r="F42" s="3" t="s">
        <v>385</v>
      </c>
      <c r="G42" s="3" t="s">
        <v>396</v>
      </c>
      <c r="H42" s="2" t="s">
        <v>387</v>
      </c>
      <c r="I42" s="2"/>
      <c r="J42" s="2" t="s">
        <v>393</v>
      </c>
      <c r="K42" s="2" t="s">
        <v>393</v>
      </c>
      <c r="L42" s="2" t="s">
        <v>393</v>
      </c>
      <c r="M42" s="2" t="s">
        <v>393</v>
      </c>
      <c r="N42" s="3"/>
      <c r="O42" s="2" t="s">
        <v>393</v>
      </c>
      <c r="P42" s="2" t="s">
        <v>393</v>
      </c>
      <c r="Q42" s="3" t="s">
        <v>498</v>
      </c>
      <c r="R42" s="3"/>
      <c r="S42" s="22">
        <v>2</v>
      </c>
      <c r="T42" s="22">
        <v>2</v>
      </c>
    </row>
    <row r="43" spans="1:20" ht="21.75" customHeight="1" x14ac:dyDescent="0.25">
      <c r="A43" s="22">
        <v>37</v>
      </c>
      <c r="B43" s="12" t="s">
        <v>499</v>
      </c>
      <c r="C43" s="3" t="s">
        <v>500</v>
      </c>
      <c r="D43" s="22">
        <v>8</v>
      </c>
      <c r="E43" s="22">
        <v>44</v>
      </c>
      <c r="F43" s="3" t="s">
        <v>385</v>
      </c>
      <c r="G43" s="3" t="s">
        <v>396</v>
      </c>
      <c r="H43" s="2" t="s">
        <v>387</v>
      </c>
      <c r="I43" s="2"/>
      <c r="J43" s="2" t="s">
        <v>393</v>
      </c>
      <c r="K43" s="2" t="s">
        <v>393</v>
      </c>
      <c r="L43" s="2" t="s">
        <v>393</v>
      </c>
      <c r="M43" s="2" t="s">
        <v>393</v>
      </c>
      <c r="N43" s="3"/>
      <c r="O43" s="2" t="s">
        <v>393</v>
      </c>
      <c r="P43" s="2" t="s">
        <v>393</v>
      </c>
      <c r="Q43" s="3" t="s">
        <v>501</v>
      </c>
      <c r="R43" s="3"/>
      <c r="S43" s="3"/>
      <c r="T43" s="3"/>
    </row>
    <row r="44" spans="1:20" ht="21.75" customHeight="1" x14ac:dyDescent="0.25">
      <c r="A44" s="22">
        <v>38</v>
      </c>
      <c r="B44" s="12" t="s">
        <v>502</v>
      </c>
      <c r="C44" s="3" t="s">
        <v>503</v>
      </c>
      <c r="D44" s="22">
        <v>8</v>
      </c>
      <c r="E44" s="22">
        <v>44</v>
      </c>
      <c r="F44" s="3" t="s">
        <v>403</v>
      </c>
      <c r="G44" s="3" t="s">
        <v>404</v>
      </c>
      <c r="H44" s="2" t="s">
        <v>387</v>
      </c>
      <c r="I44" s="2" t="s">
        <v>487</v>
      </c>
      <c r="J44" s="2" t="s">
        <v>393</v>
      </c>
      <c r="K44" s="2" t="s">
        <v>393</v>
      </c>
      <c r="L44" s="2" t="s">
        <v>393</v>
      </c>
      <c r="M44" s="2" t="s">
        <v>393</v>
      </c>
      <c r="N44" s="3"/>
      <c r="O44" s="2" t="s">
        <v>393</v>
      </c>
      <c r="P44" s="2" t="s">
        <v>393</v>
      </c>
      <c r="Q44" s="3" t="s">
        <v>504</v>
      </c>
      <c r="R44" s="3"/>
      <c r="S44" s="3"/>
      <c r="T44" s="22">
        <v>4</v>
      </c>
    </row>
    <row r="45" spans="1:20" ht="18" customHeight="1" x14ac:dyDescent="0.25">
      <c r="A45" s="24"/>
      <c r="B45" s="6" t="s">
        <v>297</v>
      </c>
      <c r="C45" s="24"/>
      <c r="D45" s="24"/>
      <c r="E45" s="24"/>
      <c r="F45" s="24"/>
      <c r="G45" s="24"/>
      <c r="H45" s="24"/>
      <c r="I45" s="24"/>
      <c r="J45" s="36"/>
      <c r="K45" s="36"/>
      <c r="L45" s="36"/>
      <c r="M45" s="24"/>
      <c r="N45" s="24"/>
      <c r="O45" s="36"/>
      <c r="P45" s="36"/>
      <c r="Q45" s="24"/>
      <c r="R45" s="24"/>
      <c r="S45" s="24"/>
      <c r="T45" s="24"/>
    </row>
    <row r="46" spans="1:20" ht="18" customHeight="1" x14ac:dyDescent="0.25">
      <c r="A46" s="9"/>
      <c r="B46" s="9"/>
      <c r="C46" s="37"/>
      <c r="D46" s="9"/>
      <c r="E46" s="9"/>
      <c r="F46" s="9"/>
      <c r="G46" s="9"/>
      <c r="H46" s="9"/>
      <c r="I46" s="9"/>
      <c r="J46" s="35"/>
      <c r="K46" s="35"/>
      <c r="L46" s="35"/>
      <c r="M46" s="9"/>
      <c r="N46" s="9"/>
      <c r="O46" s="35"/>
      <c r="P46" s="35"/>
      <c r="Q46" s="37"/>
      <c r="R46" s="9"/>
      <c r="S46" s="9"/>
      <c r="T46" s="9"/>
    </row>
    <row r="47" spans="1:20" ht="21.75" customHeight="1" x14ac:dyDescent="0.25">
      <c r="A47" s="22">
        <v>39</v>
      </c>
      <c r="B47" s="12" t="s">
        <v>505</v>
      </c>
      <c r="C47" s="3" t="s">
        <v>506</v>
      </c>
      <c r="D47" s="22">
        <v>6</v>
      </c>
      <c r="E47" s="22">
        <v>44</v>
      </c>
      <c r="F47" s="3" t="s">
        <v>385</v>
      </c>
      <c r="G47" s="3" t="s">
        <v>507</v>
      </c>
      <c r="H47" s="2" t="s">
        <v>391</v>
      </c>
      <c r="I47" s="2" t="s">
        <v>415</v>
      </c>
      <c r="J47" s="2" t="s">
        <v>393</v>
      </c>
      <c r="K47" s="2" t="s">
        <v>393</v>
      </c>
      <c r="L47" s="2" t="s">
        <v>393</v>
      </c>
      <c r="M47" s="2" t="s">
        <v>393</v>
      </c>
      <c r="N47" s="3"/>
      <c r="O47" s="2" t="s">
        <v>393</v>
      </c>
      <c r="P47" s="2" t="s">
        <v>393</v>
      </c>
      <c r="Q47" s="3" t="s">
        <v>508</v>
      </c>
      <c r="R47" s="3"/>
      <c r="S47" s="22">
        <v>1</v>
      </c>
      <c r="T47" s="22">
        <v>1</v>
      </c>
    </row>
    <row r="48" spans="1:20" ht="21.75" customHeight="1" x14ac:dyDescent="0.25">
      <c r="A48" s="22">
        <v>40</v>
      </c>
      <c r="B48" s="12" t="s">
        <v>509</v>
      </c>
      <c r="C48" s="3" t="s">
        <v>510</v>
      </c>
      <c r="D48" s="22">
        <v>6</v>
      </c>
      <c r="E48" s="22">
        <v>44</v>
      </c>
      <c r="F48" s="3" t="s">
        <v>385</v>
      </c>
      <c r="G48" s="3" t="s">
        <v>507</v>
      </c>
      <c r="H48" s="2" t="s">
        <v>391</v>
      </c>
      <c r="I48" s="2" t="s">
        <v>415</v>
      </c>
      <c r="J48" s="2" t="s">
        <v>393</v>
      </c>
      <c r="K48" s="2" t="s">
        <v>393</v>
      </c>
      <c r="L48" s="2" t="s">
        <v>393</v>
      </c>
      <c r="M48" s="2" t="s">
        <v>393</v>
      </c>
      <c r="N48" s="3"/>
      <c r="O48" s="2" t="s">
        <v>393</v>
      </c>
      <c r="P48" s="2" t="s">
        <v>393</v>
      </c>
      <c r="Q48" s="3" t="s">
        <v>511</v>
      </c>
      <c r="R48" s="3"/>
      <c r="S48" s="22">
        <v>1</v>
      </c>
      <c r="T48" s="22">
        <v>1</v>
      </c>
    </row>
    <row r="49" spans="1:20" ht="21.75" customHeight="1" x14ac:dyDescent="0.25">
      <c r="A49" s="22">
        <v>41</v>
      </c>
      <c r="B49" s="12" t="s">
        <v>512</v>
      </c>
      <c r="C49" s="3" t="s">
        <v>513</v>
      </c>
      <c r="D49" s="22">
        <v>6</v>
      </c>
      <c r="E49" s="22">
        <v>44</v>
      </c>
      <c r="F49" s="3" t="s">
        <v>385</v>
      </c>
      <c r="G49" s="3" t="s">
        <v>507</v>
      </c>
      <c r="H49" s="2" t="s">
        <v>391</v>
      </c>
      <c r="I49" s="2" t="s">
        <v>415</v>
      </c>
      <c r="J49" s="2" t="s">
        <v>393</v>
      </c>
      <c r="K49" s="2" t="s">
        <v>393</v>
      </c>
      <c r="L49" s="2" t="s">
        <v>393</v>
      </c>
      <c r="M49" s="2" t="s">
        <v>393</v>
      </c>
      <c r="N49" s="3"/>
      <c r="O49" s="2" t="s">
        <v>393</v>
      </c>
      <c r="P49" s="2" t="s">
        <v>393</v>
      </c>
      <c r="Q49" s="3" t="s">
        <v>514</v>
      </c>
      <c r="R49" s="3"/>
      <c r="S49" s="22">
        <v>2</v>
      </c>
      <c r="T49" s="22">
        <v>2</v>
      </c>
    </row>
    <row r="50" spans="1:20" ht="18" customHeight="1" x14ac:dyDescent="0.25">
      <c r="A50" s="24"/>
      <c r="B50" s="6" t="s">
        <v>297</v>
      </c>
      <c r="C50" s="24"/>
      <c r="D50" s="24"/>
      <c r="E50" s="24"/>
      <c r="F50" s="24"/>
      <c r="G50" s="24"/>
      <c r="H50" s="24"/>
      <c r="I50" s="24"/>
      <c r="J50" s="36"/>
      <c r="K50" s="36"/>
      <c r="L50" s="36"/>
      <c r="M50" s="24"/>
      <c r="N50" s="24"/>
      <c r="O50" s="36"/>
      <c r="P50" s="36"/>
      <c r="Q50" s="24"/>
      <c r="R50" s="24"/>
      <c r="S50" s="24"/>
      <c r="T50" s="24"/>
    </row>
    <row r="51" spans="1:20" ht="18" customHeight="1" x14ac:dyDescent="0.25">
      <c r="A51" s="9"/>
      <c r="B51" s="9"/>
      <c r="C51" s="37"/>
      <c r="D51" s="9"/>
      <c r="E51" s="9"/>
      <c r="F51" s="9"/>
      <c r="G51" s="9"/>
      <c r="H51" s="9"/>
      <c r="I51" s="9"/>
      <c r="J51" s="35"/>
      <c r="K51" s="35"/>
      <c r="L51" s="35"/>
      <c r="M51" s="9"/>
      <c r="N51" s="9"/>
      <c r="O51" s="35"/>
      <c r="P51" s="35"/>
      <c r="Q51" s="9"/>
      <c r="R51" s="9"/>
      <c r="S51" s="9"/>
      <c r="T51" s="9"/>
    </row>
    <row r="52" spans="1:20" ht="21.75" customHeight="1" x14ac:dyDescent="0.25">
      <c r="A52" s="22">
        <v>42</v>
      </c>
      <c r="B52" s="12" t="s">
        <v>515</v>
      </c>
      <c r="C52" s="3" t="s">
        <v>516</v>
      </c>
      <c r="D52" s="3">
        <f>19-7</f>
        <v>12</v>
      </c>
      <c r="E52" s="22">
        <v>44</v>
      </c>
      <c r="F52" s="3" t="s">
        <v>385</v>
      </c>
      <c r="G52" s="3" t="s">
        <v>517</v>
      </c>
      <c r="H52" s="2"/>
      <c r="I52" s="2"/>
      <c r="J52" s="2" t="s">
        <v>393</v>
      </c>
      <c r="K52" s="2" t="s">
        <v>393</v>
      </c>
      <c r="L52" s="2" t="s">
        <v>393</v>
      </c>
      <c r="M52" s="3"/>
      <c r="N52" s="3"/>
      <c r="O52" s="2" t="s">
        <v>393</v>
      </c>
      <c r="P52" s="2" t="s">
        <v>393</v>
      </c>
      <c r="Q52" s="3" t="s">
        <v>518</v>
      </c>
      <c r="R52" s="3" t="s">
        <v>519</v>
      </c>
      <c r="S52" s="22">
        <v>2</v>
      </c>
      <c r="T52" s="22">
        <v>1</v>
      </c>
    </row>
    <row r="53" spans="1:20" ht="18" customHeight="1" x14ac:dyDescent="0.25">
      <c r="A53" s="24"/>
      <c r="B53" s="6" t="s">
        <v>297</v>
      </c>
      <c r="C53" s="24"/>
      <c r="D53" s="24"/>
      <c r="E53" s="24"/>
      <c r="F53" s="24"/>
      <c r="G53" s="24"/>
      <c r="H53" s="24"/>
      <c r="I53" s="24"/>
      <c r="J53" s="36"/>
      <c r="K53" s="36"/>
      <c r="L53" s="36"/>
      <c r="M53" s="24"/>
      <c r="N53" s="24"/>
      <c r="O53" s="36"/>
      <c r="P53" s="36"/>
      <c r="Q53" s="24"/>
      <c r="R53" s="24"/>
      <c r="S53" s="24"/>
      <c r="T53" s="24"/>
    </row>
    <row r="54" spans="1:20" ht="18" customHeight="1" x14ac:dyDescent="0.25">
      <c r="A54" s="9"/>
      <c r="B54" s="9"/>
      <c r="C54" s="37"/>
      <c r="D54" s="9"/>
      <c r="E54" s="9"/>
      <c r="F54" s="9"/>
      <c r="G54" s="9"/>
      <c r="H54" s="9"/>
      <c r="I54" s="9"/>
      <c r="J54" s="35"/>
      <c r="K54" s="35"/>
      <c r="L54" s="35"/>
      <c r="M54" s="9"/>
      <c r="N54" s="9"/>
      <c r="O54" s="35"/>
      <c r="P54" s="35"/>
      <c r="Q54" s="9"/>
      <c r="R54" s="9"/>
      <c r="S54" s="9"/>
      <c r="T54" s="9"/>
    </row>
    <row r="55" spans="1:20" ht="21.75" customHeight="1" x14ac:dyDescent="0.25">
      <c r="A55" s="22">
        <v>43</v>
      </c>
      <c r="B55" s="12" t="s">
        <v>520</v>
      </c>
      <c r="C55" s="3" t="s">
        <v>521</v>
      </c>
      <c r="D55" s="3">
        <f>21-6</f>
        <v>15</v>
      </c>
      <c r="E55" s="3" t="s">
        <v>522</v>
      </c>
      <c r="F55" s="3" t="s">
        <v>385</v>
      </c>
      <c r="G55" s="3" t="s">
        <v>523</v>
      </c>
      <c r="H55" s="2"/>
      <c r="I55" s="2" t="s">
        <v>524</v>
      </c>
      <c r="J55" s="2" t="s">
        <v>393</v>
      </c>
      <c r="K55" s="2" t="s">
        <v>393</v>
      </c>
      <c r="L55" s="2" t="s">
        <v>393</v>
      </c>
      <c r="M55" s="2" t="s">
        <v>393</v>
      </c>
      <c r="N55" s="3"/>
      <c r="O55" s="2" t="s">
        <v>393</v>
      </c>
      <c r="P55" s="2" t="s">
        <v>393</v>
      </c>
      <c r="Q55" s="3" t="s">
        <v>525</v>
      </c>
      <c r="R55" s="3" t="s">
        <v>519</v>
      </c>
      <c r="S55" s="22">
        <v>5</v>
      </c>
      <c r="T55" s="22">
        <v>2</v>
      </c>
    </row>
    <row r="56" spans="1:20" ht="18" customHeight="1" x14ac:dyDescent="0.25">
      <c r="A56" s="24"/>
      <c r="B56" s="6" t="s">
        <v>297</v>
      </c>
      <c r="C56" s="24"/>
      <c r="D56" s="24"/>
      <c r="E56" s="24"/>
      <c r="F56" s="24"/>
      <c r="G56" s="24"/>
      <c r="H56" s="24"/>
      <c r="I56" s="24"/>
      <c r="J56" s="36"/>
      <c r="K56" s="36"/>
      <c r="L56" s="36"/>
      <c r="M56" s="24"/>
      <c r="N56" s="24"/>
      <c r="O56" s="36"/>
      <c r="P56" s="36"/>
      <c r="Q56" s="24"/>
      <c r="R56" s="24"/>
      <c r="S56" s="24"/>
      <c r="T56" s="24"/>
    </row>
    <row r="57" spans="1:20" ht="18" customHeight="1" x14ac:dyDescent="0.25">
      <c r="A57" s="9"/>
      <c r="B57" s="9"/>
      <c r="C57" s="9"/>
      <c r="D57" s="9"/>
      <c r="E57" s="9"/>
      <c r="F57" s="9"/>
      <c r="G57" s="9"/>
      <c r="H57" s="9"/>
      <c r="I57" s="9"/>
      <c r="J57" s="35"/>
      <c r="K57" s="35"/>
      <c r="L57" s="35"/>
      <c r="M57" s="9"/>
      <c r="N57" s="9"/>
      <c r="O57" s="35"/>
      <c r="P57" s="35"/>
      <c r="Q57" s="9"/>
      <c r="R57" s="9"/>
      <c r="S57" s="9"/>
      <c r="T57" s="9"/>
    </row>
    <row r="58" spans="1:20" ht="21.75" customHeight="1" x14ac:dyDescent="0.25">
      <c r="A58" s="22">
        <v>44</v>
      </c>
      <c r="B58" s="12" t="s">
        <v>526</v>
      </c>
      <c r="C58" s="3" t="s">
        <v>527</v>
      </c>
      <c r="D58" s="3" t="s">
        <v>486</v>
      </c>
      <c r="E58" s="3" t="s">
        <v>528</v>
      </c>
      <c r="F58" s="3" t="s">
        <v>403</v>
      </c>
      <c r="G58" s="3" t="s">
        <v>404</v>
      </c>
      <c r="H58" s="2"/>
      <c r="I58" s="2"/>
      <c r="J58" s="2" t="s">
        <v>393</v>
      </c>
      <c r="K58" s="2" t="s">
        <v>393</v>
      </c>
      <c r="L58" s="2" t="s">
        <v>393</v>
      </c>
      <c r="M58" s="2" t="s">
        <v>393</v>
      </c>
      <c r="N58" s="3"/>
      <c r="O58" s="2" t="s">
        <v>393</v>
      </c>
      <c r="P58" s="2" t="s">
        <v>393</v>
      </c>
      <c r="Q58" s="3" t="s">
        <v>529</v>
      </c>
      <c r="R58" s="3" t="s">
        <v>530</v>
      </c>
      <c r="S58" s="22">
        <v>18</v>
      </c>
      <c r="T58" s="3"/>
    </row>
    <row r="59" spans="1:20" ht="21.75" customHeight="1" x14ac:dyDescent="0.25">
      <c r="A59" s="22">
        <v>45</v>
      </c>
      <c r="B59" s="12" t="s">
        <v>531</v>
      </c>
      <c r="C59" s="3" t="s">
        <v>532</v>
      </c>
      <c r="D59" s="3" t="s">
        <v>486</v>
      </c>
      <c r="E59" s="3" t="s">
        <v>528</v>
      </c>
      <c r="F59" s="3" t="s">
        <v>403</v>
      </c>
      <c r="G59" s="3" t="s">
        <v>404</v>
      </c>
      <c r="H59" s="2"/>
      <c r="I59" s="2"/>
      <c r="J59" s="2" t="s">
        <v>393</v>
      </c>
      <c r="K59" s="2" t="s">
        <v>393</v>
      </c>
      <c r="L59" s="2" t="s">
        <v>393</v>
      </c>
      <c r="M59" s="2" t="s">
        <v>393</v>
      </c>
      <c r="N59" s="3"/>
      <c r="O59" s="2" t="s">
        <v>393</v>
      </c>
      <c r="P59" s="2" t="s">
        <v>393</v>
      </c>
      <c r="Q59" s="3" t="s">
        <v>533</v>
      </c>
      <c r="R59" s="3" t="s">
        <v>530</v>
      </c>
      <c r="S59" s="22">
        <v>4</v>
      </c>
      <c r="T59" s="22">
        <v>2</v>
      </c>
    </row>
    <row r="60" spans="1:20" ht="18" customHeight="1" x14ac:dyDescent="0.25">
      <c r="A60" s="24"/>
      <c r="B60" s="6" t="s">
        <v>297</v>
      </c>
      <c r="C60" s="24"/>
      <c r="D60" s="24"/>
      <c r="E60" s="24"/>
      <c r="F60" s="24"/>
      <c r="G60" s="24"/>
      <c r="H60" s="24"/>
      <c r="I60" s="24"/>
      <c r="J60" s="36"/>
      <c r="K60" s="36"/>
      <c r="L60" s="36"/>
      <c r="M60" s="24"/>
      <c r="N60" s="24"/>
      <c r="O60" s="36"/>
      <c r="P60" s="36"/>
      <c r="Q60" s="24"/>
      <c r="R60" s="24"/>
      <c r="S60" s="24"/>
      <c r="T60" s="24"/>
    </row>
    <row r="61" spans="1:20" ht="18" customHeight="1" x14ac:dyDescent="0.25">
      <c r="A61" s="9"/>
      <c r="B61" s="9"/>
      <c r="C61" s="9"/>
      <c r="D61" s="9"/>
      <c r="E61" s="9"/>
      <c r="F61" s="9"/>
      <c r="G61" s="9"/>
      <c r="H61" s="9"/>
      <c r="I61" s="9"/>
      <c r="J61" s="35"/>
      <c r="K61" s="35"/>
      <c r="L61" s="35"/>
      <c r="M61" s="9"/>
      <c r="N61" s="9"/>
      <c r="O61" s="35"/>
      <c r="P61" s="35"/>
      <c r="Q61" s="9"/>
      <c r="R61" s="9"/>
      <c r="S61" s="9"/>
      <c r="T61" s="9"/>
    </row>
    <row r="62" spans="1:20" ht="21.75" customHeight="1" x14ac:dyDescent="0.25">
      <c r="A62" s="3"/>
      <c r="B62" s="12" t="s">
        <v>534</v>
      </c>
      <c r="C62" s="3"/>
      <c r="D62" s="22">
        <v>8</v>
      </c>
      <c r="E62" s="22">
        <v>44</v>
      </c>
      <c r="F62" s="3" t="s">
        <v>403</v>
      </c>
      <c r="G62" s="3" t="s">
        <v>396</v>
      </c>
      <c r="H62" s="2"/>
      <c r="I62" s="2"/>
      <c r="J62" s="2"/>
      <c r="K62" s="2"/>
      <c r="L62" s="2"/>
      <c r="M62" s="3"/>
      <c r="N62" s="3"/>
      <c r="O62" s="2"/>
      <c r="P62" s="2"/>
      <c r="Q62" s="3"/>
      <c r="R62" s="3"/>
      <c r="S62" s="3"/>
      <c r="T62" s="3"/>
    </row>
    <row r="63" spans="1:20" ht="18" customHeight="1" x14ac:dyDescent="0.25">
      <c r="A63" s="24"/>
      <c r="B63" s="6" t="s">
        <v>297</v>
      </c>
      <c r="C63" s="24"/>
      <c r="D63" s="24"/>
      <c r="E63" s="24"/>
      <c r="F63" s="24"/>
      <c r="G63" s="24"/>
      <c r="H63" s="24"/>
      <c r="I63" s="24"/>
      <c r="J63" s="36"/>
      <c r="K63" s="36"/>
      <c r="L63" s="36"/>
      <c r="M63" s="24"/>
      <c r="N63" s="24"/>
      <c r="O63" s="36"/>
      <c r="P63" s="36"/>
      <c r="Q63" s="24"/>
      <c r="R63" s="24"/>
      <c r="S63" s="24"/>
      <c r="T63" s="24"/>
    </row>
    <row r="64" spans="1:20" ht="18" customHeight="1" x14ac:dyDescent="0.25">
      <c r="A64" s="9"/>
      <c r="B64" s="9"/>
      <c r="C64" s="9"/>
      <c r="D64" s="9"/>
      <c r="E64" s="9"/>
      <c r="F64" s="9"/>
      <c r="G64" s="9"/>
      <c r="H64" s="9"/>
      <c r="I64" s="9"/>
      <c r="J64" s="35"/>
      <c r="K64" s="35"/>
      <c r="L64" s="35"/>
      <c r="M64" s="9"/>
      <c r="N64" s="9"/>
      <c r="O64" s="35"/>
      <c r="P64" s="35"/>
      <c r="Q64" s="9"/>
      <c r="R64" s="9"/>
      <c r="S64" s="9"/>
      <c r="T64" s="9"/>
    </row>
    <row r="65" spans="1:20" ht="21.75" customHeight="1" x14ac:dyDescent="0.25">
      <c r="A65" s="3"/>
      <c r="B65" s="12" t="s">
        <v>535</v>
      </c>
      <c r="C65" s="3"/>
      <c r="D65" s="3"/>
      <c r="E65" s="3"/>
      <c r="F65" s="3" t="s">
        <v>536</v>
      </c>
      <c r="G65" s="3"/>
      <c r="H65" s="2"/>
      <c r="I65" s="2"/>
      <c r="J65" s="2"/>
      <c r="K65" s="2"/>
      <c r="L65" s="2"/>
      <c r="M65" s="3"/>
      <c r="N65" s="3"/>
      <c r="O65" s="2"/>
      <c r="P65" s="2"/>
      <c r="Q65" s="3"/>
      <c r="R65" s="3"/>
      <c r="S65" s="3"/>
      <c r="T65" s="3"/>
    </row>
    <row r="66" spans="1:20" ht="18" customHeight="1" x14ac:dyDescent="0.25">
      <c r="A66" s="24"/>
      <c r="B66" s="6" t="s">
        <v>297</v>
      </c>
      <c r="C66" s="24"/>
      <c r="D66" s="24"/>
      <c r="E66" s="24"/>
      <c r="F66" s="24"/>
      <c r="G66" s="24"/>
      <c r="H66" s="24"/>
      <c r="I66" s="24"/>
      <c r="J66" s="36"/>
      <c r="K66" s="36"/>
      <c r="L66" s="36"/>
      <c r="M66" s="24"/>
      <c r="N66" s="24"/>
      <c r="O66" s="36"/>
      <c r="P66" s="36"/>
      <c r="Q66" s="24"/>
      <c r="R66" s="24"/>
      <c r="S66" s="24"/>
      <c r="T66" s="24"/>
    </row>
    <row r="67" spans="1:20" ht="18" customHeight="1" x14ac:dyDescent="0.25">
      <c r="A67" s="9"/>
      <c r="B67" s="9"/>
      <c r="C67" s="9"/>
      <c r="D67" s="9"/>
      <c r="E67" s="9"/>
      <c r="F67" s="9"/>
      <c r="G67" s="9"/>
      <c r="H67" s="9"/>
      <c r="I67" s="9"/>
      <c r="J67" s="35"/>
      <c r="K67" s="35"/>
      <c r="L67" s="35"/>
      <c r="M67" s="9"/>
      <c r="N67" s="9"/>
      <c r="O67" s="35"/>
      <c r="P67" s="35"/>
      <c r="Q67" s="9"/>
      <c r="R67" s="9"/>
      <c r="S67" s="9"/>
      <c r="T67" s="9"/>
    </row>
    <row r="68" spans="1:20" ht="21.75" customHeight="1" x14ac:dyDescent="0.25">
      <c r="A68" s="3"/>
      <c r="B68" s="12" t="s">
        <v>362</v>
      </c>
      <c r="C68" s="3"/>
      <c r="D68" s="3"/>
      <c r="E68" s="3"/>
      <c r="F68" s="3" t="s">
        <v>403</v>
      </c>
      <c r="G68" s="3"/>
      <c r="H68" s="2"/>
      <c r="I68" s="2"/>
      <c r="J68" s="2"/>
      <c r="K68" s="2"/>
      <c r="L68" s="2"/>
      <c r="M68" s="3"/>
      <c r="N68" s="3"/>
      <c r="O68" s="2"/>
      <c r="P68" s="2"/>
      <c r="Q68" s="3"/>
      <c r="R68" s="3"/>
      <c r="S68" s="3"/>
      <c r="T68" s="3"/>
    </row>
    <row r="69" spans="1:20" ht="18" customHeight="1" x14ac:dyDescent="0.25">
      <c r="A69" s="9"/>
      <c r="B69" s="38" t="s">
        <v>361</v>
      </c>
      <c r="C69" s="37"/>
      <c r="D69" s="37"/>
      <c r="E69" s="37"/>
      <c r="F69" s="17" t="s">
        <v>403</v>
      </c>
      <c r="G69" s="37"/>
      <c r="H69" s="35"/>
      <c r="I69" s="35"/>
      <c r="J69" s="35"/>
      <c r="K69" s="35"/>
      <c r="L69" s="35"/>
      <c r="M69" s="9"/>
      <c r="N69" s="9"/>
      <c r="O69" s="35"/>
      <c r="P69" s="35"/>
      <c r="Q69" s="9"/>
      <c r="R69" s="9"/>
      <c r="S69" s="37"/>
      <c r="T69" s="37"/>
    </row>
    <row r="70" spans="1:20" ht="18" customHeight="1" x14ac:dyDescent="0.25">
      <c r="A70" s="24"/>
      <c r="B70" s="6" t="s">
        <v>297</v>
      </c>
      <c r="C70" s="24"/>
      <c r="D70" s="24"/>
      <c r="E70" s="24"/>
      <c r="F70" s="24"/>
      <c r="G70" s="24"/>
      <c r="H70" s="24"/>
      <c r="I70" s="24"/>
      <c r="J70" s="24"/>
      <c r="K70" s="24"/>
      <c r="L70" s="24"/>
      <c r="M70" s="24"/>
      <c r="N70" s="24"/>
      <c r="O70" s="24"/>
      <c r="P70" s="24"/>
      <c r="Q70" s="24"/>
      <c r="R70" s="24"/>
      <c r="S70" s="24"/>
      <c r="T70" s="24"/>
    </row>
    <row r="71" spans="1:20" ht="18" customHeight="1" x14ac:dyDescent="0.25">
      <c r="A71" s="9"/>
      <c r="B71" s="9"/>
      <c r="C71" s="9"/>
      <c r="D71" s="9"/>
      <c r="E71" s="9"/>
      <c r="F71" s="9"/>
      <c r="G71" s="9"/>
      <c r="H71" s="9"/>
      <c r="I71" s="9"/>
      <c r="J71" s="9"/>
      <c r="K71" s="9"/>
      <c r="L71" s="9"/>
      <c r="M71" s="9"/>
      <c r="N71" s="9"/>
      <c r="O71" s="9"/>
      <c r="P71" s="9"/>
      <c r="Q71" s="9"/>
      <c r="R71" s="9"/>
      <c r="S71" s="9"/>
      <c r="T71" s="9"/>
    </row>
    <row r="72" spans="1:20" ht="18" customHeight="1" x14ac:dyDescent="0.25">
      <c r="A72" s="9"/>
      <c r="B72" s="9"/>
      <c r="C72" s="9"/>
      <c r="D72" s="9"/>
      <c r="E72" s="9"/>
      <c r="F72" s="9"/>
      <c r="G72" s="9"/>
      <c r="H72" s="9"/>
      <c r="I72" s="9"/>
      <c r="J72" s="9"/>
      <c r="K72" s="9"/>
      <c r="L72" s="9"/>
      <c r="M72" s="9"/>
      <c r="N72" s="9"/>
      <c r="O72" s="9"/>
      <c r="P72" s="9"/>
      <c r="Q72" s="9"/>
      <c r="R72" s="9"/>
      <c r="S72" s="9"/>
      <c r="T72" s="9"/>
    </row>
    <row r="73" spans="1:20" ht="18" customHeight="1" x14ac:dyDescent="0.25">
      <c r="A73" s="9"/>
      <c r="B73" s="23" t="s">
        <v>537</v>
      </c>
      <c r="C73" s="9"/>
      <c r="D73" s="9"/>
      <c r="E73" s="9"/>
      <c r="F73" s="9"/>
      <c r="G73" s="9"/>
      <c r="H73" s="9"/>
      <c r="I73" s="9"/>
      <c r="J73" s="9"/>
      <c r="K73" s="9"/>
      <c r="L73" s="9"/>
      <c r="M73" s="9"/>
      <c r="N73" s="9"/>
      <c r="O73" s="9"/>
      <c r="P73" s="9"/>
      <c r="Q73" s="9"/>
      <c r="R73" s="9"/>
      <c r="S73" s="9"/>
      <c r="T73" s="9"/>
    </row>
    <row r="74" spans="1:20" ht="18" customHeight="1" x14ac:dyDescent="0.25">
      <c r="A74" s="9"/>
      <c r="B74" s="38" t="s">
        <v>538</v>
      </c>
      <c r="C74" s="9"/>
      <c r="D74" s="9"/>
      <c r="E74" s="9"/>
      <c r="F74" s="9"/>
      <c r="G74" s="9"/>
      <c r="H74" s="9"/>
      <c r="I74" s="9"/>
      <c r="J74" s="9"/>
      <c r="K74" s="9"/>
      <c r="L74" s="9"/>
      <c r="M74" s="9"/>
      <c r="N74" s="9"/>
      <c r="O74" s="9"/>
      <c r="P74" s="9"/>
      <c r="Q74" s="9"/>
      <c r="R74" s="9"/>
      <c r="S74" s="9"/>
      <c r="T74" s="9"/>
    </row>
    <row r="75" spans="1:20" ht="21.75" customHeight="1" x14ac:dyDescent="0.25">
      <c r="A75" s="3"/>
      <c r="B75" s="12" t="s">
        <v>539</v>
      </c>
      <c r="C75" s="3" t="s">
        <v>540</v>
      </c>
      <c r="D75" s="3"/>
      <c r="E75" s="3"/>
      <c r="F75" s="3"/>
      <c r="G75" s="3"/>
      <c r="H75" s="3"/>
      <c r="I75" s="3"/>
      <c r="J75" s="3"/>
      <c r="K75" s="3"/>
      <c r="L75" s="3"/>
      <c r="M75" s="3"/>
      <c r="N75" s="3"/>
      <c r="O75" s="3"/>
      <c r="P75" s="3"/>
      <c r="Q75" s="3"/>
      <c r="R75" s="3"/>
      <c r="S75" s="3"/>
      <c r="T75" s="3"/>
    </row>
    <row r="76" spans="1:20" ht="21.75" customHeight="1" x14ac:dyDescent="0.25">
      <c r="A76" s="3"/>
      <c r="B76" s="12" t="s">
        <v>541</v>
      </c>
      <c r="C76" s="3" t="s">
        <v>542</v>
      </c>
      <c r="D76" s="3"/>
      <c r="E76" s="3"/>
      <c r="F76" s="3"/>
      <c r="G76" s="3"/>
      <c r="H76" s="3"/>
      <c r="I76" s="3"/>
      <c r="J76" s="3"/>
      <c r="K76" s="3"/>
      <c r="L76" s="3"/>
      <c r="M76" s="3"/>
      <c r="N76" s="3"/>
      <c r="O76" s="3"/>
      <c r="P76" s="3"/>
      <c r="Q76" s="3"/>
      <c r="R76" s="3"/>
      <c r="S76" s="3"/>
      <c r="T76" s="3"/>
    </row>
    <row r="77" spans="1:20" ht="21.75" customHeight="1" x14ac:dyDescent="0.25">
      <c r="A77" s="3"/>
      <c r="B77" s="12" t="s">
        <v>543</v>
      </c>
      <c r="C77" s="3" t="s">
        <v>542</v>
      </c>
      <c r="D77" s="3"/>
      <c r="E77" s="3"/>
      <c r="F77" s="3"/>
      <c r="G77" s="3"/>
      <c r="H77" s="3"/>
      <c r="I77" s="3"/>
      <c r="J77" s="3"/>
      <c r="K77" s="3"/>
      <c r="L77" s="3"/>
      <c r="M77" s="3"/>
      <c r="N77" s="3"/>
      <c r="O77" s="3"/>
      <c r="P77" s="3"/>
      <c r="Q77" s="3"/>
      <c r="R77" s="3"/>
      <c r="S77" s="3"/>
      <c r="T77" s="3"/>
    </row>
    <row r="78" spans="1:20" ht="21.75" customHeight="1" x14ac:dyDescent="0.25">
      <c r="A78" s="3"/>
      <c r="B78" s="12" t="s">
        <v>544</v>
      </c>
      <c r="C78" s="3" t="s">
        <v>542</v>
      </c>
      <c r="D78" s="3"/>
      <c r="E78" s="3"/>
      <c r="F78" s="3"/>
      <c r="G78" s="3"/>
      <c r="H78" s="3"/>
      <c r="I78" s="3"/>
      <c r="J78" s="3"/>
      <c r="K78" s="3"/>
      <c r="L78" s="3"/>
      <c r="M78" s="3"/>
      <c r="N78" s="3"/>
      <c r="O78" s="3"/>
      <c r="P78" s="3"/>
      <c r="Q78" s="3"/>
      <c r="R78" s="3"/>
      <c r="S78" s="3"/>
      <c r="T78" s="3"/>
    </row>
    <row r="79" spans="1:20" ht="21.75" customHeight="1" x14ac:dyDescent="0.25">
      <c r="A79" s="3"/>
      <c r="B79" s="12" t="s">
        <v>490</v>
      </c>
      <c r="C79" s="3" t="s">
        <v>542</v>
      </c>
      <c r="D79" s="3"/>
      <c r="E79" s="3"/>
      <c r="F79" s="3"/>
      <c r="G79" s="3"/>
      <c r="H79" s="3"/>
      <c r="I79" s="3"/>
      <c r="J79" s="3"/>
      <c r="K79" s="3"/>
      <c r="L79" s="3"/>
      <c r="M79" s="3"/>
      <c r="N79" s="3"/>
      <c r="O79" s="3"/>
      <c r="P79" s="3"/>
      <c r="Q79" s="3"/>
      <c r="R79" s="3"/>
      <c r="S79" s="3"/>
      <c r="T79" s="3"/>
    </row>
    <row r="80" spans="1:20" ht="21.75" customHeight="1" x14ac:dyDescent="0.25">
      <c r="A80" s="3"/>
      <c r="B80" s="12" t="s">
        <v>398</v>
      </c>
      <c r="C80" s="3" t="s">
        <v>542</v>
      </c>
      <c r="D80" s="3"/>
      <c r="E80" s="3"/>
      <c r="F80" s="3"/>
      <c r="G80" s="3"/>
      <c r="H80" s="3"/>
      <c r="I80" s="3"/>
      <c r="J80" s="3"/>
      <c r="K80" s="3"/>
      <c r="L80" s="3"/>
      <c r="M80" s="3"/>
      <c r="N80" s="3"/>
      <c r="O80" s="3"/>
      <c r="P80" s="3"/>
      <c r="Q80" s="3"/>
      <c r="R80" s="3"/>
      <c r="S80" s="3"/>
      <c r="T80" s="3"/>
    </row>
    <row r="81" spans="1:20" ht="21.75" customHeight="1" x14ac:dyDescent="0.25">
      <c r="A81" s="3"/>
      <c r="B81" s="12" t="s">
        <v>545</v>
      </c>
      <c r="C81" s="3" t="s">
        <v>546</v>
      </c>
      <c r="D81" s="3"/>
      <c r="E81" s="3"/>
      <c r="F81" s="3"/>
      <c r="G81" s="3"/>
      <c r="H81" s="3"/>
      <c r="I81" s="3"/>
      <c r="J81" s="3"/>
      <c r="K81" s="3"/>
      <c r="L81" s="3"/>
      <c r="M81" s="3"/>
      <c r="N81" s="3"/>
      <c r="O81" s="3"/>
      <c r="P81" s="3"/>
      <c r="Q81" s="3"/>
      <c r="R81" s="3"/>
      <c r="S81" s="3"/>
      <c r="T81" s="3"/>
    </row>
    <row r="82" spans="1:20" ht="21.75" customHeight="1" x14ac:dyDescent="0.25">
      <c r="A82" s="3"/>
      <c r="B82" s="12" t="s">
        <v>547</v>
      </c>
      <c r="C82" s="3" t="s">
        <v>546</v>
      </c>
      <c r="D82" s="3"/>
      <c r="E82" s="3"/>
      <c r="F82" s="3"/>
      <c r="G82" s="3"/>
      <c r="H82" s="3"/>
      <c r="I82" s="3"/>
      <c r="J82" s="3"/>
      <c r="K82" s="3"/>
      <c r="L82" s="3"/>
      <c r="M82" s="3"/>
      <c r="N82" s="3"/>
      <c r="O82" s="3"/>
      <c r="P82" s="3"/>
      <c r="Q82" s="3"/>
      <c r="R82" s="3"/>
      <c r="S82" s="3"/>
      <c r="T82" s="3"/>
    </row>
    <row r="83" spans="1:20" ht="21.75" customHeight="1" x14ac:dyDescent="0.25">
      <c r="A83" s="3"/>
      <c r="B83" s="12" t="s">
        <v>548</v>
      </c>
      <c r="C83" s="3" t="s">
        <v>549</v>
      </c>
      <c r="D83" s="3"/>
      <c r="E83" s="3"/>
      <c r="F83" s="3"/>
      <c r="G83" s="3"/>
      <c r="H83" s="3"/>
      <c r="I83" s="3"/>
      <c r="J83" s="3"/>
      <c r="K83" s="3"/>
      <c r="L83" s="3"/>
      <c r="M83" s="3"/>
      <c r="N83" s="3"/>
      <c r="O83" s="3"/>
      <c r="P83" s="3"/>
      <c r="Q83" s="3"/>
      <c r="R83" s="3"/>
      <c r="S83" s="3"/>
      <c r="T83" s="3"/>
    </row>
    <row r="84" spans="1:20" ht="30" customHeight="1" x14ac:dyDescent="0.25">
      <c r="A84" s="9"/>
      <c r="B84" s="38" t="s">
        <v>550</v>
      </c>
      <c r="C84" s="9"/>
      <c r="D84" s="9"/>
      <c r="E84" s="9"/>
      <c r="F84" s="9"/>
      <c r="G84" s="9"/>
      <c r="H84" s="9"/>
      <c r="I84" s="9"/>
      <c r="J84" s="9"/>
      <c r="K84" s="9"/>
      <c r="L84" s="9"/>
      <c r="M84" s="9"/>
      <c r="N84" s="9"/>
      <c r="O84" s="9"/>
      <c r="P84" s="9"/>
      <c r="Q84" s="9"/>
      <c r="R84" s="9"/>
      <c r="S84" s="9"/>
      <c r="T84" s="9"/>
    </row>
    <row r="85" spans="1:20" ht="18" customHeight="1" x14ac:dyDescent="0.25">
      <c r="A85" s="9"/>
      <c r="B85" s="38" t="s">
        <v>406</v>
      </c>
      <c r="C85" s="17" t="s">
        <v>551</v>
      </c>
      <c r="D85" s="17" t="s">
        <v>486</v>
      </c>
      <c r="E85" s="17" t="s">
        <v>552</v>
      </c>
      <c r="F85" s="17" t="s">
        <v>403</v>
      </c>
      <c r="G85" s="17" t="s">
        <v>404</v>
      </c>
      <c r="H85" s="30" t="s">
        <v>387</v>
      </c>
      <c r="I85" s="39"/>
      <c r="J85" s="30" t="s">
        <v>393</v>
      </c>
      <c r="K85" s="30" t="s">
        <v>393</v>
      </c>
      <c r="L85" s="30" t="s">
        <v>393</v>
      </c>
      <c r="M85" s="30" t="s">
        <v>393</v>
      </c>
      <c r="N85" s="37"/>
      <c r="O85" s="30" t="s">
        <v>393</v>
      </c>
      <c r="P85" s="30" t="s">
        <v>393</v>
      </c>
      <c r="Q85" s="17" t="s">
        <v>407</v>
      </c>
      <c r="R85" s="9"/>
      <c r="S85" s="40">
        <v>6</v>
      </c>
      <c r="T85" s="40">
        <v>1</v>
      </c>
    </row>
    <row r="86" spans="1:20" ht="18" customHeight="1" x14ac:dyDescent="0.25">
      <c r="A86" s="9"/>
      <c r="B86" s="38" t="s">
        <v>553</v>
      </c>
      <c r="C86" s="9"/>
      <c r="D86" s="9"/>
      <c r="E86" s="9"/>
      <c r="F86" s="9"/>
      <c r="G86" s="9"/>
      <c r="H86" s="9"/>
      <c r="I86" s="9"/>
      <c r="J86" s="9"/>
      <c r="K86" s="9"/>
      <c r="L86" s="9"/>
      <c r="M86" s="9"/>
      <c r="N86" s="9"/>
      <c r="O86" s="9"/>
      <c r="P86" s="9"/>
      <c r="Q86" s="9"/>
      <c r="R86" s="9"/>
      <c r="S86" s="9"/>
      <c r="T86" s="9"/>
    </row>
    <row r="87" spans="1:20" ht="18" customHeight="1" x14ac:dyDescent="0.25">
      <c r="A87" s="9"/>
      <c r="B87" s="38" t="s">
        <v>554</v>
      </c>
      <c r="C87" s="9"/>
      <c r="D87" s="9"/>
      <c r="E87" s="9"/>
      <c r="F87" s="9"/>
      <c r="G87" s="9"/>
      <c r="H87" s="9"/>
      <c r="I87" s="9"/>
      <c r="J87" s="9"/>
      <c r="K87" s="9"/>
      <c r="L87" s="9"/>
      <c r="M87" s="9"/>
      <c r="N87" s="9"/>
      <c r="O87" s="9"/>
      <c r="P87" s="9"/>
      <c r="Q87" s="9"/>
      <c r="R87" s="9"/>
      <c r="S87" s="9"/>
      <c r="T87" s="9"/>
    </row>
    <row r="88" spans="1:20" ht="30" customHeight="1" x14ac:dyDescent="0.25">
      <c r="A88" s="9"/>
      <c r="B88" s="38" t="s">
        <v>555</v>
      </c>
      <c r="C88" s="9"/>
      <c r="D88" s="9"/>
      <c r="E88" s="9"/>
      <c r="F88" s="9"/>
      <c r="G88" s="9"/>
      <c r="H88" s="9"/>
      <c r="I88" s="9"/>
      <c r="J88" s="9"/>
      <c r="K88" s="9"/>
      <c r="L88" s="9"/>
      <c r="M88" s="9"/>
      <c r="N88" s="9"/>
      <c r="O88" s="9"/>
      <c r="P88" s="9"/>
      <c r="Q88" s="9"/>
      <c r="R88" s="9"/>
      <c r="S88" s="9"/>
      <c r="T88" s="9"/>
    </row>
    <row r="89" spans="1:20" ht="30" customHeight="1" x14ac:dyDescent="0.25">
      <c r="A89" s="9"/>
      <c r="B89" s="38" t="s">
        <v>556</v>
      </c>
      <c r="C89" s="9"/>
      <c r="D89" s="9"/>
      <c r="E89" s="9"/>
      <c r="F89" s="9"/>
      <c r="G89" s="9"/>
      <c r="H89" s="9"/>
      <c r="I89" s="9"/>
      <c r="J89" s="9"/>
      <c r="K89" s="9"/>
      <c r="L89" s="9"/>
      <c r="M89" s="9"/>
      <c r="N89" s="9"/>
      <c r="O89" s="9"/>
      <c r="P89" s="9"/>
      <c r="Q89" s="9"/>
      <c r="R89" s="9"/>
      <c r="S89" s="9"/>
      <c r="T89" s="9"/>
    </row>
    <row r="90" spans="1:20" ht="30" customHeight="1" x14ac:dyDescent="0.25">
      <c r="A90" s="9"/>
      <c r="B90" s="38" t="s">
        <v>557</v>
      </c>
      <c r="C90" s="9"/>
      <c r="D90" s="9"/>
      <c r="E90" s="9"/>
      <c r="F90" s="9"/>
      <c r="G90" s="9"/>
      <c r="H90" s="9"/>
      <c r="I90" s="9"/>
      <c r="J90" s="9"/>
      <c r="K90" s="9"/>
      <c r="L90" s="9"/>
      <c r="M90" s="9"/>
      <c r="N90" s="9"/>
      <c r="O90" s="9"/>
      <c r="P90" s="9"/>
      <c r="Q90" s="9"/>
      <c r="R90" s="9"/>
      <c r="S90" s="9"/>
      <c r="T90" s="9"/>
    </row>
  </sheetData>
  <autoFilter ref="A2:T90" xr:uid="{00000000-0009-0000-0000-000006000000}"/>
  <printOptions horizontalCentered="1"/>
  <pageMargins left="0.35" right="0.35" top="0.55000000000000004" bottom="0.55000000000000004" header="0.511811023622047" footer="0.511811023622047"/>
  <pageSetup paperSize="9" fitToHeight="0" pageOrder="overThenDown" orientation="landscape" useFirstPageNumber="1" horizontalDpi="300" verticalDpi="300"/>
  <legacy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J117"/>
  <sheetViews>
    <sheetView showGridLines="0" topLeftCell="A7" zoomScaleNormal="100" workbookViewId="0">
      <selection activeCell="E12" sqref="E12"/>
    </sheetView>
  </sheetViews>
  <sheetFormatPr defaultColWidth="8.5703125" defaultRowHeight="15" x14ac:dyDescent="0.25"/>
  <cols>
    <col min="1" max="1" width="28.42578125" customWidth="1"/>
    <col min="2" max="2" width="34" customWidth="1"/>
    <col min="3" max="3" width="16" customWidth="1"/>
    <col min="4" max="4" width="13" customWidth="1"/>
    <col min="5" max="5" width="20" customWidth="1"/>
    <col min="6" max="6" width="21" customWidth="1"/>
    <col min="7" max="8" width="9" customWidth="1"/>
    <col min="9" max="9" width="8" customWidth="1"/>
    <col min="10" max="10" width="15.85546875" customWidth="1"/>
  </cols>
  <sheetData>
    <row r="1" spans="1:9" ht="15.75" customHeight="1" x14ac:dyDescent="0.25"/>
    <row r="2" spans="1:9" ht="32.25" customHeight="1" x14ac:dyDescent="0.25">
      <c r="A2" s="121" t="s">
        <v>558</v>
      </c>
      <c r="B2" s="108"/>
      <c r="C2" s="108"/>
      <c r="D2" s="108"/>
      <c r="E2" s="108"/>
      <c r="F2" s="108"/>
      <c r="G2" s="108"/>
      <c r="H2" s="108"/>
      <c r="I2" s="109"/>
    </row>
    <row r="3" spans="1:9" ht="18" customHeight="1" x14ac:dyDescent="0.25">
      <c r="A3" s="9"/>
      <c r="B3" s="9"/>
      <c r="C3" s="9"/>
      <c r="D3" s="9"/>
      <c r="E3" s="9"/>
      <c r="F3" s="9"/>
      <c r="G3" s="9"/>
      <c r="H3" s="9"/>
      <c r="I3" s="9"/>
    </row>
    <row r="4" spans="1:9" ht="18" customHeight="1" x14ac:dyDescent="0.25">
      <c r="A4" s="9"/>
      <c r="B4" s="9"/>
      <c r="C4" s="9"/>
      <c r="D4" s="9"/>
      <c r="E4" s="9"/>
      <c r="F4" s="9"/>
      <c r="G4" s="9"/>
      <c r="H4" s="9"/>
      <c r="I4" s="9"/>
    </row>
    <row r="5" spans="1:9" ht="18" customHeight="1" x14ac:dyDescent="0.25">
      <c r="A5" s="9"/>
      <c r="B5" s="9"/>
      <c r="C5" s="9"/>
      <c r="D5" s="9"/>
      <c r="E5" s="9"/>
      <c r="F5" s="9"/>
      <c r="G5" s="9"/>
      <c r="H5" s="9"/>
      <c r="I5" s="9"/>
    </row>
    <row r="6" spans="1:9" ht="21.75" customHeight="1" thickBot="1" x14ac:dyDescent="0.3">
      <c r="A6" s="12" t="s">
        <v>559</v>
      </c>
      <c r="B6" s="12" t="s">
        <v>560</v>
      </c>
      <c r="C6" s="12" t="s">
        <v>561</v>
      </c>
      <c r="D6" s="12" t="s">
        <v>137</v>
      </c>
      <c r="E6" s="3"/>
      <c r="F6" s="12" t="s">
        <v>562</v>
      </c>
      <c r="G6" s="3"/>
      <c r="H6" s="3"/>
      <c r="I6" s="3"/>
    </row>
    <row r="7" spans="1:9" ht="21.75" customHeight="1" thickBot="1" x14ac:dyDescent="0.3">
      <c r="A7" s="3"/>
      <c r="B7" s="12" t="s">
        <v>563</v>
      </c>
      <c r="C7" s="12">
        <f>'L1 Param CCT'!$B$5</f>
        <v>1651</v>
      </c>
      <c r="D7" s="3"/>
      <c r="E7" s="3"/>
      <c r="F7" s="12">
        <f>'L1 Param CCT'!$B$6</f>
        <v>1621</v>
      </c>
      <c r="G7" s="3"/>
      <c r="H7" s="3"/>
      <c r="I7" s="3"/>
    </row>
    <row r="8" spans="1:9" ht="25.5" customHeight="1" thickBot="1" x14ac:dyDescent="0.3">
      <c r="A8" s="9"/>
      <c r="B8" s="38" t="s">
        <v>564</v>
      </c>
      <c r="C8" s="83">
        <v>0</v>
      </c>
      <c r="D8" s="9"/>
      <c r="E8" s="9"/>
      <c r="F8" s="9"/>
      <c r="G8" s="9"/>
      <c r="H8" s="9"/>
      <c r="I8" s="9"/>
    </row>
    <row r="9" spans="1:9" ht="21.75" customHeight="1" thickBot="1" x14ac:dyDescent="0.3">
      <c r="A9" s="3"/>
      <c r="B9" s="12" t="s">
        <v>565</v>
      </c>
      <c r="C9" s="12">
        <f>F7*D9</f>
        <v>0</v>
      </c>
      <c r="D9" s="2">
        <v>0</v>
      </c>
      <c r="E9" s="3"/>
      <c r="F9" s="3"/>
      <c r="G9" s="3"/>
      <c r="H9" s="3"/>
      <c r="I9" s="3"/>
    </row>
    <row r="10" spans="1:9" ht="21.75" customHeight="1" thickBot="1" x14ac:dyDescent="0.3">
      <c r="A10" s="3"/>
      <c r="B10" s="12" t="s">
        <v>566</v>
      </c>
      <c r="C10" s="12">
        <f>IFERROR(D10*F7,0)</f>
        <v>648.40000000000009</v>
      </c>
      <c r="D10" s="2">
        <f>'L1 Param CCT'!$B$7</f>
        <v>0.4</v>
      </c>
      <c r="E10" s="3"/>
      <c r="F10" s="3"/>
      <c r="G10" s="3"/>
      <c r="H10" s="3"/>
      <c r="I10" s="3"/>
    </row>
    <row r="11" spans="1:9" ht="21.75" customHeight="1" thickBot="1" x14ac:dyDescent="0.3">
      <c r="A11" s="3"/>
      <c r="B11" s="12" t="s">
        <v>141</v>
      </c>
      <c r="C11" s="12">
        <f>SUM(C7,C8,C9,C10)*D11</f>
        <v>0</v>
      </c>
      <c r="D11" s="2">
        <v>0</v>
      </c>
      <c r="E11" s="3"/>
      <c r="F11" s="3"/>
      <c r="G11" s="3"/>
      <c r="H11" s="3"/>
      <c r="I11" s="3"/>
    </row>
    <row r="12" spans="1:9" ht="18" customHeight="1" x14ac:dyDescent="0.25">
      <c r="A12" s="9"/>
      <c r="B12" s="23" t="s">
        <v>567</v>
      </c>
      <c r="C12" s="83">
        <v>0</v>
      </c>
      <c r="D12" s="96">
        <v>0</v>
      </c>
      <c r="E12" s="9"/>
      <c r="F12" s="9"/>
      <c r="G12" s="9"/>
      <c r="H12" s="9"/>
      <c r="I12" s="9"/>
    </row>
    <row r="13" spans="1:9" ht="18" customHeight="1" x14ac:dyDescent="0.25">
      <c r="A13" s="9"/>
      <c r="B13" s="23" t="s">
        <v>568</v>
      </c>
      <c r="C13" s="83">
        <v>0</v>
      </c>
      <c r="D13" s="96">
        <v>0</v>
      </c>
      <c r="E13" s="9"/>
      <c r="F13" s="9"/>
      <c r="G13" s="9"/>
      <c r="H13" s="9"/>
      <c r="I13" s="9"/>
    </row>
    <row r="14" spans="1:9" ht="18" customHeight="1" x14ac:dyDescent="0.25">
      <c r="A14" s="9"/>
      <c r="B14" s="23" t="s">
        <v>569</v>
      </c>
      <c r="C14" s="83">
        <v>0</v>
      </c>
      <c r="D14" s="96">
        <v>0</v>
      </c>
      <c r="E14" s="9"/>
      <c r="F14" s="9"/>
      <c r="G14" s="9"/>
      <c r="H14" s="9"/>
      <c r="I14" s="9"/>
    </row>
    <row r="15" spans="1:9" ht="18" customHeight="1" thickBot="1" x14ac:dyDescent="0.3">
      <c r="A15" s="9"/>
      <c r="B15" s="23" t="s">
        <v>570</v>
      </c>
      <c r="C15" s="83">
        <v>0</v>
      </c>
      <c r="D15" s="96">
        <v>0</v>
      </c>
      <c r="E15" s="9"/>
      <c r="F15" s="9"/>
      <c r="G15" s="9"/>
      <c r="H15" s="9"/>
      <c r="I15" s="9"/>
    </row>
    <row r="16" spans="1:9" ht="21.75" customHeight="1" thickBot="1" x14ac:dyDescent="0.3">
      <c r="A16" s="3"/>
      <c r="B16" s="6" t="s">
        <v>571</v>
      </c>
      <c r="C16" s="68">
        <f>SUM(C7:C15)</f>
        <v>2299.4</v>
      </c>
      <c r="D16" s="3"/>
      <c r="E16" s="3"/>
      <c r="F16" s="3"/>
      <c r="G16" s="3"/>
      <c r="H16" s="3"/>
      <c r="I16" s="3"/>
    </row>
    <row r="17" spans="1:9" ht="18" customHeight="1" x14ac:dyDescent="0.25">
      <c r="A17" s="9"/>
      <c r="B17" s="9"/>
      <c r="C17" s="9"/>
      <c r="D17" s="9"/>
      <c r="E17" s="9"/>
      <c r="F17" s="9"/>
      <c r="G17" s="9"/>
      <c r="H17" s="9"/>
      <c r="I17" s="9"/>
    </row>
    <row r="18" spans="1:9" ht="18" customHeight="1" x14ac:dyDescent="0.25">
      <c r="A18" s="9"/>
      <c r="B18" s="9"/>
      <c r="C18" s="9"/>
      <c r="D18" s="9"/>
      <c r="E18" s="9"/>
      <c r="F18" s="9"/>
      <c r="G18" s="9"/>
      <c r="H18" s="9"/>
      <c r="I18" s="9"/>
    </row>
    <row r="19" spans="1:9" ht="18" customHeight="1" x14ac:dyDescent="0.25">
      <c r="A19" s="114" t="s">
        <v>572</v>
      </c>
      <c r="B19" s="108"/>
      <c r="C19" s="109"/>
      <c r="D19" s="8"/>
      <c r="E19" s="8"/>
      <c r="F19" s="8"/>
      <c r="G19" s="8"/>
      <c r="H19" s="8"/>
      <c r="I19" s="8"/>
    </row>
    <row r="20" spans="1:9" ht="18" customHeight="1" x14ac:dyDescent="0.25">
      <c r="A20" s="9"/>
      <c r="B20" s="9"/>
      <c r="C20" s="9"/>
      <c r="D20" s="9"/>
      <c r="E20" s="9"/>
      <c r="F20" s="9"/>
      <c r="G20" s="9"/>
      <c r="H20" s="9"/>
      <c r="I20" s="9"/>
    </row>
    <row r="21" spans="1:9" ht="21.75" customHeight="1" thickBot="1" x14ac:dyDescent="0.3">
      <c r="A21" s="12" t="s">
        <v>573</v>
      </c>
      <c r="B21" s="12" t="s">
        <v>574</v>
      </c>
      <c r="C21" s="12" t="s">
        <v>561</v>
      </c>
      <c r="D21" s="3"/>
      <c r="E21" s="2" t="s">
        <v>137</v>
      </c>
      <c r="F21" s="12" t="s">
        <v>575</v>
      </c>
      <c r="G21" s="3"/>
      <c r="H21" s="3"/>
      <c r="I21" s="3"/>
    </row>
    <row r="22" spans="1:9" ht="21.75" customHeight="1" thickBot="1" x14ac:dyDescent="0.3">
      <c r="A22" s="3"/>
      <c r="B22" s="12" t="s">
        <v>576</v>
      </c>
      <c r="C22" s="12">
        <f>E22*C16</f>
        <v>191.61666666666659</v>
      </c>
      <c r="D22" s="3"/>
      <c r="E22" s="2">
        <v>8.3333333333333301E-2</v>
      </c>
      <c r="F22" s="12" t="s">
        <v>577</v>
      </c>
      <c r="G22" s="3"/>
      <c r="H22" s="3"/>
      <c r="I22" s="3"/>
    </row>
    <row r="23" spans="1:9" ht="21.75" customHeight="1" thickBot="1" x14ac:dyDescent="0.3">
      <c r="A23" s="3"/>
      <c r="B23" s="12" t="s">
        <v>578</v>
      </c>
      <c r="C23" s="12">
        <f>C16*E23</f>
        <v>208.67054999999999</v>
      </c>
      <c r="D23" s="3"/>
      <c r="E23" s="2">
        <v>9.0749999999999997E-2</v>
      </c>
      <c r="F23" s="12" t="s">
        <v>1188</v>
      </c>
      <c r="G23" s="3"/>
      <c r="H23" s="3"/>
      <c r="I23" s="3"/>
    </row>
    <row r="24" spans="1:9" ht="21.75" customHeight="1" thickBot="1" x14ac:dyDescent="0.3">
      <c r="A24" s="3"/>
      <c r="B24" s="12" t="s">
        <v>579</v>
      </c>
      <c r="C24" s="12">
        <f>C16*E24</f>
        <v>69.556849999999997</v>
      </c>
      <c r="D24" s="3"/>
      <c r="E24" s="2">
        <v>3.0249999999999999E-2</v>
      </c>
      <c r="F24" s="12" t="s">
        <v>1188</v>
      </c>
      <c r="G24" s="3"/>
      <c r="H24" s="3"/>
      <c r="I24" s="3"/>
    </row>
    <row r="25" spans="1:9" ht="25.5" customHeight="1" thickBot="1" x14ac:dyDescent="0.3">
      <c r="A25" s="3"/>
      <c r="B25" s="6" t="s">
        <v>580</v>
      </c>
      <c r="C25" s="68">
        <f>SUM(C22:C24)</f>
        <v>469.84406666666661</v>
      </c>
      <c r="D25" s="3"/>
      <c r="E25" s="3"/>
      <c r="F25" s="3"/>
      <c r="G25" s="3"/>
      <c r="H25" s="3"/>
      <c r="I25" s="3"/>
    </row>
    <row r="26" spans="1:9" ht="18" customHeight="1" thickBot="1" x14ac:dyDescent="0.3">
      <c r="A26" s="9"/>
      <c r="B26" s="9"/>
      <c r="C26" s="9"/>
      <c r="D26" s="9"/>
      <c r="E26" s="9"/>
      <c r="F26" s="9"/>
      <c r="G26" s="9"/>
      <c r="H26" s="9"/>
      <c r="I26" s="9"/>
    </row>
    <row r="27" spans="1:9" ht="21.75" customHeight="1" thickBot="1" x14ac:dyDescent="0.3">
      <c r="A27" s="12" t="s">
        <v>581</v>
      </c>
      <c r="B27" s="12" t="s">
        <v>582</v>
      </c>
      <c r="C27" s="12" t="s">
        <v>583</v>
      </c>
      <c r="D27" s="12" t="s">
        <v>561</v>
      </c>
      <c r="E27" s="3"/>
      <c r="F27" s="3"/>
      <c r="G27" s="3"/>
      <c r="H27" s="3"/>
      <c r="I27" s="3"/>
    </row>
    <row r="28" spans="1:9" ht="25.5" customHeight="1" thickBot="1" x14ac:dyDescent="0.3">
      <c r="A28" s="3"/>
      <c r="B28" s="80" t="s">
        <v>584</v>
      </c>
      <c r="C28" s="81">
        <v>0.2</v>
      </c>
      <c r="D28" s="12">
        <f>C28*(C16+C25)</f>
        <v>553.8488133333334</v>
      </c>
      <c r="E28" s="3"/>
      <c r="F28" s="12" t="s">
        <v>585</v>
      </c>
      <c r="G28" s="3"/>
      <c r="H28" s="3"/>
      <c r="I28" s="3"/>
    </row>
    <row r="29" spans="1:9" ht="21.75" customHeight="1" thickBot="1" x14ac:dyDescent="0.3">
      <c r="A29" s="3"/>
      <c r="B29" s="80" t="s">
        <v>586</v>
      </c>
      <c r="C29" s="81">
        <v>1.4999999999999999E-2</v>
      </c>
      <c r="D29" s="12">
        <f>C29*(C16+C25)</f>
        <v>41.538660999999998</v>
      </c>
      <c r="E29" s="3"/>
      <c r="F29" s="3"/>
      <c r="G29" s="3"/>
      <c r="H29" s="3"/>
      <c r="I29" s="3"/>
    </row>
    <row r="30" spans="1:9" ht="21.75" customHeight="1" thickBot="1" x14ac:dyDescent="0.3">
      <c r="A30" s="3"/>
      <c r="B30" s="80" t="s">
        <v>587</v>
      </c>
      <c r="C30" s="81">
        <v>0.01</v>
      </c>
      <c r="D30" s="12">
        <f>C30*(C16+C25)</f>
        <v>27.692440666666666</v>
      </c>
      <c r="E30" s="3"/>
      <c r="F30" s="3"/>
      <c r="G30" s="3"/>
      <c r="H30" s="3"/>
      <c r="I30" s="3"/>
    </row>
    <row r="31" spans="1:9" ht="21.75" customHeight="1" thickBot="1" x14ac:dyDescent="0.3">
      <c r="A31" s="3"/>
      <c r="B31" s="80" t="s">
        <v>588</v>
      </c>
      <c r="C31" s="81">
        <v>2E-3</v>
      </c>
      <c r="D31" s="12">
        <f>C31*(C16+C25)</f>
        <v>5.5384881333333338</v>
      </c>
      <c r="E31" s="3"/>
      <c r="F31" s="3"/>
      <c r="G31" s="3"/>
      <c r="H31" s="3"/>
      <c r="I31" s="3"/>
    </row>
    <row r="32" spans="1:9" ht="21.75" customHeight="1" thickBot="1" x14ac:dyDescent="0.3">
      <c r="A32" s="3"/>
      <c r="B32" s="80" t="s">
        <v>589</v>
      </c>
      <c r="C32" s="81">
        <v>2.5000000000000001E-2</v>
      </c>
      <c r="D32" s="12">
        <f>C32*(C16+C25)</f>
        <v>69.231101666666675</v>
      </c>
      <c r="E32" s="3"/>
      <c r="F32" s="3"/>
      <c r="G32" s="3"/>
      <c r="H32" s="3"/>
      <c r="I32" s="3"/>
    </row>
    <row r="33" spans="1:10" ht="21.75" customHeight="1" thickBot="1" x14ac:dyDescent="0.3">
      <c r="A33" s="3"/>
      <c r="B33" s="80" t="s">
        <v>590</v>
      </c>
      <c r="C33" s="81">
        <v>0.08</v>
      </c>
      <c r="D33" s="12">
        <f>C33*(C16+C25)</f>
        <v>221.53952533333333</v>
      </c>
      <c r="E33" s="3"/>
      <c r="F33" s="3"/>
      <c r="G33" s="3"/>
      <c r="H33" s="3"/>
      <c r="I33" s="3"/>
    </row>
    <row r="34" spans="1:10" ht="34.5" customHeight="1" thickBot="1" x14ac:dyDescent="0.3">
      <c r="A34" s="3"/>
      <c r="B34" s="80" t="s">
        <v>591</v>
      </c>
      <c r="C34" s="81">
        <v>0.06</v>
      </c>
      <c r="D34" s="12">
        <f>C34*(C16+C25)</f>
        <v>166.15464399999999</v>
      </c>
      <c r="E34" s="3"/>
      <c r="F34" s="3"/>
      <c r="G34" s="3"/>
      <c r="H34" s="3"/>
      <c r="I34" s="3"/>
    </row>
    <row r="35" spans="1:10" ht="21.75" customHeight="1" thickBot="1" x14ac:dyDescent="0.3">
      <c r="A35" s="3"/>
      <c r="B35" s="80" t="s">
        <v>592</v>
      </c>
      <c r="C35" s="81">
        <v>6.0000000000000001E-3</v>
      </c>
      <c r="D35" s="12">
        <f>C35*(C16+C25)</f>
        <v>16.6154644</v>
      </c>
      <c r="E35" s="3"/>
      <c r="F35" s="3"/>
      <c r="G35" s="3"/>
      <c r="H35" s="3"/>
      <c r="I35" s="3"/>
    </row>
    <row r="36" spans="1:10" ht="21.75" customHeight="1" thickBot="1" x14ac:dyDescent="0.3">
      <c r="A36" s="3"/>
      <c r="B36" s="6" t="s">
        <v>297</v>
      </c>
      <c r="C36" s="69">
        <f>SUM(C28:C35)</f>
        <v>0.39800000000000008</v>
      </c>
      <c r="D36" s="68">
        <f>SUM(D28:D35)</f>
        <v>1102.1591385333336</v>
      </c>
      <c r="E36" s="3"/>
      <c r="F36" s="3"/>
      <c r="G36" s="3"/>
      <c r="H36" s="3"/>
      <c r="I36" s="3"/>
    </row>
    <row r="37" spans="1:10" ht="18" customHeight="1" thickBot="1" x14ac:dyDescent="0.3">
      <c r="A37" s="9"/>
      <c r="B37" s="9"/>
      <c r="C37" s="9"/>
      <c r="D37" s="9"/>
      <c r="E37" s="9"/>
      <c r="F37" s="9"/>
      <c r="G37" s="9"/>
      <c r="H37" s="9"/>
      <c r="I37" s="9"/>
    </row>
    <row r="38" spans="1:10" ht="18" customHeight="1" thickBot="1" x14ac:dyDescent="0.3">
      <c r="A38" s="7" t="s">
        <v>593</v>
      </c>
      <c r="B38" s="7" t="s">
        <v>594</v>
      </c>
      <c r="C38" s="7" t="s">
        <v>561</v>
      </c>
      <c r="D38" s="8"/>
      <c r="E38" s="8"/>
      <c r="F38" s="113"/>
      <c r="G38" s="108"/>
      <c r="H38" s="108"/>
      <c r="I38" s="109"/>
    </row>
    <row r="39" spans="1:10" ht="15" customHeight="1" thickBot="1" x14ac:dyDescent="0.3">
      <c r="A39" s="12" t="s">
        <v>595</v>
      </c>
      <c r="B39" s="12" t="s">
        <v>596</v>
      </c>
      <c r="C39" s="12">
        <f>IFERROR('L1 Param CCT'!$B$10*2*'L1 Param CCT'!$B$16-(C7*'L1 Param CCT'!$B$11),0)</f>
        <v>63.740000000000009</v>
      </c>
      <c r="D39" s="3"/>
      <c r="E39" s="3"/>
      <c r="F39" s="3"/>
      <c r="G39" s="3"/>
      <c r="H39" s="3"/>
      <c r="I39" s="3"/>
    </row>
    <row r="40" spans="1:10" ht="25.5" customHeight="1" thickBot="1" x14ac:dyDescent="0.3">
      <c r="A40" s="12" t="s">
        <v>597</v>
      </c>
      <c r="B40" s="12" t="s">
        <v>598</v>
      </c>
      <c r="C40" s="12">
        <f>'L1 Param CCT'!$B$9</f>
        <v>400</v>
      </c>
      <c r="D40" s="3"/>
      <c r="E40" s="3"/>
      <c r="F40" s="3"/>
      <c r="G40" s="3"/>
      <c r="H40" s="3"/>
      <c r="I40" s="3"/>
    </row>
    <row r="41" spans="1:10" ht="15" customHeight="1" thickBot="1" x14ac:dyDescent="0.3">
      <c r="A41" s="12" t="s">
        <v>599</v>
      </c>
      <c r="B41" s="12" t="s">
        <v>600</v>
      </c>
      <c r="C41" s="12">
        <v>0</v>
      </c>
      <c r="D41" s="3"/>
      <c r="E41" s="3"/>
      <c r="F41" s="3"/>
      <c r="G41" s="3"/>
      <c r="H41" s="3"/>
      <c r="I41" s="3"/>
    </row>
    <row r="42" spans="1:10" ht="25.5" customHeight="1" thickBot="1" x14ac:dyDescent="0.3">
      <c r="A42" s="12" t="s">
        <v>601</v>
      </c>
      <c r="B42" s="12" t="s">
        <v>602</v>
      </c>
      <c r="C42" s="12">
        <f>'L1 Param CCT'!$B$13</f>
        <v>6.4</v>
      </c>
      <c r="D42" s="3"/>
      <c r="E42" s="3"/>
      <c r="F42" s="3"/>
      <c r="G42" s="3"/>
      <c r="H42" s="3"/>
      <c r="I42" s="3"/>
    </row>
    <row r="43" spans="1:10" ht="25.5" customHeight="1" thickBot="1" x14ac:dyDescent="0.3">
      <c r="A43" s="12" t="s">
        <v>603</v>
      </c>
      <c r="B43" s="12" t="s">
        <v>564</v>
      </c>
      <c r="C43" s="12">
        <v>112</v>
      </c>
      <c r="D43" s="3"/>
      <c r="E43" s="3"/>
      <c r="F43" s="3"/>
      <c r="G43" s="3"/>
      <c r="H43" s="3"/>
      <c r="I43" s="3"/>
    </row>
    <row r="44" spans="1:10" ht="21.75" customHeight="1" thickBot="1" x14ac:dyDescent="0.3">
      <c r="A44" s="12" t="s">
        <v>604</v>
      </c>
      <c r="B44" s="12" t="s">
        <v>605</v>
      </c>
      <c r="C44" s="12">
        <f>'L1 Param CCT'!$B$12</f>
        <v>14.66</v>
      </c>
      <c r="D44" s="3"/>
      <c r="E44" s="3"/>
      <c r="F44" s="3"/>
      <c r="G44" s="3"/>
      <c r="H44" s="3"/>
      <c r="I44" s="3"/>
    </row>
    <row r="45" spans="1:10" ht="21.75" customHeight="1" thickBot="1" x14ac:dyDescent="0.3">
      <c r="A45" s="12" t="s">
        <v>606</v>
      </c>
      <c r="B45" s="12" t="s">
        <v>607</v>
      </c>
      <c r="C45" s="12">
        <f>'L1 Param CCT'!$B$14</f>
        <v>130</v>
      </c>
      <c r="D45" s="3"/>
      <c r="E45" s="3"/>
      <c r="F45" s="3"/>
      <c r="G45" s="3"/>
      <c r="H45" s="3"/>
      <c r="I45" s="3"/>
      <c r="J45" s="41"/>
    </row>
    <row r="46" spans="1:10" ht="21.75" customHeight="1" thickBot="1" x14ac:dyDescent="0.3">
      <c r="A46" s="12" t="s">
        <v>608</v>
      </c>
      <c r="B46" s="12" t="s">
        <v>609</v>
      </c>
      <c r="C46" s="12">
        <v>0</v>
      </c>
      <c r="D46" s="3"/>
      <c r="E46" s="3"/>
      <c r="F46" s="3"/>
      <c r="G46" s="3"/>
      <c r="H46" s="3"/>
      <c r="I46" s="3"/>
    </row>
    <row r="47" spans="1:10" ht="21.75" customHeight="1" thickBot="1" x14ac:dyDescent="0.3">
      <c r="A47" s="12" t="s">
        <v>610</v>
      </c>
      <c r="B47" s="12" t="s">
        <v>570</v>
      </c>
      <c r="C47" s="12">
        <v>0</v>
      </c>
      <c r="D47" s="3"/>
      <c r="E47" s="3"/>
      <c r="F47" s="3"/>
      <c r="G47" s="3"/>
      <c r="H47" s="3"/>
      <c r="I47" s="3"/>
    </row>
    <row r="48" spans="1:10" ht="21.75" customHeight="1" thickBot="1" x14ac:dyDescent="0.3">
      <c r="A48" s="6" t="s">
        <v>611</v>
      </c>
      <c r="B48" s="6" t="s">
        <v>612</v>
      </c>
      <c r="C48" s="68">
        <f>SUM(C39:C47)</f>
        <v>726.8</v>
      </c>
      <c r="D48" s="3"/>
      <c r="E48" s="3"/>
      <c r="F48" s="3"/>
      <c r="G48" s="3"/>
      <c r="H48" s="3"/>
      <c r="I48" s="3"/>
    </row>
    <row r="49" spans="1:9" ht="18" customHeight="1" thickBot="1" x14ac:dyDescent="0.3">
      <c r="A49" s="9"/>
      <c r="B49" s="9"/>
      <c r="C49" s="9"/>
      <c r="D49" s="9"/>
      <c r="E49" s="9"/>
      <c r="F49" s="9"/>
      <c r="G49" s="9"/>
      <c r="H49" s="9"/>
      <c r="I49" s="9"/>
    </row>
    <row r="50" spans="1:9" ht="18" customHeight="1" x14ac:dyDescent="0.25">
      <c r="A50" s="114" t="s">
        <v>572</v>
      </c>
      <c r="B50" s="108"/>
      <c r="C50" s="109"/>
      <c r="D50" s="8"/>
      <c r="E50" s="8"/>
      <c r="F50" s="8"/>
      <c r="G50" s="8"/>
      <c r="H50" s="8"/>
      <c r="I50" s="8"/>
    </row>
    <row r="51" spans="1:9" ht="21.75" customHeight="1" x14ac:dyDescent="0.25">
      <c r="A51" s="3"/>
      <c r="B51" s="12" t="s">
        <v>573</v>
      </c>
      <c r="C51" s="12">
        <f>C25</f>
        <v>469.84406666666661</v>
      </c>
      <c r="D51" s="3"/>
      <c r="E51" s="3"/>
      <c r="F51" s="3"/>
      <c r="G51" s="3"/>
      <c r="H51" s="3"/>
      <c r="I51" s="3"/>
    </row>
    <row r="52" spans="1:9" ht="21.75" customHeight="1" x14ac:dyDescent="0.25">
      <c r="A52" s="3"/>
      <c r="B52" s="12" t="s">
        <v>581</v>
      </c>
      <c r="C52" s="12">
        <f>D36</f>
        <v>1102.1591385333336</v>
      </c>
      <c r="D52" s="3"/>
      <c r="E52" s="3"/>
      <c r="F52" s="3"/>
      <c r="G52" s="3"/>
      <c r="H52" s="3"/>
      <c r="I52" s="3"/>
    </row>
    <row r="53" spans="1:9" ht="21.75" customHeight="1" thickBot="1" x14ac:dyDescent="0.3">
      <c r="A53" s="3"/>
      <c r="B53" s="12" t="s">
        <v>593</v>
      </c>
      <c r="C53" s="12">
        <f>C48</f>
        <v>726.8</v>
      </c>
      <c r="D53" s="3"/>
      <c r="E53" s="3"/>
      <c r="F53" s="3"/>
      <c r="G53" s="3"/>
      <c r="H53" s="3"/>
      <c r="I53" s="3"/>
    </row>
    <row r="54" spans="1:9" ht="18" customHeight="1" thickBot="1" x14ac:dyDescent="0.3">
      <c r="A54" s="24"/>
      <c r="B54" s="68" t="s">
        <v>297</v>
      </c>
      <c r="C54" s="68">
        <f>SUM(C51:C53)</f>
        <v>2298.8032051999999</v>
      </c>
      <c r="D54" s="24"/>
      <c r="E54" s="24"/>
      <c r="F54" s="24"/>
      <c r="G54" s="24"/>
      <c r="H54" s="24"/>
      <c r="I54" s="24"/>
    </row>
    <row r="55" spans="1:9" ht="18" customHeight="1" x14ac:dyDescent="0.25">
      <c r="A55" s="9"/>
      <c r="B55" s="9"/>
      <c r="C55" s="9"/>
      <c r="D55" s="9"/>
      <c r="E55" s="9"/>
      <c r="F55" s="9"/>
      <c r="G55" s="9"/>
      <c r="H55" s="9"/>
      <c r="I55" s="9"/>
    </row>
    <row r="56" spans="1:9" ht="18" customHeight="1" thickBot="1" x14ac:dyDescent="0.3">
      <c r="A56" s="9"/>
      <c r="B56" s="9"/>
      <c r="C56" s="9"/>
      <c r="D56" s="9"/>
      <c r="E56" s="9"/>
      <c r="F56" s="9"/>
      <c r="G56" s="9"/>
      <c r="H56" s="9"/>
      <c r="I56" s="9"/>
    </row>
    <row r="57" spans="1:9" ht="18" customHeight="1" thickBot="1" x14ac:dyDescent="0.3">
      <c r="A57" s="114" t="s">
        <v>613</v>
      </c>
      <c r="B57" s="108"/>
      <c r="C57" s="109"/>
      <c r="D57" s="8"/>
      <c r="E57" s="8"/>
      <c r="F57" s="8"/>
      <c r="G57" s="8"/>
      <c r="H57" s="8"/>
      <c r="I57" s="8"/>
    </row>
    <row r="58" spans="1:9" ht="18" customHeight="1" thickBot="1" x14ac:dyDescent="0.3">
      <c r="A58" s="3" t="s">
        <v>614</v>
      </c>
      <c r="B58" s="12" t="s">
        <v>615</v>
      </c>
      <c r="C58" s="3" t="s">
        <v>561</v>
      </c>
      <c r="D58" s="12" t="s">
        <v>137</v>
      </c>
      <c r="E58" s="3"/>
      <c r="F58" s="3"/>
      <c r="G58" s="3"/>
      <c r="H58" s="3"/>
      <c r="I58" s="3"/>
    </row>
    <row r="59" spans="1:9" ht="18" customHeight="1" thickBot="1" x14ac:dyDescent="0.3">
      <c r="A59" s="3" t="s">
        <v>595</v>
      </c>
      <c r="B59" s="12" t="s">
        <v>616</v>
      </c>
      <c r="C59" s="70">
        <f>C16*D59</f>
        <v>9.5808333333333344</v>
      </c>
      <c r="D59" s="2">
        <f>((1/12)*0.05)</f>
        <v>4.1666666666666666E-3</v>
      </c>
      <c r="E59" s="3"/>
      <c r="F59" s="3"/>
      <c r="G59" s="3"/>
      <c r="H59" s="3"/>
      <c r="I59" s="3"/>
    </row>
    <row r="60" spans="1:9" ht="26.25" customHeight="1" thickBot="1" x14ac:dyDescent="0.3">
      <c r="A60" s="3" t="s">
        <v>597</v>
      </c>
      <c r="B60" s="12" t="s">
        <v>617</v>
      </c>
      <c r="C60" s="70">
        <f>C16*D60</f>
        <v>0.76646666666666663</v>
      </c>
      <c r="D60" s="2">
        <f>D59*8%</f>
        <v>3.3333333333333332E-4</v>
      </c>
      <c r="E60" s="3"/>
      <c r="F60" s="3"/>
      <c r="G60" s="3"/>
      <c r="H60" s="3"/>
      <c r="I60" s="3"/>
    </row>
    <row r="61" spans="1:9" ht="26.25" customHeight="1" thickBot="1" x14ac:dyDescent="0.3">
      <c r="A61" s="3" t="s">
        <v>599</v>
      </c>
      <c r="B61" s="12" t="s">
        <v>618</v>
      </c>
      <c r="C61" s="70">
        <f>C16*D61</f>
        <v>79.09935999999999</v>
      </c>
      <c r="D61" s="2">
        <f>0.08*0.4*0.9*(1+1/12+1/12+(1/3*1/12))</f>
        <v>3.4399999999999993E-2</v>
      </c>
      <c r="E61" s="12" t="s">
        <v>1188</v>
      </c>
      <c r="F61" s="3"/>
      <c r="G61" s="3"/>
      <c r="H61" s="3"/>
      <c r="I61" s="3"/>
    </row>
    <row r="62" spans="1:9" ht="18" customHeight="1" thickBot="1" x14ac:dyDescent="0.3">
      <c r="A62" s="3" t="s">
        <v>601</v>
      </c>
      <c r="B62" s="12" t="s">
        <v>619</v>
      </c>
      <c r="C62" s="70">
        <f>C16*D62</f>
        <v>44.608360000000005</v>
      </c>
      <c r="D62" s="2">
        <v>1.9400000000000001E-2</v>
      </c>
      <c r="E62" s="3"/>
      <c r="F62" s="3"/>
      <c r="G62" s="3"/>
      <c r="H62" s="3"/>
      <c r="I62" s="3"/>
    </row>
    <row r="63" spans="1:9" ht="26.25" customHeight="1" thickBot="1" x14ac:dyDescent="0.3">
      <c r="A63" s="3" t="s">
        <v>603</v>
      </c>
      <c r="B63" s="12" t="s">
        <v>620</v>
      </c>
      <c r="C63" s="70">
        <f>C16*D63</f>
        <v>17.754127280000006</v>
      </c>
      <c r="D63" s="2">
        <f>C36*D62</f>
        <v>7.7212000000000018E-3</v>
      </c>
      <c r="E63" s="3"/>
      <c r="F63" s="3"/>
      <c r="G63" s="3"/>
      <c r="H63" s="3"/>
      <c r="I63" s="3"/>
    </row>
    <row r="64" spans="1:9" ht="26.25" customHeight="1" thickBot="1" x14ac:dyDescent="0.3">
      <c r="A64" s="3" t="s">
        <v>604</v>
      </c>
      <c r="B64" s="12" t="s">
        <v>621</v>
      </c>
      <c r="C64" s="70">
        <f>C16*D64</f>
        <v>1.4256280000000001</v>
      </c>
      <c r="D64" s="2">
        <v>6.2E-4</v>
      </c>
      <c r="E64" s="3"/>
      <c r="F64" s="3"/>
      <c r="G64" s="3"/>
      <c r="H64" s="3"/>
      <c r="I64" s="3"/>
    </row>
    <row r="65" spans="1:9" ht="21.75" customHeight="1" thickBot="1" x14ac:dyDescent="0.3">
      <c r="A65" s="3"/>
      <c r="B65" s="68" t="s">
        <v>297</v>
      </c>
      <c r="C65" s="68">
        <f>SUM(C59:C64)</f>
        <v>153.23477528000001</v>
      </c>
      <c r="D65" s="2">
        <f>SUM(D59:D64)</f>
        <v>6.6641199999999984E-2</v>
      </c>
      <c r="E65" s="3"/>
      <c r="F65" s="3"/>
      <c r="G65" s="3"/>
      <c r="H65" s="3"/>
      <c r="I65" s="3"/>
    </row>
    <row r="66" spans="1:9" ht="18" customHeight="1" x14ac:dyDescent="0.25">
      <c r="A66" s="9"/>
      <c r="B66" s="9"/>
      <c r="C66" s="9"/>
      <c r="D66" s="9"/>
      <c r="E66" s="9"/>
      <c r="F66" s="9"/>
      <c r="G66" s="9"/>
      <c r="H66" s="9"/>
      <c r="I66" s="9"/>
    </row>
    <row r="67" spans="1:9" ht="18" customHeight="1" thickBot="1" x14ac:dyDescent="0.3">
      <c r="A67" s="9"/>
      <c r="B67" s="9"/>
      <c r="C67" s="9"/>
      <c r="D67" s="9"/>
      <c r="E67" s="9"/>
      <c r="F67" s="9"/>
      <c r="G67" s="9"/>
      <c r="H67" s="9"/>
      <c r="I67" s="9"/>
    </row>
    <row r="68" spans="1:9" ht="18" customHeight="1" thickBot="1" x14ac:dyDescent="0.3">
      <c r="A68" s="114" t="s">
        <v>622</v>
      </c>
      <c r="B68" s="108"/>
      <c r="C68" s="109"/>
      <c r="D68" s="8"/>
      <c r="E68" s="8"/>
      <c r="F68" s="8"/>
      <c r="G68" s="8"/>
      <c r="H68" s="8"/>
      <c r="I68" s="8"/>
    </row>
    <row r="69" spans="1:9" ht="21.75" customHeight="1" thickBot="1" x14ac:dyDescent="0.3">
      <c r="A69" s="127" t="s">
        <v>623</v>
      </c>
      <c r="B69" s="108"/>
      <c r="C69" s="71" t="s">
        <v>561</v>
      </c>
      <c r="D69" s="72" t="s">
        <v>137</v>
      </c>
      <c r="E69" s="3"/>
      <c r="F69" s="3"/>
      <c r="G69" s="3"/>
      <c r="H69" s="3"/>
      <c r="I69" s="3"/>
    </row>
    <row r="70" spans="1:9" ht="15.75" customHeight="1" thickBot="1" x14ac:dyDescent="0.3">
      <c r="A70" s="3" t="s">
        <v>595</v>
      </c>
      <c r="B70" s="12" t="s">
        <v>624</v>
      </c>
      <c r="C70" s="12">
        <f>D70*C16</f>
        <v>39.15367222222222</v>
      </c>
      <c r="D70" s="2">
        <f>SUM(E22:E24)/12</f>
        <v>1.7027777777777777E-2</v>
      </c>
      <c r="E70" s="3"/>
      <c r="F70" s="3"/>
      <c r="G70" s="3"/>
      <c r="H70" s="3"/>
      <c r="I70" s="3"/>
    </row>
    <row r="71" spans="1:9" ht="26.25" customHeight="1" thickBot="1" x14ac:dyDescent="0.3">
      <c r="A71" s="3" t="s">
        <v>597</v>
      </c>
      <c r="B71" s="12" t="s">
        <v>625</v>
      </c>
      <c r="C71" s="12">
        <f>D71*C16</f>
        <v>18.855080000000001</v>
      </c>
      <c r="D71" s="2">
        <v>8.2000000000000007E-3</v>
      </c>
      <c r="E71" s="3"/>
      <c r="F71" s="3"/>
      <c r="G71" s="3"/>
      <c r="H71" s="3"/>
      <c r="I71" s="3"/>
    </row>
    <row r="72" spans="1:9" ht="26.25" customHeight="1" thickBot="1" x14ac:dyDescent="0.3">
      <c r="A72" s="3" t="s">
        <v>599</v>
      </c>
      <c r="B72" s="12" t="s">
        <v>626</v>
      </c>
      <c r="C72" s="12">
        <f>D72*C16</f>
        <v>0.45988000000000007</v>
      </c>
      <c r="D72" s="2">
        <v>2.0000000000000001E-4</v>
      </c>
      <c r="E72" s="3"/>
      <c r="F72" s="3"/>
      <c r="G72" s="3"/>
      <c r="H72" s="3"/>
      <c r="I72" s="3"/>
    </row>
    <row r="73" spans="1:9" ht="26.25" customHeight="1" thickBot="1" x14ac:dyDescent="0.3">
      <c r="A73" s="3" t="s">
        <v>601</v>
      </c>
      <c r="B73" s="12" t="s">
        <v>627</v>
      </c>
      <c r="C73" s="12">
        <f>D73*C16</f>
        <v>1.60958</v>
      </c>
      <c r="D73" s="2">
        <v>6.9999999999999999E-4</v>
      </c>
      <c r="E73" s="3"/>
      <c r="F73" s="3"/>
      <c r="G73" s="3"/>
      <c r="H73" s="3"/>
      <c r="I73" s="3"/>
    </row>
    <row r="74" spans="1:9" ht="26.25" customHeight="1" thickBot="1" x14ac:dyDescent="0.3">
      <c r="A74" s="3" t="s">
        <v>603</v>
      </c>
      <c r="B74" s="12" t="s">
        <v>628</v>
      </c>
      <c r="C74" s="12">
        <f>D74*C16</f>
        <v>4.5988000000000007</v>
      </c>
      <c r="D74" s="2">
        <v>2E-3</v>
      </c>
      <c r="E74" s="3"/>
      <c r="F74" s="3"/>
      <c r="G74" s="3"/>
      <c r="H74" s="3"/>
      <c r="I74" s="3"/>
    </row>
    <row r="75" spans="1:9" ht="26.25" customHeight="1" thickBot="1" x14ac:dyDescent="0.3">
      <c r="A75" s="74" t="s">
        <v>604</v>
      </c>
      <c r="B75" s="12" t="s">
        <v>629</v>
      </c>
      <c r="C75" s="12">
        <f>D75*C16</f>
        <v>0</v>
      </c>
      <c r="D75" s="2">
        <v>0</v>
      </c>
      <c r="E75" s="3"/>
      <c r="F75" s="3"/>
      <c r="G75" s="3"/>
      <c r="H75" s="3"/>
      <c r="I75" s="3"/>
    </row>
    <row r="76" spans="1:9" ht="26.25" customHeight="1" thickBot="1" x14ac:dyDescent="0.3">
      <c r="A76" s="74"/>
      <c r="B76" s="12" t="s">
        <v>1185</v>
      </c>
      <c r="C76" s="75">
        <f>SUM(C70:C75)</f>
        <v>64.677012222222217</v>
      </c>
      <c r="D76" s="76"/>
      <c r="E76" s="3"/>
      <c r="F76" s="3"/>
      <c r="G76" s="3"/>
      <c r="H76" s="3"/>
      <c r="I76" s="3"/>
    </row>
    <row r="77" spans="1:9" ht="26.25" customHeight="1" thickBot="1" x14ac:dyDescent="0.3">
      <c r="A77" s="74"/>
      <c r="B77" s="12" t="s">
        <v>1186</v>
      </c>
      <c r="C77" s="75">
        <f>C16*D77</f>
        <v>25.741450864444452</v>
      </c>
      <c r="D77" s="76">
        <f>SUM(D70:D76)*C36</f>
        <v>1.1194855555555558E-2</v>
      </c>
      <c r="E77" s="3"/>
      <c r="F77" s="3"/>
      <c r="G77" s="3"/>
      <c r="H77" s="3"/>
      <c r="I77" s="3"/>
    </row>
    <row r="78" spans="1:9" ht="15.75" customHeight="1" thickBot="1" x14ac:dyDescent="0.3">
      <c r="A78" s="127" t="s">
        <v>630</v>
      </c>
      <c r="B78" s="128"/>
      <c r="C78" s="73" t="s">
        <v>561</v>
      </c>
      <c r="D78" s="71"/>
      <c r="E78" s="3"/>
      <c r="F78" s="3"/>
      <c r="G78" s="3"/>
      <c r="H78" s="3"/>
      <c r="I78" s="3"/>
    </row>
    <row r="79" spans="1:9" ht="26.25" customHeight="1" thickBot="1" x14ac:dyDescent="0.3">
      <c r="A79" s="3" t="s">
        <v>595</v>
      </c>
      <c r="B79" s="12" t="s">
        <v>631</v>
      </c>
      <c r="C79" s="12">
        <f>(C16/220)*C14*15</f>
        <v>0</v>
      </c>
      <c r="D79" s="2"/>
      <c r="E79" s="3"/>
      <c r="F79" s="3"/>
      <c r="G79" s="3"/>
      <c r="H79" s="3"/>
      <c r="I79" s="3"/>
    </row>
    <row r="80" spans="1:9" ht="21.75" customHeight="1" thickBot="1" x14ac:dyDescent="0.3">
      <c r="A80" s="3"/>
      <c r="B80" s="12" t="s">
        <v>632</v>
      </c>
      <c r="C80" s="12">
        <f>SUM(C76+C77)</f>
        <v>90.418463086666662</v>
      </c>
      <c r="D80" s="42"/>
      <c r="E80" s="3"/>
      <c r="F80" s="3"/>
      <c r="G80" s="3"/>
      <c r="H80" s="3"/>
      <c r="I80" s="3"/>
    </row>
    <row r="81" spans="1:9" ht="18" customHeight="1" x14ac:dyDescent="0.25">
      <c r="A81" s="9"/>
      <c r="B81" s="9"/>
      <c r="C81" s="9"/>
      <c r="D81" s="9"/>
      <c r="E81" s="9"/>
      <c r="F81" s="9"/>
      <c r="G81" s="9"/>
      <c r="H81" s="9"/>
      <c r="I81" s="9"/>
    </row>
    <row r="82" spans="1:9" ht="18" customHeight="1" x14ac:dyDescent="0.25">
      <c r="A82" s="9"/>
      <c r="B82" s="9"/>
      <c r="C82" s="9"/>
      <c r="D82" s="9"/>
      <c r="E82" s="9"/>
      <c r="F82" s="9"/>
      <c r="G82" s="9"/>
      <c r="H82" s="9"/>
      <c r="I82" s="9"/>
    </row>
    <row r="83" spans="1:9" ht="18" customHeight="1" thickBot="1" x14ac:dyDescent="0.3">
      <c r="A83" s="114" t="s">
        <v>633</v>
      </c>
      <c r="B83" s="108"/>
      <c r="C83" s="109"/>
      <c r="D83" s="8"/>
      <c r="E83" s="8"/>
      <c r="F83" s="8"/>
      <c r="G83" s="8"/>
      <c r="H83" s="8"/>
      <c r="I83" s="8"/>
    </row>
    <row r="84" spans="1:9" ht="21.75" customHeight="1" thickBot="1" x14ac:dyDescent="0.3">
      <c r="A84" s="12" t="s">
        <v>634</v>
      </c>
      <c r="B84" s="12" t="s">
        <v>635</v>
      </c>
      <c r="C84" s="12" t="s">
        <v>561</v>
      </c>
      <c r="D84" s="3"/>
      <c r="E84" s="3"/>
      <c r="F84" s="3"/>
      <c r="G84" s="3"/>
      <c r="H84" s="3"/>
      <c r="I84" s="3"/>
    </row>
    <row r="85" spans="1:9" ht="18" customHeight="1" x14ac:dyDescent="0.25">
      <c r="A85" s="9"/>
      <c r="B85" s="85" t="s">
        <v>636</v>
      </c>
      <c r="C85" s="83">
        <v>97.71</v>
      </c>
      <c r="D85" s="9"/>
      <c r="E85" s="9"/>
      <c r="F85" s="9"/>
      <c r="G85" s="9"/>
      <c r="H85" s="9"/>
      <c r="I85" s="9"/>
    </row>
    <row r="86" spans="1:9" ht="18" customHeight="1" thickBot="1" x14ac:dyDescent="0.3">
      <c r="A86" s="9"/>
      <c r="B86" s="83" t="s">
        <v>637</v>
      </c>
      <c r="C86" s="83">
        <v>0</v>
      </c>
      <c r="D86" s="9"/>
      <c r="E86" s="9"/>
      <c r="F86" s="9"/>
      <c r="G86" s="9"/>
      <c r="H86" s="9"/>
      <c r="I86" s="9"/>
    </row>
    <row r="87" spans="1:9" ht="21.75" customHeight="1" thickBot="1" x14ac:dyDescent="0.3">
      <c r="A87" s="3"/>
      <c r="B87" s="68" t="s">
        <v>297</v>
      </c>
      <c r="C87" s="68">
        <f>C85+(C85*C86)</f>
        <v>97.71</v>
      </c>
      <c r="D87" s="3"/>
      <c r="E87" s="3"/>
      <c r="F87" s="3"/>
      <c r="G87" s="3"/>
      <c r="H87" s="3"/>
      <c r="I87" s="3"/>
    </row>
    <row r="88" spans="1:9" ht="18" customHeight="1" thickBot="1" x14ac:dyDescent="0.3">
      <c r="A88" s="9"/>
      <c r="B88" s="9"/>
      <c r="C88" s="92"/>
      <c r="D88" s="9"/>
      <c r="E88" s="9"/>
      <c r="F88" s="9"/>
      <c r="G88" s="9"/>
      <c r="H88" s="9"/>
      <c r="I88" s="9"/>
    </row>
    <row r="89" spans="1:9" ht="21.75" customHeight="1" thickBot="1" x14ac:dyDescent="0.3">
      <c r="A89" s="12" t="s">
        <v>638</v>
      </c>
      <c r="B89" s="12" t="s">
        <v>639</v>
      </c>
      <c r="C89" s="12" t="s">
        <v>561</v>
      </c>
      <c r="D89" s="3"/>
      <c r="E89" s="3"/>
      <c r="F89" s="3"/>
      <c r="G89" s="3"/>
      <c r="H89" s="3"/>
      <c r="I89" s="3"/>
    </row>
    <row r="90" spans="1:9" ht="21.75" customHeight="1" thickBot="1" x14ac:dyDescent="0.3">
      <c r="A90" s="3"/>
      <c r="B90" s="12" t="s">
        <v>636</v>
      </c>
      <c r="C90" s="12">
        <f>'L1 Material'!F107</f>
        <v>309.24372866344601</v>
      </c>
      <c r="D90" s="3"/>
      <c r="E90" s="3"/>
      <c r="F90" s="3"/>
      <c r="G90" s="3"/>
      <c r="H90" s="3"/>
      <c r="I90" s="3"/>
    </row>
    <row r="91" spans="1:9" ht="18" customHeight="1" thickBot="1" x14ac:dyDescent="0.3">
      <c r="A91" s="9"/>
      <c r="B91" s="83" t="s">
        <v>637</v>
      </c>
      <c r="C91" s="83">
        <v>0</v>
      </c>
      <c r="D91" s="9"/>
      <c r="E91" s="9"/>
      <c r="F91" s="9"/>
      <c r="G91" s="9"/>
      <c r="H91" s="9"/>
      <c r="I91" s="9"/>
    </row>
    <row r="92" spans="1:9" ht="38.25" customHeight="1" thickBot="1" x14ac:dyDescent="0.3">
      <c r="A92" s="3"/>
      <c r="B92" s="12" t="s">
        <v>640</v>
      </c>
      <c r="C92" s="12">
        <f>(C90+(C90*C91))*3.2%</f>
        <v>9.8957993172302725</v>
      </c>
      <c r="D92" s="3"/>
      <c r="E92" s="3"/>
      <c r="F92" s="3"/>
      <c r="G92" s="3"/>
      <c r="H92" s="3"/>
      <c r="I92" s="3"/>
    </row>
    <row r="93" spans="1:9" ht="21.75" customHeight="1" thickBot="1" x14ac:dyDescent="0.3">
      <c r="A93" s="3"/>
      <c r="B93" s="12" t="s">
        <v>641</v>
      </c>
      <c r="C93" s="12">
        <f>(C90+(C90*C91))-C92</f>
        <v>299.34792934621572</v>
      </c>
      <c r="D93" s="3"/>
      <c r="E93" s="3"/>
      <c r="F93" s="3"/>
      <c r="G93" s="3"/>
      <c r="H93" s="3"/>
      <c r="I93" s="3"/>
    </row>
    <row r="94" spans="1:9" ht="18" customHeight="1" thickBot="1" x14ac:dyDescent="0.3">
      <c r="A94" s="9"/>
      <c r="B94" s="9"/>
      <c r="C94" s="9"/>
      <c r="D94" s="9"/>
      <c r="E94" s="9"/>
      <c r="F94" s="9"/>
      <c r="G94" s="9"/>
      <c r="H94" s="9"/>
      <c r="I94" s="9"/>
    </row>
    <row r="95" spans="1:9" ht="18" customHeight="1" thickBot="1" x14ac:dyDescent="0.3">
      <c r="A95" s="114" t="s">
        <v>633</v>
      </c>
      <c r="B95" s="108"/>
      <c r="C95" s="109"/>
      <c r="D95" s="8"/>
      <c r="E95" s="8"/>
      <c r="F95" s="8"/>
      <c r="G95" s="8"/>
      <c r="H95" s="8"/>
      <c r="I95" s="8"/>
    </row>
    <row r="96" spans="1:9" ht="21.75" customHeight="1" thickBot="1" x14ac:dyDescent="0.3">
      <c r="A96" s="3"/>
      <c r="B96" s="12" t="s">
        <v>634</v>
      </c>
      <c r="C96" s="12">
        <f>C87</f>
        <v>97.71</v>
      </c>
      <c r="D96" s="3"/>
      <c r="E96" s="3"/>
      <c r="F96" s="3"/>
      <c r="G96" s="3"/>
      <c r="H96" s="3"/>
      <c r="I96" s="3"/>
    </row>
    <row r="97" spans="1:9" ht="21.75" customHeight="1" thickBot="1" x14ac:dyDescent="0.3">
      <c r="A97" s="3"/>
      <c r="B97" s="12" t="s">
        <v>638</v>
      </c>
      <c r="C97" s="12">
        <f>C93</f>
        <v>299.34792934621572</v>
      </c>
      <c r="D97" s="3"/>
      <c r="E97" s="3"/>
      <c r="F97" s="3"/>
      <c r="G97" s="3"/>
      <c r="H97" s="3"/>
      <c r="I97" s="3"/>
    </row>
    <row r="98" spans="1:9" ht="21.75" customHeight="1" thickBot="1" x14ac:dyDescent="0.3">
      <c r="A98" s="3"/>
      <c r="B98" s="68" t="s">
        <v>297</v>
      </c>
      <c r="C98" s="68">
        <f>C96+C97</f>
        <v>397.0579293462157</v>
      </c>
      <c r="D98" s="3"/>
      <c r="E98" s="3"/>
      <c r="F98" s="3"/>
      <c r="G98" s="3"/>
      <c r="H98" s="3"/>
      <c r="I98" s="3"/>
    </row>
    <row r="99" spans="1:9" ht="18" customHeight="1" x14ac:dyDescent="0.25">
      <c r="A99" s="9"/>
      <c r="B99" s="9"/>
      <c r="C99" s="9"/>
      <c r="D99" s="9"/>
      <c r="E99" s="9"/>
      <c r="F99" s="9"/>
      <c r="G99" s="9"/>
      <c r="H99" s="9"/>
      <c r="I99" s="9"/>
    </row>
    <row r="100" spans="1:9" ht="18" customHeight="1" x14ac:dyDescent="0.25">
      <c r="A100" s="9"/>
      <c r="B100" s="9"/>
      <c r="C100" s="9"/>
      <c r="D100" s="9"/>
      <c r="E100" s="9"/>
      <c r="F100" s="9"/>
      <c r="G100" s="9"/>
      <c r="H100" s="9"/>
      <c r="I100" s="9"/>
    </row>
    <row r="101" spans="1:9" ht="18" customHeight="1" thickBot="1" x14ac:dyDescent="0.3">
      <c r="A101" s="114" t="s">
        <v>642</v>
      </c>
      <c r="B101" s="108"/>
      <c r="C101" s="109"/>
      <c r="D101" s="8"/>
      <c r="E101" s="8"/>
      <c r="F101" s="8"/>
      <c r="G101" s="8"/>
      <c r="H101" s="8"/>
      <c r="I101" s="8"/>
    </row>
    <row r="102" spans="1:9" ht="25.5" customHeight="1" thickBot="1" x14ac:dyDescent="0.3">
      <c r="A102" s="3"/>
      <c r="B102" s="12" t="s">
        <v>643</v>
      </c>
      <c r="C102" s="12">
        <f>C16+C54+C65+C80+C98</f>
        <v>5238.9143729128818</v>
      </c>
      <c r="D102" s="3"/>
      <c r="E102" s="125" t="s">
        <v>644</v>
      </c>
      <c r="F102" s="12" t="s">
        <v>645</v>
      </c>
      <c r="G102" s="125">
        <f>-1</f>
        <v>-1</v>
      </c>
      <c r="H102" s="3"/>
      <c r="I102" s="3"/>
    </row>
    <row r="103" spans="1:9" ht="15.75" thickBot="1" x14ac:dyDescent="0.3">
      <c r="A103" s="3"/>
      <c r="B103" s="12" t="s">
        <v>646</v>
      </c>
      <c r="C103" s="2">
        <f>(1+G115)/(1-G110-G116)-100%</f>
        <v>0.30445795339412363</v>
      </c>
      <c r="D103" s="3"/>
      <c r="E103" s="126"/>
      <c r="F103" s="12" t="s">
        <v>647</v>
      </c>
      <c r="G103" s="126"/>
      <c r="H103" s="3"/>
      <c r="I103" s="3"/>
    </row>
    <row r="104" spans="1:9" ht="15.75" thickBot="1" x14ac:dyDescent="0.3">
      <c r="A104" s="3"/>
      <c r="B104" s="68" t="s">
        <v>648</v>
      </c>
      <c r="C104" s="68">
        <f>C102*C103</f>
        <v>1595.0291479841146</v>
      </c>
      <c r="D104" s="3"/>
      <c r="E104" s="3"/>
      <c r="F104" s="3"/>
      <c r="G104" s="3"/>
      <c r="H104" s="3"/>
      <c r="I104" s="3"/>
    </row>
    <row r="105" spans="1:9" ht="18" customHeight="1" x14ac:dyDescent="0.25">
      <c r="A105" s="9"/>
      <c r="B105" s="9"/>
      <c r="C105" s="9"/>
      <c r="D105" s="9"/>
      <c r="E105" s="9"/>
      <c r="F105" s="9"/>
      <c r="G105" s="9"/>
      <c r="H105" s="9"/>
      <c r="I105" s="9"/>
    </row>
    <row r="106" spans="1:9" ht="18" customHeight="1" thickBot="1" x14ac:dyDescent="0.3">
      <c r="A106" s="9"/>
      <c r="B106" s="9"/>
      <c r="C106" s="9"/>
      <c r="D106" s="9"/>
      <c r="E106" s="43"/>
      <c r="F106" s="19"/>
      <c r="G106" s="1"/>
      <c r="H106" s="19"/>
      <c r="I106" s="9"/>
    </row>
    <row r="107" spans="1:9" ht="21.75" customHeight="1" thickBot="1" x14ac:dyDescent="0.3">
      <c r="A107" s="115" t="s">
        <v>649</v>
      </c>
      <c r="B107" s="109"/>
      <c r="C107" s="3"/>
      <c r="D107" s="3"/>
      <c r="E107" s="44"/>
      <c r="F107" s="13"/>
      <c r="G107" s="44"/>
      <c r="H107" s="44"/>
      <c r="I107" s="2"/>
    </row>
    <row r="108" spans="1:9" ht="18" customHeight="1" thickBot="1" x14ac:dyDescent="0.3">
      <c r="A108" s="9"/>
      <c r="B108" s="9"/>
      <c r="C108" s="9"/>
      <c r="D108" s="9"/>
      <c r="E108" s="9"/>
      <c r="F108" s="9"/>
      <c r="G108" s="9"/>
      <c r="H108" s="9"/>
      <c r="I108" s="35"/>
    </row>
    <row r="109" spans="1:9" ht="21.75" customHeight="1" thickBot="1" x14ac:dyDescent="0.3">
      <c r="A109" s="12" t="s">
        <v>650</v>
      </c>
      <c r="B109" s="12" t="s">
        <v>651</v>
      </c>
      <c r="C109" s="3"/>
      <c r="D109" s="3"/>
      <c r="E109" s="3"/>
      <c r="F109" s="3"/>
      <c r="G109" s="3"/>
      <c r="H109" s="3"/>
      <c r="I109" s="3"/>
    </row>
    <row r="110" spans="1:9" ht="21.75" customHeight="1" thickBot="1" x14ac:dyDescent="0.3">
      <c r="A110" s="12" t="s">
        <v>652</v>
      </c>
      <c r="B110" s="12">
        <f>C16</f>
        <v>2299.4</v>
      </c>
      <c r="C110" s="3"/>
      <c r="D110" s="3"/>
      <c r="E110" s="3"/>
      <c r="F110" s="80" t="s">
        <v>653</v>
      </c>
      <c r="G110" s="81">
        <f>SUM(G111:G113)</f>
        <v>0.14250000000000002</v>
      </c>
      <c r="H110" s="3" t="s">
        <v>561</v>
      </c>
      <c r="I110" s="3"/>
    </row>
    <row r="111" spans="1:9" ht="21.75" customHeight="1" thickBot="1" x14ac:dyDescent="0.3">
      <c r="A111" s="12" t="s">
        <v>654</v>
      </c>
      <c r="B111" s="12">
        <f>C54</f>
        <v>2298.8032051999999</v>
      </c>
      <c r="C111" s="3"/>
      <c r="D111" s="3"/>
      <c r="E111" s="3"/>
      <c r="F111" s="80" t="s">
        <v>655</v>
      </c>
      <c r="G111" s="81">
        <v>0.05</v>
      </c>
      <c r="H111" s="70">
        <f>C102*G111</f>
        <v>261.94571864564409</v>
      </c>
      <c r="I111" s="3"/>
    </row>
    <row r="112" spans="1:9" ht="21.75" customHeight="1" thickBot="1" x14ac:dyDescent="0.3">
      <c r="A112" s="12" t="s">
        <v>656</v>
      </c>
      <c r="B112" s="12">
        <f>C65</f>
        <v>153.23477528000001</v>
      </c>
      <c r="C112" s="3"/>
      <c r="D112" s="3"/>
      <c r="E112" s="3"/>
      <c r="F112" s="80" t="s">
        <v>657</v>
      </c>
      <c r="G112" s="81">
        <v>7.5999999999999998E-2</v>
      </c>
      <c r="H112" s="70">
        <f>C102*G112</f>
        <v>398.157492341379</v>
      </c>
      <c r="I112" s="3"/>
    </row>
    <row r="113" spans="1:9" ht="21.75" customHeight="1" thickBot="1" x14ac:dyDescent="0.3">
      <c r="A113" s="12" t="s">
        <v>658</v>
      </c>
      <c r="B113" s="12">
        <f>C80</f>
        <v>90.418463086666662</v>
      </c>
      <c r="C113" s="3"/>
      <c r="D113" s="3"/>
      <c r="E113" s="3"/>
      <c r="F113" s="80" t="s">
        <v>659</v>
      </c>
      <c r="G113" s="81">
        <v>1.6500000000000001E-2</v>
      </c>
      <c r="H113" s="70">
        <f>C102*G113</f>
        <v>86.442087153062559</v>
      </c>
      <c r="I113" s="3"/>
    </row>
    <row r="114" spans="1:9" ht="21.75" customHeight="1" thickBot="1" x14ac:dyDescent="0.3">
      <c r="A114" s="12" t="s">
        <v>660</v>
      </c>
      <c r="B114" s="12">
        <f>C98</f>
        <v>397.0579293462157</v>
      </c>
      <c r="C114" s="3"/>
      <c r="D114" s="3"/>
      <c r="E114" s="3"/>
      <c r="F114" s="100"/>
      <c r="G114" s="81"/>
      <c r="H114" s="70"/>
      <c r="I114" s="3"/>
    </row>
    <row r="115" spans="1:9" ht="21.75" customHeight="1" thickBot="1" x14ac:dyDescent="0.3">
      <c r="A115" s="12" t="s">
        <v>661</v>
      </c>
      <c r="B115" s="12">
        <f>C104</f>
        <v>1595.0291479841146</v>
      </c>
      <c r="C115" s="3"/>
      <c r="D115" s="3"/>
      <c r="E115" s="3"/>
      <c r="F115" s="80" t="s">
        <v>662</v>
      </c>
      <c r="G115" s="81">
        <v>0.03</v>
      </c>
      <c r="H115" s="70">
        <f>C102*G115</f>
        <v>157.16743118738646</v>
      </c>
      <c r="I115" s="3"/>
    </row>
    <row r="116" spans="1:9" ht="18" customHeight="1" thickBot="1" x14ac:dyDescent="0.3">
      <c r="A116" s="68" t="s">
        <v>663</v>
      </c>
      <c r="B116" s="68">
        <f>SUM(B110:B115)</f>
        <v>6833.9435208969962</v>
      </c>
      <c r="C116" s="24"/>
      <c r="D116" s="24"/>
      <c r="E116" s="24"/>
      <c r="F116" s="101" t="s">
        <v>664</v>
      </c>
      <c r="G116" s="102">
        <v>6.7900000000000002E-2</v>
      </c>
      <c r="H116" s="70">
        <f>C102*G116</f>
        <v>355.72228592078471</v>
      </c>
      <c r="I116" s="24"/>
    </row>
    <row r="117" spans="1:9" ht="13.5" customHeight="1" x14ac:dyDescent="0.25">
      <c r="F117" s="45"/>
      <c r="G117" s="46"/>
      <c r="H117" s="79"/>
    </row>
  </sheetData>
  <autoFilter ref="A6:I116" xr:uid="{00000000-0009-0000-0000-000007000000}"/>
  <mergeCells count="14">
    <mergeCell ref="A107:B107"/>
    <mergeCell ref="A69:B69"/>
    <mergeCell ref="A101:C101"/>
    <mergeCell ref="E102:E103"/>
    <mergeCell ref="A19:C19"/>
    <mergeCell ref="A68:C68"/>
    <mergeCell ref="A2:I2"/>
    <mergeCell ref="G102:G103"/>
    <mergeCell ref="A57:C57"/>
    <mergeCell ref="A95:C95"/>
    <mergeCell ref="A78:B78"/>
    <mergeCell ref="F38:I38"/>
    <mergeCell ref="A50:C50"/>
    <mergeCell ref="A83:C83"/>
  </mergeCells>
  <printOptions horizontalCentered="1"/>
  <pageMargins left="0.35" right="0.35" top="0.55000000000000004" bottom="0.55000000000000004" header="0.511811023622047" footer="0.511811023622047"/>
  <pageSetup paperSize="9" scale="88" fitToHeight="0" pageOrder="overThenDown" orientation="landscape" useFirstPageNumber="1"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J117"/>
  <sheetViews>
    <sheetView showGridLines="0" topLeftCell="A58" zoomScaleNormal="100" workbookViewId="0">
      <selection activeCell="E61" sqref="E61"/>
    </sheetView>
  </sheetViews>
  <sheetFormatPr defaultColWidth="8.5703125" defaultRowHeight="15" x14ac:dyDescent="0.25"/>
  <cols>
    <col min="1" max="1" width="28.42578125" customWidth="1"/>
    <col min="2" max="2" width="34" customWidth="1"/>
    <col min="3" max="3" width="16" customWidth="1"/>
    <col min="4" max="4" width="13" customWidth="1"/>
    <col min="5" max="5" width="20" customWidth="1"/>
    <col min="6" max="6" width="20.85546875" customWidth="1"/>
    <col min="7" max="7" width="13" customWidth="1"/>
    <col min="8" max="8" width="8" customWidth="1"/>
    <col min="9" max="9" width="13" customWidth="1"/>
    <col min="10" max="10" width="15.85546875" customWidth="1"/>
  </cols>
  <sheetData>
    <row r="1" spans="1:9" ht="15.75" customHeight="1" x14ac:dyDescent="0.25"/>
    <row r="2" spans="1:9" ht="32.25" customHeight="1" x14ac:dyDescent="0.25">
      <c r="A2" s="121" t="s">
        <v>665</v>
      </c>
      <c r="B2" s="108"/>
      <c r="C2" s="108"/>
      <c r="D2" s="108"/>
      <c r="E2" s="108"/>
      <c r="F2" s="108"/>
      <c r="G2" s="108"/>
      <c r="H2" s="108"/>
      <c r="I2" s="109"/>
    </row>
    <row r="3" spans="1:9" ht="18" customHeight="1" x14ac:dyDescent="0.25">
      <c r="A3" s="9"/>
      <c r="B3" s="9"/>
      <c r="C3" s="9"/>
      <c r="D3" s="9"/>
      <c r="E3" s="9"/>
      <c r="F3" s="9"/>
      <c r="G3" s="9"/>
      <c r="H3" s="9"/>
      <c r="I3" s="9"/>
    </row>
    <row r="4" spans="1:9" ht="18" customHeight="1" x14ac:dyDescent="0.25">
      <c r="A4" s="9"/>
      <c r="B4" s="9"/>
      <c r="C4" s="9"/>
      <c r="D4" s="9"/>
      <c r="E4" s="9"/>
      <c r="F4" s="9"/>
      <c r="G4" s="9"/>
      <c r="H4" s="9"/>
      <c r="I4" s="9"/>
    </row>
    <row r="5" spans="1:9" ht="18" customHeight="1" x14ac:dyDescent="0.25">
      <c r="A5" s="9"/>
      <c r="B5" s="9"/>
      <c r="C5" s="9"/>
      <c r="D5" s="9"/>
      <c r="E5" s="9"/>
      <c r="F5" s="9"/>
      <c r="G5" s="9"/>
      <c r="H5" s="9"/>
      <c r="I5" s="9"/>
    </row>
    <row r="6" spans="1:9" ht="21.75" customHeight="1" thickBot="1" x14ac:dyDescent="0.3">
      <c r="A6" s="12" t="s">
        <v>559</v>
      </c>
      <c r="B6" s="12" t="s">
        <v>560</v>
      </c>
      <c r="C6" s="12" t="s">
        <v>561</v>
      </c>
      <c r="D6" s="12" t="s">
        <v>137</v>
      </c>
      <c r="E6" s="3"/>
      <c r="F6" s="12" t="s">
        <v>562</v>
      </c>
      <c r="G6" s="3"/>
      <c r="H6" s="3"/>
      <c r="I6" s="47"/>
    </row>
    <row r="7" spans="1:9" ht="21.75" customHeight="1" thickBot="1" x14ac:dyDescent="0.3">
      <c r="A7" s="3"/>
      <c r="B7" s="12" t="s">
        <v>563</v>
      </c>
      <c r="C7" s="12">
        <f>IFERROR('L1 Param CCT'!$B$5/2,0)</f>
        <v>825.5</v>
      </c>
      <c r="D7" s="2"/>
      <c r="E7" s="3"/>
      <c r="F7" s="12">
        <f>'L1 Param CCT'!$B$6</f>
        <v>1621</v>
      </c>
      <c r="G7" s="3"/>
      <c r="H7" s="3"/>
      <c r="I7" s="47"/>
    </row>
    <row r="8" spans="1:9" ht="25.5" customHeight="1" thickBot="1" x14ac:dyDescent="0.3">
      <c r="A8" s="9"/>
      <c r="B8" s="38" t="s">
        <v>564</v>
      </c>
      <c r="C8" s="83">
        <v>0</v>
      </c>
      <c r="D8" s="35"/>
      <c r="E8" s="9"/>
      <c r="F8" s="9"/>
      <c r="G8" s="9"/>
      <c r="H8" s="9"/>
      <c r="I8" s="9"/>
    </row>
    <row r="9" spans="1:9" ht="21.75" customHeight="1" thickBot="1" x14ac:dyDescent="0.3">
      <c r="A9" s="3"/>
      <c r="B9" s="12" t="s">
        <v>565</v>
      </c>
      <c r="C9" s="12">
        <f>D9*F7</f>
        <v>0</v>
      </c>
      <c r="D9" s="2">
        <v>0</v>
      </c>
      <c r="E9" s="3"/>
      <c r="F9" s="3"/>
      <c r="G9" s="3"/>
      <c r="H9" s="3"/>
      <c r="I9" s="3"/>
    </row>
    <row r="10" spans="1:9" ht="21.75" customHeight="1" thickBot="1" x14ac:dyDescent="0.3">
      <c r="A10" s="3"/>
      <c r="B10" s="12" t="s">
        <v>566</v>
      </c>
      <c r="C10" s="12">
        <f>IFERROR(D10*F7,0)</f>
        <v>648.40000000000009</v>
      </c>
      <c r="D10" s="2">
        <f>'L1 Param CCT'!$B$7</f>
        <v>0.4</v>
      </c>
      <c r="E10" s="3"/>
      <c r="F10" s="3"/>
      <c r="G10" s="3"/>
      <c r="H10" s="3"/>
      <c r="I10" s="3"/>
    </row>
    <row r="11" spans="1:9" ht="18" customHeight="1" x14ac:dyDescent="0.25">
      <c r="A11" s="9"/>
      <c r="B11" s="23" t="s">
        <v>141</v>
      </c>
      <c r="C11" s="83">
        <v>0</v>
      </c>
      <c r="D11" s="96">
        <v>0</v>
      </c>
      <c r="E11" s="9"/>
      <c r="F11" s="9"/>
      <c r="G11" s="9"/>
      <c r="H11" s="9"/>
      <c r="I11" s="9"/>
    </row>
    <row r="12" spans="1:9" ht="18" customHeight="1" x14ac:dyDescent="0.25">
      <c r="A12" s="9"/>
      <c r="B12" s="23" t="s">
        <v>567</v>
      </c>
      <c r="C12" s="83">
        <v>0</v>
      </c>
      <c r="D12" s="96">
        <v>0</v>
      </c>
      <c r="E12" s="9"/>
      <c r="F12" s="9"/>
      <c r="G12" s="9"/>
      <c r="H12" s="9"/>
      <c r="I12" s="9"/>
    </row>
    <row r="13" spans="1:9" ht="18" customHeight="1" x14ac:dyDescent="0.25">
      <c r="A13" s="9"/>
      <c r="B13" s="23" t="s">
        <v>568</v>
      </c>
      <c r="C13" s="83">
        <v>0</v>
      </c>
      <c r="D13" s="96">
        <v>0</v>
      </c>
      <c r="E13" s="9"/>
      <c r="F13" s="9"/>
      <c r="G13" s="9"/>
      <c r="H13" s="9"/>
      <c r="I13" s="9"/>
    </row>
    <row r="14" spans="1:9" ht="18" customHeight="1" x14ac:dyDescent="0.25">
      <c r="A14" s="9"/>
      <c r="B14" s="23" t="s">
        <v>569</v>
      </c>
      <c r="C14" s="83">
        <v>0</v>
      </c>
      <c r="D14" s="96">
        <v>0</v>
      </c>
      <c r="E14" s="9"/>
      <c r="F14" s="9"/>
      <c r="G14" s="9"/>
      <c r="H14" s="9"/>
      <c r="I14" s="9"/>
    </row>
    <row r="15" spans="1:9" ht="18" customHeight="1" thickBot="1" x14ac:dyDescent="0.3">
      <c r="A15" s="9"/>
      <c r="B15" s="23" t="s">
        <v>570</v>
      </c>
      <c r="C15" s="83">
        <v>0</v>
      </c>
      <c r="D15" s="96">
        <v>0</v>
      </c>
      <c r="E15" s="9"/>
      <c r="F15" s="9"/>
      <c r="G15" s="9"/>
      <c r="H15" s="9"/>
      <c r="I15" s="9"/>
    </row>
    <row r="16" spans="1:9" ht="21.75" customHeight="1" thickBot="1" x14ac:dyDescent="0.3">
      <c r="A16" s="3"/>
      <c r="B16" s="6" t="s">
        <v>571</v>
      </c>
      <c r="C16" s="68">
        <f>SUM(C7:C15)</f>
        <v>1473.9</v>
      </c>
      <c r="D16" s="3"/>
      <c r="E16" s="3"/>
      <c r="F16" s="3"/>
      <c r="G16" s="3"/>
      <c r="H16" s="3"/>
      <c r="I16" s="3"/>
    </row>
    <row r="17" spans="1:9" ht="18" customHeight="1" x14ac:dyDescent="0.25">
      <c r="A17" s="9"/>
      <c r="B17" s="9"/>
      <c r="C17" s="9"/>
      <c r="D17" s="9"/>
      <c r="E17" s="9"/>
      <c r="F17" s="9"/>
      <c r="G17" s="9"/>
      <c r="H17" s="9"/>
      <c r="I17" s="9"/>
    </row>
    <row r="18" spans="1:9" ht="18" customHeight="1" x14ac:dyDescent="0.25">
      <c r="A18" s="9"/>
      <c r="B18" s="9"/>
      <c r="C18" s="9"/>
      <c r="D18" s="9"/>
      <c r="E18" s="9"/>
      <c r="F18" s="9"/>
      <c r="G18" s="9"/>
      <c r="H18" s="9"/>
      <c r="I18" s="9"/>
    </row>
    <row r="19" spans="1:9" ht="18" customHeight="1" x14ac:dyDescent="0.25">
      <c r="A19" s="114" t="s">
        <v>572</v>
      </c>
      <c r="B19" s="108"/>
      <c r="C19" s="109"/>
      <c r="D19" s="8"/>
      <c r="E19" s="8"/>
      <c r="F19" s="8"/>
      <c r="G19" s="8"/>
      <c r="H19" s="8"/>
      <c r="I19" s="8"/>
    </row>
    <row r="20" spans="1:9" ht="18" customHeight="1" x14ac:dyDescent="0.25">
      <c r="A20" s="9"/>
      <c r="B20" s="9"/>
      <c r="C20" s="9"/>
      <c r="D20" s="9"/>
      <c r="E20" s="9"/>
      <c r="F20" s="9"/>
      <c r="G20" s="9"/>
      <c r="H20" s="9"/>
      <c r="I20" s="9"/>
    </row>
    <row r="21" spans="1:9" ht="21.75" customHeight="1" thickBot="1" x14ac:dyDescent="0.3">
      <c r="A21" s="12" t="s">
        <v>573</v>
      </c>
      <c r="B21" s="12" t="s">
        <v>574</v>
      </c>
      <c r="C21" s="12" t="s">
        <v>561</v>
      </c>
      <c r="D21" s="3"/>
      <c r="E21" s="2" t="s">
        <v>137</v>
      </c>
      <c r="F21" s="12" t="s">
        <v>575</v>
      </c>
      <c r="G21" s="3"/>
      <c r="H21" s="3"/>
      <c r="I21" s="3"/>
    </row>
    <row r="22" spans="1:9" ht="21.75" customHeight="1" thickBot="1" x14ac:dyDescent="0.3">
      <c r="A22" s="3"/>
      <c r="B22" s="12" t="s">
        <v>576</v>
      </c>
      <c r="C22" s="12">
        <f>E22*C16</f>
        <v>122.82499999999996</v>
      </c>
      <c r="D22" s="3"/>
      <c r="E22" s="2">
        <v>8.3333333333333301E-2</v>
      </c>
      <c r="F22" s="12" t="s">
        <v>577</v>
      </c>
      <c r="G22" s="3"/>
      <c r="H22" s="3"/>
      <c r="I22" s="3"/>
    </row>
    <row r="23" spans="1:9" ht="21.75" customHeight="1" thickBot="1" x14ac:dyDescent="0.3">
      <c r="A23" s="3"/>
      <c r="B23" s="12" t="s">
        <v>578</v>
      </c>
      <c r="C23" s="12">
        <f>E23*C16</f>
        <v>133.75642500000001</v>
      </c>
      <c r="D23" s="3"/>
      <c r="E23" s="2">
        <v>9.0749999999999997E-2</v>
      </c>
      <c r="F23" s="12" t="s">
        <v>1188</v>
      </c>
      <c r="G23" s="3"/>
      <c r="H23" s="3"/>
      <c r="I23" s="3"/>
    </row>
    <row r="24" spans="1:9" ht="25.5" customHeight="1" thickBot="1" x14ac:dyDescent="0.3">
      <c r="A24" s="3"/>
      <c r="B24" s="12" t="s">
        <v>579</v>
      </c>
      <c r="C24" s="12">
        <f>E24*C16</f>
        <v>44.585475000000002</v>
      </c>
      <c r="D24" s="3"/>
      <c r="E24" s="2">
        <v>3.0249999999999999E-2</v>
      </c>
      <c r="F24" s="12" t="s">
        <v>1188</v>
      </c>
      <c r="G24" s="3"/>
      <c r="H24" s="3"/>
      <c r="I24" s="3"/>
    </row>
    <row r="25" spans="1:9" ht="25.5" customHeight="1" thickBot="1" x14ac:dyDescent="0.3">
      <c r="A25" s="3"/>
      <c r="B25" s="68" t="s">
        <v>580</v>
      </c>
      <c r="C25" s="68">
        <f>SUM(C22:C24)</f>
        <v>301.16689999999994</v>
      </c>
      <c r="D25" s="3"/>
      <c r="E25" s="3"/>
      <c r="F25" s="3"/>
      <c r="G25" s="3"/>
      <c r="H25" s="3"/>
      <c r="I25" s="3"/>
    </row>
    <row r="26" spans="1:9" ht="18" customHeight="1" thickBot="1" x14ac:dyDescent="0.3">
      <c r="A26" s="9"/>
      <c r="B26" s="9"/>
      <c r="C26" s="9"/>
      <c r="D26" s="9"/>
      <c r="E26" s="9"/>
      <c r="F26" s="9"/>
      <c r="G26" s="9"/>
      <c r="H26" s="9"/>
      <c r="I26" s="9"/>
    </row>
    <row r="27" spans="1:9" ht="21.75" customHeight="1" thickBot="1" x14ac:dyDescent="0.3">
      <c r="A27" s="12" t="s">
        <v>581</v>
      </c>
      <c r="B27" s="12" t="s">
        <v>582</v>
      </c>
      <c r="C27" s="12" t="s">
        <v>583</v>
      </c>
      <c r="D27" s="12" t="s">
        <v>561</v>
      </c>
      <c r="E27" s="3"/>
      <c r="F27" s="3"/>
      <c r="G27" s="3"/>
      <c r="H27" s="3"/>
      <c r="I27" s="3"/>
    </row>
    <row r="28" spans="1:9" ht="25.5" customHeight="1" thickBot="1" x14ac:dyDescent="0.3">
      <c r="A28" s="3"/>
      <c r="B28" s="80" t="s">
        <v>584</v>
      </c>
      <c r="C28" s="81">
        <v>0.2</v>
      </c>
      <c r="D28" s="12">
        <f>C28*(C16+C25)</f>
        <v>355.01338000000004</v>
      </c>
      <c r="E28" s="3"/>
      <c r="F28" s="12" t="s">
        <v>585</v>
      </c>
      <c r="G28" s="3"/>
      <c r="H28" s="3"/>
      <c r="I28" s="3"/>
    </row>
    <row r="29" spans="1:9" ht="21.75" customHeight="1" thickBot="1" x14ac:dyDescent="0.3">
      <c r="A29" s="3"/>
      <c r="B29" s="80" t="s">
        <v>586</v>
      </c>
      <c r="C29" s="81">
        <v>1.4999999999999999E-2</v>
      </c>
      <c r="D29" s="12">
        <f>C29*(C16+C25)</f>
        <v>26.626003499999999</v>
      </c>
      <c r="E29" s="3"/>
      <c r="F29" s="47"/>
      <c r="G29" s="3"/>
      <c r="H29" s="3"/>
      <c r="I29" s="3"/>
    </row>
    <row r="30" spans="1:9" ht="21.75" customHeight="1" thickBot="1" x14ac:dyDescent="0.3">
      <c r="A30" s="3"/>
      <c r="B30" s="80" t="s">
        <v>587</v>
      </c>
      <c r="C30" s="81">
        <v>0.01</v>
      </c>
      <c r="D30" s="12">
        <f>C30*(C16+C25)</f>
        <v>17.750669000000002</v>
      </c>
      <c r="E30" s="3"/>
      <c r="F30" s="3"/>
      <c r="G30" s="3"/>
      <c r="H30" s="3"/>
      <c r="I30" s="3"/>
    </row>
    <row r="31" spans="1:9" ht="15.75" thickBot="1" x14ac:dyDescent="0.3">
      <c r="A31" s="3"/>
      <c r="B31" s="80" t="s">
        <v>588</v>
      </c>
      <c r="C31" s="81">
        <v>2E-3</v>
      </c>
      <c r="D31" s="12">
        <f>C31*(C16+C25)</f>
        <v>3.5501338000000002</v>
      </c>
      <c r="E31" s="3"/>
      <c r="F31" s="12"/>
      <c r="G31" s="47"/>
      <c r="H31" s="3"/>
      <c r="I31" s="3"/>
    </row>
    <row r="32" spans="1:9" ht="15.75" thickBot="1" x14ac:dyDescent="0.3">
      <c r="A32" s="3"/>
      <c r="B32" s="80" t="s">
        <v>589</v>
      </c>
      <c r="C32" s="81">
        <v>2.5000000000000001E-2</v>
      </c>
      <c r="D32" s="12">
        <f>C32*(C16+C25)</f>
        <v>44.376672500000005</v>
      </c>
      <c r="E32" s="3"/>
      <c r="F32" s="12"/>
      <c r="G32" s="47"/>
      <c r="H32" s="3"/>
      <c r="I32" s="3"/>
    </row>
    <row r="33" spans="1:10" ht="15.75" thickBot="1" x14ac:dyDescent="0.3">
      <c r="A33" s="3"/>
      <c r="B33" s="80" t="s">
        <v>590</v>
      </c>
      <c r="C33" s="81">
        <v>0.08</v>
      </c>
      <c r="D33" s="12">
        <f>C33*(C16+C25)</f>
        <v>142.00535200000002</v>
      </c>
      <c r="E33" s="3"/>
      <c r="F33" s="3"/>
      <c r="G33" s="3"/>
      <c r="H33" s="3"/>
      <c r="I33" s="3"/>
    </row>
    <row r="34" spans="1:10" ht="25.5" customHeight="1" thickBot="1" x14ac:dyDescent="0.3">
      <c r="A34" s="3"/>
      <c r="B34" s="80" t="s">
        <v>591</v>
      </c>
      <c r="C34" s="81">
        <v>0.06</v>
      </c>
      <c r="D34" s="12">
        <f>C34*(C16+C25)</f>
        <v>106.504014</v>
      </c>
      <c r="E34" s="3"/>
      <c r="F34" s="3"/>
      <c r="G34" s="3"/>
      <c r="H34" s="3"/>
      <c r="I34" s="3"/>
    </row>
    <row r="35" spans="1:10" ht="15.75" thickBot="1" x14ac:dyDescent="0.3">
      <c r="A35" s="3"/>
      <c r="B35" s="80" t="s">
        <v>592</v>
      </c>
      <c r="C35" s="81">
        <v>6.0000000000000001E-3</v>
      </c>
      <c r="D35" s="12">
        <f>C35*(C16+C25)</f>
        <v>10.6504014</v>
      </c>
      <c r="E35" s="3"/>
      <c r="F35" s="3"/>
      <c r="G35" s="3"/>
      <c r="H35" s="3"/>
      <c r="I35" s="3"/>
    </row>
    <row r="36" spans="1:10" ht="21.75" customHeight="1" thickBot="1" x14ac:dyDescent="0.3">
      <c r="A36" s="3"/>
      <c r="B36" s="68" t="s">
        <v>297</v>
      </c>
      <c r="C36" s="69">
        <f>SUM(C28:C35)</f>
        <v>0.39800000000000008</v>
      </c>
      <c r="D36" s="68">
        <f>SUM(D28:D35)</f>
        <v>706.47662620000006</v>
      </c>
      <c r="E36" s="3"/>
      <c r="F36" s="3"/>
      <c r="G36" s="3"/>
      <c r="H36" s="3"/>
      <c r="I36" s="3"/>
    </row>
    <row r="37" spans="1:10" ht="18" customHeight="1" thickBot="1" x14ac:dyDescent="0.3">
      <c r="A37" s="9"/>
      <c r="B37" s="9"/>
      <c r="C37" s="9"/>
      <c r="D37" s="9"/>
      <c r="E37" s="9"/>
      <c r="F37" s="9"/>
      <c r="G37" s="9"/>
      <c r="H37" s="9"/>
      <c r="I37" s="9"/>
    </row>
    <row r="38" spans="1:10" ht="18" customHeight="1" thickBot="1" x14ac:dyDescent="0.3">
      <c r="A38" s="7" t="s">
        <v>593</v>
      </c>
      <c r="B38" s="7" t="s">
        <v>594</v>
      </c>
      <c r="C38" s="7" t="s">
        <v>561</v>
      </c>
      <c r="D38" s="8"/>
      <c r="E38" s="8"/>
      <c r="F38" s="113"/>
      <c r="G38" s="108"/>
      <c r="H38" s="108"/>
      <c r="I38" s="109"/>
    </row>
    <row r="39" spans="1:10" ht="21.75" customHeight="1" thickBot="1" x14ac:dyDescent="0.3">
      <c r="A39" s="12" t="s">
        <v>595</v>
      </c>
      <c r="B39" s="12" t="s">
        <v>596</v>
      </c>
      <c r="C39" s="12">
        <f>IFERROR('L1 Param CCT'!$B$10*2*'L1 Param CCT'!$B$16-(C7*'L1 Param CCT'!$B$11),0)</f>
        <v>113.27000000000001</v>
      </c>
      <c r="D39" s="3"/>
      <c r="E39" s="3"/>
      <c r="F39" s="3"/>
      <c r="G39" s="3"/>
      <c r="H39" s="3"/>
      <c r="I39" s="3"/>
    </row>
    <row r="40" spans="1:10" ht="26.25" customHeight="1" thickBot="1" x14ac:dyDescent="0.3">
      <c r="A40" s="12" t="s">
        <v>597</v>
      </c>
      <c r="B40" s="12" t="s">
        <v>598</v>
      </c>
      <c r="C40" s="12">
        <f>'L1 Param CCT'!$B$9</f>
        <v>400</v>
      </c>
      <c r="D40" s="3"/>
      <c r="E40" s="3"/>
      <c r="F40" s="3"/>
      <c r="G40" s="3"/>
      <c r="H40" s="3"/>
      <c r="I40" s="3"/>
    </row>
    <row r="41" spans="1:10" ht="15.75" customHeight="1" thickBot="1" x14ac:dyDescent="0.3">
      <c r="A41" s="12" t="s">
        <v>599</v>
      </c>
      <c r="B41" s="12" t="s">
        <v>600</v>
      </c>
      <c r="C41" s="12">
        <v>0</v>
      </c>
      <c r="D41" s="3"/>
      <c r="E41" s="3"/>
      <c r="F41" s="3"/>
      <c r="G41" s="3"/>
      <c r="H41" s="3"/>
      <c r="I41" s="3"/>
    </row>
    <row r="42" spans="1:10" ht="26.25" customHeight="1" thickBot="1" x14ac:dyDescent="0.3">
      <c r="A42" s="12" t="s">
        <v>601</v>
      </c>
      <c r="B42" s="12" t="s">
        <v>602</v>
      </c>
      <c r="C42" s="12">
        <f>'L1 Param CCT'!$B$13</f>
        <v>6.4</v>
      </c>
      <c r="D42" s="3"/>
      <c r="E42" s="3"/>
      <c r="F42" s="3"/>
      <c r="G42" s="3"/>
      <c r="H42" s="3"/>
      <c r="I42" s="3"/>
    </row>
    <row r="43" spans="1:10" ht="26.25" customHeight="1" thickBot="1" x14ac:dyDescent="0.3">
      <c r="A43" s="12" t="s">
        <v>603</v>
      </c>
      <c r="B43" s="12" t="s">
        <v>564</v>
      </c>
      <c r="C43" s="12">
        <v>112</v>
      </c>
      <c r="D43" s="3"/>
      <c r="E43" s="3"/>
      <c r="F43" s="3"/>
      <c r="G43" s="3"/>
      <c r="H43" s="3"/>
      <c r="I43" s="3"/>
    </row>
    <row r="44" spans="1:10" ht="21.75" customHeight="1" thickBot="1" x14ac:dyDescent="0.3">
      <c r="A44" s="12" t="s">
        <v>604</v>
      </c>
      <c r="B44" s="12" t="s">
        <v>605</v>
      </c>
      <c r="C44" s="12">
        <f>'L1 Param CCT'!$B$12</f>
        <v>14.66</v>
      </c>
      <c r="D44" s="3"/>
      <c r="E44" s="3"/>
      <c r="F44" s="3"/>
      <c r="G44" s="3"/>
      <c r="H44" s="3"/>
      <c r="I44" s="3"/>
    </row>
    <row r="45" spans="1:10" ht="21.75" customHeight="1" thickBot="1" x14ac:dyDescent="0.3">
      <c r="A45" s="12" t="s">
        <v>606</v>
      </c>
      <c r="B45" s="12" t="s">
        <v>607</v>
      </c>
      <c r="C45" s="12">
        <f>'L1 Param CCT'!$B$14</f>
        <v>130</v>
      </c>
      <c r="D45" s="3"/>
      <c r="E45" s="3"/>
      <c r="F45" s="3"/>
      <c r="G45" s="3"/>
      <c r="H45" s="3"/>
      <c r="I45" s="3"/>
      <c r="J45" s="41"/>
    </row>
    <row r="46" spans="1:10" ht="21.75" customHeight="1" thickBot="1" x14ac:dyDescent="0.3">
      <c r="A46" s="12" t="s">
        <v>608</v>
      </c>
      <c r="B46" s="12" t="s">
        <v>609</v>
      </c>
      <c r="C46" s="12">
        <v>0</v>
      </c>
      <c r="D46" s="3"/>
      <c r="E46" s="3"/>
      <c r="F46" s="3"/>
      <c r="G46" s="3"/>
      <c r="H46" s="3"/>
      <c r="I46" s="3"/>
    </row>
    <row r="47" spans="1:10" ht="21.75" customHeight="1" thickBot="1" x14ac:dyDescent="0.3">
      <c r="A47" s="12" t="s">
        <v>610</v>
      </c>
      <c r="B47" s="12" t="s">
        <v>570</v>
      </c>
      <c r="C47" s="12">
        <v>0</v>
      </c>
      <c r="D47" s="3"/>
      <c r="E47" s="3"/>
      <c r="F47" s="3"/>
      <c r="G47" s="3"/>
      <c r="H47" s="3"/>
      <c r="I47" s="3"/>
    </row>
    <row r="48" spans="1:10" ht="21.75" customHeight="1" thickBot="1" x14ac:dyDescent="0.3">
      <c r="A48" s="6" t="s">
        <v>611</v>
      </c>
      <c r="B48" s="68" t="s">
        <v>612</v>
      </c>
      <c r="C48" s="68">
        <f>SUM(C39:C47)</f>
        <v>776.32999999999993</v>
      </c>
      <c r="D48" s="3"/>
      <c r="E48" s="3"/>
      <c r="F48" s="3"/>
      <c r="G48" s="3"/>
      <c r="H48" s="3"/>
      <c r="I48" s="3"/>
    </row>
    <row r="49" spans="1:9" ht="18" customHeight="1" thickBot="1" x14ac:dyDescent="0.3">
      <c r="A49" s="9"/>
      <c r="B49" s="9"/>
      <c r="C49" s="9"/>
      <c r="D49" s="9"/>
      <c r="E49" s="9"/>
      <c r="F49" s="9"/>
      <c r="G49" s="9"/>
      <c r="H49" s="9"/>
      <c r="I49" s="9"/>
    </row>
    <row r="50" spans="1:9" ht="18" customHeight="1" thickBot="1" x14ac:dyDescent="0.3">
      <c r="A50" s="114" t="s">
        <v>572</v>
      </c>
      <c r="B50" s="108"/>
      <c r="C50" s="109"/>
      <c r="D50" s="8"/>
      <c r="E50" s="8"/>
      <c r="F50" s="8"/>
      <c r="G50" s="8"/>
      <c r="H50" s="8"/>
      <c r="I50" s="8"/>
    </row>
    <row r="51" spans="1:9" ht="21.75" customHeight="1" thickBot="1" x14ac:dyDescent="0.3">
      <c r="A51" s="3"/>
      <c r="B51" s="12" t="s">
        <v>573</v>
      </c>
      <c r="C51" s="12">
        <f>C25</f>
        <v>301.16689999999994</v>
      </c>
      <c r="D51" s="3"/>
      <c r="E51" s="3"/>
      <c r="F51" s="3"/>
      <c r="G51" s="3"/>
      <c r="H51" s="3"/>
      <c r="I51" s="3"/>
    </row>
    <row r="52" spans="1:9" ht="21.75" customHeight="1" thickBot="1" x14ac:dyDescent="0.3">
      <c r="A52" s="3"/>
      <c r="B52" s="12" t="s">
        <v>581</v>
      </c>
      <c r="C52" s="12">
        <f>D36</f>
        <v>706.47662620000006</v>
      </c>
      <c r="D52" s="3"/>
      <c r="E52" s="3"/>
      <c r="F52" s="3"/>
      <c r="G52" s="3"/>
      <c r="H52" s="3"/>
      <c r="I52" s="3"/>
    </row>
    <row r="53" spans="1:9" ht="21.75" customHeight="1" thickBot="1" x14ac:dyDescent="0.3">
      <c r="A53" s="3"/>
      <c r="B53" s="12" t="s">
        <v>593</v>
      </c>
      <c r="C53" s="12">
        <f>C48</f>
        <v>776.32999999999993</v>
      </c>
      <c r="D53" s="3"/>
      <c r="E53" s="3"/>
      <c r="F53" s="3"/>
      <c r="G53" s="3"/>
      <c r="H53" s="3"/>
      <c r="I53" s="3"/>
    </row>
    <row r="54" spans="1:9" ht="18" customHeight="1" thickBot="1" x14ac:dyDescent="0.3">
      <c r="A54" s="24"/>
      <c r="B54" s="68" t="s">
        <v>297</v>
      </c>
      <c r="C54" s="68">
        <f>SUM(C51:C53)</f>
        <v>1783.9735261999999</v>
      </c>
      <c r="D54" s="24"/>
      <c r="E54" s="24"/>
      <c r="F54" s="24"/>
      <c r="G54" s="24"/>
      <c r="H54" s="24"/>
      <c r="I54" s="24"/>
    </row>
    <row r="55" spans="1:9" ht="18" customHeight="1" x14ac:dyDescent="0.25">
      <c r="A55" s="9"/>
      <c r="B55" s="9"/>
      <c r="C55" s="9"/>
      <c r="D55" s="9"/>
      <c r="E55" s="9"/>
      <c r="F55" s="9"/>
      <c r="G55" s="9"/>
      <c r="H55" s="9"/>
      <c r="I55" s="9"/>
    </row>
    <row r="56" spans="1:9" ht="18" customHeight="1" thickBot="1" x14ac:dyDescent="0.3">
      <c r="A56" s="9"/>
      <c r="B56" s="9"/>
      <c r="C56" s="9"/>
      <c r="D56" s="9"/>
      <c r="E56" s="9"/>
      <c r="F56" s="9"/>
      <c r="G56" s="9"/>
      <c r="H56" s="9"/>
      <c r="I56" s="9"/>
    </row>
    <row r="57" spans="1:9" ht="18" customHeight="1" thickBot="1" x14ac:dyDescent="0.3">
      <c r="A57" s="114" t="s">
        <v>613</v>
      </c>
      <c r="B57" s="108"/>
      <c r="C57" s="109"/>
      <c r="D57" s="8"/>
      <c r="E57" s="8"/>
      <c r="F57" s="8"/>
      <c r="G57" s="8"/>
      <c r="H57" s="8"/>
      <c r="I57" s="8"/>
    </row>
    <row r="58" spans="1:9" ht="18" customHeight="1" thickBot="1" x14ac:dyDescent="0.3">
      <c r="A58" s="3" t="s">
        <v>614</v>
      </c>
      <c r="B58" s="12" t="s">
        <v>615</v>
      </c>
      <c r="C58" s="3" t="s">
        <v>561</v>
      </c>
      <c r="D58" s="12" t="s">
        <v>137</v>
      </c>
      <c r="E58" s="3"/>
      <c r="F58" s="3"/>
      <c r="G58" s="3"/>
      <c r="H58" s="3"/>
      <c r="I58" s="3"/>
    </row>
    <row r="59" spans="1:9" ht="18" customHeight="1" thickBot="1" x14ac:dyDescent="0.3">
      <c r="A59" s="3" t="s">
        <v>595</v>
      </c>
      <c r="B59" s="12" t="s">
        <v>616</v>
      </c>
      <c r="C59" s="70">
        <f>C16*D59</f>
        <v>6.1412500000000003</v>
      </c>
      <c r="D59" s="2">
        <f>((1/12)*0.05)</f>
        <v>4.1666666666666666E-3</v>
      </c>
      <c r="E59" s="3"/>
      <c r="F59" s="3"/>
      <c r="G59" s="3"/>
      <c r="H59" s="3"/>
      <c r="I59" s="3"/>
    </row>
    <row r="60" spans="1:9" ht="26.25" customHeight="1" thickBot="1" x14ac:dyDescent="0.3">
      <c r="A60" s="3" t="s">
        <v>597</v>
      </c>
      <c r="B60" s="12" t="s">
        <v>617</v>
      </c>
      <c r="C60" s="70">
        <f>C16*D60</f>
        <v>0.49130000000000001</v>
      </c>
      <c r="D60" s="2">
        <f>D59*8%</f>
        <v>3.3333333333333332E-4</v>
      </c>
      <c r="E60" s="3"/>
      <c r="F60" s="3"/>
      <c r="G60" s="3"/>
      <c r="H60" s="3"/>
      <c r="I60" s="3"/>
    </row>
    <row r="61" spans="1:9" ht="26.25" customHeight="1" thickBot="1" x14ac:dyDescent="0.3">
      <c r="A61" s="3" t="s">
        <v>599</v>
      </c>
      <c r="B61" s="12" t="s">
        <v>618</v>
      </c>
      <c r="C61" s="70">
        <f>C16*D61</f>
        <v>50.702159999999992</v>
      </c>
      <c r="D61" s="2">
        <f>0.08*0.4*0.9*(1+1/12+1/12+(1/3*1/12))</f>
        <v>3.4399999999999993E-2</v>
      </c>
      <c r="E61" s="12" t="s">
        <v>1188</v>
      </c>
      <c r="F61" s="3"/>
      <c r="G61" s="3"/>
      <c r="H61" s="3"/>
      <c r="I61" s="3"/>
    </row>
    <row r="62" spans="1:9" ht="15.75" customHeight="1" thickBot="1" x14ac:dyDescent="0.3">
      <c r="A62" s="3" t="s">
        <v>601</v>
      </c>
      <c r="B62" s="12" t="s">
        <v>619</v>
      </c>
      <c r="C62" s="70">
        <f>C16*D62</f>
        <v>28.593660000000003</v>
      </c>
      <c r="D62" s="2">
        <v>1.9400000000000001E-2</v>
      </c>
      <c r="E62" s="3"/>
      <c r="F62" s="3"/>
      <c r="G62" s="3"/>
      <c r="H62" s="3"/>
      <c r="I62" s="3"/>
    </row>
    <row r="63" spans="1:9" ht="26.25" customHeight="1" thickBot="1" x14ac:dyDescent="0.3">
      <c r="A63" s="3" t="s">
        <v>603</v>
      </c>
      <c r="B63" s="12" t="s">
        <v>620</v>
      </c>
      <c r="C63" s="70">
        <f>C16*D63</f>
        <v>11.380276680000003</v>
      </c>
      <c r="D63" s="2">
        <f>C36*D62</f>
        <v>7.7212000000000018E-3</v>
      </c>
      <c r="E63" s="3"/>
      <c r="F63" s="3"/>
      <c r="G63" s="3"/>
      <c r="H63" s="3"/>
      <c r="I63" s="3"/>
    </row>
    <row r="64" spans="1:9" ht="26.25" customHeight="1" thickBot="1" x14ac:dyDescent="0.3">
      <c r="A64" s="3" t="s">
        <v>604</v>
      </c>
      <c r="B64" s="12" t="s">
        <v>621</v>
      </c>
      <c r="C64" s="70">
        <f>C16*D64</f>
        <v>0.91381800000000002</v>
      </c>
      <c r="D64" s="2">
        <v>6.2E-4</v>
      </c>
      <c r="E64" s="3"/>
      <c r="F64" s="3"/>
      <c r="G64" s="3"/>
      <c r="H64" s="3"/>
      <c r="I64" s="3"/>
    </row>
    <row r="65" spans="1:9" ht="21.75" customHeight="1" thickBot="1" x14ac:dyDescent="0.3">
      <c r="A65" s="3"/>
      <c r="B65" s="68" t="s">
        <v>297</v>
      </c>
      <c r="C65" s="68">
        <f>SUM(C59:C64)</f>
        <v>98.222464680000016</v>
      </c>
      <c r="D65" s="2">
        <f>SUM(D59:D64)</f>
        <v>6.6641199999999984E-2</v>
      </c>
      <c r="E65" s="3"/>
      <c r="F65" s="3"/>
      <c r="G65" s="3"/>
      <c r="H65" s="3"/>
      <c r="I65" s="3"/>
    </row>
    <row r="66" spans="1:9" ht="18" customHeight="1" x14ac:dyDescent="0.25">
      <c r="A66" s="9"/>
      <c r="B66" s="9"/>
      <c r="C66" s="9"/>
      <c r="D66" s="9"/>
      <c r="E66" s="9"/>
      <c r="F66" s="9"/>
      <c r="G66" s="9"/>
      <c r="H66" s="9"/>
      <c r="I66" s="9"/>
    </row>
    <row r="67" spans="1:9" ht="18" customHeight="1" thickBot="1" x14ac:dyDescent="0.3">
      <c r="A67" s="9"/>
      <c r="B67" s="9"/>
      <c r="C67" s="9"/>
      <c r="D67" s="9"/>
      <c r="E67" s="9"/>
      <c r="F67" s="9"/>
      <c r="G67" s="9"/>
      <c r="H67" s="9"/>
      <c r="I67" s="9"/>
    </row>
    <row r="68" spans="1:9" ht="18" customHeight="1" thickBot="1" x14ac:dyDescent="0.3">
      <c r="A68" s="114" t="s">
        <v>622</v>
      </c>
      <c r="B68" s="108"/>
      <c r="C68" s="109"/>
      <c r="D68" s="8"/>
      <c r="E68" s="8"/>
      <c r="F68" s="8"/>
      <c r="G68" s="8"/>
      <c r="H68" s="8"/>
      <c r="I68" s="8"/>
    </row>
    <row r="69" spans="1:9" ht="18" customHeight="1" thickBot="1" x14ac:dyDescent="0.3">
      <c r="A69" s="127" t="s">
        <v>623</v>
      </c>
      <c r="B69" s="108"/>
      <c r="C69" s="71" t="s">
        <v>561</v>
      </c>
      <c r="D69" s="72" t="s">
        <v>137</v>
      </c>
      <c r="E69" s="3"/>
      <c r="F69" s="3"/>
      <c r="G69" s="3"/>
      <c r="H69" s="3"/>
      <c r="I69" s="3"/>
    </row>
    <row r="70" spans="1:9" ht="15.75" customHeight="1" thickBot="1" x14ac:dyDescent="0.3">
      <c r="A70" s="3" t="s">
        <v>595</v>
      </c>
      <c r="B70" s="12" t="s">
        <v>624</v>
      </c>
      <c r="C70" s="12">
        <f>D70*C16</f>
        <v>25.097241666666669</v>
      </c>
      <c r="D70" s="2">
        <f>SUM(E22:E24)/12</f>
        <v>1.7027777777777777E-2</v>
      </c>
      <c r="E70" s="3"/>
      <c r="F70" s="3"/>
      <c r="G70" s="3"/>
      <c r="H70" s="3"/>
      <c r="I70" s="3"/>
    </row>
    <row r="71" spans="1:9" ht="26.25" customHeight="1" thickBot="1" x14ac:dyDescent="0.3">
      <c r="A71" s="3" t="s">
        <v>597</v>
      </c>
      <c r="B71" s="12" t="s">
        <v>625</v>
      </c>
      <c r="C71" s="12">
        <f>D71*C16</f>
        <v>12.085980000000001</v>
      </c>
      <c r="D71" s="2">
        <v>8.2000000000000007E-3</v>
      </c>
      <c r="E71" s="3"/>
      <c r="F71" s="3"/>
      <c r="G71" s="3"/>
      <c r="H71" s="3"/>
      <c r="I71" s="3"/>
    </row>
    <row r="72" spans="1:9" ht="26.25" customHeight="1" thickBot="1" x14ac:dyDescent="0.3">
      <c r="A72" s="3" t="s">
        <v>599</v>
      </c>
      <c r="B72" s="12" t="s">
        <v>626</v>
      </c>
      <c r="C72" s="12">
        <f>D72*C16</f>
        <v>0.29478000000000004</v>
      </c>
      <c r="D72" s="2">
        <v>2.0000000000000001E-4</v>
      </c>
      <c r="E72" s="3"/>
      <c r="F72" s="3"/>
      <c r="G72" s="3"/>
      <c r="H72" s="3"/>
      <c r="I72" s="3"/>
    </row>
    <row r="73" spans="1:9" ht="26.25" customHeight="1" thickBot="1" x14ac:dyDescent="0.3">
      <c r="A73" s="3" t="s">
        <v>601</v>
      </c>
      <c r="B73" s="12" t="s">
        <v>627</v>
      </c>
      <c r="C73" s="12">
        <f>D73*C16</f>
        <v>1.03173</v>
      </c>
      <c r="D73" s="2">
        <v>6.9999999999999999E-4</v>
      </c>
      <c r="E73" s="3"/>
      <c r="F73" s="3"/>
      <c r="G73" s="3"/>
      <c r="H73" s="3"/>
      <c r="I73" s="3"/>
    </row>
    <row r="74" spans="1:9" ht="26.25" customHeight="1" thickBot="1" x14ac:dyDescent="0.3">
      <c r="A74" s="3" t="s">
        <v>603</v>
      </c>
      <c r="B74" s="12" t="s">
        <v>628</v>
      </c>
      <c r="C74" s="12">
        <f>D74*C16</f>
        <v>2.9478000000000004</v>
      </c>
      <c r="D74" s="2">
        <v>2E-3</v>
      </c>
      <c r="E74" s="3"/>
      <c r="F74" s="3"/>
      <c r="G74" s="3"/>
      <c r="H74" s="3"/>
      <c r="I74" s="3"/>
    </row>
    <row r="75" spans="1:9" ht="26.25" customHeight="1" thickBot="1" x14ac:dyDescent="0.3">
      <c r="A75" s="3" t="s">
        <v>604</v>
      </c>
      <c r="B75" s="12" t="s">
        <v>629</v>
      </c>
      <c r="C75" s="12">
        <f>D75*C16</f>
        <v>0</v>
      </c>
      <c r="D75" s="2">
        <v>0</v>
      </c>
      <c r="E75" s="3"/>
      <c r="F75" s="3"/>
      <c r="G75" s="3"/>
      <c r="H75" s="3"/>
      <c r="I75" s="3"/>
    </row>
    <row r="76" spans="1:9" ht="26.25" customHeight="1" thickBot="1" x14ac:dyDescent="0.3">
      <c r="A76" s="3"/>
      <c r="B76" s="12" t="s">
        <v>1185</v>
      </c>
      <c r="C76" s="75">
        <f>SUM(C70:C75)</f>
        <v>41.457531666666675</v>
      </c>
      <c r="D76" s="76"/>
      <c r="E76" s="3"/>
      <c r="F76" s="3"/>
      <c r="G76" s="3"/>
      <c r="H76" s="3"/>
      <c r="I76" s="3"/>
    </row>
    <row r="77" spans="1:9" ht="26.25" customHeight="1" thickBot="1" x14ac:dyDescent="0.3">
      <c r="A77" s="3"/>
      <c r="B77" s="12" t="s">
        <v>1186</v>
      </c>
      <c r="C77" s="75">
        <f>C16*D77</f>
        <v>16.500097603333337</v>
      </c>
      <c r="D77" s="76">
        <f>SUM(D70:D76)*C36</f>
        <v>1.1194855555555558E-2</v>
      </c>
      <c r="E77" s="3"/>
      <c r="F77" s="3"/>
      <c r="G77" s="3"/>
      <c r="H77" s="3"/>
      <c r="I77" s="3"/>
    </row>
    <row r="78" spans="1:9" ht="15.75" customHeight="1" thickBot="1" x14ac:dyDescent="0.3">
      <c r="A78" s="127" t="s">
        <v>630</v>
      </c>
      <c r="B78" s="108"/>
      <c r="C78" s="73" t="s">
        <v>561</v>
      </c>
      <c r="D78" s="71"/>
      <c r="E78" s="3"/>
      <c r="F78" s="3"/>
      <c r="G78" s="3"/>
      <c r="H78" s="3"/>
      <c r="I78" s="3"/>
    </row>
    <row r="79" spans="1:9" ht="26.25" customHeight="1" thickBot="1" x14ac:dyDescent="0.3">
      <c r="A79" s="3" t="s">
        <v>595</v>
      </c>
      <c r="B79" s="12" t="s">
        <v>631</v>
      </c>
      <c r="C79" s="12">
        <f>(C16/220)*C14*15</f>
        <v>0</v>
      </c>
      <c r="D79" s="2"/>
      <c r="E79" s="3"/>
      <c r="F79" s="3"/>
      <c r="G79" s="3"/>
      <c r="H79" s="3"/>
      <c r="I79" s="3"/>
    </row>
    <row r="80" spans="1:9" ht="21.75" customHeight="1" thickBot="1" x14ac:dyDescent="0.3">
      <c r="A80" s="3"/>
      <c r="B80" s="12" t="s">
        <v>632</v>
      </c>
      <c r="C80" s="12">
        <f>SUM(C76:C77)</f>
        <v>57.957629270000012</v>
      </c>
      <c r="D80" s="3"/>
      <c r="E80" s="3"/>
      <c r="F80" s="3"/>
      <c r="G80" s="3"/>
      <c r="H80" s="3"/>
      <c r="I80" s="3"/>
    </row>
    <row r="81" spans="1:9" ht="18" customHeight="1" x14ac:dyDescent="0.25">
      <c r="A81" s="9"/>
      <c r="B81" s="9"/>
      <c r="C81" s="9"/>
      <c r="D81" s="9"/>
      <c r="E81" s="9"/>
      <c r="F81" s="9"/>
      <c r="G81" s="9"/>
      <c r="H81" s="9"/>
      <c r="I81" s="9"/>
    </row>
    <row r="82" spans="1:9" ht="18" customHeight="1" thickBot="1" x14ac:dyDescent="0.3">
      <c r="A82" s="9"/>
      <c r="B82" s="9"/>
      <c r="C82" s="9"/>
      <c r="D82" s="9"/>
      <c r="E82" s="9"/>
      <c r="F82" s="9"/>
      <c r="G82" s="9"/>
      <c r="H82" s="9"/>
      <c r="I82" s="9"/>
    </row>
    <row r="83" spans="1:9" ht="18" customHeight="1" thickBot="1" x14ac:dyDescent="0.3">
      <c r="A83" s="114" t="s">
        <v>633</v>
      </c>
      <c r="B83" s="108"/>
      <c r="C83" s="109"/>
      <c r="D83" s="8"/>
      <c r="E83" s="8"/>
      <c r="F83" s="8"/>
      <c r="G83" s="8"/>
      <c r="H83" s="8"/>
      <c r="I83" s="8"/>
    </row>
    <row r="84" spans="1:9" ht="21.75" customHeight="1" thickBot="1" x14ac:dyDescent="0.3">
      <c r="A84" s="12" t="s">
        <v>634</v>
      </c>
      <c r="B84" s="12" t="s">
        <v>635</v>
      </c>
      <c r="C84" s="12" t="s">
        <v>561</v>
      </c>
      <c r="D84" s="3"/>
      <c r="E84" s="3"/>
      <c r="F84" s="3"/>
      <c r="G84" s="3"/>
      <c r="H84" s="3"/>
      <c r="I84" s="3"/>
    </row>
    <row r="85" spans="1:9" ht="18" customHeight="1" x14ac:dyDescent="0.25">
      <c r="A85" s="9"/>
      <c r="B85" s="85" t="s">
        <v>636</v>
      </c>
      <c r="C85" s="83">
        <v>97.71</v>
      </c>
      <c r="D85" s="9"/>
      <c r="E85" s="9"/>
      <c r="F85" s="9"/>
      <c r="G85" s="9"/>
      <c r="H85" s="9"/>
      <c r="I85" s="9"/>
    </row>
    <row r="86" spans="1:9" ht="18" customHeight="1" thickBot="1" x14ac:dyDescent="0.3">
      <c r="A86" s="9"/>
      <c r="B86" s="83" t="s">
        <v>637</v>
      </c>
      <c r="C86" s="83">
        <v>0</v>
      </c>
      <c r="D86" s="9"/>
      <c r="E86" s="9"/>
      <c r="F86" s="9"/>
      <c r="G86" s="9"/>
      <c r="H86" s="9"/>
      <c r="I86" s="9"/>
    </row>
    <row r="87" spans="1:9" ht="21.75" customHeight="1" thickBot="1" x14ac:dyDescent="0.3">
      <c r="A87" s="3"/>
      <c r="B87" s="68" t="s">
        <v>297</v>
      </c>
      <c r="C87" s="68">
        <f>C85+(C85*C86)</f>
        <v>97.71</v>
      </c>
      <c r="D87" s="3"/>
      <c r="E87" s="3"/>
      <c r="F87" s="3"/>
      <c r="G87" s="3"/>
      <c r="H87" s="3"/>
      <c r="I87" s="3"/>
    </row>
    <row r="88" spans="1:9" ht="18" customHeight="1" thickBot="1" x14ac:dyDescent="0.3">
      <c r="A88" s="9"/>
      <c r="B88" s="92"/>
      <c r="C88" s="9"/>
      <c r="D88" s="9"/>
      <c r="E88" s="9"/>
      <c r="F88" s="9"/>
      <c r="G88" s="9"/>
      <c r="H88" s="9"/>
      <c r="I88" s="9"/>
    </row>
    <row r="89" spans="1:9" ht="21.75" customHeight="1" thickBot="1" x14ac:dyDescent="0.3">
      <c r="A89" s="12" t="s">
        <v>638</v>
      </c>
      <c r="B89" s="12" t="s">
        <v>639</v>
      </c>
      <c r="C89" s="12" t="s">
        <v>561</v>
      </c>
      <c r="D89" s="3"/>
      <c r="E89" s="3"/>
      <c r="F89" s="3"/>
      <c r="G89" s="3"/>
      <c r="H89" s="3"/>
      <c r="I89" s="3"/>
    </row>
    <row r="90" spans="1:9" ht="21.75" customHeight="1" thickBot="1" x14ac:dyDescent="0.3">
      <c r="A90" s="3"/>
      <c r="B90" s="12" t="s">
        <v>636</v>
      </c>
      <c r="C90" s="12">
        <f>'L1 Material'!F107</f>
        <v>309.24372866344601</v>
      </c>
      <c r="D90" s="3"/>
      <c r="E90" s="3"/>
      <c r="F90" s="3"/>
      <c r="G90" s="3"/>
      <c r="H90" s="3"/>
      <c r="I90" s="3"/>
    </row>
    <row r="91" spans="1:9" ht="18" customHeight="1" thickBot="1" x14ac:dyDescent="0.3">
      <c r="A91" s="9"/>
      <c r="B91" s="83" t="s">
        <v>637</v>
      </c>
      <c r="C91" s="83">
        <v>0</v>
      </c>
      <c r="D91" s="9"/>
      <c r="E91" s="9"/>
      <c r="F91" s="9"/>
      <c r="G91" s="9"/>
      <c r="H91" s="9"/>
      <c r="I91" s="9"/>
    </row>
    <row r="92" spans="1:9" ht="38.25" customHeight="1" thickBot="1" x14ac:dyDescent="0.3">
      <c r="A92" s="3"/>
      <c r="B92" s="12" t="s">
        <v>640</v>
      </c>
      <c r="C92" s="12">
        <f>(C90+(C90*C91))*3.2%</f>
        <v>9.8957993172302725</v>
      </c>
      <c r="D92" s="3"/>
      <c r="E92" s="3"/>
      <c r="F92" s="3"/>
      <c r="G92" s="3"/>
      <c r="H92" s="3"/>
      <c r="I92" s="3"/>
    </row>
    <row r="93" spans="1:9" ht="21.75" customHeight="1" thickBot="1" x14ac:dyDescent="0.3">
      <c r="A93" s="3"/>
      <c r="B93" s="12" t="s">
        <v>641</v>
      </c>
      <c r="C93" s="12">
        <f>(C90+(C90*C91))-C92</f>
        <v>299.34792934621572</v>
      </c>
      <c r="D93" s="3"/>
      <c r="E93" s="3"/>
      <c r="F93" s="3"/>
      <c r="G93" s="3"/>
      <c r="H93" s="3"/>
      <c r="I93" s="3"/>
    </row>
    <row r="94" spans="1:9" ht="18" customHeight="1" thickBot="1" x14ac:dyDescent="0.3">
      <c r="A94" s="9"/>
      <c r="B94" s="9"/>
      <c r="C94" s="9"/>
      <c r="D94" s="9"/>
      <c r="E94" s="9"/>
      <c r="F94" s="9"/>
      <c r="G94" s="9"/>
      <c r="H94" s="9"/>
      <c r="I94" s="9"/>
    </row>
    <row r="95" spans="1:9" ht="18" customHeight="1" thickBot="1" x14ac:dyDescent="0.3">
      <c r="A95" s="114" t="s">
        <v>633</v>
      </c>
      <c r="B95" s="108"/>
      <c r="C95" s="109"/>
      <c r="D95" s="8"/>
      <c r="E95" s="8"/>
      <c r="F95" s="8"/>
      <c r="G95" s="8"/>
      <c r="H95" s="8"/>
      <c r="I95" s="8"/>
    </row>
    <row r="96" spans="1:9" ht="21.75" customHeight="1" thickBot="1" x14ac:dyDescent="0.3">
      <c r="A96" s="3"/>
      <c r="B96" s="12" t="s">
        <v>634</v>
      </c>
      <c r="C96" s="12">
        <f>C87</f>
        <v>97.71</v>
      </c>
      <c r="D96" s="3"/>
      <c r="E96" s="3"/>
      <c r="F96" s="3"/>
      <c r="G96" s="3"/>
      <c r="H96" s="3"/>
      <c r="I96" s="3"/>
    </row>
    <row r="97" spans="1:9" ht="21.75" customHeight="1" thickBot="1" x14ac:dyDescent="0.3">
      <c r="A97" s="3"/>
      <c r="B97" s="12" t="s">
        <v>638</v>
      </c>
      <c r="C97" s="12">
        <f>C93</f>
        <v>299.34792934621572</v>
      </c>
      <c r="D97" s="3"/>
      <c r="E97" s="3"/>
      <c r="F97" s="3"/>
      <c r="G97" s="3"/>
      <c r="H97" s="3"/>
      <c r="I97" s="3"/>
    </row>
    <row r="98" spans="1:9" ht="21.75" customHeight="1" thickBot="1" x14ac:dyDescent="0.3">
      <c r="A98" s="3"/>
      <c r="B98" s="68" t="s">
        <v>297</v>
      </c>
      <c r="C98" s="68">
        <f>C96+C97</f>
        <v>397.0579293462157</v>
      </c>
      <c r="D98" s="3"/>
      <c r="E98" s="3"/>
      <c r="F98" s="3"/>
      <c r="G98" s="3"/>
      <c r="H98" s="3"/>
      <c r="I98" s="3"/>
    </row>
    <row r="99" spans="1:9" ht="18" customHeight="1" x14ac:dyDescent="0.25">
      <c r="A99" s="9"/>
      <c r="B99" s="9"/>
      <c r="C99" s="9"/>
      <c r="D99" s="9"/>
      <c r="E99" s="9"/>
      <c r="F99" s="9"/>
      <c r="G99" s="9"/>
      <c r="H99" s="9"/>
      <c r="I99" s="9"/>
    </row>
    <row r="100" spans="1:9" ht="18" customHeight="1" x14ac:dyDescent="0.25">
      <c r="A100" s="9"/>
      <c r="B100" s="9"/>
      <c r="C100" s="9"/>
      <c r="D100" s="9"/>
      <c r="E100" s="9"/>
      <c r="F100" s="9"/>
      <c r="G100" s="9"/>
      <c r="H100" s="9"/>
      <c r="I100" s="9"/>
    </row>
    <row r="101" spans="1:9" ht="18" customHeight="1" thickBot="1" x14ac:dyDescent="0.3">
      <c r="A101" s="114" t="s">
        <v>642</v>
      </c>
      <c r="B101" s="108"/>
      <c r="C101" s="109"/>
      <c r="D101" s="8"/>
      <c r="E101" s="8"/>
      <c r="F101" s="8"/>
      <c r="G101" s="8"/>
      <c r="H101" s="8"/>
      <c r="I101" s="8"/>
    </row>
    <row r="102" spans="1:9" ht="25.5" customHeight="1" thickBot="1" x14ac:dyDescent="0.3">
      <c r="A102" s="3"/>
      <c r="B102" s="12" t="s">
        <v>643</v>
      </c>
      <c r="C102" s="12">
        <f>C16+C54+C65+C80+C98</f>
        <v>3811.1115494962155</v>
      </c>
      <c r="D102" s="129" t="s">
        <v>644</v>
      </c>
      <c r="E102" s="2" t="s">
        <v>645</v>
      </c>
      <c r="F102" s="130">
        <f>-1</f>
        <v>-1</v>
      </c>
      <c r="G102" s="3"/>
      <c r="H102" s="3"/>
      <c r="I102" s="3"/>
    </row>
    <row r="103" spans="1:9" ht="21.75" customHeight="1" thickBot="1" x14ac:dyDescent="0.3">
      <c r="A103" s="3"/>
      <c r="B103" s="12" t="s">
        <v>646</v>
      </c>
      <c r="C103" s="2">
        <f>(1+F115)/(1-F110-F116)-100%</f>
        <v>0.30445795339412363</v>
      </c>
      <c r="D103" s="126"/>
      <c r="E103" s="2" t="s">
        <v>647</v>
      </c>
      <c r="F103" s="131"/>
      <c r="G103" s="3"/>
      <c r="H103" s="3"/>
      <c r="I103" s="3"/>
    </row>
    <row r="104" spans="1:9" ht="21.75" customHeight="1" thickBot="1" x14ac:dyDescent="0.3">
      <c r="A104" s="3"/>
      <c r="B104" s="68" t="s">
        <v>648</v>
      </c>
      <c r="C104" s="68">
        <f>C102*C103</f>
        <v>1160.3232225163251</v>
      </c>
      <c r="D104" s="3"/>
      <c r="E104" s="3"/>
      <c r="F104" s="3"/>
      <c r="G104" s="3"/>
      <c r="H104" s="3"/>
      <c r="I104" s="3"/>
    </row>
    <row r="105" spans="1:9" ht="18" customHeight="1" x14ac:dyDescent="0.25">
      <c r="A105" s="9"/>
      <c r="B105" s="9"/>
      <c r="C105" s="9"/>
      <c r="D105" s="9"/>
      <c r="E105" s="9"/>
      <c r="F105" s="9"/>
      <c r="G105" s="9"/>
      <c r="H105" s="9"/>
      <c r="I105" s="9"/>
    </row>
    <row r="106" spans="1:9" ht="18" customHeight="1" thickBot="1" x14ac:dyDescent="0.3">
      <c r="A106" s="9"/>
      <c r="B106" s="9"/>
      <c r="C106" s="9"/>
      <c r="D106" s="43"/>
      <c r="E106" s="1"/>
      <c r="F106" s="19"/>
      <c r="G106" s="19"/>
      <c r="H106" s="9"/>
      <c r="I106" s="9"/>
    </row>
    <row r="107" spans="1:9" ht="21.75" customHeight="1" thickBot="1" x14ac:dyDescent="0.3">
      <c r="A107" s="115" t="s">
        <v>649</v>
      </c>
      <c r="B107" s="109"/>
      <c r="C107" s="3"/>
      <c r="D107" s="13"/>
      <c r="E107" s="44"/>
      <c r="F107" s="13"/>
      <c r="G107" s="3"/>
      <c r="H107" s="3"/>
      <c r="I107" s="2"/>
    </row>
    <row r="108" spans="1:9" ht="18" customHeight="1" thickBot="1" x14ac:dyDescent="0.3">
      <c r="A108" s="9"/>
      <c r="B108" s="9"/>
      <c r="C108" s="9"/>
      <c r="D108" s="9"/>
      <c r="E108" s="9"/>
      <c r="F108" s="9"/>
      <c r="G108" s="9"/>
      <c r="H108" s="9"/>
      <c r="I108" s="35"/>
    </row>
    <row r="109" spans="1:9" ht="21.75" customHeight="1" thickBot="1" x14ac:dyDescent="0.3">
      <c r="A109" s="12" t="s">
        <v>650</v>
      </c>
      <c r="B109" s="12" t="s">
        <v>665</v>
      </c>
      <c r="C109" s="3"/>
      <c r="D109" s="3"/>
      <c r="E109" s="3"/>
      <c r="F109" s="3"/>
      <c r="G109" s="3"/>
      <c r="H109" s="3"/>
      <c r="I109" s="3"/>
    </row>
    <row r="110" spans="1:9" ht="21.75" customHeight="1" thickBot="1" x14ac:dyDescent="0.3">
      <c r="A110" s="12" t="s">
        <v>652</v>
      </c>
      <c r="B110" s="12">
        <f>C16</f>
        <v>1473.9</v>
      </c>
      <c r="C110" s="3"/>
      <c r="D110" s="3"/>
      <c r="E110" s="80" t="s">
        <v>653</v>
      </c>
      <c r="F110" s="81">
        <f>SUM(F111:F113)</f>
        <v>0.14250000000000002</v>
      </c>
      <c r="G110" s="100" t="s">
        <v>561</v>
      </c>
      <c r="H110" s="3"/>
      <c r="I110" s="3"/>
    </row>
    <row r="111" spans="1:9" ht="21.75" customHeight="1" thickBot="1" x14ac:dyDescent="0.3">
      <c r="A111" s="12" t="s">
        <v>654</v>
      </c>
      <c r="B111" s="12">
        <f>C54</f>
        <v>1783.9735261999999</v>
      </c>
      <c r="C111" s="3"/>
      <c r="D111" s="3"/>
      <c r="E111" s="80" t="s">
        <v>655</v>
      </c>
      <c r="F111" s="81">
        <v>0.05</v>
      </c>
      <c r="G111" s="103">
        <f>F111*C102</f>
        <v>190.55557747481078</v>
      </c>
      <c r="H111" s="3"/>
      <c r="I111" s="3"/>
    </row>
    <row r="112" spans="1:9" ht="21.75" customHeight="1" thickBot="1" x14ac:dyDescent="0.3">
      <c r="A112" s="12" t="s">
        <v>656</v>
      </c>
      <c r="B112" s="12">
        <f>C65</f>
        <v>98.222464680000016</v>
      </c>
      <c r="C112" s="3"/>
      <c r="D112" s="3"/>
      <c r="E112" s="80" t="s">
        <v>657</v>
      </c>
      <c r="F112" s="81">
        <v>7.5999999999999998E-2</v>
      </c>
      <c r="G112" s="103">
        <f>F112*C102</f>
        <v>289.64447776171238</v>
      </c>
      <c r="H112" s="3"/>
      <c r="I112" s="3"/>
    </row>
    <row r="113" spans="1:9" ht="21.75" customHeight="1" thickBot="1" x14ac:dyDescent="0.3">
      <c r="A113" s="12" t="s">
        <v>658</v>
      </c>
      <c r="B113" s="12">
        <f>C80</f>
        <v>57.957629270000012</v>
      </c>
      <c r="C113" s="3"/>
      <c r="D113" s="3"/>
      <c r="E113" s="80" t="s">
        <v>659</v>
      </c>
      <c r="F113" s="81">
        <v>1.6500000000000001E-2</v>
      </c>
      <c r="G113" s="103">
        <f>F113*C102</f>
        <v>62.883340566687558</v>
      </c>
      <c r="H113" s="3"/>
      <c r="I113" s="3"/>
    </row>
    <row r="114" spans="1:9" ht="21.75" customHeight="1" thickBot="1" x14ac:dyDescent="0.3">
      <c r="A114" s="12" t="s">
        <v>660</v>
      </c>
      <c r="B114" s="12">
        <f>C98</f>
        <v>397.0579293462157</v>
      </c>
      <c r="C114" s="3"/>
      <c r="D114" s="3"/>
      <c r="E114" s="100"/>
      <c r="F114" s="81"/>
      <c r="G114" s="103"/>
      <c r="H114" s="3"/>
      <c r="I114" s="3"/>
    </row>
    <row r="115" spans="1:9" ht="21.75" customHeight="1" thickBot="1" x14ac:dyDescent="0.3">
      <c r="A115" s="12" t="s">
        <v>661</v>
      </c>
      <c r="B115" s="12">
        <f>C104</f>
        <v>1160.3232225163251</v>
      </c>
      <c r="C115" s="3"/>
      <c r="D115" s="3"/>
      <c r="E115" s="80" t="s">
        <v>662</v>
      </c>
      <c r="F115" s="81">
        <v>0.03</v>
      </c>
      <c r="G115" s="103">
        <f>F115*C102</f>
        <v>114.33334648488646</v>
      </c>
      <c r="H115" s="3"/>
      <c r="I115" s="3"/>
    </row>
    <row r="116" spans="1:9" ht="18" customHeight="1" thickBot="1" x14ac:dyDescent="0.3">
      <c r="A116" s="68" t="s">
        <v>663</v>
      </c>
      <c r="B116" s="68">
        <f>SUM(B110:B115)</f>
        <v>4971.4347720125406</v>
      </c>
      <c r="C116" s="24"/>
      <c r="D116" s="24"/>
      <c r="E116" s="101" t="s">
        <v>664</v>
      </c>
      <c r="F116" s="102">
        <v>6.7900000000000002E-2</v>
      </c>
      <c r="G116" s="103">
        <f>F116*C102</f>
        <v>258.77447421079302</v>
      </c>
      <c r="H116" s="24"/>
      <c r="I116" s="24"/>
    </row>
    <row r="117" spans="1:9" x14ac:dyDescent="0.25">
      <c r="G117" s="79"/>
    </row>
  </sheetData>
  <autoFilter ref="A6:I116" xr:uid="{00000000-0009-0000-0000-000008000000}"/>
  <mergeCells count="14">
    <mergeCell ref="D102:D103"/>
    <mergeCell ref="F38:I38"/>
    <mergeCell ref="A50:C50"/>
    <mergeCell ref="A83:C83"/>
    <mergeCell ref="A107:B107"/>
    <mergeCell ref="A69:B69"/>
    <mergeCell ref="A101:C101"/>
    <mergeCell ref="F102:F103"/>
    <mergeCell ref="A68:C68"/>
    <mergeCell ref="A19:C19"/>
    <mergeCell ref="A2:I2"/>
    <mergeCell ref="A57:C57"/>
    <mergeCell ref="A95:C95"/>
    <mergeCell ref="A78:B78"/>
  </mergeCells>
  <printOptions horizontalCentered="1"/>
  <pageMargins left="0.35" right="0.35" top="0.55000000000000004" bottom="0.55000000000000004" header="0.511811023622047" footer="0.511811023622047"/>
  <pageSetup paperSize="9" scale="84" fitToHeight="0" pageOrder="overThenDown" orientation="landscape" useFirstPageNumber="1" horizontalDpi="300" verticalDpi="300"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I116"/>
  <sheetViews>
    <sheetView showGridLines="0" topLeftCell="A44" zoomScaleNormal="100" workbookViewId="0">
      <selection activeCell="E61" sqref="E61"/>
    </sheetView>
  </sheetViews>
  <sheetFormatPr defaultColWidth="8.5703125" defaultRowHeight="15" x14ac:dyDescent="0.25"/>
  <cols>
    <col min="1" max="2" width="34" customWidth="1"/>
    <col min="3" max="3" width="16" customWidth="1"/>
    <col min="4" max="4" width="13" customWidth="1"/>
    <col min="5" max="5" width="20" customWidth="1"/>
    <col min="6" max="6" width="34" customWidth="1"/>
    <col min="7" max="7" width="24" customWidth="1"/>
    <col min="8" max="8" width="33" customWidth="1"/>
    <col min="9" max="9" width="34" customWidth="1"/>
    <col min="10" max="10" width="15.85546875" customWidth="1"/>
  </cols>
  <sheetData>
    <row r="1" spans="1:9" ht="15.75" customHeight="1" x14ac:dyDescent="0.25"/>
    <row r="2" spans="1:9" ht="24" customHeight="1" x14ac:dyDescent="0.25">
      <c r="A2" s="121" t="s">
        <v>666</v>
      </c>
      <c r="B2" s="108"/>
      <c r="C2" s="108"/>
      <c r="D2" s="108"/>
      <c r="E2" s="108"/>
      <c r="F2" s="108"/>
      <c r="G2" s="108"/>
      <c r="H2" s="108"/>
      <c r="I2" s="109"/>
    </row>
    <row r="3" spans="1:9" ht="18" customHeight="1" x14ac:dyDescent="0.25">
      <c r="A3" s="9"/>
      <c r="B3" s="9"/>
      <c r="C3" s="9"/>
      <c r="D3" s="9"/>
      <c r="E3" s="9"/>
      <c r="F3" s="9"/>
      <c r="G3" s="9"/>
      <c r="H3" s="9"/>
      <c r="I3" s="9"/>
    </row>
    <row r="4" spans="1:9" ht="18" customHeight="1" x14ac:dyDescent="0.25">
      <c r="A4" s="9"/>
      <c r="B4" s="9"/>
      <c r="C4" s="9"/>
      <c r="D4" s="9"/>
      <c r="E4" s="9"/>
      <c r="F4" s="9"/>
      <c r="G4" s="9"/>
      <c r="H4" s="9"/>
      <c r="I4" s="9"/>
    </row>
    <row r="5" spans="1:9" ht="18" customHeight="1" x14ac:dyDescent="0.25">
      <c r="A5" s="9"/>
      <c r="B5" s="9"/>
      <c r="C5" s="9"/>
      <c r="D5" s="9"/>
      <c r="E5" s="9"/>
      <c r="F5" s="9"/>
      <c r="G5" s="9"/>
      <c r="H5" s="9"/>
      <c r="I5" s="9"/>
    </row>
    <row r="6" spans="1:9" ht="21.75" customHeight="1" thickBot="1" x14ac:dyDescent="0.3">
      <c r="A6" s="12" t="s">
        <v>559</v>
      </c>
      <c r="B6" s="12" t="s">
        <v>560</v>
      </c>
      <c r="C6" s="12" t="s">
        <v>561</v>
      </c>
      <c r="D6" s="12" t="s">
        <v>137</v>
      </c>
      <c r="E6" s="3"/>
      <c r="F6" s="12" t="s">
        <v>562</v>
      </c>
      <c r="G6" s="3"/>
      <c r="H6" s="3"/>
      <c r="I6" s="3"/>
    </row>
    <row r="7" spans="1:9" ht="21.75" customHeight="1" thickBot="1" x14ac:dyDescent="0.3">
      <c r="A7" s="3"/>
      <c r="B7" s="12" t="s">
        <v>563</v>
      </c>
      <c r="C7" s="12">
        <f>'L1 Param CCT'!$B$5</f>
        <v>1651</v>
      </c>
      <c r="D7" s="3"/>
      <c r="E7" s="3"/>
      <c r="F7" s="12">
        <f>'L1 Param CCT'!$B$6</f>
        <v>1621</v>
      </c>
      <c r="G7" s="3"/>
      <c r="H7" s="3"/>
      <c r="I7" s="3"/>
    </row>
    <row r="8" spans="1:9" ht="25.5" customHeight="1" thickTop="1" thickBot="1" x14ac:dyDescent="0.3">
      <c r="A8" s="48"/>
      <c r="B8" s="38" t="s">
        <v>564</v>
      </c>
      <c r="C8" s="83">
        <v>0</v>
      </c>
      <c r="D8" s="92"/>
      <c r="E8" s="9"/>
      <c r="F8" s="9"/>
      <c r="G8" s="9"/>
      <c r="H8" s="9"/>
      <c r="I8" s="9"/>
    </row>
    <row r="9" spans="1:9" ht="15" customHeight="1" thickTop="1" thickBot="1" x14ac:dyDescent="0.3">
      <c r="A9" s="48"/>
      <c r="B9" s="23" t="s">
        <v>565</v>
      </c>
      <c r="C9" s="83">
        <v>0</v>
      </c>
      <c r="D9" s="99">
        <v>0</v>
      </c>
      <c r="E9" s="9"/>
      <c r="F9" s="9"/>
      <c r="G9" s="9"/>
      <c r="H9" s="9"/>
      <c r="I9" s="9"/>
    </row>
    <row r="10" spans="1:9" ht="21.75" customHeight="1" thickTop="1" thickBot="1" x14ac:dyDescent="0.3">
      <c r="A10" s="3"/>
      <c r="B10" s="12" t="s">
        <v>566</v>
      </c>
      <c r="C10" s="12">
        <f>IFERROR(D10*F7,0)</f>
        <v>648.40000000000009</v>
      </c>
      <c r="D10" s="98">
        <v>0.4</v>
      </c>
      <c r="E10" s="3"/>
      <c r="F10" s="3"/>
      <c r="G10" s="3"/>
      <c r="H10" s="3"/>
      <c r="I10" s="3"/>
    </row>
    <row r="11" spans="1:9" ht="21.75" customHeight="1" thickBot="1" x14ac:dyDescent="0.3">
      <c r="A11" s="3"/>
      <c r="B11" s="12" t="s">
        <v>141</v>
      </c>
      <c r="C11" s="12">
        <v>0</v>
      </c>
      <c r="D11" s="98">
        <v>0</v>
      </c>
      <c r="E11" s="3"/>
      <c r="F11" s="12" t="s">
        <v>667</v>
      </c>
      <c r="G11" s="12" t="s">
        <v>668</v>
      </c>
      <c r="H11" s="12" t="s">
        <v>669</v>
      </c>
      <c r="I11" s="125" t="s">
        <v>670</v>
      </c>
    </row>
    <row r="12" spans="1:9" ht="21.75" customHeight="1" thickBot="1" x14ac:dyDescent="0.3">
      <c r="A12" s="3"/>
      <c r="B12" s="12" t="s">
        <v>567</v>
      </c>
      <c r="C12" s="12">
        <f>H12</f>
        <v>358.31445681818184</v>
      </c>
      <c r="D12" s="98">
        <v>0.25</v>
      </c>
      <c r="E12" s="3"/>
      <c r="F12" s="12">
        <f>IFERROR(F14/'L1 Param CCT'!$B$18,0)</f>
        <v>10.451818181818183</v>
      </c>
      <c r="G12" s="12">
        <f>IFERROR(F12*D12,0)</f>
        <v>2.6129545454545458</v>
      </c>
      <c r="H12" s="12">
        <f>IFERROR(G12*137.13,0)</f>
        <v>358.31445681818184</v>
      </c>
      <c r="I12" s="132"/>
    </row>
    <row r="13" spans="1:9" ht="21.75" customHeight="1" thickBot="1" x14ac:dyDescent="0.3">
      <c r="A13" s="3"/>
      <c r="B13" s="12" t="s">
        <v>568</v>
      </c>
      <c r="C13" s="12">
        <v>0</v>
      </c>
      <c r="D13" s="98">
        <v>0</v>
      </c>
      <c r="E13" s="3"/>
      <c r="F13" s="47"/>
      <c r="G13" s="12" t="s">
        <v>332</v>
      </c>
      <c r="H13" s="3"/>
      <c r="I13" s="132"/>
    </row>
    <row r="14" spans="1:9" ht="21.75" customHeight="1" thickBot="1" x14ac:dyDescent="0.3">
      <c r="A14" s="3"/>
      <c r="B14" s="80" t="s">
        <v>569</v>
      </c>
      <c r="C14" s="80">
        <v>0</v>
      </c>
      <c r="D14" s="98">
        <v>0</v>
      </c>
      <c r="E14" s="3"/>
      <c r="F14" s="12">
        <f>SUM(C7,C8,C9,C10,C11,C13,C14,C15)</f>
        <v>2299.4</v>
      </c>
      <c r="G14" s="3"/>
      <c r="H14" s="3"/>
      <c r="I14" s="126"/>
    </row>
    <row r="15" spans="1:9" ht="18" customHeight="1" thickTop="1" thickBot="1" x14ac:dyDescent="0.3">
      <c r="A15" s="48"/>
      <c r="B15" s="23" t="s">
        <v>570</v>
      </c>
      <c r="C15" s="83">
        <v>0</v>
      </c>
      <c r="D15" s="99">
        <v>0</v>
      </c>
      <c r="E15" s="9"/>
      <c r="F15" s="49"/>
      <c r="G15" s="9"/>
      <c r="H15" s="9"/>
      <c r="I15" s="9"/>
    </row>
    <row r="16" spans="1:9" ht="21.75" customHeight="1" thickTop="1" thickBot="1" x14ac:dyDescent="0.3">
      <c r="A16" s="3"/>
      <c r="B16" s="6" t="s">
        <v>571</v>
      </c>
      <c r="C16" s="68">
        <f>SUM(C7:C15)</f>
        <v>2657.714456818182</v>
      </c>
      <c r="D16" s="98"/>
      <c r="E16" s="3"/>
      <c r="F16" s="3"/>
      <c r="G16" s="3"/>
      <c r="H16" s="3"/>
      <c r="I16" s="3"/>
    </row>
    <row r="17" spans="1:9" ht="18" customHeight="1" x14ac:dyDescent="0.25">
      <c r="A17" s="9"/>
      <c r="B17" s="9"/>
      <c r="C17" s="9"/>
      <c r="D17" s="9"/>
      <c r="E17" s="9"/>
      <c r="F17" s="9"/>
      <c r="G17" s="9"/>
      <c r="H17" s="9"/>
      <c r="I17" s="9"/>
    </row>
    <row r="18" spans="1:9" ht="18" customHeight="1" x14ac:dyDescent="0.25">
      <c r="A18" s="9"/>
      <c r="B18" s="9"/>
      <c r="C18" s="9"/>
      <c r="D18" s="9"/>
      <c r="E18" s="9"/>
      <c r="F18" s="9"/>
      <c r="G18" s="9"/>
      <c r="H18" s="9"/>
      <c r="I18" s="9"/>
    </row>
    <row r="19" spans="1:9" ht="18" customHeight="1" x14ac:dyDescent="0.25">
      <c r="A19" s="114" t="s">
        <v>572</v>
      </c>
      <c r="B19" s="108"/>
      <c r="C19" s="109"/>
      <c r="D19" s="8"/>
      <c r="E19" s="8"/>
      <c r="F19" s="8"/>
      <c r="G19" s="8"/>
      <c r="H19" s="8"/>
      <c r="I19" s="8"/>
    </row>
    <row r="20" spans="1:9" ht="18" customHeight="1" x14ac:dyDescent="0.25">
      <c r="A20" s="9"/>
      <c r="B20" s="9"/>
      <c r="C20" s="9"/>
      <c r="D20" s="9"/>
      <c r="E20" s="9"/>
      <c r="F20" s="9"/>
      <c r="G20" s="9"/>
      <c r="H20" s="9"/>
      <c r="I20" s="9"/>
    </row>
    <row r="21" spans="1:9" ht="21.75" customHeight="1" thickBot="1" x14ac:dyDescent="0.3">
      <c r="A21" s="12" t="s">
        <v>573</v>
      </c>
      <c r="B21" s="12" t="s">
        <v>574</v>
      </c>
      <c r="C21" s="12" t="s">
        <v>561</v>
      </c>
      <c r="D21" s="3"/>
      <c r="E21" s="2" t="s">
        <v>137</v>
      </c>
      <c r="F21" s="12" t="s">
        <v>575</v>
      </c>
      <c r="G21" s="3"/>
      <c r="H21" s="3"/>
      <c r="I21" s="3"/>
    </row>
    <row r="22" spans="1:9" ht="21.75" customHeight="1" thickBot="1" x14ac:dyDescent="0.3">
      <c r="A22" s="3"/>
      <c r="B22" s="12" t="s">
        <v>576</v>
      </c>
      <c r="C22" s="12">
        <f>C16*E22</f>
        <v>221.47620473484841</v>
      </c>
      <c r="D22" s="3"/>
      <c r="E22" s="2">
        <v>8.3333333333333301E-2</v>
      </c>
      <c r="F22" s="12" t="s">
        <v>577</v>
      </c>
      <c r="G22" s="3"/>
      <c r="H22" s="3"/>
      <c r="I22" s="3"/>
    </row>
    <row r="23" spans="1:9" ht="21.75" customHeight="1" thickBot="1" x14ac:dyDescent="0.3">
      <c r="A23" s="3"/>
      <c r="B23" s="12" t="s">
        <v>578</v>
      </c>
      <c r="C23" s="12">
        <f>C16*E23</f>
        <v>241.18758695625002</v>
      </c>
      <c r="D23" s="3"/>
      <c r="E23" s="2">
        <v>9.0749999999999997E-2</v>
      </c>
      <c r="F23" s="12" t="s">
        <v>1188</v>
      </c>
      <c r="G23" s="3"/>
      <c r="H23" s="3"/>
      <c r="I23" s="3"/>
    </row>
    <row r="24" spans="1:9" ht="21.75" customHeight="1" thickBot="1" x14ac:dyDescent="0.3">
      <c r="A24" s="3"/>
      <c r="B24" s="12" t="s">
        <v>579</v>
      </c>
      <c r="C24" s="12">
        <f>C16*E24</f>
        <v>80.395862318750005</v>
      </c>
      <c r="D24" s="3"/>
      <c r="E24" s="2">
        <v>3.0249999999999999E-2</v>
      </c>
      <c r="F24" s="12" t="s">
        <v>1188</v>
      </c>
      <c r="G24" s="3"/>
      <c r="H24" s="3"/>
      <c r="I24" s="3"/>
    </row>
    <row r="25" spans="1:9" ht="21.75" customHeight="1" thickBot="1" x14ac:dyDescent="0.3">
      <c r="A25" s="3"/>
      <c r="B25" s="68" t="s">
        <v>580</v>
      </c>
      <c r="C25" s="68">
        <f>SUM(C22:C24)</f>
        <v>543.05965400984837</v>
      </c>
      <c r="D25" s="3"/>
      <c r="E25" s="3"/>
      <c r="F25" s="3"/>
      <c r="G25" s="3"/>
      <c r="H25" s="3"/>
      <c r="I25" s="3"/>
    </row>
    <row r="26" spans="1:9" ht="18" customHeight="1" thickBot="1" x14ac:dyDescent="0.3">
      <c r="A26" s="9"/>
      <c r="B26" s="9"/>
      <c r="C26" s="9"/>
      <c r="D26" s="9"/>
      <c r="E26" s="9"/>
      <c r="F26" s="9"/>
      <c r="G26" s="9"/>
      <c r="H26" s="9"/>
      <c r="I26" s="9"/>
    </row>
    <row r="27" spans="1:9" ht="21.75" customHeight="1" thickBot="1" x14ac:dyDescent="0.3">
      <c r="A27" s="12" t="s">
        <v>581</v>
      </c>
      <c r="B27" s="12" t="s">
        <v>582</v>
      </c>
      <c r="C27" s="12" t="s">
        <v>583</v>
      </c>
      <c r="D27" s="12" t="s">
        <v>561</v>
      </c>
      <c r="E27" s="3"/>
      <c r="F27" s="3"/>
      <c r="G27" s="3"/>
      <c r="H27" s="3"/>
      <c r="I27" s="3"/>
    </row>
    <row r="28" spans="1:9" ht="25.5" customHeight="1" thickBot="1" x14ac:dyDescent="0.3">
      <c r="A28" s="3"/>
      <c r="B28" s="80" t="s">
        <v>584</v>
      </c>
      <c r="C28" s="81">
        <v>0.2</v>
      </c>
      <c r="D28" s="12">
        <f>C28*(C16+C25)</f>
        <v>640.15482216560622</v>
      </c>
      <c r="E28" s="3"/>
      <c r="F28" s="12" t="s">
        <v>585</v>
      </c>
      <c r="G28" s="3"/>
      <c r="H28" s="3"/>
      <c r="I28" s="3"/>
    </row>
    <row r="29" spans="1:9" ht="21.75" customHeight="1" thickBot="1" x14ac:dyDescent="0.3">
      <c r="A29" s="3"/>
      <c r="B29" s="80" t="s">
        <v>586</v>
      </c>
      <c r="C29" s="81">
        <v>1.4999999999999999E-2</v>
      </c>
      <c r="D29" s="12">
        <f>C29*(C16+C25)</f>
        <v>48.011611662420457</v>
      </c>
      <c r="E29" s="3"/>
      <c r="F29" s="47"/>
      <c r="G29" s="3"/>
      <c r="H29" s="3"/>
      <c r="I29" s="3"/>
    </row>
    <row r="30" spans="1:9" ht="21.75" customHeight="1" thickBot="1" x14ac:dyDescent="0.3">
      <c r="A30" s="3"/>
      <c r="B30" s="80" t="s">
        <v>587</v>
      </c>
      <c r="C30" s="81">
        <v>0.01</v>
      </c>
      <c r="D30" s="12">
        <f>C30*(C16+C25)</f>
        <v>32.007741108280307</v>
      </c>
      <c r="E30" s="3"/>
      <c r="F30" s="3"/>
      <c r="G30" s="3"/>
      <c r="H30" s="3"/>
      <c r="I30" s="3"/>
    </row>
    <row r="31" spans="1:9" ht="21.75" customHeight="1" thickBot="1" x14ac:dyDescent="0.3">
      <c r="A31" s="3"/>
      <c r="B31" s="80" t="s">
        <v>588</v>
      </c>
      <c r="C31" s="81">
        <v>2E-3</v>
      </c>
      <c r="D31" s="12">
        <f>C31*(C16+C25)</f>
        <v>6.4015482216560615</v>
      </c>
      <c r="E31" s="3"/>
      <c r="F31" s="12"/>
      <c r="G31" s="47"/>
      <c r="H31" s="3"/>
      <c r="I31" s="3"/>
    </row>
    <row r="32" spans="1:9" ht="21.75" customHeight="1" thickBot="1" x14ac:dyDescent="0.3">
      <c r="A32" s="3"/>
      <c r="B32" s="80" t="s">
        <v>589</v>
      </c>
      <c r="C32" s="81">
        <v>2.5000000000000001E-2</v>
      </c>
      <c r="D32" s="12">
        <f>C32*(C16+C25)</f>
        <v>80.019352770700777</v>
      </c>
      <c r="E32" s="3"/>
      <c r="F32" s="12"/>
      <c r="G32" s="47"/>
      <c r="H32" s="3"/>
      <c r="I32" s="3"/>
    </row>
    <row r="33" spans="1:9" ht="21.75" customHeight="1" thickBot="1" x14ac:dyDescent="0.3">
      <c r="A33" s="3"/>
      <c r="B33" s="80" t="s">
        <v>590</v>
      </c>
      <c r="C33" s="81">
        <v>0.08</v>
      </c>
      <c r="D33" s="12">
        <f>C33*(C16+C25)</f>
        <v>256.06192886624245</v>
      </c>
      <c r="E33" s="3"/>
      <c r="F33" s="3"/>
      <c r="G33" s="3"/>
      <c r="H33" s="3"/>
      <c r="I33" s="3"/>
    </row>
    <row r="34" spans="1:9" ht="25.5" customHeight="1" thickBot="1" x14ac:dyDescent="0.3">
      <c r="A34" s="3"/>
      <c r="B34" s="80" t="s">
        <v>591</v>
      </c>
      <c r="C34" s="81">
        <v>0.06</v>
      </c>
      <c r="D34" s="12">
        <f>C34*(C16+C25)</f>
        <v>192.04644664968183</v>
      </c>
      <c r="E34" s="3"/>
      <c r="F34" s="3"/>
      <c r="G34" s="3"/>
      <c r="H34" s="3"/>
      <c r="I34" s="3"/>
    </row>
    <row r="35" spans="1:9" ht="15.75" thickBot="1" x14ac:dyDescent="0.3">
      <c r="A35" s="3"/>
      <c r="B35" s="80" t="s">
        <v>592</v>
      </c>
      <c r="C35" s="81">
        <v>6.0000000000000001E-3</v>
      </c>
      <c r="D35" s="12">
        <f>C35*(C16+C25)</f>
        <v>19.204644664968185</v>
      </c>
      <c r="E35" s="3"/>
      <c r="F35" s="3"/>
      <c r="G35" s="3"/>
      <c r="H35" s="3"/>
      <c r="I35" s="3"/>
    </row>
    <row r="36" spans="1:9" ht="21.75" customHeight="1" thickBot="1" x14ac:dyDescent="0.3">
      <c r="A36" s="3"/>
      <c r="B36" s="68" t="s">
        <v>297</v>
      </c>
      <c r="C36" s="69">
        <f>SUM(C28:C35)</f>
        <v>0.39800000000000008</v>
      </c>
      <c r="D36" s="68">
        <f>SUM(D28:D35)</f>
        <v>1273.9080961095563</v>
      </c>
      <c r="E36" s="3"/>
      <c r="F36" s="3"/>
      <c r="G36" s="3"/>
      <c r="H36" s="3"/>
      <c r="I36" s="3"/>
    </row>
    <row r="37" spans="1:9" ht="18" customHeight="1" thickBot="1" x14ac:dyDescent="0.3">
      <c r="A37" s="9"/>
      <c r="B37" s="9"/>
      <c r="C37" s="9"/>
      <c r="D37" s="9"/>
      <c r="E37" s="9"/>
      <c r="F37" s="9"/>
      <c r="G37" s="9"/>
      <c r="H37" s="9"/>
      <c r="I37" s="9"/>
    </row>
    <row r="38" spans="1:9" ht="18" customHeight="1" thickBot="1" x14ac:dyDescent="0.3">
      <c r="A38" s="7" t="s">
        <v>593</v>
      </c>
      <c r="B38" s="7" t="s">
        <v>594</v>
      </c>
      <c r="C38" s="7" t="s">
        <v>561</v>
      </c>
      <c r="D38" s="8"/>
      <c r="E38" s="8"/>
      <c r="F38" s="113"/>
      <c r="G38" s="108"/>
      <c r="H38" s="108"/>
      <c r="I38" s="109"/>
    </row>
    <row r="39" spans="1:9" ht="15.75" thickBot="1" x14ac:dyDescent="0.3">
      <c r="A39" s="12" t="s">
        <v>595</v>
      </c>
      <c r="B39" s="12" t="s">
        <v>596</v>
      </c>
      <c r="C39" s="12">
        <f>IFERROR('L1 Param CCT'!$B$10*2*'L1 Param CCT'!$B$17-(C7*'L1 Param CCT'!$B$11),0)</f>
        <v>11.939999999999998</v>
      </c>
      <c r="D39" s="3"/>
      <c r="E39" s="3"/>
      <c r="F39" s="3"/>
      <c r="G39" s="3"/>
      <c r="H39" s="3"/>
      <c r="I39" s="3"/>
    </row>
    <row r="40" spans="1:9" ht="25.5" customHeight="1" thickBot="1" x14ac:dyDescent="0.3">
      <c r="A40" s="12" t="s">
        <v>597</v>
      </c>
      <c r="B40" s="12" t="s">
        <v>598</v>
      </c>
      <c r="C40" s="12">
        <f>'L1 Param CCT'!$B$9</f>
        <v>400</v>
      </c>
      <c r="D40" s="3"/>
      <c r="E40" s="3"/>
      <c r="F40" s="3"/>
      <c r="G40" s="3"/>
      <c r="H40" s="3"/>
      <c r="I40" s="3"/>
    </row>
    <row r="41" spans="1:9" ht="21.75" customHeight="1" thickBot="1" x14ac:dyDescent="0.3">
      <c r="A41" s="12" t="s">
        <v>599</v>
      </c>
      <c r="B41" s="12" t="s">
        <v>600</v>
      </c>
      <c r="C41" s="12">
        <v>0</v>
      </c>
      <c r="D41" s="3"/>
      <c r="E41" s="3"/>
      <c r="F41" s="3"/>
      <c r="G41" s="3"/>
      <c r="H41" s="3"/>
      <c r="I41" s="3"/>
    </row>
    <row r="42" spans="1:9" ht="25.5" customHeight="1" thickBot="1" x14ac:dyDescent="0.3">
      <c r="A42" s="12" t="s">
        <v>601</v>
      </c>
      <c r="B42" s="12" t="s">
        <v>602</v>
      </c>
      <c r="C42" s="12">
        <f>'L1 Param CCT'!$B$13</f>
        <v>6.4</v>
      </c>
      <c r="D42" s="3"/>
      <c r="E42" s="3"/>
      <c r="F42" s="3"/>
      <c r="G42" s="3"/>
      <c r="H42" s="3"/>
      <c r="I42" s="3"/>
    </row>
    <row r="43" spans="1:9" ht="21.75" customHeight="1" thickBot="1" x14ac:dyDescent="0.3">
      <c r="A43" s="12" t="s">
        <v>603</v>
      </c>
      <c r="B43" s="12" t="s">
        <v>564</v>
      </c>
      <c r="C43" s="12">
        <v>112</v>
      </c>
      <c r="D43" s="3"/>
      <c r="E43" s="3"/>
      <c r="F43" s="3"/>
      <c r="G43" s="3"/>
      <c r="H43" s="3"/>
      <c r="I43" s="3"/>
    </row>
    <row r="44" spans="1:9" ht="21.75" customHeight="1" thickBot="1" x14ac:dyDescent="0.3">
      <c r="A44" s="12" t="s">
        <v>604</v>
      </c>
      <c r="B44" s="12" t="s">
        <v>605</v>
      </c>
      <c r="C44" s="12">
        <f>'L1 Param CCT'!$B$12</f>
        <v>14.66</v>
      </c>
      <c r="D44" s="3"/>
      <c r="E44" s="3"/>
      <c r="F44" s="3"/>
      <c r="G44" s="3"/>
      <c r="H44" s="3"/>
      <c r="I44" s="3"/>
    </row>
    <row r="45" spans="1:9" ht="21.75" customHeight="1" thickBot="1" x14ac:dyDescent="0.3">
      <c r="A45" s="12" t="s">
        <v>606</v>
      </c>
      <c r="B45" s="12" t="s">
        <v>607</v>
      </c>
      <c r="C45" s="12">
        <f>'L1 Param CCT'!$B$14</f>
        <v>130</v>
      </c>
      <c r="D45" s="3"/>
      <c r="E45" s="3"/>
      <c r="F45" s="3"/>
      <c r="G45" s="3"/>
      <c r="H45" s="3"/>
      <c r="I45" s="3"/>
    </row>
    <row r="46" spans="1:9" ht="21.75" customHeight="1" thickBot="1" x14ac:dyDescent="0.3">
      <c r="A46" s="12" t="s">
        <v>608</v>
      </c>
      <c r="B46" s="12" t="s">
        <v>609</v>
      </c>
      <c r="C46" s="12">
        <v>0</v>
      </c>
      <c r="D46" s="3"/>
      <c r="E46" s="3"/>
      <c r="F46" s="3"/>
      <c r="G46" s="3"/>
      <c r="H46" s="3"/>
      <c r="I46" s="3"/>
    </row>
    <row r="47" spans="1:9" ht="21.75" customHeight="1" thickBot="1" x14ac:dyDescent="0.3">
      <c r="A47" s="12" t="s">
        <v>610</v>
      </c>
      <c r="B47" s="12" t="s">
        <v>570</v>
      </c>
      <c r="C47" s="12">
        <v>0</v>
      </c>
      <c r="D47" s="3"/>
      <c r="E47" s="3"/>
      <c r="F47" s="3"/>
      <c r="G47" s="3"/>
      <c r="H47" s="3"/>
      <c r="I47" s="3"/>
    </row>
    <row r="48" spans="1:9" ht="21.75" customHeight="1" thickBot="1" x14ac:dyDescent="0.3">
      <c r="A48" s="6" t="s">
        <v>611</v>
      </c>
      <c r="B48" s="68" t="s">
        <v>612</v>
      </c>
      <c r="C48" s="68">
        <f>SUM(C39:C47)</f>
        <v>674.99999999999989</v>
      </c>
      <c r="D48" s="3"/>
      <c r="E48" s="3"/>
      <c r="F48" s="3"/>
      <c r="G48" s="3"/>
      <c r="H48" s="3"/>
      <c r="I48" s="3"/>
    </row>
    <row r="49" spans="1:9" ht="18" customHeight="1" thickBot="1" x14ac:dyDescent="0.3">
      <c r="A49" s="9"/>
      <c r="B49" s="9"/>
      <c r="C49" s="9"/>
      <c r="D49" s="9"/>
      <c r="E49" s="9"/>
      <c r="F49" s="9"/>
      <c r="G49" s="9"/>
      <c r="H49" s="9"/>
      <c r="I49" s="9"/>
    </row>
    <row r="50" spans="1:9" ht="18" customHeight="1" x14ac:dyDescent="0.25">
      <c r="A50" s="114" t="s">
        <v>572</v>
      </c>
      <c r="B50" s="108"/>
      <c r="C50" s="109"/>
      <c r="D50" s="8"/>
      <c r="E50" s="8"/>
      <c r="F50" s="8"/>
      <c r="G50" s="8"/>
      <c r="H50" s="8"/>
      <c r="I50" s="8"/>
    </row>
    <row r="51" spans="1:9" ht="21.75" customHeight="1" x14ac:dyDescent="0.25">
      <c r="A51" s="3"/>
      <c r="B51" s="12" t="s">
        <v>573</v>
      </c>
      <c r="C51" s="12">
        <f>C25</f>
        <v>543.05965400984837</v>
      </c>
      <c r="D51" s="3"/>
      <c r="E51" s="3"/>
      <c r="F51" s="3"/>
      <c r="G51" s="3"/>
      <c r="H51" s="3"/>
      <c r="I51" s="3"/>
    </row>
    <row r="52" spans="1:9" ht="21.75" customHeight="1" x14ac:dyDescent="0.25">
      <c r="A52" s="3"/>
      <c r="B52" s="12" t="s">
        <v>581</v>
      </c>
      <c r="C52" s="12">
        <f>D36</f>
        <v>1273.9080961095563</v>
      </c>
      <c r="D52" s="3"/>
      <c r="E52" s="3"/>
      <c r="F52" s="3"/>
      <c r="G52" s="3"/>
      <c r="H52" s="3"/>
      <c r="I52" s="3"/>
    </row>
    <row r="53" spans="1:9" ht="21.75" customHeight="1" thickBot="1" x14ac:dyDescent="0.3">
      <c r="A53" s="3"/>
      <c r="B53" s="12" t="s">
        <v>593</v>
      </c>
      <c r="C53" s="12">
        <f>C48</f>
        <v>674.99999999999989</v>
      </c>
      <c r="D53" s="3"/>
      <c r="E53" s="3"/>
      <c r="F53" s="3"/>
      <c r="G53" s="3"/>
      <c r="H53" s="3"/>
      <c r="I53" s="3"/>
    </row>
    <row r="54" spans="1:9" ht="18" customHeight="1" thickBot="1" x14ac:dyDescent="0.3">
      <c r="A54" s="24"/>
      <c r="B54" s="68" t="s">
        <v>297</v>
      </c>
      <c r="C54" s="68">
        <f>SUM(C51:C53)</f>
        <v>2491.9677501194046</v>
      </c>
      <c r="D54" s="24"/>
      <c r="E54" s="24"/>
      <c r="F54" s="24"/>
      <c r="G54" s="24"/>
      <c r="H54" s="24"/>
      <c r="I54" s="24"/>
    </row>
    <row r="55" spans="1:9" ht="18" customHeight="1" x14ac:dyDescent="0.25">
      <c r="A55" s="9"/>
      <c r="B55" s="9"/>
      <c r="C55" s="9"/>
      <c r="D55" s="9"/>
      <c r="E55" s="9"/>
      <c r="F55" s="9"/>
      <c r="G55" s="9"/>
      <c r="H55" s="9"/>
      <c r="I55" s="9"/>
    </row>
    <row r="56" spans="1:9" ht="18" customHeight="1" thickBot="1" x14ac:dyDescent="0.3">
      <c r="A56" s="9"/>
      <c r="B56" s="9"/>
      <c r="C56" s="9"/>
      <c r="D56" s="9"/>
      <c r="E56" s="9"/>
      <c r="F56" s="9"/>
      <c r="G56" s="9"/>
      <c r="H56" s="9"/>
      <c r="I56" s="9"/>
    </row>
    <row r="57" spans="1:9" ht="18" customHeight="1" thickBot="1" x14ac:dyDescent="0.3">
      <c r="A57" s="114" t="s">
        <v>613</v>
      </c>
      <c r="B57" s="108"/>
      <c r="C57" s="109"/>
      <c r="D57" s="8"/>
      <c r="E57" s="8"/>
      <c r="F57" s="8"/>
      <c r="G57" s="8"/>
      <c r="H57" s="8"/>
      <c r="I57" s="8"/>
    </row>
    <row r="58" spans="1:9" ht="18" customHeight="1" thickBot="1" x14ac:dyDescent="0.3">
      <c r="A58" s="3" t="s">
        <v>614</v>
      </c>
      <c r="B58" s="12" t="s">
        <v>615</v>
      </c>
      <c r="C58" s="3" t="s">
        <v>561</v>
      </c>
      <c r="D58" s="12" t="s">
        <v>137</v>
      </c>
      <c r="E58" s="3"/>
      <c r="F58" s="3"/>
      <c r="G58" s="3"/>
      <c r="H58" s="3"/>
      <c r="I58" s="3"/>
    </row>
    <row r="59" spans="1:9" ht="18" customHeight="1" thickBot="1" x14ac:dyDescent="0.3">
      <c r="A59" s="3" t="s">
        <v>595</v>
      </c>
      <c r="B59" s="12" t="s">
        <v>616</v>
      </c>
      <c r="C59" s="70">
        <f>C16*D59</f>
        <v>11.073810236742425</v>
      </c>
      <c r="D59" s="2">
        <f>((1/12)*0.05)</f>
        <v>4.1666666666666666E-3</v>
      </c>
      <c r="E59" s="3"/>
      <c r="F59" s="3"/>
      <c r="G59" s="3"/>
      <c r="H59" s="3"/>
      <c r="I59" s="3"/>
    </row>
    <row r="60" spans="1:9" ht="26.25" customHeight="1" thickBot="1" x14ac:dyDescent="0.3">
      <c r="A60" s="3" t="s">
        <v>597</v>
      </c>
      <c r="B60" s="12" t="s">
        <v>617</v>
      </c>
      <c r="C60" s="70">
        <f>C16*D60</f>
        <v>0.88590481893939399</v>
      </c>
      <c r="D60" s="2">
        <f>D59*8%</f>
        <v>3.3333333333333332E-4</v>
      </c>
      <c r="E60" s="3"/>
      <c r="F60" s="3"/>
      <c r="G60" s="3"/>
      <c r="H60" s="3"/>
      <c r="I60" s="3"/>
    </row>
    <row r="61" spans="1:9" ht="26.25" customHeight="1" thickBot="1" x14ac:dyDescent="0.3">
      <c r="A61" s="3" t="s">
        <v>599</v>
      </c>
      <c r="B61" s="12" t="s">
        <v>618</v>
      </c>
      <c r="C61" s="70">
        <f>C16*D61</f>
        <v>91.425377314545443</v>
      </c>
      <c r="D61" s="2">
        <f>0.08*0.4*0.9*(1+1/12+1/12+(1/3*1/12))</f>
        <v>3.4399999999999993E-2</v>
      </c>
      <c r="E61" s="12" t="s">
        <v>1188</v>
      </c>
      <c r="F61" s="3"/>
      <c r="G61" s="3"/>
      <c r="H61" s="3"/>
      <c r="I61" s="3"/>
    </row>
    <row r="62" spans="1:9" ht="15.75" customHeight="1" thickBot="1" x14ac:dyDescent="0.3">
      <c r="A62" s="3" t="s">
        <v>601</v>
      </c>
      <c r="B62" s="12" t="s">
        <v>619</v>
      </c>
      <c r="C62" s="70">
        <f>C16*D62</f>
        <v>51.559660462272731</v>
      </c>
      <c r="D62" s="2">
        <v>1.9400000000000001E-2</v>
      </c>
      <c r="E62" s="3"/>
      <c r="F62" s="3"/>
      <c r="G62" s="3"/>
      <c r="H62" s="3"/>
      <c r="I62" s="3"/>
    </row>
    <row r="63" spans="1:9" ht="25.5" customHeight="1" thickBot="1" x14ac:dyDescent="0.3">
      <c r="A63" s="3" t="s">
        <v>603</v>
      </c>
      <c r="B63" s="12" t="s">
        <v>620</v>
      </c>
      <c r="C63" s="70">
        <f>C16*D63</f>
        <v>20.520744863984554</v>
      </c>
      <c r="D63" s="2">
        <f>C36*D62</f>
        <v>7.7212000000000018E-3</v>
      </c>
      <c r="E63" s="3"/>
      <c r="F63" s="3"/>
      <c r="G63" s="3"/>
      <c r="H63" s="3"/>
      <c r="I63" s="3"/>
    </row>
    <row r="64" spans="1:9" ht="25.5" customHeight="1" thickBot="1" x14ac:dyDescent="0.3">
      <c r="A64" s="3" t="s">
        <v>604</v>
      </c>
      <c r="B64" s="12" t="s">
        <v>621</v>
      </c>
      <c r="C64" s="70">
        <f>C16*D64</f>
        <v>1.6477829632272729</v>
      </c>
      <c r="D64" s="2">
        <v>6.2E-4</v>
      </c>
      <c r="E64" s="3"/>
      <c r="F64" s="3"/>
      <c r="G64" s="3"/>
      <c r="H64" s="3"/>
      <c r="I64" s="3"/>
    </row>
    <row r="65" spans="1:9" ht="21.75" customHeight="1" thickBot="1" x14ac:dyDescent="0.3">
      <c r="A65" s="3"/>
      <c r="B65" s="101" t="s">
        <v>297</v>
      </c>
      <c r="C65" s="101">
        <f>SUM(C59:C64)</f>
        <v>177.11328065971185</v>
      </c>
      <c r="D65" s="3"/>
      <c r="E65" s="3"/>
      <c r="F65" s="3"/>
      <c r="G65" s="3"/>
      <c r="H65" s="3"/>
      <c r="I65" s="3"/>
    </row>
    <row r="66" spans="1:9" ht="18" customHeight="1" x14ac:dyDescent="0.25">
      <c r="A66" s="9"/>
      <c r="B66" s="9"/>
      <c r="C66" s="9"/>
      <c r="D66" s="9"/>
      <c r="E66" s="9"/>
      <c r="F66" s="9"/>
      <c r="G66" s="9"/>
      <c r="H66" s="9"/>
      <c r="I66" s="9"/>
    </row>
    <row r="67" spans="1:9" ht="18" customHeight="1" thickBot="1" x14ac:dyDescent="0.3">
      <c r="A67" s="9"/>
      <c r="B67" s="9"/>
      <c r="C67" s="9"/>
      <c r="D67" s="9"/>
      <c r="E67" s="9"/>
      <c r="F67" s="9"/>
      <c r="G67" s="9"/>
      <c r="H67" s="9"/>
      <c r="I67" s="9"/>
    </row>
    <row r="68" spans="1:9" ht="18" customHeight="1" thickBot="1" x14ac:dyDescent="0.3">
      <c r="A68" s="114" t="s">
        <v>622</v>
      </c>
      <c r="B68" s="108"/>
      <c r="C68" s="109"/>
      <c r="D68" s="8"/>
      <c r="E68" s="8"/>
      <c r="F68" s="8"/>
      <c r="G68" s="8"/>
      <c r="H68" s="8"/>
      <c r="I68" s="8"/>
    </row>
    <row r="69" spans="1:9" ht="26.25" customHeight="1" thickBot="1" x14ac:dyDescent="0.3">
      <c r="A69" s="127" t="s">
        <v>623</v>
      </c>
      <c r="B69" s="108"/>
      <c r="C69" s="71" t="s">
        <v>561</v>
      </c>
      <c r="D69" s="72" t="s">
        <v>137</v>
      </c>
      <c r="E69" s="3"/>
      <c r="F69" s="3"/>
      <c r="G69" s="3"/>
      <c r="H69" s="3"/>
      <c r="I69" s="3"/>
    </row>
    <row r="70" spans="1:9" ht="15.75" customHeight="1" thickBot="1" x14ac:dyDescent="0.3">
      <c r="A70" s="3" t="s">
        <v>595</v>
      </c>
      <c r="B70" s="80" t="s">
        <v>624</v>
      </c>
      <c r="C70" s="80">
        <f>D70*C16</f>
        <v>45.254971167487376</v>
      </c>
      <c r="D70" s="81">
        <f>SUM(E22:E24)/12</f>
        <v>1.7027777777777777E-2</v>
      </c>
      <c r="E70" s="3"/>
      <c r="F70" s="3"/>
      <c r="G70" s="3"/>
      <c r="H70" s="3"/>
      <c r="I70" s="3"/>
    </row>
    <row r="71" spans="1:9" ht="26.25" customHeight="1" thickBot="1" x14ac:dyDescent="0.3">
      <c r="A71" s="3" t="s">
        <v>597</v>
      </c>
      <c r="B71" s="12" t="s">
        <v>625</v>
      </c>
      <c r="C71" s="12">
        <f>D71*C16</f>
        <v>21.793258545909094</v>
      </c>
      <c r="D71" s="2">
        <v>8.2000000000000007E-3</v>
      </c>
      <c r="E71" s="3"/>
      <c r="F71" s="3"/>
      <c r="G71" s="3"/>
      <c r="H71" s="3"/>
      <c r="I71" s="3"/>
    </row>
    <row r="72" spans="1:9" ht="26.25" customHeight="1" thickBot="1" x14ac:dyDescent="0.3">
      <c r="A72" s="3" t="s">
        <v>599</v>
      </c>
      <c r="B72" s="12" t="s">
        <v>626</v>
      </c>
      <c r="C72" s="12">
        <f>D72*C16</f>
        <v>0.53154289136363642</v>
      </c>
      <c r="D72" s="2">
        <v>2.0000000000000001E-4</v>
      </c>
      <c r="E72" s="3"/>
      <c r="F72" s="3"/>
      <c r="G72" s="3"/>
      <c r="H72" s="3"/>
      <c r="I72" s="3"/>
    </row>
    <row r="73" spans="1:9" ht="26.25" customHeight="1" thickBot="1" x14ac:dyDescent="0.3">
      <c r="A73" s="3" t="s">
        <v>601</v>
      </c>
      <c r="B73" s="12" t="s">
        <v>627</v>
      </c>
      <c r="C73" s="12">
        <f>D73*C16</f>
        <v>1.8604001197727273</v>
      </c>
      <c r="D73" s="2">
        <v>6.9999999999999999E-4</v>
      </c>
      <c r="E73" s="3"/>
      <c r="F73" s="3"/>
      <c r="G73" s="3"/>
      <c r="H73" s="3"/>
      <c r="I73" s="3"/>
    </row>
    <row r="74" spans="1:9" ht="26.25" customHeight="1" thickBot="1" x14ac:dyDescent="0.3">
      <c r="A74" s="3" t="s">
        <v>603</v>
      </c>
      <c r="B74" s="12" t="s">
        <v>628</v>
      </c>
      <c r="C74" s="12">
        <f>D74*C16</f>
        <v>5.3154289136363646</v>
      </c>
      <c r="D74" s="2">
        <v>2E-3</v>
      </c>
      <c r="E74" s="3"/>
      <c r="F74" s="3"/>
      <c r="G74" s="3"/>
      <c r="H74" s="3"/>
      <c r="I74" s="3"/>
    </row>
    <row r="75" spans="1:9" ht="26.25" customHeight="1" thickBot="1" x14ac:dyDescent="0.3">
      <c r="A75" s="3" t="s">
        <v>604</v>
      </c>
      <c r="B75" s="12" t="s">
        <v>629</v>
      </c>
      <c r="C75" s="12">
        <f>D75*C16</f>
        <v>0</v>
      </c>
      <c r="D75" s="2">
        <v>0</v>
      </c>
      <c r="E75" s="3"/>
      <c r="F75" s="3"/>
      <c r="G75" s="3"/>
      <c r="H75" s="3"/>
      <c r="I75" s="3"/>
    </row>
    <row r="76" spans="1:9" ht="26.25" customHeight="1" thickBot="1" x14ac:dyDescent="0.3">
      <c r="A76" s="3"/>
      <c r="B76" s="12" t="s">
        <v>1185</v>
      </c>
      <c r="C76" s="75">
        <f>SUM(C70:C75)</f>
        <v>74.75560163816921</v>
      </c>
      <c r="D76" s="76"/>
      <c r="E76" s="3"/>
      <c r="F76" s="3"/>
      <c r="G76" s="3"/>
      <c r="H76" s="3"/>
      <c r="I76" s="3"/>
    </row>
    <row r="77" spans="1:9" ht="26.25" customHeight="1" thickBot="1" x14ac:dyDescent="0.3">
      <c r="A77" s="3"/>
      <c r="B77" s="12" t="s">
        <v>1186</v>
      </c>
      <c r="C77" s="75">
        <f>C16*D77</f>
        <v>29.75272945199135</v>
      </c>
      <c r="D77" s="76">
        <f>SUM(D70:D76)*C36</f>
        <v>1.1194855555555558E-2</v>
      </c>
      <c r="E77" s="3"/>
      <c r="F77" s="3"/>
      <c r="G77" s="3"/>
      <c r="H77" s="3"/>
      <c r="I77" s="3"/>
    </row>
    <row r="78" spans="1:9" ht="18" customHeight="1" thickBot="1" x14ac:dyDescent="0.3">
      <c r="A78" s="127" t="s">
        <v>630</v>
      </c>
      <c r="B78" s="108"/>
      <c r="C78" s="73" t="s">
        <v>561</v>
      </c>
      <c r="D78" s="71"/>
      <c r="E78" s="3"/>
      <c r="F78" s="3"/>
      <c r="G78" s="3"/>
      <c r="H78" s="3"/>
      <c r="I78" s="3"/>
    </row>
    <row r="79" spans="1:9" ht="26.25" customHeight="1" thickBot="1" x14ac:dyDescent="0.3">
      <c r="A79" s="3" t="s">
        <v>595</v>
      </c>
      <c r="B79" s="80" t="s">
        <v>1187</v>
      </c>
      <c r="C79" s="80">
        <f>(C16/220)*1.5*15</f>
        <v>271.81170581095046</v>
      </c>
      <c r="D79" s="2"/>
      <c r="E79" s="3"/>
      <c r="F79" s="3"/>
      <c r="G79" s="3"/>
      <c r="H79" s="3"/>
      <c r="I79" s="3"/>
    </row>
    <row r="80" spans="1:9" ht="21.75" customHeight="1" thickBot="1" x14ac:dyDescent="0.3">
      <c r="A80" s="3"/>
      <c r="B80" s="12" t="s">
        <v>632</v>
      </c>
      <c r="C80" s="12">
        <f>SUM(C77+C76+C79)</f>
        <v>376.32003690111105</v>
      </c>
      <c r="D80" s="3"/>
      <c r="E80" s="3"/>
      <c r="F80" s="3"/>
      <c r="G80" s="3"/>
      <c r="H80" s="3"/>
      <c r="I80" s="3"/>
    </row>
    <row r="81" spans="1:9" ht="18" customHeight="1" x14ac:dyDescent="0.25">
      <c r="A81" s="9"/>
      <c r="B81" s="9"/>
      <c r="C81" s="9"/>
      <c r="D81" s="9"/>
      <c r="E81" s="9"/>
      <c r="F81" s="9"/>
      <c r="G81" s="9"/>
      <c r="H81" s="9"/>
      <c r="I81" s="9"/>
    </row>
    <row r="82" spans="1:9" ht="18" customHeight="1" x14ac:dyDescent="0.25">
      <c r="A82" s="9"/>
      <c r="B82" s="9"/>
      <c r="C82" s="9"/>
      <c r="D82" s="9"/>
      <c r="E82" s="9"/>
      <c r="F82" s="9"/>
      <c r="G82" s="9"/>
      <c r="H82" s="9"/>
      <c r="I82" s="9"/>
    </row>
    <row r="83" spans="1:9" ht="18" customHeight="1" thickBot="1" x14ac:dyDescent="0.3">
      <c r="A83" s="114" t="s">
        <v>633</v>
      </c>
      <c r="B83" s="108"/>
      <c r="C83" s="109"/>
      <c r="D83" s="8"/>
      <c r="E83" s="8"/>
      <c r="F83" s="8"/>
      <c r="G83" s="8"/>
      <c r="H83" s="8"/>
      <c r="I83" s="8"/>
    </row>
    <row r="84" spans="1:9" ht="21.75" customHeight="1" thickBot="1" x14ac:dyDescent="0.3">
      <c r="A84" s="12" t="s">
        <v>634</v>
      </c>
      <c r="B84" s="12" t="s">
        <v>635</v>
      </c>
      <c r="C84" s="12" t="s">
        <v>561</v>
      </c>
      <c r="D84" s="3"/>
      <c r="E84" s="3"/>
      <c r="F84" s="3"/>
      <c r="G84" s="3"/>
      <c r="H84" s="3"/>
      <c r="I84" s="3"/>
    </row>
    <row r="85" spans="1:9" ht="18" customHeight="1" thickTop="1" thickBot="1" x14ac:dyDescent="0.3">
      <c r="A85" s="48"/>
      <c r="B85" s="85" t="s">
        <v>636</v>
      </c>
      <c r="C85" s="83">
        <v>97.71</v>
      </c>
      <c r="D85" s="9"/>
      <c r="E85" s="9"/>
      <c r="F85" s="9"/>
      <c r="G85" s="9"/>
      <c r="H85" s="9"/>
      <c r="I85" s="9"/>
    </row>
    <row r="86" spans="1:9" ht="18" customHeight="1" thickTop="1" thickBot="1" x14ac:dyDescent="0.3">
      <c r="A86" s="48"/>
      <c r="B86" s="83" t="s">
        <v>637</v>
      </c>
      <c r="C86" s="83">
        <v>0</v>
      </c>
      <c r="D86" s="9"/>
      <c r="E86" s="9"/>
      <c r="F86" s="9"/>
      <c r="G86" s="9"/>
      <c r="H86" s="9"/>
      <c r="I86" s="9"/>
    </row>
    <row r="87" spans="1:9" ht="21.75" customHeight="1" thickTop="1" thickBot="1" x14ac:dyDescent="0.3">
      <c r="A87" s="3"/>
      <c r="B87" s="68" t="s">
        <v>297</v>
      </c>
      <c r="C87" s="68">
        <f>C85+(C85*C86)</f>
        <v>97.71</v>
      </c>
      <c r="D87" s="3"/>
      <c r="E87" s="3"/>
      <c r="F87" s="3"/>
      <c r="G87" s="3"/>
      <c r="H87" s="3"/>
      <c r="I87" s="3"/>
    </row>
    <row r="88" spans="1:9" ht="18" customHeight="1" thickBot="1" x14ac:dyDescent="0.3">
      <c r="A88" s="9"/>
      <c r="B88" s="9"/>
      <c r="C88" s="9"/>
      <c r="D88" s="9"/>
      <c r="E88" s="9"/>
      <c r="F88" s="9"/>
      <c r="G88" s="9"/>
      <c r="H88" s="9"/>
      <c r="I88" s="9"/>
    </row>
    <row r="89" spans="1:9" ht="21.75" customHeight="1" thickBot="1" x14ac:dyDescent="0.3">
      <c r="A89" s="12" t="s">
        <v>638</v>
      </c>
      <c r="B89" s="12" t="s">
        <v>639</v>
      </c>
      <c r="C89" s="12" t="s">
        <v>561</v>
      </c>
      <c r="D89" s="3"/>
      <c r="E89" s="3"/>
      <c r="F89" s="3"/>
      <c r="G89" s="3"/>
      <c r="H89" s="3"/>
      <c r="I89" s="3"/>
    </row>
    <row r="90" spans="1:9" ht="21.75" customHeight="1" thickBot="1" x14ac:dyDescent="0.3">
      <c r="A90" s="3"/>
      <c r="B90" s="12" t="s">
        <v>636</v>
      </c>
      <c r="C90" s="12">
        <f>'L1 Material'!F107</f>
        <v>309.24372866344601</v>
      </c>
      <c r="D90" s="3"/>
      <c r="E90" s="3"/>
      <c r="F90" s="3"/>
      <c r="G90" s="3"/>
      <c r="H90" s="3"/>
      <c r="I90" s="3"/>
    </row>
    <row r="91" spans="1:9" ht="18" customHeight="1" thickTop="1" thickBot="1" x14ac:dyDescent="0.3">
      <c r="A91" s="48"/>
      <c r="B91" s="83" t="s">
        <v>637</v>
      </c>
      <c r="C91" s="83">
        <v>0</v>
      </c>
      <c r="D91" s="9"/>
      <c r="E91" s="9"/>
      <c r="F91" s="9"/>
      <c r="G91" s="9"/>
      <c r="H91" s="9"/>
      <c r="I91" s="9"/>
    </row>
    <row r="92" spans="1:9" ht="38.25" customHeight="1" thickTop="1" thickBot="1" x14ac:dyDescent="0.3">
      <c r="A92" s="3"/>
      <c r="B92" s="12" t="s">
        <v>640</v>
      </c>
      <c r="C92" s="12">
        <f>(C90+(C90*C91))*3.2%</f>
        <v>9.8957993172302725</v>
      </c>
      <c r="D92" s="3"/>
      <c r="E92" s="3"/>
      <c r="F92" s="3"/>
      <c r="G92" s="3"/>
      <c r="H92" s="3"/>
      <c r="I92" s="3"/>
    </row>
    <row r="93" spans="1:9" ht="21.75" customHeight="1" thickBot="1" x14ac:dyDescent="0.3">
      <c r="A93" s="3"/>
      <c r="B93" s="12" t="s">
        <v>641</v>
      </c>
      <c r="C93" s="12">
        <f>(C90+(C90*C91))-C92</f>
        <v>299.34792934621572</v>
      </c>
      <c r="D93" s="3"/>
      <c r="E93" s="3"/>
      <c r="F93" s="3"/>
      <c r="G93" s="3"/>
      <c r="H93" s="3"/>
      <c r="I93" s="3"/>
    </row>
    <row r="94" spans="1:9" ht="18" customHeight="1" thickBot="1" x14ac:dyDescent="0.3">
      <c r="A94" s="9"/>
      <c r="B94" s="9"/>
      <c r="C94" s="9"/>
      <c r="D94" s="9"/>
      <c r="E94" s="9"/>
      <c r="F94" s="9"/>
      <c r="G94" s="9"/>
      <c r="H94" s="9"/>
      <c r="I94" s="9"/>
    </row>
    <row r="95" spans="1:9" ht="18" customHeight="1" thickBot="1" x14ac:dyDescent="0.3">
      <c r="A95" s="114" t="s">
        <v>633</v>
      </c>
      <c r="B95" s="108"/>
      <c r="C95" s="109"/>
      <c r="D95" s="8"/>
      <c r="E95" s="8"/>
      <c r="F95" s="8"/>
      <c r="G95" s="8"/>
      <c r="H95" s="8"/>
      <c r="I95" s="8"/>
    </row>
    <row r="96" spans="1:9" ht="21.75" customHeight="1" thickBot="1" x14ac:dyDescent="0.3">
      <c r="A96" s="3"/>
      <c r="B96" s="12" t="s">
        <v>634</v>
      </c>
      <c r="C96" s="12">
        <f>C87</f>
        <v>97.71</v>
      </c>
      <c r="D96" s="3"/>
      <c r="E96" s="3"/>
      <c r="F96" s="3"/>
      <c r="G96" s="3"/>
      <c r="H96" s="3"/>
      <c r="I96" s="3"/>
    </row>
    <row r="97" spans="1:9" ht="21.75" customHeight="1" thickBot="1" x14ac:dyDescent="0.3">
      <c r="A97" s="3"/>
      <c r="B97" s="12" t="s">
        <v>638</v>
      </c>
      <c r="C97" s="12">
        <f>C93</f>
        <v>299.34792934621572</v>
      </c>
      <c r="D97" s="3"/>
      <c r="E97" s="3"/>
      <c r="F97" s="3"/>
      <c r="G97" s="3"/>
      <c r="H97" s="3"/>
      <c r="I97" s="3"/>
    </row>
    <row r="98" spans="1:9" ht="21.75" customHeight="1" thickBot="1" x14ac:dyDescent="0.3">
      <c r="A98" s="3"/>
      <c r="B98" s="68" t="s">
        <v>297</v>
      </c>
      <c r="C98" s="68">
        <f>C96+C97</f>
        <v>397.0579293462157</v>
      </c>
      <c r="D98" s="3"/>
      <c r="E98" s="3"/>
      <c r="F98" s="3"/>
      <c r="G98" s="3"/>
      <c r="H98" s="3"/>
      <c r="I98" s="3"/>
    </row>
    <row r="99" spans="1:9" ht="18" customHeight="1" x14ac:dyDescent="0.25">
      <c r="A99" s="9"/>
      <c r="B99" s="9"/>
      <c r="C99" s="9"/>
      <c r="D99" s="9"/>
      <c r="E99" s="9"/>
      <c r="F99" s="9"/>
      <c r="G99" s="9"/>
      <c r="H99" s="9"/>
      <c r="I99" s="9"/>
    </row>
    <row r="100" spans="1:9" ht="18" customHeight="1" x14ac:dyDescent="0.25">
      <c r="A100" s="9"/>
      <c r="B100" s="9"/>
      <c r="C100" s="9"/>
      <c r="D100" s="9"/>
      <c r="E100" s="9"/>
      <c r="F100" s="9"/>
      <c r="G100" s="9"/>
      <c r="H100" s="9"/>
      <c r="I100" s="9"/>
    </row>
    <row r="101" spans="1:9" ht="18" customHeight="1" thickBot="1" x14ac:dyDescent="0.3">
      <c r="A101" s="114" t="s">
        <v>642</v>
      </c>
      <c r="B101" s="108"/>
      <c r="C101" s="109"/>
      <c r="D101" s="8"/>
      <c r="E101" s="8"/>
      <c r="F101" s="8"/>
      <c r="G101" s="8"/>
      <c r="H101" s="8"/>
      <c r="I101" s="8"/>
    </row>
    <row r="102" spans="1:9" ht="25.5" customHeight="1" thickBot="1" x14ac:dyDescent="0.3">
      <c r="A102" s="3"/>
      <c r="B102" s="12" t="s">
        <v>643</v>
      </c>
      <c r="C102" s="12">
        <f>C16+C54+C65+C80+C98</f>
        <v>6100.1734538446253</v>
      </c>
      <c r="D102" s="3"/>
      <c r="E102" s="125" t="s">
        <v>644</v>
      </c>
      <c r="F102" s="12" t="s">
        <v>645</v>
      </c>
      <c r="G102" s="130">
        <v>-1</v>
      </c>
      <c r="H102" s="3"/>
      <c r="I102" s="3"/>
    </row>
    <row r="103" spans="1:9" ht="21.75" customHeight="1" thickBot="1" x14ac:dyDescent="0.3">
      <c r="A103" s="3"/>
      <c r="B103" s="12" t="s">
        <v>646</v>
      </c>
      <c r="C103" s="2">
        <f>(1+G115)/(1-G110-G116)-100%</f>
        <v>0.30445795339412363</v>
      </c>
      <c r="D103" s="3"/>
      <c r="E103" s="126"/>
      <c r="F103" s="12" t="s">
        <v>647</v>
      </c>
      <c r="G103" s="131"/>
      <c r="H103" s="3"/>
      <c r="I103" s="3"/>
    </row>
    <row r="104" spans="1:9" ht="21.75" customHeight="1" thickBot="1" x14ac:dyDescent="0.3">
      <c r="A104" s="3"/>
      <c r="B104" s="68" t="s">
        <v>648</v>
      </c>
      <c r="C104" s="68">
        <f>C102*C103</f>
        <v>1857.246325106697</v>
      </c>
      <c r="D104" s="3"/>
      <c r="E104" s="3"/>
      <c r="F104" s="3"/>
      <c r="G104" s="3"/>
      <c r="H104" s="3"/>
      <c r="I104" s="3"/>
    </row>
    <row r="105" spans="1:9" ht="18" customHeight="1" x14ac:dyDescent="0.25">
      <c r="A105" s="9"/>
      <c r="B105" s="9"/>
      <c r="C105" s="9"/>
      <c r="D105" s="9"/>
      <c r="E105" s="9"/>
      <c r="F105" s="9"/>
      <c r="G105" s="9"/>
      <c r="H105" s="9"/>
      <c r="I105" s="9"/>
    </row>
    <row r="106" spans="1:9" ht="18" customHeight="1" thickBot="1" x14ac:dyDescent="0.3">
      <c r="A106" s="9"/>
      <c r="B106" s="9"/>
      <c r="C106" s="9"/>
      <c r="D106" s="9"/>
      <c r="E106" s="43"/>
      <c r="F106" s="19"/>
      <c r="G106" s="19"/>
      <c r="H106" s="19"/>
      <c r="I106" s="9"/>
    </row>
    <row r="107" spans="1:9" ht="21.75" customHeight="1" thickBot="1" x14ac:dyDescent="0.3">
      <c r="A107" s="115" t="s">
        <v>649</v>
      </c>
      <c r="B107" s="109"/>
      <c r="C107" s="3"/>
      <c r="D107" s="3"/>
      <c r="E107" s="44"/>
      <c r="F107" s="13"/>
      <c r="G107" s="13"/>
      <c r="H107" s="13"/>
      <c r="I107" s="2"/>
    </row>
    <row r="108" spans="1:9" ht="18" customHeight="1" thickBot="1" x14ac:dyDescent="0.3">
      <c r="A108" s="9"/>
      <c r="B108" s="9"/>
      <c r="C108" s="9"/>
      <c r="D108" s="9"/>
      <c r="E108" s="9"/>
      <c r="F108" s="9"/>
      <c r="G108" s="9"/>
      <c r="H108" s="9"/>
      <c r="I108" s="35"/>
    </row>
    <row r="109" spans="1:9" ht="21.75" customHeight="1" thickBot="1" x14ac:dyDescent="0.3">
      <c r="A109" s="12" t="s">
        <v>650</v>
      </c>
      <c r="B109" s="12" t="s">
        <v>666</v>
      </c>
      <c r="C109" s="3"/>
      <c r="D109" s="3"/>
      <c r="E109" s="3"/>
      <c r="F109" s="3"/>
      <c r="G109" s="3"/>
      <c r="H109" s="3"/>
      <c r="I109" s="3"/>
    </row>
    <row r="110" spans="1:9" ht="21.75" customHeight="1" thickBot="1" x14ac:dyDescent="0.3">
      <c r="A110" s="12" t="s">
        <v>652</v>
      </c>
      <c r="B110" s="12">
        <f>C16</f>
        <v>2657.714456818182</v>
      </c>
      <c r="C110" s="3"/>
      <c r="D110" s="3"/>
      <c r="E110" s="3"/>
      <c r="F110" s="80" t="s">
        <v>653</v>
      </c>
      <c r="G110" s="81">
        <f>SUM(G111:G113)</f>
        <v>0.14250000000000002</v>
      </c>
      <c r="H110" s="100" t="s">
        <v>561</v>
      </c>
      <c r="I110" s="3"/>
    </row>
    <row r="111" spans="1:9" ht="21.75" customHeight="1" thickBot="1" x14ac:dyDescent="0.3">
      <c r="A111" s="12" t="s">
        <v>654</v>
      </c>
      <c r="B111" s="12">
        <f>C54</f>
        <v>2491.9677501194046</v>
      </c>
      <c r="C111" s="3"/>
      <c r="D111" s="3"/>
      <c r="E111" s="3"/>
      <c r="F111" s="80" t="s">
        <v>655</v>
      </c>
      <c r="G111" s="81">
        <v>0.05</v>
      </c>
      <c r="H111" s="103">
        <f>C102*G111</f>
        <v>305.0086726922313</v>
      </c>
      <c r="I111" s="3"/>
    </row>
    <row r="112" spans="1:9" ht="21.75" customHeight="1" thickBot="1" x14ac:dyDescent="0.3">
      <c r="A112" s="12" t="s">
        <v>656</v>
      </c>
      <c r="B112" s="12">
        <f>C65</f>
        <v>177.11328065971185</v>
      </c>
      <c r="C112" s="3"/>
      <c r="D112" s="3"/>
      <c r="E112" s="3"/>
      <c r="F112" s="80" t="s">
        <v>657</v>
      </c>
      <c r="G112" s="81">
        <v>7.5999999999999998E-2</v>
      </c>
      <c r="H112" s="103">
        <f>C102*G112</f>
        <v>463.61318249219153</v>
      </c>
      <c r="I112" s="3"/>
    </row>
    <row r="113" spans="1:9" ht="21.75" customHeight="1" thickBot="1" x14ac:dyDescent="0.3">
      <c r="A113" s="12" t="s">
        <v>658</v>
      </c>
      <c r="B113" s="12">
        <f>C80</f>
        <v>376.32003690111105</v>
      </c>
      <c r="C113" s="3"/>
      <c r="D113" s="3"/>
      <c r="E113" s="3"/>
      <c r="F113" s="80" t="s">
        <v>659</v>
      </c>
      <c r="G113" s="81">
        <v>1.6500000000000001E-2</v>
      </c>
      <c r="H113" s="103">
        <f>C102*G113</f>
        <v>100.65286198843633</v>
      </c>
      <c r="I113" s="3"/>
    </row>
    <row r="114" spans="1:9" ht="21.75" customHeight="1" thickBot="1" x14ac:dyDescent="0.3">
      <c r="A114" s="12" t="s">
        <v>660</v>
      </c>
      <c r="B114" s="12">
        <f>C98</f>
        <v>397.0579293462157</v>
      </c>
      <c r="C114" s="3"/>
      <c r="D114" s="3"/>
      <c r="E114" s="3"/>
      <c r="F114" s="100"/>
      <c r="G114" s="81"/>
      <c r="H114" s="103"/>
      <c r="I114" s="3"/>
    </row>
    <row r="115" spans="1:9" ht="21.75" customHeight="1" thickBot="1" x14ac:dyDescent="0.3">
      <c r="A115" s="12" t="s">
        <v>661</v>
      </c>
      <c r="B115" s="12">
        <f>C104</f>
        <v>1857.246325106697</v>
      </c>
      <c r="C115" s="3"/>
      <c r="D115" s="3"/>
      <c r="E115" s="3"/>
      <c r="F115" s="80" t="s">
        <v>662</v>
      </c>
      <c r="G115" s="81">
        <v>0.03</v>
      </c>
      <c r="H115" s="103">
        <f>G115*C102</f>
        <v>183.00520361533876</v>
      </c>
      <c r="I115" s="3"/>
    </row>
    <row r="116" spans="1:9" ht="18" customHeight="1" thickBot="1" x14ac:dyDescent="0.3">
      <c r="A116" s="68" t="s">
        <v>663</v>
      </c>
      <c r="B116" s="68">
        <f>SUM(B110:B115)</f>
        <v>7957.4197789513219</v>
      </c>
      <c r="C116" s="24"/>
      <c r="D116" s="24"/>
      <c r="E116" s="24"/>
      <c r="F116" s="101" t="s">
        <v>664</v>
      </c>
      <c r="G116" s="102">
        <v>6.7900000000000002E-2</v>
      </c>
      <c r="H116" s="103">
        <f>C102*G116</f>
        <v>414.20177751605007</v>
      </c>
      <c r="I116" s="24"/>
    </row>
  </sheetData>
  <autoFilter ref="A6:I116" xr:uid="{00000000-0009-0000-0000-000009000000}"/>
  <mergeCells count="15">
    <mergeCell ref="A107:B107"/>
    <mergeCell ref="A69:B69"/>
    <mergeCell ref="A101:C101"/>
    <mergeCell ref="E102:E103"/>
    <mergeCell ref="A83:C83"/>
    <mergeCell ref="A2:I2"/>
    <mergeCell ref="G102:G103"/>
    <mergeCell ref="A19:C19"/>
    <mergeCell ref="A95:C95"/>
    <mergeCell ref="A78:B78"/>
    <mergeCell ref="I11:I14"/>
    <mergeCell ref="F38:I38"/>
    <mergeCell ref="A50:C50"/>
    <mergeCell ref="A57:C57"/>
    <mergeCell ref="A68:C68"/>
  </mergeCells>
  <printOptions horizontalCentered="1"/>
  <pageMargins left="0.35" right="0.35" top="0.55000000000000004" bottom="0.55000000000000004" header="0.511811023622047" footer="0.511811023622047"/>
  <pageSetup paperSize="9" scale="57" fitToHeight="0" pageOrder="overThenDown" orientation="landscape" horizontalDpi="300" verticalDpi="300"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2:J114"/>
  <sheetViews>
    <sheetView showGridLines="0" topLeftCell="A56" zoomScaleNormal="100" workbookViewId="0">
      <selection activeCell="E60" sqref="E60"/>
    </sheetView>
  </sheetViews>
  <sheetFormatPr defaultColWidth="8.5703125" defaultRowHeight="15" x14ac:dyDescent="0.25"/>
  <cols>
    <col min="1" max="2" width="34" customWidth="1"/>
    <col min="3" max="3" width="16" customWidth="1"/>
    <col min="4" max="4" width="13" customWidth="1"/>
    <col min="5" max="5" width="20" customWidth="1"/>
    <col min="6" max="6" width="34" customWidth="1"/>
    <col min="7" max="7" width="27" customWidth="1"/>
    <col min="8" max="9" width="8" customWidth="1"/>
    <col min="10" max="10" width="15.85546875" customWidth="1"/>
  </cols>
  <sheetData>
    <row r="2" spans="1:9" ht="24" customHeight="1" x14ac:dyDescent="0.25">
      <c r="A2" s="11"/>
      <c r="B2" s="5" t="s">
        <v>671</v>
      </c>
      <c r="C2" s="11"/>
      <c r="D2" s="11"/>
      <c r="E2" s="11"/>
      <c r="F2" s="11"/>
      <c r="G2" s="11"/>
      <c r="H2" s="11"/>
      <c r="I2" s="11"/>
    </row>
    <row r="3" spans="1:9" ht="18" customHeight="1" x14ac:dyDescent="0.25">
      <c r="A3" s="9"/>
      <c r="B3" s="9"/>
      <c r="C3" s="9"/>
      <c r="D3" s="9"/>
      <c r="E3" s="9"/>
      <c r="F3" s="9"/>
      <c r="G3" s="9"/>
      <c r="H3" s="9"/>
      <c r="I3" s="9"/>
    </row>
    <row r="4" spans="1:9" ht="18" customHeight="1" x14ac:dyDescent="0.25">
      <c r="A4" s="9"/>
      <c r="B4" s="9"/>
      <c r="C4" s="9"/>
      <c r="D4" s="9"/>
      <c r="E4" s="9"/>
      <c r="F4" s="9"/>
      <c r="G4" s="9"/>
      <c r="H4" s="9"/>
      <c r="I4" s="9"/>
    </row>
    <row r="5" spans="1:9" ht="18" customHeight="1" x14ac:dyDescent="0.25">
      <c r="A5" s="9"/>
      <c r="B5" s="9"/>
      <c r="C5" s="9"/>
      <c r="D5" s="9"/>
      <c r="E5" s="9"/>
      <c r="F5" s="9"/>
      <c r="G5" s="9"/>
      <c r="H5" s="9"/>
      <c r="I5" s="9"/>
    </row>
    <row r="6" spans="1:9" ht="21.75" customHeight="1" thickBot="1" x14ac:dyDescent="0.3">
      <c r="A6" s="12" t="s">
        <v>559</v>
      </c>
      <c r="B6" s="12" t="s">
        <v>560</v>
      </c>
      <c r="C6" s="12" t="s">
        <v>561</v>
      </c>
      <c r="D6" s="12" t="s">
        <v>137</v>
      </c>
      <c r="E6" s="3"/>
      <c r="F6" s="12" t="s">
        <v>562</v>
      </c>
      <c r="G6" s="3"/>
      <c r="H6" s="3"/>
      <c r="I6" s="3"/>
    </row>
    <row r="7" spans="1:9" ht="21.75" customHeight="1" thickBot="1" x14ac:dyDescent="0.3">
      <c r="A7" s="3"/>
      <c r="B7" s="12" t="s">
        <v>563</v>
      </c>
      <c r="C7" s="12">
        <f>'L1 Param CCT'!$B$5</f>
        <v>1651</v>
      </c>
      <c r="D7" s="3"/>
      <c r="E7" s="3"/>
      <c r="F7" s="12">
        <f>'L1 Param CCT'!$B$6</f>
        <v>1621</v>
      </c>
      <c r="G7" s="3"/>
      <c r="H7" s="3"/>
      <c r="I7" s="3"/>
    </row>
    <row r="8" spans="1:9" ht="21.75" customHeight="1" thickBot="1" x14ac:dyDescent="0.3">
      <c r="A8" s="3"/>
      <c r="B8" s="12" t="s">
        <v>672</v>
      </c>
      <c r="C8" s="12">
        <v>629.69000000000005</v>
      </c>
      <c r="D8" s="3"/>
      <c r="E8" s="3"/>
      <c r="F8" s="12" t="s">
        <v>673</v>
      </c>
      <c r="G8" s="12" t="s">
        <v>674</v>
      </c>
      <c r="H8" s="3"/>
      <c r="I8" s="3"/>
    </row>
    <row r="9" spans="1:9" ht="18" customHeight="1" thickTop="1" thickBot="1" x14ac:dyDescent="0.3">
      <c r="A9" s="48"/>
      <c r="B9" s="23" t="s">
        <v>565</v>
      </c>
      <c r="C9" s="83">
        <v>0</v>
      </c>
      <c r="D9" s="96">
        <v>0</v>
      </c>
      <c r="E9" s="9"/>
      <c r="F9" s="9"/>
      <c r="G9" s="9"/>
      <c r="H9" s="9"/>
      <c r="I9" s="9"/>
    </row>
    <row r="10" spans="1:9" ht="18" customHeight="1" thickTop="1" thickBot="1" x14ac:dyDescent="0.3">
      <c r="A10" s="48"/>
      <c r="B10" s="23" t="s">
        <v>566</v>
      </c>
      <c r="C10" s="83">
        <v>0</v>
      </c>
      <c r="D10" s="96">
        <v>0</v>
      </c>
      <c r="E10" s="9"/>
      <c r="F10" s="9"/>
      <c r="G10" s="9"/>
      <c r="H10" s="9"/>
      <c r="I10" s="9"/>
    </row>
    <row r="11" spans="1:9" ht="18" customHeight="1" thickTop="1" thickBot="1" x14ac:dyDescent="0.3">
      <c r="A11" s="48"/>
      <c r="B11" s="23" t="s">
        <v>141</v>
      </c>
      <c r="C11" s="83">
        <v>0</v>
      </c>
      <c r="D11" s="96">
        <v>0</v>
      </c>
      <c r="E11" s="9"/>
      <c r="F11" s="9"/>
      <c r="G11" s="9"/>
      <c r="H11" s="9"/>
      <c r="I11" s="9"/>
    </row>
    <row r="12" spans="1:9" ht="18" customHeight="1" thickTop="1" thickBot="1" x14ac:dyDescent="0.3">
      <c r="A12" s="48"/>
      <c r="B12" s="23" t="s">
        <v>567</v>
      </c>
      <c r="C12" s="83">
        <v>0</v>
      </c>
      <c r="D12" s="96">
        <v>0</v>
      </c>
      <c r="E12" s="9"/>
      <c r="F12" s="9"/>
      <c r="G12" s="9"/>
      <c r="H12" s="9"/>
      <c r="I12" s="9"/>
    </row>
    <row r="13" spans="1:9" ht="18" customHeight="1" thickTop="1" thickBot="1" x14ac:dyDescent="0.3">
      <c r="A13" s="48"/>
      <c r="B13" s="23" t="s">
        <v>568</v>
      </c>
      <c r="C13" s="83">
        <v>0</v>
      </c>
      <c r="D13" s="96">
        <v>0</v>
      </c>
      <c r="E13" s="9"/>
      <c r="F13" s="9"/>
      <c r="G13" s="9"/>
      <c r="H13" s="9"/>
      <c r="I13" s="9"/>
    </row>
    <row r="14" spans="1:9" ht="21.75" customHeight="1" thickTop="1" thickBot="1" x14ac:dyDescent="0.3">
      <c r="A14" s="3"/>
      <c r="B14" s="12" t="s">
        <v>569</v>
      </c>
      <c r="C14" s="12">
        <v>0</v>
      </c>
      <c r="D14" s="2">
        <v>0</v>
      </c>
      <c r="E14" s="3"/>
      <c r="F14" s="12">
        <f>C7+C8</f>
        <v>2280.69</v>
      </c>
      <c r="G14" s="12">
        <f>F14*40%</f>
        <v>912.27600000000007</v>
      </c>
      <c r="H14" s="3"/>
      <c r="I14" s="3"/>
    </row>
    <row r="15" spans="1:9" ht="21.75" customHeight="1" thickBot="1" x14ac:dyDescent="0.3">
      <c r="A15" s="3"/>
      <c r="B15" s="12" t="s">
        <v>570</v>
      </c>
      <c r="C15" s="12">
        <f>(C7+C8)*(40%)</f>
        <v>912.27600000000007</v>
      </c>
      <c r="D15" s="2">
        <v>0.4</v>
      </c>
      <c r="E15" s="3"/>
      <c r="F15" s="12" t="s">
        <v>675</v>
      </c>
      <c r="G15" s="12" t="s">
        <v>676</v>
      </c>
      <c r="H15" s="3"/>
      <c r="I15" s="3"/>
    </row>
    <row r="16" spans="1:9" ht="21.75" customHeight="1" thickBot="1" x14ac:dyDescent="0.3">
      <c r="A16" s="3"/>
      <c r="B16" s="6" t="s">
        <v>571</v>
      </c>
      <c r="C16" s="68">
        <f>SUM(C7:C15)</f>
        <v>3192.9660000000003</v>
      </c>
      <c r="D16" s="3"/>
      <c r="E16" s="3"/>
      <c r="F16" s="3"/>
      <c r="G16" s="3"/>
      <c r="H16" s="3"/>
      <c r="I16" s="3"/>
    </row>
    <row r="17" spans="1:9" ht="18" customHeight="1" x14ac:dyDescent="0.25">
      <c r="A17" s="9"/>
      <c r="B17" s="9"/>
      <c r="C17" s="9"/>
      <c r="D17" s="9"/>
      <c r="E17" s="9"/>
      <c r="F17" s="9"/>
      <c r="G17" s="9"/>
      <c r="H17" s="9"/>
      <c r="I17" s="9"/>
    </row>
    <row r="18" spans="1:9" ht="18" customHeight="1" x14ac:dyDescent="0.25">
      <c r="A18" s="9"/>
      <c r="B18" s="9"/>
      <c r="C18" s="9"/>
      <c r="D18" s="9"/>
      <c r="E18" s="9"/>
      <c r="F18" s="9"/>
      <c r="G18" s="9"/>
      <c r="H18" s="9"/>
      <c r="I18" s="9"/>
    </row>
    <row r="19" spans="1:9" ht="18" customHeight="1" x14ac:dyDescent="0.25">
      <c r="A19" s="114" t="s">
        <v>572</v>
      </c>
      <c r="B19" s="108"/>
      <c r="C19" s="109"/>
      <c r="D19" s="8"/>
      <c r="E19" s="8"/>
      <c r="F19" s="8"/>
      <c r="G19" s="8"/>
      <c r="H19" s="8"/>
      <c r="I19" s="8"/>
    </row>
    <row r="20" spans="1:9" ht="18" customHeight="1" x14ac:dyDescent="0.25">
      <c r="A20" s="9"/>
      <c r="B20" s="9"/>
      <c r="C20" s="9"/>
      <c r="D20" s="9"/>
      <c r="E20" s="9"/>
      <c r="F20" s="9"/>
      <c r="G20" s="9"/>
      <c r="H20" s="9"/>
      <c r="I20" s="9"/>
    </row>
    <row r="21" spans="1:9" ht="21.75" customHeight="1" thickBot="1" x14ac:dyDescent="0.3">
      <c r="A21" s="12" t="s">
        <v>573</v>
      </c>
      <c r="B21" s="12" t="s">
        <v>574</v>
      </c>
      <c r="C21" s="12" t="s">
        <v>561</v>
      </c>
      <c r="D21" s="3"/>
      <c r="E21" s="2" t="s">
        <v>137</v>
      </c>
      <c r="F21" s="12" t="s">
        <v>575</v>
      </c>
      <c r="G21" s="3"/>
      <c r="H21" s="3"/>
      <c r="I21" s="3"/>
    </row>
    <row r="22" spans="1:9" ht="21.75" customHeight="1" thickBot="1" x14ac:dyDescent="0.3">
      <c r="A22" s="3"/>
      <c r="B22" s="12" t="s">
        <v>576</v>
      </c>
      <c r="C22" s="12">
        <f>C16*E22</f>
        <v>266.08049999999992</v>
      </c>
      <c r="D22" s="3"/>
      <c r="E22" s="2">
        <v>8.3333333333333301E-2</v>
      </c>
      <c r="F22" s="12" t="s">
        <v>577</v>
      </c>
      <c r="G22" s="3"/>
      <c r="H22" s="3"/>
      <c r="I22" s="3"/>
    </row>
    <row r="23" spans="1:9" ht="21.75" customHeight="1" thickBot="1" x14ac:dyDescent="0.3">
      <c r="A23" s="3"/>
      <c r="B23" s="12" t="s">
        <v>578</v>
      </c>
      <c r="C23" s="12">
        <f>C16*E23</f>
        <v>289.76166449999999</v>
      </c>
      <c r="D23" s="3"/>
      <c r="E23" s="2">
        <v>9.0749999999999997E-2</v>
      </c>
      <c r="F23" s="12" t="s">
        <v>1188</v>
      </c>
      <c r="G23" s="3"/>
      <c r="H23" s="3"/>
      <c r="I23" s="3"/>
    </row>
    <row r="24" spans="1:9" ht="21.75" customHeight="1" thickBot="1" x14ac:dyDescent="0.3">
      <c r="A24" s="3"/>
      <c r="B24" s="12" t="s">
        <v>579</v>
      </c>
      <c r="C24" s="12">
        <f>C16*E24</f>
        <v>96.587221500000012</v>
      </c>
      <c r="D24" s="3"/>
      <c r="E24" s="2">
        <v>3.0249999999999999E-2</v>
      </c>
      <c r="F24" s="12" t="s">
        <v>1188</v>
      </c>
      <c r="G24" s="3"/>
      <c r="H24" s="3"/>
      <c r="I24" s="3"/>
    </row>
    <row r="25" spans="1:9" ht="21.75" customHeight="1" thickBot="1" x14ac:dyDescent="0.3">
      <c r="A25" s="3"/>
      <c r="B25" s="68" t="s">
        <v>580</v>
      </c>
      <c r="C25" s="68">
        <f>SUM(C22:C24)</f>
        <v>652.42938599999991</v>
      </c>
      <c r="D25" s="3"/>
      <c r="E25" s="3"/>
      <c r="F25" s="3"/>
      <c r="G25" s="3"/>
      <c r="H25" s="3"/>
      <c r="I25" s="3"/>
    </row>
    <row r="26" spans="1:9" ht="18" customHeight="1" thickBot="1" x14ac:dyDescent="0.3">
      <c r="A26" s="9"/>
      <c r="B26" s="9"/>
      <c r="C26" s="9"/>
      <c r="D26" s="9"/>
      <c r="E26" s="9"/>
      <c r="F26" s="9"/>
      <c r="G26" s="9"/>
      <c r="H26" s="9"/>
      <c r="I26" s="9"/>
    </row>
    <row r="27" spans="1:9" ht="21.75" customHeight="1" thickBot="1" x14ac:dyDescent="0.3">
      <c r="A27" s="12" t="s">
        <v>581</v>
      </c>
      <c r="B27" s="12" t="s">
        <v>582</v>
      </c>
      <c r="C27" s="12" t="s">
        <v>583</v>
      </c>
      <c r="D27" s="12" t="s">
        <v>561</v>
      </c>
      <c r="E27" s="3"/>
      <c r="F27" s="3"/>
      <c r="G27" s="3"/>
      <c r="H27" s="3"/>
      <c r="I27" s="3"/>
    </row>
    <row r="28" spans="1:9" ht="21.75" customHeight="1" thickBot="1" x14ac:dyDescent="0.3">
      <c r="A28" s="3"/>
      <c r="B28" s="80" t="s">
        <v>584</v>
      </c>
      <c r="C28" s="81">
        <v>0.2</v>
      </c>
      <c r="D28" s="12">
        <f>C28*(C16+C25)</f>
        <v>769.07907720000003</v>
      </c>
      <c r="E28" s="3"/>
      <c r="F28" s="12" t="s">
        <v>585</v>
      </c>
      <c r="G28" s="3"/>
      <c r="H28" s="3"/>
      <c r="I28" s="3"/>
    </row>
    <row r="29" spans="1:9" ht="21.75" customHeight="1" thickBot="1" x14ac:dyDescent="0.3">
      <c r="A29" s="3"/>
      <c r="B29" s="80" t="s">
        <v>586</v>
      </c>
      <c r="C29" s="81">
        <v>1.4999999999999999E-2</v>
      </c>
      <c r="D29" s="12">
        <f>C29*(C16+C25)</f>
        <v>57.680930789999998</v>
      </c>
      <c r="E29" s="3"/>
      <c r="F29" s="47"/>
      <c r="G29" s="3"/>
      <c r="H29" s="3"/>
      <c r="I29" s="3"/>
    </row>
    <row r="30" spans="1:9" ht="21.75" customHeight="1" thickBot="1" x14ac:dyDescent="0.3">
      <c r="A30" s="3"/>
      <c r="B30" s="80" t="s">
        <v>587</v>
      </c>
      <c r="C30" s="81">
        <v>0.01</v>
      </c>
      <c r="D30" s="12">
        <f>C30*(C16+C25)</f>
        <v>38.453953860000006</v>
      </c>
      <c r="E30" s="3"/>
      <c r="F30" s="3"/>
      <c r="G30" s="3"/>
      <c r="H30" s="3"/>
      <c r="I30" s="3"/>
    </row>
    <row r="31" spans="1:9" ht="21.75" customHeight="1" thickBot="1" x14ac:dyDescent="0.3">
      <c r="A31" s="3"/>
      <c r="B31" s="80" t="s">
        <v>588</v>
      </c>
      <c r="C31" s="81">
        <v>2E-3</v>
      </c>
      <c r="D31" s="12">
        <f>C31*(C16+C25)</f>
        <v>7.6907907720000006</v>
      </c>
      <c r="E31" s="3"/>
      <c r="F31" s="12"/>
      <c r="G31" s="47"/>
      <c r="H31" s="3"/>
      <c r="I31" s="3"/>
    </row>
    <row r="32" spans="1:9" ht="21.75" customHeight="1" thickBot="1" x14ac:dyDescent="0.3">
      <c r="A32" s="3"/>
      <c r="B32" s="80" t="s">
        <v>589</v>
      </c>
      <c r="C32" s="81">
        <v>2.5000000000000001E-2</v>
      </c>
      <c r="D32" s="12">
        <f>C32*(C16+C25)</f>
        <v>96.134884650000004</v>
      </c>
      <c r="E32" s="3"/>
      <c r="F32" s="12"/>
      <c r="G32" s="47"/>
      <c r="H32" s="3"/>
      <c r="I32" s="3"/>
    </row>
    <row r="33" spans="1:10" ht="21.75" customHeight="1" thickBot="1" x14ac:dyDescent="0.3">
      <c r="A33" s="3"/>
      <c r="B33" s="80" t="s">
        <v>590</v>
      </c>
      <c r="C33" s="81">
        <v>0.08</v>
      </c>
      <c r="D33" s="12">
        <f>C33*(C16+C25)</f>
        <v>307.63163088000005</v>
      </c>
      <c r="E33" s="3"/>
      <c r="F33" s="3"/>
      <c r="G33" s="3"/>
      <c r="H33" s="3"/>
      <c r="I33" s="3"/>
    </row>
    <row r="34" spans="1:10" ht="25.5" customHeight="1" thickBot="1" x14ac:dyDescent="0.3">
      <c r="A34" s="3"/>
      <c r="B34" s="80" t="s">
        <v>591</v>
      </c>
      <c r="C34" s="81">
        <v>0.06</v>
      </c>
      <c r="D34" s="12">
        <f>C34*(C16+C25)</f>
        <v>230.72372315999999</v>
      </c>
      <c r="E34" s="3"/>
      <c r="F34" s="3"/>
      <c r="G34" s="3"/>
      <c r="H34" s="3"/>
      <c r="I34" s="3"/>
    </row>
    <row r="35" spans="1:10" ht="21.75" customHeight="1" thickBot="1" x14ac:dyDescent="0.3">
      <c r="A35" s="3"/>
      <c r="B35" s="80" t="s">
        <v>592</v>
      </c>
      <c r="C35" s="81">
        <v>6.0000000000000001E-3</v>
      </c>
      <c r="D35" s="12">
        <f>C35*(C16+C25)</f>
        <v>23.072372316000003</v>
      </c>
      <c r="E35" s="3"/>
      <c r="F35" s="3"/>
      <c r="G35" s="3"/>
      <c r="H35" s="3"/>
      <c r="I35" s="3"/>
    </row>
    <row r="36" spans="1:10" ht="21.75" customHeight="1" thickBot="1" x14ac:dyDescent="0.3">
      <c r="A36" s="3"/>
      <c r="B36" s="68" t="s">
        <v>297</v>
      </c>
      <c r="C36" s="69">
        <f>SUM(C28:C35)</f>
        <v>0.39800000000000008</v>
      </c>
      <c r="D36" s="68">
        <f>SUM(D28:D35)</f>
        <v>1530.4673636279999</v>
      </c>
      <c r="E36" s="3"/>
      <c r="F36" s="3"/>
      <c r="G36" s="3"/>
      <c r="H36" s="3"/>
      <c r="I36" s="3"/>
    </row>
    <row r="37" spans="1:10" ht="18" customHeight="1" thickBot="1" x14ac:dyDescent="0.3">
      <c r="A37" s="9"/>
      <c r="B37" s="9"/>
      <c r="C37" s="9"/>
      <c r="D37" s="9"/>
      <c r="E37" s="9"/>
      <c r="F37" s="9"/>
      <c r="G37" s="9"/>
      <c r="H37" s="9"/>
      <c r="I37" s="9"/>
    </row>
    <row r="38" spans="1:10" ht="18" customHeight="1" thickBot="1" x14ac:dyDescent="0.3">
      <c r="A38" s="7" t="s">
        <v>593</v>
      </c>
      <c r="B38" s="7" t="s">
        <v>594</v>
      </c>
      <c r="C38" s="7" t="s">
        <v>561</v>
      </c>
      <c r="D38" s="8"/>
      <c r="E38" s="8"/>
      <c r="F38" s="113"/>
      <c r="G38" s="108"/>
      <c r="H38" s="108"/>
      <c r="I38" s="109"/>
    </row>
    <row r="39" spans="1:10" ht="21.75" customHeight="1" thickBot="1" x14ac:dyDescent="0.3">
      <c r="A39" s="12" t="s">
        <v>595</v>
      </c>
      <c r="B39" s="12" t="s">
        <v>596</v>
      </c>
      <c r="C39" s="12">
        <f>IFERROR('L1 Param CCT'!$B$10*2*'L1 Param CCT'!$B$16-(C7*'L1 Param CCT'!$B$11),0)</f>
        <v>63.740000000000009</v>
      </c>
      <c r="D39" s="3"/>
      <c r="E39" s="3"/>
      <c r="F39" s="3"/>
      <c r="G39" s="3"/>
      <c r="H39" s="3"/>
      <c r="I39" s="3"/>
    </row>
    <row r="40" spans="1:10" ht="25.5" customHeight="1" thickBot="1" x14ac:dyDescent="0.3">
      <c r="A40" s="12" t="s">
        <v>597</v>
      </c>
      <c r="B40" s="12" t="s">
        <v>598</v>
      </c>
      <c r="C40" s="12">
        <f>'L1 Param CCT'!$B$9</f>
        <v>400</v>
      </c>
      <c r="D40" s="3"/>
      <c r="E40" s="3"/>
      <c r="F40" s="3"/>
      <c r="G40" s="3"/>
      <c r="H40" s="3"/>
      <c r="I40" s="3"/>
    </row>
    <row r="41" spans="1:10" ht="15.75" thickBot="1" x14ac:dyDescent="0.3">
      <c r="A41" s="12" t="s">
        <v>599</v>
      </c>
      <c r="B41" s="12" t="s">
        <v>600</v>
      </c>
      <c r="C41" s="12">
        <v>0</v>
      </c>
      <c r="D41" s="3"/>
      <c r="E41" s="3"/>
      <c r="F41" s="3"/>
      <c r="G41" s="3"/>
      <c r="H41" s="3"/>
      <c r="I41" s="3"/>
    </row>
    <row r="42" spans="1:10" ht="25.5" customHeight="1" thickBot="1" x14ac:dyDescent="0.3">
      <c r="A42" s="12" t="s">
        <v>601</v>
      </c>
      <c r="B42" s="12" t="s">
        <v>602</v>
      </c>
      <c r="C42" s="12">
        <f>'L1 Param CCT'!$B$13</f>
        <v>6.4</v>
      </c>
      <c r="D42" s="3"/>
      <c r="E42" s="3"/>
      <c r="F42" s="3"/>
      <c r="G42" s="3"/>
      <c r="H42" s="3"/>
      <c r="I42" s="3"/>
    </row>
    <row r="43" spans="1:10" ht="25.5" customHeight="1" thickBot="1" x14ac:dyDescent="0.3">
      <c r="A43" s="12" t="s">
        <v>603</v>
      </c>
      <c r="B43" s="12" t="s">
        <v>564</v>
      </c>
      <c r="C43" s="12">
        <v>0</v>
      </c>
      <c r="D43" s="3"/>
      <c r="E43" s="3"/>
      <c r="F43" s="3"/>
      <c r="G43" s="3"/>
      <c r="H43" s="3"/>
      <c r="I43" s="3"/>
    </row>
    <row r="44" spans="1:10" ht="15.75" thickBot="1" x14ac:dyDescent="0.3">
      <c r="A44" s="12" t="s">
        <v>604</v>
      </c>
      <c r="B44" s="12" t="s">
        <v>605</v>
      </c>
      <c r="C44" s="12">
        <f>'L1 Param CCT'!$B$12</f>
        <v>14.66</v>
      </c>
      <c r="D44" s="3"/>
      <c r="E44" s="3"/>
      <c r="F44" s="3"/>
      <c r="G44" s="3"/>
      <c r="H44" s="3"/>
      <c r="I44" s="3"/>
    </row>
    <row r="45" spans="1:10" ht="25.5" customHeight="1" thickBot="1" x14ac:dyDescent="0.3">
      <c r="A45" s="12" t="s">
        <v>606</v>
      </c>
      <c r="B45" s="12" t="s">
        <v>607</v>
      </c>
      <c r="C45" s="12">
        <f>'L1 Param CCT'!$B$14</f>
        <v>130</v>
      </c>
      <c r="D45" s="3"/>
      <c r="E45" s="3"/>
      <c r="F45" s="3"/>
      <c r="G45" s="3"/>
      <c r="H45" s="3"/>
      <c r="I45" s="3"/>
      <c r="J45" s="41"/>
    </row>
    <row r="46" spans="1:10" ht="15.75" thickBot="1" x14ac:dyDescent="0.3">
      <c r="A46" s="12" t="s">
        <v>608</v>
      </c>
      <c r="B46" s="12" t="s">
        <v>609</v>
      </c>
      <c r="C46" s="12">
        <v>0</v>
      </c>
      <c r="D46" s="3"/>
      <c r="E46" s="3"/>
      <c r="F46" s="3"/>
      <c r="G46" s="3"/>
      <c r="H46" s="3"/>
      <c r="I46" s="3"/>
    </row>
    <row r="47" spans="1:10" ht="21.75" customHeight="1" thickBot="1" x14ac:dyDescent="0.3">
      <c r="A47" s="12" t="s">
        <v>610</v>
      </c>
      <c r="B47" s="12" t="s">
        <v>570</v>
      </c>
      <c r="C47" s="12">
        <v>0</v>
      </c>
      <c r="D47" s="3"/>
      <c r="E47" s="3"/>
      <c r="F47" s="3"/>
      <c r="G47" s="3"/>
      <c r="H47" s="3"/>
      <c r="I47" s="3"/>
    </row>
    <row r="48" spans="1:10" ht="21.75" customHeight="1" thickBot="1" x14ac:dyDescent="0.3">
      <c r="A48" s="6" t="s">
        <v>611</v>
      </c>
      <c r="B48" s="6" t="s">
        <v>612</v>
      </c>
      <c r="C48" s="68">
        <f>SUM(C39:C47)</f>
        <v>614.79999999999995</v>
      </c>
      <c r="D48" s="3"/>
      <c r="E48" s="3"/>
      <c r="F48" s="3"/>
      <c r="G48" s="3"/>
      <c r="H48" s="3"/>
      <c r="I48" s="3"/>
    </row>
    <row r="49" spans="1:9" ht="18" customHeight="1" thickBot="1" x14ac:dyDescent="0.3">
      <c r="A49" s="9"/>
      <c r="B49" s="9"/>
      <c r="C49" s="9"/>
      <c r="D49" s="9"/>
      <c r="E49" s="9"/>
      <c r="F49" s="9"/>
      <c r="G49" s="9"/>
      <c r="H49" s="9"/>
      <c r="I49" s="9"/>
    </row>
    <row r="50" spans="1:9" ht="18" customHeight="1" thickBot="1" x14ac:dyDescent="0.3">
      <c r="A50" s="114" t="s">
        <v>572</v>
      </c>
      <c r="B50" s="108"/>
      <c r="C50" s="109"/>
      <c r="D50" s="8"/>
      <c r="E50" s="8"/>
      <c r="F50" s="8"/>
      <c r="G50" s="8"/>
      <c r="H50" s="8"/>
      <c r="I50" s="8"/>
    </row>
    <row r="51" spans="1:9" ht="21.75" customHeight="1" thickBot="1" x14ac:dyDescent="0.3">
      <c r="A51" s="3"/>
      <c r="B51" s="12" t="s">
        <v>573</v>
      </c>
      <c r="C51" s="12">
        <f>C25</f>
        <v>652.42938599999991</v>
      </c>
      <c r="D51" s="3"/>
      <c r="E51" s="3"/>
      <c r="F51" s="3"/>
      <c r="G51" s="3"/>
      <c r="H51" s="3"/>
      <c r="I51" s="3"/>
    </row>
    <row r="52" spans="1:9" ht="21.75" customHeight="1" thickBot="1" x14ac:dyDescent="0.3">
      <c r="A52" s="3"/>
      <c r="B52" s="12" t="s">
        <v>581</v>
      </c>
      <c r="C52" s="12">
        <f>D36</f>
        <v>1530.4673636279999</v>
      </c>
      <c r="D52" s="3"/>
      <c r="E52" s="3"/>
      <c r="F52" s="3"/>
      <c r="G52" s="3"/>
      <c r="H52" s="3"/>
      <c r="I52" s="3"/>
    </row>
    <row r="53" spans="1:9" ht="21.75" customHeight="1" thickBot="1" x14ac:dyDescent="0.3">
      <c r="A53" s="3"/>
      <c r="B53" s="12" t="s">
        <v>593</v>
      </c>
      <c r="C53" s="12">
        <f>C48</f>
        <v>614.79999999999995</v>
      </c>
      <c r="D53" s="3"/>
      <c r="E53" s="3"/>
      <c r="F53" s="3"/>
      <c r="G53" s="3"/>
      <c r="H53" s="3"/>
      <c r="I53" s="3"/>
    </row>
    <row r="54" spans="1:9" ht="18" customHeight="1" thickBot="1" x14ac:dyDescent="0.3">
      <c r="A54" s="24"/>
      <c r="B54" s="68" t="s">
        <v>297</v>
      </c>
      <c r="C54" s="68">
        <f>SUM(C51:C53)</f>
        <v>2797.6967496279995</v>
      </c>
      <c r="D54" s="24"/>
      <c r="E54" s="24"/>
      <c r="F54" s="24"/>
      <c r="G54" s="24"/>
      <c r="H54" s="24"/>
      <c r="I54" s="24"/>
    </row>
    <row r="55" spans="1:9" ht="18" customHeight="1" thickBot="1" x14ac:dyDescent="0.3">
      <c r="A55" s="9"/>
      <c r="B55" s="9"/>
      <c r="C55" s="9"/>
      <c r="D55" s="9"/>
      <c r="E55" s="9"/>
      <c r="F55" s="9"/>
      <c r="G55" s="9"/>
      <c r="H55" s="9"/>
      <c r="I55" s="9"/>
    </row>
    <row r="56" spans="1:9" ht="18" customHeight="1" thickBot="1" x14ac:dyDescent="0.3">
      <c r="A56" s="114" t="s">
        <v>613</v>
      </c>
      <c r="B56" s="108"/>
      <c r="C56" s="109"/>
      <c r="D56" s="8"/>
      <c r="E56" s="8"/>
      <c r="F56" s="8"/>
      <c r="G56" s="8"/>
      <c r="H56" s="8"/>
      <c r="I56" s="8"/>
    </row>
    <row r="57" spans="1:9" ht="18" customHeight="1" thickBot="1" x14ac:dyDescent="0.3">
      <c r="A57" s="3" t="s">
        <v>614</v>
      </c>
      <c r="B57" s="12" t="s">
        <v>615</v>
      </c>
      <c r="C57" s="3" t="s">
        <v>561</v>
      </c>
      <c r="D57" s="12" t="s">
        <v>137</v>
      </c>
      <c r="E57" s="3"/>
      <c r="F57" s="3"/>
      <c r="G57" s="3"/>
      <c r="H57" s="3"/>
      <c r="I57" s="3"/>
    </row>
    <row r="58" spans="1:9" ht="18" customHeight="1" thickBot="1" x14ac:dyDescent="0.3">
      <c r="A58" s="3" t="s">
        <v>595</v>
      </c>
      <c r="B58" s="12" t="s">
        <v>616</v>
      </c>
      <c r="C58" s="70">
        <f>C16*D58</f>
        <v>13.304025000000001</v>
      </c>
      <c r="D58" s="2">
        <f>((1/12)*0.05)</f>
        <v>4.1666666666666666E-3</v>
      </c>
      <c r="E58" s="3"/>
      <c r="F58" s="3"/>
      <c r="G58" s="3"/>
      <c r="H58" s="3"/>
      <c r="I58" s="3"/>
    </row>
    <row r="59" spans="1:9" ht="26.25" customHeight="1" thickBot="1" x14ac:dyDescent="0.3">
      <c r="A59" s="3" t="s">
        <v>597</v>
      </c>
      <c r="B59" s="12" t="s">
        <v>617</v>
      </c>
      <c r="C59" s="70">
        <f>C16*D59</f>
        <v>1.064322</v>
      </c>
      <c r="D59" s="2">
        <f>D58*8%</f>
        <v>3.3333333333333332E-4</v>
      </c>
      <c r="E59" s="3"/>
      <c r="F59" s="3"/>
      <c r="G59" s="3"/>
      <c r="H59" s="3"/>
      <c r="I59" s="3"/>
    </row>
    <row r="60" spans="1:9" ht="26.25" customHeight="1" thickBot="1" x14ac:dyDescent="0.3">
      <c r="A60" s="3" t="s">
        <v>599</v>
      </c>
      <c r="B60" s="12" t="s">
        <v>618</v>
      </c>
      <c r="C60" s="70">
        <f>C16*D60</f>
        <v>109.83803039999999</v>
      </c>
      <c r="D60" s="2">
        <f>0.08*0.4*0.9*(1+1/12+1/12+(1/3*1/12))</f>
        <v>3.4399999999999993E-2</v>
      </c>
      <c r="E60" s="12" t="s">
        <v>1188</v>
      </c>
      <c r="F60" s="3"/>
      <c r="G60" s="3"/>
      <c r="H60" s="3"/>
      <c r="I60" s="3"/>
    </row>
    <row r="61" spans="1:9" ht="15.75" customHeight="1" thickBot="1" x14ac:dyDescent="0.3">
      <c r="A61" s="3" t="s">
        <v>601</v>
      </c>
      <c r="B61" s="12" t="s">
        <v>619</v>
      </c>
      <c r="C61" s="70">
        <f>C16*D61</f>
        <v>61.94354040000001</v>
      </c>
      <c r="D61" s="2">
        <v>1.9400000000000001E-2</v>
      </c>
      <c r="E61" s="3"/>
      <c r="F61" s="3"/>
      <c r="G61" s="3"/>
      <c r="H61" s="3"/>
      <c r="I61" s="3"/>
    </row>
    <row r="62" spans="1:9" ht="26.25" customHeight="1" thickBot="1" x14ac:dyDescent="0.3">
      <c r="A62" s="3" t="s">
        <v>603</v>
      </c>
      <c r="B62" s="12" t="s">
        <v>620</v>
      </c>
      <c r="C62" s="70">
        <f>C16*D62</f>
        <v>24.653529079200009</v>
      </c>
      <c r="D62" s="2">
        <f>C36*D61</f>
        <v>7.7212000000000018E-3</v>
      </c>
      <c r="E62" s="3"/>
      <c r="F62" s="3"/>
      <c r="G62" s="3"/>
      <c r="H62" s="3"/>
      <c r="I62" s="3"/>
    </row>
    <row r="63" spans="1:9" ht="26.25" customHeight="1" thickBot="1" x14ac:dyDescent="0.3">
      <c r="A63" s="3" t="s">
        <v>604</v>
      </c>
      <c r="B63" s="12" t="s">
        <v>621</v>
      </c>
      <c r="C63" s="70">
        <f>C16*D63</f>
        <v>1.9796389200000002</v>
      </c>
      <c r="D63" s="2">
        <v>6.2E-4</v>
      </c>
      <c r="E63" s="3"/>
      <c r="F63" s="3"/>
      <c r="G63" s="3"/>
      <c r="H63" s="3"/>
      <c r="I63" s="3"/>
    </row>
    <row r="64" spans="1:9" ht="21.75" customHeight="1" thickBot="1" x14ac:dyDescent="0.3">
      <c r="A64" s="3"/>
      <c r="B64" s="68" t="s">
        <v>297</v>
      </c>
      <c r="C64" s="68">
        <f>SUM(C58:C63)</f>
        <v>212.78308579920002</v>
      </c>
      <c r="D64" s="2">
        <f>SUM(D58:D63)</f>
        <v>6.6641199999999984E-2</v>
      </c>
      <c r="E64" s="3"/>
      <c r="F64" s="3"/>
      <c r="G64" s="3"/>
      <c r="H64" s="3"/>
      <c r="I64" s="3"/>
    </row>
    <row r="65" spans="1:9" ht="18" customHeight="1" x14ac:dyDescent="0.25">
      <c r="A65" s="9"/>
      <c r="B65" s="9"/>
      <c r="C65" s="9"/>
      <c r="D65" s="9"/>
      <c r="E65" s="9"/>
      <c r="F65" s="9"/>
      <c r="G65" s="9"/>
      <c r="H65" s="9"/>
      <c r="I65" s="9"/>
    </row>
    <row r="66" spans="1:9" ht="18" customHeight="1" thickBot="1" x14ac:dyDescent="0.3">
      <c r="A66" s="9"/>
      <c r="B66" s="9"/>
      <c r="C66" s="9"/>
      <c r="D66" s="9"/>
      <c r="E66" s="9"/>
      <c r="F66" s="9"/>
      <c r="G66" s="9"/>
      <c r="H66" s="9"/>
      <c r="I66" s="9"/>
    </row>
    <row r="67" spans="1:9" ht="18" customHeight="1" thickBot="1" x14ac:dyDescent="0.3">
      <c r="A67" s="114" t="s">
        <v>622</v>
      </c>
      <c r="B67" s="108"/>
      <c r="C67" s="109"/>
      <c r="D67" s="8"/>
      <c r="E67" s="8"/>
      <c r="F67" s="8"/>
      <c r="G67" s="8"/>
      <c r="H67" s="8"/>
      <c r="I67" s="8"/>
    </row>
    <row r="68" spans="1:9" ht="15.75" customHeight="1" thickBot="1" x14ac:dyDescent="0.3">
      <c r="A68" s="127" t="s">
        <v>623</v>
      </c>
      <c r="B68" s="108"/>
      <c r="C68" s="71" t="s">
        <v>561</v>
      </c>
      <c r="D68" s="72" t="s">
        <v>137</v>
      </c>
      <c r="E68" s="3"/>
      <c r="F68" s="3"/>
      <c r="G68" s="3"/>
      <c r="H68" s="3"/>
      <c r="I68" s="3"/>
    </row>
    <row r="69" spans="1:9" ht="15.75" customHeight="1" thickBot="1" x14ac:dyDescent="0.3">
      <c r="A69" s="3" t="s">
        <v>595</v>
      </c>
      <c r="B69" s="12" t="s">
        <v>624</v>
      </c>
      <c r="C69" s="12">
        <f>D69*C16</f>
        <v>54.369115500000007</v>
      </c>
      <c r="D69" s="2">
        <f>SUM(E22:E24)/12</f>
        <v>1.7027777777777777E-2</v>
      </c>
      <c r="E69" s="3"/>
      <c r="F69" s="3"/>
      <c r="G69" s="3"/>
      <c r="H69" s="3"/>
      <c r="I69" s="3"/>
    </row>
    <row r="70" spans="1:9" ht="26.25" customHeight="1" thickBot="1" x14ac:dyDescent="0.3">
      <c r="A70" s="3" t="s">
        <v>597</v>
      </c>
      <c r="B70" s="12" t="s">
        <v>625</v>
      </c>
      <c r="C70" s="12">
        <f>D70*C16</f>
        <v>26.182321200000004</v>
      </c>
      <c r="D70" s="2">
        <v>8.2000000000000007E-3</v>
      </c>
      <c r="E70" s="3"/>
      <c r="F70" s="3"/>
      <c r="G70" s="3"/>
      <c r="H70" s="3"/>
      <c r="I70" s="3"/>
    </row>
    <row r="71" spans="1:9" ht="26.25" customHeight="1" thickBot="1" x14ac:dyDescent="0.3">
      <c r="A71" s="3" t="s">
        <v>599</v>
      </c>
      <c r="B71" s="12" t="s">
        <v>626</v>
      </c>
      <c r="C71" s="12">
        <f>D71*C16</f>
        <v>0.63859320000000008</v>
      </c>
      <c r="D71" s="2">
        <v>2.0000000000000001E-4</v>
      </c>
      <c r="E71" s="3"/>
      <c r="F71" s="3"/>
      <c r="G71" s="3"/>
      <c r="H71" s="3"/>
      <c r="I71" s="3"/>
    </row>
    <row r="72" spans="1:9" ht="26.25" customHeight="1" thickBot="1" x14ac:dyDescent="0.3">
      <c r="A72" s="3" t="s">
        <v>601</v>
      </c>
      <c r="B72" s="12" t="s">
        <v>627</v>
      </c>
      <c r="C72" s="12">
        <f>D72*C16</f>
        <v>2.2350762000000004</v>
      </c>
      <c r="D72" s="2">
        <v>6.9999999999999999E-4</v>
      </c>
      <c r="E72" s="3"/>
      <c r="F72" s="3"/>
      <c r="G72" s="3"/>
      <c r="H72" s="3"/>
      <c r="I72" s="3"/>
    </row>
    <row r="73" spans="1:9" ht="26.25" customHeight="1" thickBot="1" x14ac:dyDescent="0.3">
      <c r="A73" s="3" t="s">
        <v>603</v>
      </c>
      <c r="B73" s="12" t="s">
        <v>628</v>
      </c>
      <c r="C73" s="12">
        <f>D73*C16</f>
        <v>6.3859320000000013</v>
      </c>
      <c r="D73" s="2">
        <v>2E-3</v>
      </c>
      <c r="E73" s="3"/>
      <c r="F73" s="3"/>
      <c r="G73" s="3"/>
      <c r="H73" s="3"/>
      <c r="I73" s="3"/>
    </row>
    <row r="74" spans="1:9" ht="26.25" customHeight="1" thickBot="1" x14ac:dyDescent="0.3">
      <c r="A74" s="3" t="s">
        <v>604</v>
      </c>
      <c r="B74" s="12" t="s">
        <v>629</v>
      </c>
      <c r="C74" s="12">
        <f>D74*C16</f>
        <v>0</v>
      </c>
      <c r="D74" s="2">
        <v>0</v>
      </c>
      <c r="E74" s="3"/>
      <c r="F74" s="3"/>
      <c r="G74" s="3"/>
      <c r="H74" s="3"/>
      <c r="I74" s="3"/>
    </row>
    <row r="75" spans="1:9" ht="26.25" customHeight="1" thickBot="1" x14ac:dyDescent="0.3">
      <c r="A75" s="3"/>
      <c r="B75" s="12" t="s">
        <v>1185</v>
      </c>
      <c r="C75" s="75">
        <f>SUM(C69:C74)</f>
        <v>89.811038100000005</v>
      </c>
      <c r="D75" s="76"/>
      <c r="E75" s="3"/>
      <c r="F75" s="3"/>
      <c r="G75" s="3"/>
      <c r="H75" s="3"/>
      <c r="I75" s="3"/>
    </row>
    <row r="76" spans="1:9" ht="26.25" customHeight="1" thickBot="1" x14ac:dyDescent="0.3">
      <c r="A76" s="3"/>
      <c r="B76" s="12" t="s">
        <v>1186</v>
      </c>
      <c r="C76" s="75">
        <f>D76*C16</f>
        <v>89.811038100000019</v>
      </c>
      <c r="D76" s="76">
        <f>SUM(D69:D75)</f>
        <v>2.8127777777777779E-2</v>
      </c>
      <c r="E76" s="3"/>
      <c r="F76" s="3"/>
      <c r="G76" s="3"/>
      <c r="H76" s="3"/>
      <c r="I76" s="3"/>
    </row>
    <row r="77" spans="1:9" ht="15.75" customHeight="1" thickBot="1" x14ac:dyDescent="0.3">
      <c r="A77" s="127" t="s">
        <v>630</v>
      </c>
      <c r="B77" s="108"/>
      <c r="C77" s="73" t="s">
        <v>561</v>
      </c>
      <c r="D77" s="71"/>
      <c r="E77" s="3"/>
      <c r="F77" s="3"/>
      <c r="G77" s="3"/>
      <c r="H77" s="3"/>
      <c r="I77" s="3"/>
    </row>
    <row r="78" spans="1:9" ht="26.25" customHeight="1" thickBot="1" x14ac:dyDescent="0.3">
      <c r="A78" s="3" t="s">
        <v>595</v>
      </c>
      <c r="B78" s="12" t="s">
        <v>631</v>
      </c>
      <c r="C78" s="12">
        <f>(C15/220)*C13*15</f>
        <v>0</v>
      </c>
      <c r="D78" s="2"/>
      <c r="E78" s="3"/>
      <c r="F78" s="3"/>
      <c r="G78" s="3"/>
      <c r="H78" s="3"/>
      <c r="I78" s="3"/>
    </row>
    <row r="79" spans="1:9" ht="21.75" customHeight="1" thickBot="1" x14ac:dyDescent="0.3">
      <c r="A79" s="3"/>
      <c r="B79" s="12" t="s">
        <v>632</v>
      </c>
      <c r="C79" s="12">
        <f>SUM(C75:C76)</f>
        <v>179.62207620000004</v>
      </c>
      <c r="D79" s="3"/>
      <c r="E79" s="3"/>
      <c r="F79" s="3"/>
      <c r="G79" s="3"/>
      <c r="H79" s="3"/>
      <c r="I79" s="3"/>
    </row>
    <row r="80" spans="1:9" ht="18" customHeight="1" x14ac:dyDescent="0.25">
      <c r="A80" s="9"/>
      <c r="B80" s="9"/>
      <c r="C80" s="9"/>
      <c r="D80" s="9"/>
      <c r="E80" s="9"/>
      <c r="F80" s="9"/>
      <c r="G80" s="9"/>
      <c r="H80" s="9"/>
      <c r="I80" s="9"/>
    </row>
    <row r="81" spans="1:9" ht="18" customHeight="1" x14ac:dyDescent="0.25">
      <c r="A81" s="9"/>
      <c r="B81" s="9"/>
      <c r="C81" s="9"/>
      <c r="D81" s="9"/>
      <c r="E81" s="9"/>
      <c r="F81" s="9"/>
      <c r="G81" s="9"/>
      <c r="H81" s="9"/>
      <c r="I81" s="9"/>
    </row>
    <row r="82" spans="1:9" ht="18" customHeight="1" thickBot="1" x14ac:dyDescent="0.3">
      <c r="A82" s="114" t="s">
        <v>633</v>
      </c>
      <c r="B82" s="108"/>
      <c r="C82" s="109"/>
      <c r="D82" s="8"/>
      <c r="E82" s="8"/>
      <c r="F82" s="8"/>
      <c r="G82" s="8"/>
      <c r="H82" s="8"/>
      <c r="I82" s="8"/>
    </row>
    <row r="83" spans="1:9" ht="21.75" customHeight="1" thickBot="1" x14ac:dyDescent="0.3">
      <c r="A83" s="12" t="s">
        <v>634</v>
      </c>
      <c r="B83" s="12" t="s">
        <v>635</v>
      </c>
      <c r="C83" s="12" t="s">
        <v>561</v>
      </c>
      <c r="D83" s="3"/>
      <c r="E83" s="3"/>
      <c r="F83" s="3"/>
      <c r="G83" s="3"/>
      <c r="H83" s="3"/>
      <c r="I83" s="3"/>
    </row>
    <row r="84" spans="1:9" ht="18" customHeight="1" thickTop="1" thickBot="1" x14ac:dyDescent="0.3">
      <c r="A84" s="48"/>
      <c r="B84" s="85" t="s">
        <v>636</v>
      </c>
      <c r="C84" s="83">
        <v>85</v>
      </c>
      <c r="D84" s="9"/>
      <c r="E84" s="9"/>
      <c r="F84" s="9"/>
      <c r="G84" s="9"/>
      <c r="H84" s="9"/>
      <c r="I84" s="9"/>
    </row>
    <row r="85" spans="1:9" ht="18" customHeight="1" thickTop="1" thickBot="1" x14ac:dyDescent="0.3">
      <c r="A85" s="48"/>
      <c r="B85" s="83" t="s">
        <v>637</v>
      </c>
      <c r="C85" s="83">
        <v>0</v>
      </c>
      <c r="D85" s="9"/>
      <c r="E85" s="9"/>
      <c r="F85" s="9"/>
      <c r="G85" s="9"/>
      <c r="H85" s="9"/>
      <c r="I85" s="9"/>
    </row>
    <row r="86" spans="1:9" ht="21.75" customHeight="1" thickTop="1" thickBot="1" x14ac:dyDescent="0.3">
      <c r="A86" s="3"/>
      <c r="B86" s="68" t="s">
        <v>297</v>
      </c>
      <c r="C86" s="68">
        <f>C84+(C84*C85)</f>
        <v>85</v>
      </c>
      <c r="D86" s="3"/>
      <c r="E86" s="3"/>
      <c r="F86" s="3"/>
      <c r="G86" s="3"/>
      <c r="H86" s="3"/>
      <c r="I86" s="3"/>
    </row>
    <row r="87" spans="1:9" ht="18" customHeight="1" thickBot="1" x14ac:dyDescent="0.3">
      <c r="A87" s="9"/>
      <c r="B87" s="9"/>
      <c r="C87" s="9"/>
      <c r="D87" s="9"/>
      <c r="E87" s="9"/>
      <c r="F87" s="9"/>
      <c r="G87" s="9"/>
      <c r="H87" s="9"/>
      <c r="I87" s="9"/>
    </row>
    <row r="88" spans="1:9" ht="21.75" customHeight="1" thickBot="1" x14ac:dyDescent="0.3">
      <c r="A88" s="12" t="s">
        <v>638</v>
      </c>
      <c r="B88" s="12" t="s">
        <v>639</v>
      </c>
      <c r="C88" s="12" t="s">
        <v>561</v>
      </c>
      <c r="D88" s="3"/>
      <c r="E88" s="3"/>
      <c r="F88" s="3"/>
      <c r="G88" s="3"/>
      <c r="H88" s="3"/>
      <c r="I88" s="3"/>
    </row>
    <row r="89" spans="1:9" ht="15" customHeight="1" thickTop="1" thickBot="1" x14ac:dyDescent="0.3">
      <c r="A89" s="48"/>
      <c r="B89" s="85" t="s">
        <v>636</v>
      </c>
      <c r="C89" s="83">
        <v>0</v>
      </c>
      <c r="D89" s="9"/>
      <c r="E89" s="9"/>
      <c r="F89" s="9"/>
      <c r="G89" s="9"/>
      <c r="H89" s="9"/>
      <c r="I89" s="9"/>
    </row>
    <row r="90" spans="1:9" ht="38.25" customHeight="1" thickTop="1" thickBot="1" x14ac:dyDescent="0.3">
      <c r="A90" s="48"/>
      <c r="B90" s="85" t="s">
        <v>640</v>
      </c>
      <c r="C90" s="83">
        <v>0</v>
      </c>
      <c r="D90" s="9"/>
      <c r="E90" s="9"/>
      <c r="F90" s="9"/>
      <c r="G90" s="9"/>
      <c r="H90" s="9"/>
      <c r="I90" s="9"/>
    </row>
    <row r="91" spans="1:9" ht="15" customHeight="1" thickTop="1" thickBot="1" x14ac:dyDescent="0.3">
      <c r="A91" s="48"/>
      <c r="B91" s="83" t="s">
        <v>641</v>
      </c>
      <c r="C91" s="83">
        <v>0</v>
      </c>
      <c r="D91" s="9"/>
      <c r="E91" s="9"/>
      <c r="F91" s="9"/>
      <c r="G91" s="9"/>
      <c r="H91" s="9"/>
      <c r="I91" s="9"/>
    </row>
    <row r="92" spans="1:9" ht="18" customHeight="1" thickTop="1" thickBot="1" x14ac:dyDescent="0.3">
      <c r="A92" s="9"/>
      <c r="B92" s="9"/>
      <c r="C92" s="9"/>
      <c r="D92" s="9"/>
      <c r="E92" s="9"/>
      <c r="F92" s="9"/>
      <c r="G92" s="9"/>
      <c r="H92" s="9"/>
      <c r="I92" s="9"/>
    </row>
    <row r="93" spans="1:9" ht="18" customHeight="1" thickBot="1" x14ac:dyDescent="0.3">
      <c r="A93" s="114" t="s">
        <v>633</v>
      </c>
      <c r="B93" s="108"/>
      <c r="C93" s="109"/>
      <c r="D93" s="8"/>
      <c r="E93" s="8"/>
      <c r="F93" s="8"/>
      <c r="G93" s="8"/>
      <c r="H93" s="8"/>
      <c r="I93" s="8"/>
    </row>
    <row r="94" spans="1:9" ht="18" customHeight="1" thickBot="1" x14ac:dyDescent="0.3">
      <c r="A94" s="8"/>
      <c r="B94" s="7" t="s">
        <v>634</v>
      </c>
      <c r="C94" s="7">
        <v>63.14</v>
      </c>
      <c r="D94" s="8"/>
      <c r="E94" s="8"/>
      <c r="F94" s="8"/>
      <c r="G94" s="8"/>
      <c r="H94" s="8"/>
      <c r="I94" s="8"/>
    </row>
    <row r="95" spans="1:9" ht="21.75" customHeight="1" thickBot="1" x14ac:dyDescent="0.3">
      <c r="A95" s="3"/>
      <c r="B95" s="12" t="s">
        <v>638</v>
      </c>
      <c r="C95" s="12">
        <f>C91</f>
        <v>0</v>
      </c>
      <c r="D95" s="3"/>
      <c r="E95" s="3"/>
      <c r="F95" s="3"/>
      <c r="G95" s="3"/>
      <c r="H95" s="3"/>
      <c r="I95" s="3"/>
    </row>
    <row r="96" spans="1:9" ht="21.75" customHeight="1" thickBot="1" x14ac:dyDescent="0.3">
      <c r="A96" s="3"/>
      <c r="B96" s="68" t="s">
        <v>297</v>
      </c>
      <c r="C96" s="68">
        <f>C94+C95</f>
        <v>63.14</v>
      </c>
      <c r="D96" s="3"/>
      <c r="E96" s="3"/>
      <c r="F96" s="3"/>
      <c r="G96" s="3"/>
      <c r="H96" s="3"/>
      <c r="I96" s="3"/>
    </row>
    <row r="97" spans="1:9" ht="18" customHeight="1" x14ac:dyDescent="0.25">
      <c r="A97" s="9"/>
      <c r="B97" s="9"/>
      <c r="C97" s="9"/>
      <c r="D97" s="9"/>
      <c r="E97" s="9"/>
      <c r="F97" s="9"/>
      <c r="G97" s="9"/>
      <c r="H97" s="9"/>
      <c r="I97" s="9"/>
    </row>
    <row r="98" spans="1:9" ht="18" customHeight="1" x14ac:dyDescent="0.25">
      <c r="A98" s="9"/>
      <c r="B98" s="9"/>
      <c r="C98" s="9"/>
      <c r="D98" s="9"/>
      <c r="E98" s="9"/>
      <c r="F98" s="9"/>
      <c r="G98" s="9"/>
      <c r="H98" s="9"/>
      <c r="I98" s="9"/>
    </row>
    <row r="99" spans="1:9" ht="18" customHeight="1" thickBot="1" x14ac:dyDescent="0.3">
      <c r="A99" s="114" t="s">
        <v>642</v>
      </c>
      <c r="B99" s="108"/>
      <c r="C99" s="109"/>
      <c r="D99" s="8"/>
      <c r="E99" s="8"/>
      <c r="F99" s="8"/>
      <c r="G99" s="8"/>
      <c r="H99" s="8"/>
      <c r="I99" s="8"/>
    </row>
    <row r="100" spans="1:9" ht="25.5" customHeight="1" thickBot="1" x14ac:dyDescent="0.3">
      <c r="A100" s="3"/>
      <c r="B100" s="12" t="s">
        <v>643</v>
      </c>
      <c r="C100" s="12">
        <f>C16+C54+C64+C79+C96</f>
        <v>6446.2079116272007</v>
      </c>
      <c r="D100" s="129" t="s">
        <v>644</v>
      </c>
      <c r="E100" s="2" t="s">
        <v>645</v>
      </c>
      <c r="F100" s="129">
        <f>-1</f>
        <v>-1</v>
      </c>
      <c r="G100" s="3"/>
      <c r="H100" s="3"/>
      <c r="I100" s="3"/>
    </row>
    <row r="101" spans="1:9" ht="21.75" customHeight="1" thickBot="1" x14ac:dyDescent="0.3">
      <c r="A101" s="3"/>
      <c r="B101" s="12" t="s">
        <v>646</v>
      </c>
      <c r="C101" s="2">
        <f>(1+F113)/(1-F108-F114)-100%</f>
        <v>0.30445795339412363</v>
      </c>
      <c r="D101" s="126"/>
      <c r="E101" s="2" t="s">
        <v>647</v>
      </c>
      <c r="F101" s="126"/>
      <c r="G101" s="3"/>
      <c r="H101" s="3"/>
      <c r="I101" s="3"/>
    </row>
    <row r="102" spans="1:9" ht="21.75" customHeight="1" thickBot="1" x14ac:dyDescent="0.3">
      <c r="A102" s="3"/>
      <c r="B102" s="68" t="s">
        <v>648</v>
      </c>
      <c r="C102" s="68">
        <f>C100*C101</f>
        <v>1962.5992679270253</v>
      </c>
      <c r="D102" s="3"/>
      <c r="E102" s="3"/>
      <c r="F102" s="3"/>
      <c r="G102" s="3"/>
      <c r="H102" s="3"/>
      <c r="I102" s="3"/>
    </row>
    <row r="103" spans="1:9" ht="18" customHeight="1" x14ac:dyDescent="0.25">
      <c r="A103" s="9"/>
      <c r="B103" s="9"/>
      <c r="C103" s="9"/>
      <c r="D103" s="9"/>
      <c r="E103" s="9"/>
      <c r="F103" s="9"/>
      <c r="G103" s="9"/>
      <c r="H103" s="9"/>
      <c r="I103" s="9"/>
    </row>
    <row r="104" spans="1:9" ht="18" customHeight="1" thickBot="1" x14ac:dyDescent="0.3">
      <c r="A104" s="9"/>
      <c r="B104" s="9"/>
      <c r="C104" s="9"/>
      <c r="D104" s="43"/>
      <c r="E104" s="1"/>
      <c r="F104" s="19"/>
      <c r="G104" s="95"/>
      <c r="H104" s="9"/>
      <c r="I104" s="9"/>
    </row>
    <row r="105" spans="1:9" ht="21.75" customHeight="1" thickBot="1" x14ac:dyDescent="0.3">
      <c r="A105" s="115" t="s">
        <v>649</v>
      </c>
      <c r="B105" s="109"/>
      <c r="C105" s="3"/>
      <c r="D105" s="13"/>
      <c r="E105" s="44"/>
      <c r="F105" s="13"/>
      <c r="G105" s="13"/>
      <c r="H105" s="3"/>
      <c r="I105" s="2"/>
    </row>
    <row r="106" spans="1:9" ht="18" customHeight="1" thickBot="1" x14ac:dyDescent="0.3">
      <c r="A106" s="9"/>
      <c r="B106" s="9"/>
      <c r="C106" s="9"/>
      <c r="D106" s="9"/>
      <c r="E106" s="9"/>
      <c r="F106" s="9"/>
      <c r="G106" s="9"/>
      <c r="H106" s="9"/>
      <c r="I106" s="35"/>
    </row>
    <row r="107" spans="1:9" ht="21.75" customHeight="1" thickBot="1" x14ac:dyDescent="0.3">
      <c r="A107" s="12" t="s">
        <v>650</v>
      </c>
      <c r="B107" s="12" t="s">
        <v>534</v>
      </c>
      <c r="C107" s="3"/>
      <c r="D107" s="3"/>
      <c r="E107" s="3"/>
      <c r="F107" s="3"/>
      <c r="G107" s="3"/>
      <c r="H107" s="3"/>
      <c r="I107" s="3"/>
    </row>
    <row r="108" spans="1:9" ht="21.75" customHeight="1" thickBot="1" x14ac:dyDescent="0.3">
      <c r="A108" s="12" t="s">
        <v>652</v>
      </c>
      <c r="B108" s="12">
        <f>C16</f>
        <v>3192.9660000000003</v>
      </c>
      <c r="C108" s="3"/>
      <c r="D108" s="3"/>
      <c r="E108" s="80" t="s">
        <v>653</v>
      </c>
      <c r="F108" s="81">
        <f>SUM(F109:F111)</f>
        <v>0.14250000000000002</v>
      </c>
      <c r="G108" s="3" t="s">
        <v>561</v>
      </c>
      <c r="H108" s="3"/>
      <c r="I108" s="3"/>
    </row>
    <row r="109" spans="1:9" ht="21.75" customHeight="1" thickBot="1" x14ac:dyDescent="0.3">
      <c r="A109" s="12" t="s">
        <v>654</v>
      </c>
      <c r="B109" s="12">
        <f>C54</f>
        <v>2797.6967496279995</v>
      </c>
      <c r="C109" s="3"/>
      <c r="D109" s="3"/>
      <c r="E109" s="80" t="s">
        <v>655</v>
      </c>
      <c r="F109" s="81">
        <v>0.05</v>
      </c>
      <c r="G109" s="70">
        <f>F109*C100</f>
        <v>322.31039558136007</v>
      </c>
      <c r="H109" s="3"/>
      <c r="I109" s="3"/>
    </row>
    <row r="110" spans="1:9" ht="21.75" customHeight="1" thickBot="1" x14ac:dyDescent="0.3">
      <c r="A110" s="12" t="s">
        <v>656</v>
      </c>
      <c r="B110" s="12">
        <f>C64</f>
        <v>212.78308579920002</v>
      </c>
      <c r="C110" s="3"/>
      <c r="D110" s="3"/>
      <c r="E110" s="80" t="s">
        <v>657</v>
      </c>
      <c r="F110" s="81">
        <v>7.5999999999999998E-2</v>
      </c>
      <c r="G110" s="70">
        <f>F110*C100</f>
        <v>489.91180128366722</v>
      </c>
      <c r="H110" s="3"/>
      <c r="I110" s="3"/>
    </row>
    <row r="111" spans="1:9" ht="21.75" customHeight="1" thickBot="1" x14ac:dyDescent="0.3">
      <c r="A111" s="12" t="s">
        <v>658</v>
      </c>
      <c r="B111" s="12">
        <f>C79</f>
        <v>179.62207620000004</v>
      </c>
      <c r="C111" s="3"/>
      <c r="D111" s="3"/>
      <c r="E111" s="80" t="s">
        <v>659</v>
      </c>
      <c r="F111" s="81">
        <v>1.6500000000000001E-2</v>
      </c>
      <c r="G111" s="70">
        <f>F111*C100</f>
        <v>106.36243054184882</v>
      </c>
      <c r="H111" s="3"/>
      <c r="I111" s="3"/>
    </row>
    <row r="112" spans="1:9" ht="21.75" customHeight="1" thickBot="1" x14ac:dyDescent="0.3">
      <c r="A112" s="12" t="s">
        <v>660</v>
      </c>
      <c r="B112" s="12">
        <f>C96</f>
        <v>63.14</v>
      </c>
      <c r="C112" s="3"/>
      <c r="D112" s="3"/>
      <c r="E112" s="100"/>
      <c r="F112" s="81"/>
      <c r="G112" s="70"/>
      <c r="H112" s="3"/>
      <c r="I112" s="3"/>
    </row>
    <row r="113" spans="1:9" ht="21.75" customHeight="1" thickBot="1" x14ac:dyDescent="0.3">
      <c r="A113" s="12" t="s">
        <v>661</v>
      </c>
      <c r="B113" s="12">
        <f>C102</f>
        <v>1962.5992679270253</v>
      </c>
      <c r="C113" s="3"/>
      <c r="D113" s="3"/>
      <c r="E113" s="80" t="s">
        <v>662</v>
      </c>
      <c r="F113" s="81">
        <v>0.03</v>
      </c>
      <c r="G113" s="70">
        <f>F113*C100</f>
        <v>193.38623734881602</v>
      </c>
      <c r="H113" s="3"/>
      <c r="I113" s="3"/>
    </row>
    <row r="114" spans="1:9" ht="18" customHeight="1" thickBot="1" x14ac:dyDescent="0.3">
      <c r="A114" s="68" t="s">
        <v>663</v>
      </c>
      <c r="B114" s="68">
        <f>SUM(B108:B113)</f>
        <v>8408.8071795542255</v>
      </c>
      <c r="C114" s="24"/>
      <c r="D114" s="24"/>
      <c r="E114" s="101" t="s">
        <v>664</v>
      </c>
      <c r="F114" s="102">
        <v>6.7900000000000002E-2</v>
      </c>
      <c r="G114" s="70">
        <f>F114*C100</f>
        <v>437.69751719948692</v>
      </c>
      <c r="H114" s="24"/>
      <c r="I114" s="24"/>
    </row>
  </sheetData>
  <autoFilter ref="A6:I114" xr:uid="{00000000-0009-0000-0000-00000A000000}"/>
  <mergeCells count="13">
    <mergeCell ref="A19:C19"/>
    <mergeCell ref="A82:C82"/>
    <mergeCell ref="A68:B68"/>
    <mergeCell ref="D100:D101"/>
    <mergeCell ref="A105:B105"/>
    <mergeCell ref="F100:F101"/>
    <mergeCell ref="A56:C56"/>
    <mergeCell ref="A67:C67"/>
    <mergeCell ref="F38:I38"/>
    <mergeCell ref="A77:B77"/>
    <mergeCell ref="A99:C99"/>
    <mergeCell ref="A93:C93"/>
    <mergeCell ref="A50:C50"/>
  </mergeCells>
  <printOptions horizontalCentered="1"/>
  <pageMargins left="0.35" right="0.35" top="0.55000000000000004" bottom="0.55000000000000004" header="0.511811023622047" footer="0.511811023622047"/>
  <pageSetup paperSize="9" scale="72" fitToHeight="0" pageOrder="overThenDown" orientation="landscape" useFirstPageNumber="1" horizontalDpi="300" verticalDpi="300" r:id="rId1"/>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C1:U1048576"/>
  <sheetViews>
    <sheetView showGridLines="0" zoomScaleNormal="100" workbookViewId="0">
      <selection activeCell="M14" sqref="M14"/>
    </sheetView>
  </sheetViews>
  <sheetFormatPr defaultColWidth="8.5703125" defaultRowHeight="15" x14ac:dyDescent="0.25"/>
  <cols>
    <col min="1" max="1" width="5" customWidth="1"/>
    <col min="2" max="2" width="4.28515625" customWidth="1"/>
    <col min="3" max="3" width="34" customWidth="1"/>
    <col min="4" max="5" width="15" customWidth="1"/>
    <col min="6" max="6" width="23" customWidth="1"/>
    <col min="7" max="7" width="16" customWidth="1"/>
    <col min="8" max="8" width="30.28515625" customWidth="1"/>
    <col min="9" max="9" width="16.85546875" customWidth="1"/>
    <col min="10" max="10" width="29.85546875" customWidth="1"/>
    <col min="11" max="11" width="13.5703125" customWidth="1"/>
    <col min="12" max="12" width="6.7109375" style="94" customWidth="1"/>
    <col min="13" max="13" width="17.85546875" customWidth="1"/>
    <col min="14" max="14" width="16.7109375" customWidth="1"/>
    <col min="15" max="15" width="17.7109375" customWidth="1"/>
    <col min="16" max="16" width="6.140625" customWidth="1"/>
    <col min="17" max="17" width="37.5703125" customWidth="1"/>
    <col min="18" max="18" width="8.42578125" customWidth="1"/>
    <col min="19" max="19" width="10.5703125" customWidth="1"/>
    <col min="20" max="20" width="15" customWidth="1"/>
    <col min="21" max="21" width="18.42578125" customWidth="1"/>
  </cols>
  <sheetData>
    <row r="1" spans="3:21" ht="13.5" customHeight="1" x14ac:dyDescent="0.25"/>
    <row r="2" spans="3:21" ht="13.5" customHeight="1" x14ac:dyDescent="0.25"/>
    <row r="3" spans="3:21" ht="13.5" customHeight="1" x14ac:dyDescent="0.25"/>
    <row r="4" spans="3:21" ht="13.5" customHeight="1" x14ac:dyDescent="0.25"/>
    <row r="5" spans="3:21" ht="18" customHeight="1" x14ac:dyDescent="0.25">
      <c r="C5" s="133" t="s">
        <v>677</v>
      </c>
      <c r="D5" s="119"/>
      <c r="E5" s="119"/>
      <c r="F5" s="119"/>
      <c r="G5" s="119"/>
      <c r="H5" s="119"/>
      <c r="I5" s="119"/>
      <c r="J5" s="119"/>
      <c r="K5" s="119"/>
      <c r="L5" s="119"/>
      <c r="M5" s="119"/>
      <c r="N5" s="134"/>
    </row>
    <row r="6" spans="3:21" ht="21.75" customHeight="1" x14ac:dyDescent="0.25">
      <c r="C6" s="6" t="s">
        <v>650</v>
      </c>
      <c r="D6" s="68" t="s">
        <v>678</v>
      </c>
      <c r="E6" s="68" t="s">
        <v>652</v>
      </c>
      <c r="F6" s="68" t="s">
        <v>654</v>
      </c>
      <c r="G6" s="33" t="s">
        <v>656</v>
      </c>
      <c r="H6" s="33" t="s">
        <v>658</v>
      </c>
      <c r="I6" s="33" t="s">
        <v>660</v>
      </c>
      <c r="J6" s="68" t="s">
        <v>661</v>
      </c>
      <c r="K6" s="68" t="s">
        <v>679</v>
      </c>
      <c r="L6" s="33" t="s">
        <v>680</v>
      </c>
      <c r="M6" s="68" t="s">
        <v>681</v>
      </c>
      <c r="N6" s="68" t="s">
        <v>682</v>
      </c>
      <c r="P6" s="50"/>
      <c r="Q6" s="50"/>
      <c r="R6" s="50"/>
      <c r="S6" s="50"/>
      <c r="T6" s="50"/>
      <c r="U6" s="50"/>
    </row>
    <row r="7" spans="3:21" ht="25.5" hidden="1" customHeight="1" x14ac:dyDescent="0.25">
      <c r="C7" s="38" t="s">
        <v>683</v>
      </c>
      <c r="D7" s="83">
        <v>0</v>
      </c>
      <c r="E7" s="83">
        <v>0</v>
      </c>
      <c r="F7" s="83">
        <v>0</v>
      </c>
      <c r="G7" s="93">
        <v>0</v>
      </c>
      <c r="H7" s="93">
        <v>0</v>
      </c>
      <c r="I7" s="93">
        <v>0</v>
      </c>
      <c r="J7" s="83">
        <v>0</v>
      </c>
      <c r="K7" s="83">
        <v>0</v>
      </c>
      <c r="L7" s="93">
        <v>0</v>
      </c>
      <c r="M7" s="83">
        <v>0</v>
      </c>
      <c r="N7" s="83">
        <v>0</v>
      </c>
    </row>
    <row r="8" spans="3:21" ht="26.25" customHeight="1" x14ac:dyDescent="0.25">
      <c r="C8" s="12" t="s">
        <v>684</v>
      </c>
      <c r="D8" s="2">
        <v>0.4</v>
      </c>
      <c r="E8" s="12">
        <f>'L1 Serv 44h 40'!C16</f>
        <v>2299.4</v>
      </c>
      <c r="F8" s="12">
        <f>'L1 Serv 44h 40'!C54</f>
        <v>2298.8032051999999</v>
      </c>
      <c r="G8" s="22">
        <f>'L1 Serv 44h 40'!C65</f>
        <v>153.23477528000001</v>
      </c>
      <c r="H8" s="22">
        <f>'L1 Serv 44h 40'!C80</f>
        <v>90.418463086666662</v>
      </c>
      <c r="I8" s="22">
        <f>'L1 Serv 44h 40'!C98</f>
        <v>397.0579293462157</v>
      </c>
      <c r="J8" s="12">
        <f>'L1 Serv 44h 40'!C104</f>
        <v>1595.0291479841146</v>
      </c>
      <c r="K8" s="12">
        <f>'L1 Serv 44h 40'!B116</f>
        <v>6833.9435208969962</v>
      </c>
      <c r="L8" s="22">
        <f>IFERROR(SUMIFS('L1 Dim Revisado'!$W:$W,'L1 Dim Revisado'!$C:$C,"44h",'L1 Dim Revisado'!$D:$D,"40%"),0)</f>
        <v>54</v>
      </c>
      <c r="M8" s="12">
        <f>IFERROR(K8*L8,0)</f>
        <v>369032.95012843778</v>
      </c>
      <c r="N8" s="12">
        <f>IFERROR(M8*12,0)</f>
        <v>4428395.4015412536</v>
      </c>
    </row>
    <row r="9" spans="3:21" ht="26.25" customHeight="1" x14ac:dyDescent="0.25">
      <c r="C9" s="12" t="s">
        <v>685</v>
      </c>
      <c r="D9" s="2">
        <v>0.4</v>
      </c>
      <c r="E9" s="12">
        <f>'L1 Serv 6h 40'!C16</f>
        <v>1473.9</v>
      </c>
      <c r="F9" s="12">
        <f>'L1 Serv 6h 40'!C54</f>
        <v>1783.9735261999999</v>
      </c>
      <c r="G9" s="22">
        <f>'L1 Serv 6h 40'!C65</f>
        <v>98.222464680000016</v>
      </c>
      <c r="H9" s="22">
        <f>'L1 Serv 6h 40'!C80</f>
        <v>57.957629270000012</v>
      </c>
      <c r="I9" s="22">
        <f>'L1 Serv 6h 40'!C98</f>
        <v>397.0579293462157</v>
      </c>
      <c r="J9" s="12">
        <f>'L1 Serv 6h 40'!C104</f>
        <v>1160.3232225163251</v>
      </c>
      <c r="K9" s="12">
        <f>'L1 Serv 6h 40'!B116</f>
        <v>4971.4347720125406</v>
      </c>
      <c r="L9" s="22">
        <v>3</v>
      </c>
      <c r="M9" s="12">
        <f>IFERROR(K9*L9,0)</f>
        <v>14914.304316037622</v>
      </c>
      <c r="N9" s="12">
        <f>IFERROR(M9*12,0)</f>
        <v>178971.65179245145</v>
      </c>
    </row>
    <row r="10" spans="3:21" ht="26.25" customHeight="1" x14ac:dyDescent="0.25">
      <c r="C10" s="12" t="s">
        <v>686</v>
      </c>
      <c r="D10" s="2">
        <v>0.4</v>
      </c>
      <c r="E10" s="12">
        <f>'L1 Serv 12x36 40'!C16</f>
        <v>2657.714456818182</v>
      </c>
      <c r="F10" s="12">
        <f>'L1 Serv 12x36 40'!C54</f>
        <v>2491.9677501194046</v>
      </c>
      <c r="G10" s="22">
        <f>'L1 Serv 12x36 40'!C65</f>
        <v>177.11328065971185</v>
      </c>
      <c r="H10" s="22">
        <f>'L1 Serv 12x36 40'!C80</f>
        <v>376.32003690111105</v>
      </c>
      <c r="I10" s="22">
        <f>'L1 Serv 12x36 40'!C98</f>
        <v>397.0579293462157</v>
      </c>
      <c r="J10" s="12">
        <f>'L1 Serv 12x36 40'!C104</f>
        <v>1857.246325106697</v>
      </c>
      <c r="K10" s="12">
        <f>'L1 Serv 12x36 40'!B116</f>
        <v>7957.4197789513219</v>
      </c>
      <c r="L10" s="22">
        <f>IFERROR(SUMIFS('L1 Dim Revisado'!$W:$W,'L1 Dim Revisado'!$C:$C,"12x36",'L1 Dim Revisado'!$D:$D,"40%"),0)</f>
        <v>12</v>
      </c>
      <c r="M10" s="12">
        <f>IFERROR(K10*L10,0)</f>
        <v>95489.03734741587</v>
      </c>
      <c r="N10" s="12">
        <f>IFERROR(M10*12,0)</f>
        <v>1145868.4481689904</v>
      </c>
    </row>
    <row r="11" spans="3:21" ht="25.5" hidden="1" customHeight="1" x14ac:dyDescent="0.25">
      <c r="C11" s="38" t="s">
        <v>687</v>
      </c>
      <c r="D11" s="19">
        <v>0</v>
      </c>
      <c r="E11" s="19">
        <v>0</v>
      </c>
      <c r="F11" s="19">
        <v>0</v>
      </c>
      <c r="G11" s="40">
        <v>0</v>
      </c>
      <c r="H11" s="40">
        <v>0</v>
      </c>
      <c r="I11" s="40">
        <v>0</v>
      </c>
      <c r="J11" s="19">
        <v>0</v>
      </c>
      <c r="K11" s="19">
        <v>0</v>
      </c>
      <c r="L11" s="93">
        <v>0</v>
      </c>
      <c r="M11" s="19">
        <v>0</v>
      </c>
      <c r="N11" s="19">
        <v>0</v>
      </c>
    </row>
    <row r="12" spans="3:21" ht="18" customHeight="1" x14ac:dyDescent="0.25">
      <c r="C12" s="114" t="s">
        <v>688</v>
      </c>
      <c r="D12" s="108"/>
      <c r="E12" s="108"/>
      <c r="F12" s="108"/>
      <c r="G12" s="108"/>
      <c r="H12" s="108"/>
      <c r="I12" s="108"/>
      <c r="J12" s="109"/>
      <c r="K12" s="7">
        <v>0</v>
      </c>
      <c r="L12" s="51">
        <v>0</v>
      </c>
      <c r="M12" s="7">
        <v>0</v>
      </c>
      <c r="N12" s="7">
        <v>0</v>
      </c>
    </row>
    <row r="13" spans="3:21" ht="26.25" customHeight="1" x14ac:dyDescent="0.25">
      <c r="C13" s="6" t="s">
        <v>689</v>
      </c>
      <c r="D13" s="22"/>
      <c r="E13" s="22"/>
      <c r="F13" s="22"/>
      <c r="G13" s="22"/>
      <c r="H13" s="22"/>
      <c r="I13" s="22"/>
      <c r="J13" s="22"/>
      <c r="K13" s="22"/>
      <c r="L13" s="104">
        <f>IFERROR(SUM(L7:L11),0)</f>
        <v>69</v>
      </c>
      <c r="M13" s="68">
        <f>IFERROR(SUM(M7:M11),0)</f>
        <v>479436.29179189127</v>
      </c>
      <c r="N13" s="68">
        <f>IFERROR(SUM(N7:N11),0)</f>
        <v>5753235.5015026955</v>
      </c>
    </row>
    <row r="14" spans="3:21" ht="15" customHeight="1" x14ac:dyDescent="0.25">
      <c r="C14" s="3"/>
      <c r="D14" s="22"/>
      <c r="E14" s="12">
        <f t="shared" ref="E14:N14" si="0">IFERROR(SUM(E7:E11),0)</f>
        <v>6431.0144568181822</v>
      </c>
      <c r="F14" s="12">
        <f t="shared" si="0"/>
        <v>6574.7444815194049</v>
      </c>
      <c r="G14" s="22">
        <f t="shared" si="0"/>
        <v>428.57052061971189</v>
      </c>
      <c r="H14" s="22">
        <f t="shared" si="0"/>
        <v>524.69612925777778</v>
      </c>
      <c r="I14" s="22">
        <f t="shared" si="0"/>
        <v>1191.1737880386472</v>
      </c>
      <c r="J14" s="12">
        <f t="shared" si="0"/>
        <v>4612.5986956071374</v>
      </c>
      <c r="K14" s="12">
        <f t="shared" si="0"/>
        <v>19762.79807186086</v>
      </c>
      <c r="L14" s="22">
        <f t="shared" si="0"/>
        <v>69</v>
      </c>
      <c r="M14" s="12">
        <f t="shared" si="0"/>
        <v>479436.29179189127</v>
      </c>
      <c r="N14" s="12">
        <f t="shared" si="0"/>
        <v>5753235.5015026955</v>
      </c>
    </row>
    <row r="15" spans="3:21" ht="15" customHeight="1" x14ac:dyDescent="0.25">
      <c r="C15" s="9"/>
      <c r="D15" s="9"/>
      <c r="E15" s="9"/>
      <c r="F15" s="9"/>
      <c r="G15" s="9"/>
      <c r="H15" s="9"/>
      <c r="I15" s="9"/>
      <c r="J15" s="9"/>
      <c r="K15" s="9"/>
      <c r="L15" s="92"/>
      <c r="M15" s="9"/>
      <c r="N15" s="9"/>
    </row>
    <row r="16" spans="3:21" ht="15" hidden="1" customHeight="1" x14ac:dyDescent="0.25">
      <c r="C16" s="12" t="s">
        <v>241</v>
      </c>
      <c r="D16" s="12" t="s">
        <v>690</v>
      </c>
      <c r="E16" s="12" t="s">
        <v>679</v>
      </c>
      <c r="F16" s="12" t="s">
        <v>691</v>
      </c>
      <c r="G16" s="3" t="s">
        <v>692</v>
      </c>
      <c r="H16" s="3"/>
      <c r="I16" s="3"/>
      <c r="J16" s="3"/>
      <c r="K16" s="3"/>
      <c r="L16" s="3"/>
      <c r="M16" s="3"/>
      <c r="N16" s="3"/>
    </row>
    <row r="17" spans="3:14" ht="25.5" hidden="1" customHeight="1" x14ac:dyDescent="0.25">
      <c r="C17" s="38" t="s">
        <v>683</v>
      </c>
      <c r="D17" s="19">
        <v>0</v>
      </c>
      <c r="E17" s="19">
        <v>0</v>
      </c>
      <c r="F17" s="19">
        <v>0</v>
      </c>
      <c r="G17" s="40">
        <v>0</v>
      </c>
      <c r="H17" s="28">
        <v>0</v>
      </c>
      <c r="I17" s="28">
        <v>0</v>
      </c>
      <c r="J17" s="19">
        <v>0</v>
      </c>
      <c r="K17" s="19">
        <v>0</v>
      </c>
      <c r="L17" s="84">
        <v>0</v>
      </c>
      <c r="M17" s="19">
        <v>0</v>
      </c>
      <c r="N17" s="19">
        <v>0</v>
      </c>
    </row>
    <row r="18" spans="3:14" ht="25.5" hidden="1" customHeight="1" x14ac:dyDescent="0.25">
      <c r="C18" s="12" t="s">
        <v>684</v>
      </c>
      <c r="D18" s="12">
        <f>IFERROR(L8,0)</f>
        <v>54</v>
      </c>
      <c r="E18" s="12">
        <f>IFERROR(K8,0)</f>
        <v>6833.9435208969962</v>
      </c>
      <c r="F18" s="12">
        <f t="shared" ref="F18:F26" si="1">IFERROR(E18*D18,0)</f>
        <v>369032.95012843778</v>
      </c>
      <c r="G18" s="22">
        <f t="shared" ref="G18:G26" si="2">IFERROR(F18*12,0)</f>
        <v>4428395.4015412536</v>
      </c>
      <c r="H18" s="3"/>
      <c r="I18" s="3"/>
      <c r="J18" s="3"/>
      <c r="K18" s="3"/>
      <c r="L18" s="3"/>
      <c r="M18" s="3"/>
      <c r="N18" s="47"/>
    </row>
    <row r="19" spans="3:14" ht="25.5" hidden="1" customHeight="1" x14ac:dyDescent="0.25">
      <c r="C19" s="12" t="s">
        <v>685</v>
      </c>
      <c r="D19" s="12">
        <f>IFERROR(L9,0)</f>
        <v>3</v>
      </c>
      <c r="E19" s="12">
        <f>IFERROR(K9,0)</f>
        <v>4971.4347720125406</v>
      </c>
      <c r="F19" s="12">
        <f t="shared" si="1"/>
        <v>14914.304316037622</v>
      </c>
      <c r="G19" s="22">
        <f t="shared" si="2"/>
        <v>178971.65179245145</v>
      </c>
      <c r="H19" s="3"/>
      <c r="I19" s="3"/>
      <c r="J19" s="3"/>
      <c r="K19" s="3"/>
      <c r="L19" s="3"/>
      <c r="M19" s="3"/>
      <c r="N19" s="3"/>
    </row>
    <row r="20" spans="3:14" ht="25.5" hidden="1" customHeight="1" x14ac:dyDescent="0.25">
      <c r="C20" s="12" t="s">
        <v>686</v>
      </c>
      <c r="D20" s="12">
        <f>IFERROR(L10,0)</f>
        <v>12</v>
      </c>
      <c r="E20" s="12">
        <f>IFERROR(K10,0)</f>
        <v>7957.4197789513219</v>
      </c>
      <c r="F20" s="12">
        <f t="shared" si="1"/>
        <v>95489.03734741587</v>
      </c>
      <c r="G20" s="22">
        <f t="shared" si="2"/>
        <v>1145868.4481689904</v>
      </c>
      <c r="H20" s="3"/>
      <c r="I20" s="3"/>
      <c r="J20" s="3"/>
      <c r="K20" s="3"/>
      <c r="L20" s="3"/>
      <c r="M20" s="3"/>
      <c r="N20" s="3"/>
    </row>
    <row r="21" spans="3:14" ht="25.5" hidden="1" customHeight="1" x14ac:dyDescent="0.25">
      <c r="C21" s="12" t="s">
        <v>687</v>
      </c>
      <c r="D21" s="12">
        <f>IFERROR(L11,0)</f>
        <v>0</v>
      </c>
      <c r="E21" s="12">
        <f>IFERROR(K11,0)</f>
        <v>0</v>
      </c>
      <c r="F21" s="12">
        <f t="shared" si="1"/>
        <v>0</v>
      </c>
      <c r="G21" s="22">
        <f t="shared" si="2"/>
        <v>0</v>
      </c>
      <c r="H21" s="3"/>
      <c r="I21" s="3"/>
      <c r="J21" s="3"/>
      <c r="K21" s="3"/>
      <c r="L21" s="3"/>
      <c r="M21" s="3"/>
      <c r="N21" s="3"/>
    </row>
    <row r="22" spans="3:14" ht="38.25" hidden="1" customHeight="1" x14ac:dyDescent="0.25">
      <c r="C22" s="12" t="s">
        <v>693</v>
      </c>
      <c r="D22" s="12">
        <v>0</v>
      </c>
      <c r="E22" s="12">
        <v>0</v>
      </c>
      <c r="F22" s="12">
        <f t="shared" si="1"/>
        <v>0</v>
      </c>
      <c r="G22" s="22">
        <f t="shared" si="2"/>
        <v>0</v>
      </c>
      <c r="H22" s="3"/>
      <c r="I22" s="3"/>
      <c r="J22" s="3"/>
      <c r="K22" s="3"/>
      <c r="L22" s="3"/>
      <c r="M22" s="3"/>
      <c r="N22" s="3"/>
    </row>
    <row r="23" spans="3:14" ht="38.25" hidden="1" customHeight="1" x14ac:dyDescent="0.25">
      <c r="C23" s="12" t="s">
        <v>694</v>
      </c>
      <c r="D23" s="12">
        <v>0</v>
      </c>
      <c r="E23" s="12">
        <v>0</v>
      </c>
      <c r="F23" s="12">
        <f t="shared" si="1"/>
        <v>0</v>
      </c>
      <c r="G23" s="22">
        <f t="shared" si="2"/>
        <v>0</v>
      </c>
      <c r="H23" s="3"/>
      <c r="I23" s="3"/>
      <c r="J23" s="3"/>
      <c r="K23" s="3"/>
      <c r="L23" s="3"/>
      <c r="M23" s="3"/>
      <c r="N23" s="3"/>
    </row>
    <row r="24" spans="3:14" ht="38.25" hidden="1" customHeight="1" x14ac:dyDescent="0.25">
      <c r="C24" s="12" t="s">
        <v>695</v>
      </c>
      <c r="D24" s="12">
        <v>0</v>
      </c>
      <c r="E24" s="12">
        <v>0</v>
      </c>
      <c r="F24" s="12">
        <f t="shared" si="1"/>
        <v>0</v>
      </c>
      <c r="G24" s="22">
        <f t="shared" si="2"/>
        <v>0</v>
      </c>
      <c r="H24" s="3"/>
      <c r="I24" s="3"/>
      <c r="J24" s="3"/>
      <c r="K24" s="3"/>
      <c r="L24" s="3"/>
      <c r="M24" s="3"/>
      <c r="N24" s="3"/>
    </row>
    <row r="25" spans="3:14" ht="38.25" hidden="1" customHeight="1" x14ac:dyDescent="0.25">
      <c r="C25" s="12" t="s">
        <v>696</v>
      </c>
      <c r="D25" s="12">
        <v>0</v>
      </c>
      <c r="E25" s="12">
        <v>0</v>
      </c>
      <c r="F25" s="12">
        <f t="shared" si="1"/>
        <v>0</v>
      </c>
      <c r="G25" s="22">
        <f t="shared" si="2"/>
        <v>0</v>
      </c>
      <c r="H25" s="3"/>
      <c r="I25" s="3"/>
      <c r="J25" s="3"/>
      <c r="K25" s="3"/>
      <c r="L25" s="3"/>
      <c r="M25" s="3"/>
      <c r="N25" s="3"/>
    </row>
    <row r="26" spans="3:14" ht="38.25" hidden="1" customHeight="1" x14ac:dyDescent="0.25">
      <c r="C26" s="12" t="s">
        <v>697</v>
      </c>
      <c r="D26" s="12">
        <v>0</v>
      </c>
      <c r="E26" s="12">
        <v>0</v>
      </c>
      <c r="F26" s="12">
        <f t="shared" si="1"/>
        <v>0</v>
      </c>
      <c r="G26" s="22">
        <f t="shared" si="2"/>
        <v>0</v>
      </c>
      <c r="H26" s="3"/>
      <c r="I26" s="3"/>
      <c r="J26" s="3"/>
      <c r="K26" s="3"/>
      <c r="L26" s="3"/>
      <c r="M26" s="3"/>
      <c r="N26" s="3"/>
    </row>
    <row r="27" spans="3:14" ht="25.5" hidden="1" customHeight="1" x14ac:dyDescent="0.25">
      <c r="C27" s="6" t="s">
        <v>698</v>
      </c>
      <c r="D27" s="13">
        <f>IFERROR(SUM(D17:D21),0)</f>
        <v>69</v>
      </c>
      <c r="E27" s="13">
        <f>IFERROR(SUM(E17:E21),0)</f>
        <v>19762.79807186086</v>
      </c>
      <c r="F27" s="13">
        <f>IFERROR(SUM(F17:F21),0)</f>
        <v>479436.29179189127</v>
      </c>
      <c r="G27" s="26">
        <f>IFERROR(SUM(G17:G21),0)</f>
        <v>5753235.5015026955</v>
      </c>
      <c r="H27" s="24"/>
      <c r="I27" s="24"/>
      <c r="J27" s="24"/>
      <c r="K27" s="24"/>
      <c r="L27" s="105"/>
      <c r="M27" s="24"/>
      <c r="N27" s="24"/>
    </row>
    <row r="1048559" ht="12.75" customHeight="1" x14ac:dyDescent="0.25"/>
    <row r="1048560" ht="12.75" customHeight="1" x14ac:dyDescent="0.25"/>
    <row r="1048561" ht="12.75" customHeight="1" x14ac:dyDescent="0.25"/>
    <row r="1048562" ht="12.75" customHeight="1" x14ac:dyDescent="0.25"/>
    <row r="1048563" ht="12.75" customHeight="1" x14ac:dyDescent="0.25"/>
    <row r="1048564" ht="12.75" customHeight="1" x14ac:dyDescent="0.25"/>
    <row r="1048565" ht="12.75" customHeight="1" x14ac:dyDescent="0.25"/>
    <row r="1048566" ht="12.75" customHeight="1" x14ac:dyDescent="0.25"/>
    <row r="1048567" ht="12.75" customHeight="1" x14ac:dyDescent="0.25"/>
    <row r="1048568" ht="12.75" customHeight="1" x14ac:dyDescent="0.25"/>
    <row r="1048569" ht="12.75" customHeight="1" x14ac:dyDescent="0.25"/>
    <row r="1048570" ht="12.75" customHeight="1" x14ac:dyDescent="0.25"/>
    <row r="1048571" ht="12.75" customHeight="1" x14ac:dyDescent="0.25"/>
    <row r="1048572" ht="12.75" customHeight="1" x14ac:dyDescent="0.25"/>
    <row r="1048573" ht="12.75" customHeight="1" x14ac:dyDescent="0.25"/>
    <row r="1048574" ht="12.75" customHeight="1" x14ac:dyDescent="0.25"/>
    <row r="1048575" ht="12.75" customHeight="1" x14ac:dyDescent="0.25"/>
    <row r="1048576" ht="12.75" customHeight="1" x14ac:dyDescent="0.25"/>
  </sheetData>
  <autoFilter ref="C6:N27" xr:uid="{00000000-0009-0000-0000-00000B000000}"/>
  <mergeCells count="2">
    <mergeCell ref="C12:J12"/>
    <mergeCell ref="C5:N5"/>
  </mergeCells>
  <printOptions horizontalCentered="1"/>
  <pageMargins left="0.35" right="0.35" top="0.55000000000000004" bottom="0.55000000000000004" header="0.511811023622047" footer="0.511811023622047"/>
  <pageSetup paperSize="9" scale="59" fitToHeight="0" pageOrder="overThenDown" orientation="landscape" useFirstPageNumber="1" horizontalDpi="300" verticalDpi="300" r:id="rId1"/>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AC60"/>
  <sheetViews>
    <sheetView showGridLines="0" topLeftCell="A28" zoomScaleNormal="100" workbookViewId="0">
      <pane ySplit="6" topLeftCell="A7" activePane="bottomLeft" state="frozen"/>
      <selection activeCell="A28" sqref="A28"/>
      <selection pane="bottomLeft"/>
    </sheetView>
  </sheetViews>
  <sheetFormatPr defaultColWidth="8.5703125" defaultRowHeight="15" x14ac:dyDescent="0.25"/>
  <cols>
    <col min="1" max="2" width="34" customWidth="1"/>
    <col min="3" max="4" width="8" customWidth="1"/>
    <col min="5" max="5" width="34" customWidth="1"/>
    <col min="6" max="6" width="20" customWidth="1"/>
    <col min="7" max="7" width="15" customWidth="1"/>
    <col min="8" max="8" width="13" customWidth="1"/>
    <col min="9" max="9" width="8" customWidth="1"/>
    <col min="10" max="10" width="14" customWidth="1"/>
    <col min="11" max="12" width="11" customWidth="1"/>
    <col min="13" max="13" width="13" customWidth="1"/>
    <col min="14" max="14" width="34" customWidth="1"/>
    <col min="15" max="15" width="10" customWidth="1"/>
    <col min="16" max="16" width="8" customWidth="1"/>
    <col min="17" max="17" width="10" customWidth="1"/>
    <col min="18" max="18" width="8" customWidth="1"/>
    <col min="19" max="19" width="10" customWidth="1"/>
    <col min="20" max="21" width="8" customWidth="1"/>
    <col min="22" max="22" width="27" customWidth="1"/>
    <col min="23" max="23" width="17" customWidth="1"/>
    <col min="24" max="24" width="28" customWidth="1"/>
    <col min="25" max="26" width="34" customWidth="1"/>
    <col min="27" max="27" width="26" customWidth="1"/>
    <col min="28" max="28" width="27" customWidth="1"/>
    <col min="29" max="29" width="18" customWidth="1"/>
  </cols>
  <sheetData>
    <row r="1" spans="1:29" ht="24" customHeight="1" x14ac:dyDescent="0.25">
      <c r="A1" s="107" t="s">
        <v>699</v>
      </c>
      <c r="B1" s="108"/>
      <c r="C1" s="108"/>
      <c r="D1" s="108"/>
      <c r="E1" s="108"/>
      <c r="F1" s="108"/>
      <c r="G1" s="108"/>
      <c r="H1" s="108"/>
      <c r="I1" s="108"/>
      <c r="J1" s="108"/>
      <c r="K1" s="108"/>
      <c r="L1" s="108"/>
      <c r="M1" s="108"/>
      <c r="N1" s="108"/>
      <c r="O1" s="108"/>
      <c r="P1" s="108"/>
      <c r="Q1" s="108"/>
      <c r="R1" s="108"/>
      <c r="S1" s="108"/>
      <c r="T1" s="108"/>
      <c r="U1" s="108"/>
      <c r="V1" s="108"/>
      <c r="W1" s="108"/>
      <c r="X1" s="108"/>
      <c r="Y1" s="108"/>
      <c r="Z1" s="109"/>
      <c r="AA1" s="11"/>
      <c r="AB1" s="11"/>
      <c r="AC1" s="11"/>
    </row>
    <row r="2" spans="1:29" ht="24" customHeight="1" x14ac:dyDescent="0.25">
      <c r="A2" s="107" t="s">
        <v>700</v>
      </c>
      <c r="B2" s="108"/>
      <c r="C2" s="108"/>
      <c r="D2" s="108"/>
      <c r="E2" s="108"/>
      <c r="F2" s="108"/>
      <c r="G2" s="108"/>
      <c r="H2" s="108"/>
      <c r="I2" s="108"/>
      <c r="J2" s="108"/>
      <c r="K2" s="108"/>
      <c r="L2" s="108"/>
      <c r="M2" s="108"/>
      <c r="N2" s="108"/>
      <c r="O2" s="108"/>
      <c r="P2" s="108"/>
      <c r="Q2" s="108"/>
      <c r="R2" s="108"/>
      <c r="S2" s="108"/>
      <c r="T2" s="108"/>
      <c r="U2" s="108"/>
      <c r="V2" s="108"/>
      <c r="W2" s="108"/>
      <c r="X2" s="108"/>
      <c r="Y2" s="108"/>
      <c r="Z2" s="109"/>
      <c r="AA2" s="11"/>
      <c r="AB2" s="11"/>
      <c r="AC2" s="11"/>
    </row>
    <row r="3" spans="1:29" ht="24" customHeight="1" x14ac:dyDescent="0.25">
      <c r="A3" s="107" t="s">
        <v>701</v>
      </c>
      <c r="B3" s="108"/>
      <c r="C3" s="108"/>
      <c r="D3" s="108"/>
      <c r="E3" s="108"/>
      <c r="F3" s="108"/>
      <c r="G3" s="108"/>
      <c r="H3" s="108"/>
      <c r="I3" s="108"/>
      <c r="J3" s="108"/>
      <c r="K3" s="108"/>
      <c r="L3" s="108"/>
      <c r="M3" s="108"/>
      <c r="N3" s="108"/>
      <c r="O3" s="108"/>
      <c r="P3" s="108"/>
      <c r="Q3" s="108"/>
      <c r="R3" s="108"/>
      <c r="S3" s="108"/>
      <c r="T3" s="108"/>
      <c r="U3" s="108"/>
      <c r="V3" s="108"/>
      <c r="W3" s="108"/>
      <c r="X3" s="108"/>
      <c r="Y3" s="108"/>
      <c r="Z3" s="109"/>
      <c r="AA3" s="11"/>
      <c r="AB3" s="11"/>
      <c r="AC3" s="11"/>
    </row>
    <row r="4" spans="1:29" ht="18" customHeight="1" x14ac:dyDescent="0.25">
      <c r="A4" s="52"/>
      <c r="B4" s="52"/>
      <c r="C4" s="52"/>
      <c r="D4" s="52"/>
      <c r="E4" s="52"/>
      <c r="F4" s="52"/>
      <c r="G4" s="52"/>
      <c r="H4" s="52"/>
      <c r="I4" s="52"/>
      <c r="J4" s="52"/>
      <c r="K4" s="52"/>
      <c r="L4" s="52"/>
      <c r="M4" s="52"/>
      <c r="N4" s="52"/>
      <c r="O4" s="52"/>
      <c r="P4" s="52"/>
      <c r="Q4" s="52"/>
      <c r="R4" s="52"/>
      <c r="S4" s="52"/>
      <c r="T4" s="52"/>
      <c r="U4" s="52"/>
      <c r="V4" s="52"/>
      <c r="W4" s="52"/>
      <c r="X4" s="52"/>
      <c r="Y4" s="52"/>
      <c r="Z4" s="52"/>
      <c r="AA4" s="9"/>
      <c r="AB4" s="9"/>
      <c r="AC4" s="9"/>
    </row>
    <row r="5" spans="1:29" ht="18" customHeight="1" x14ac:dyDescent="0.25">
      <c r="A5" s="113" t="s">
        <v>702</v>
      </c>
      <c r="B5" s="113" t="s">
        <v>703</v>
      </c>
      <c r="C5" s="113" t="s">
        <v>704</v>
      </c>
      <c r="D5" s="136" t="s">
        <v>705</v>
      </c>
      <c r="E5" s="113" t="s">
        <v>706</v>
      </c>
      <c r="F5" s="108"/>
      <c r="G5" s="108"/>
      <c r="H5" s="108"/>
      <c r="I5" s="108"/>
      <c r="J5" s="108"/>
      <c r="K5" s="108"/>
      <c r="L5" s="108"/>
      <c r="M5" s="109"/>
      <c r="N5" s="113" t="s">
        <v>707</v>
      </c>
      <c r="O5" s="108"/>
      <c r="P5" s="108"/>
      <c r="Q5" s="108"/>
      <c r="R5" s="108"/>
      <c r="S5" s="108"/>
      <c r="T5" s="108"/>
      <c r="U5" s="109"/>
      <c r="V5" s="136" t="s">
        <v>708</v>
      </c>
      <c r="W5" s="108"/>
      <c r="X5" s="108"/>
      <c r="Y5" s="108"/>
      <c r="Z5" s="109"/>
      <c r="AA5" s="8"/>
      <c r="AB5" s="8"/>
      <c r="AC5" s="8"/>
    </row>
    <row r="6" spans="1:29" ht="21.75" customHeight="1" x14ac:dyDescent="0.25">
      <c r="A6" s="126"/>
      <c r="B6" s="126"/>
      <c r="C6" s="126"/>
      <c r="D6" s="126"/>
      <c r="E6" s="10" t="s">
        <v>709</v>
      </c>
      <c r="F6" s="27" t="s">
        <v>710</v>
      </c>
      <c r="G6" s="10" t="s">
        <v>711</v>
      </c>
      <c r="H6" s="10" t="s">
        <v>712</v>
      </c>
      <c r="I6" s="10" t="s">
        <v>713</v>
      </c>
      <c r="J6" s="10" t="s">
        <v>714</v>
      </c>
      <c r="K6" s="10" t="s">
        <v>715</v>
      </c>
      <c r="L6" s="10" t="s">
        <v>716</v>
      </c>
      <c r="M6" s="6" t="s">
        <v>717</v>
      </c>
      <c r="N6" s="10" t="s">
        <v>718</v>
      </c>
      <c r="O6" s="10" t="s">
        <v>719</v>
      </c>
      <c r="P6" s="10" t="s">
        <v>720</v>
      </c>
      <c r="Q6" s="10" t="s">
        <v>721</v>
      </c>
      <c r="R6" s="10" t="s">
        <v>713</v>
      </c>
      <c r="S6" s="10" t="s">
        <v>722</v>
      </c>
      <c r="T6" s="10" t="s">
        <v>723</v>
      </c>
      <c r="U6" s="10" t="s">
        <v>724</v>
      </c>
      <c r="V6" s="27" t="s">
        <v>725</v>
      </c>
      <c r="W6" s="10" t="s">
        <v>726</v>
      </c>
      <c r="X6" s="53" t="s">
        <v>727</v>
      </c>
      <c r="Y6" s="10" t="s">
        <v>728</v>
      </c>
      <c r="Z6" s="10" t="s">
        <v>729</v>
      </c>
      <c r="AA6" s="6" t="s">
        <v>730</v>
      </c>
      <c r="AB6" s="10" t="s">
        <v>731</v>
      </c>
      <c r="AC6" s="10" t="s">
        <v>732</v>
      </c>
    </row>
    <row r="7" spans="1:29" ht="21.75" customHeight="1" x14ac:dyDescent="0.25">
      <c r="A7" s="22">
        <v>1</v>
      </c>
      <c r="B7" s="3" t="s">
        <v>733</v>
      </c>
      <c r="C7" s="3" t="s">
        <v>734</v>
      </c>
      <c r="D7" s="2" t="s">
        <v>735</v>
      </c>
      <c r="E7" s="22">
        <v>67.63</v>
      </c>
      <c r="F7" s="2">
        <v>5.0999999999999996</v>
      </c>
      <c r="G7" s="3" t="s">
        <v>736</v>
      </c>
      <c r="H7" s="3" t="s">
        <v>736</v>
      </c>
      <c r="I7" s="3" t="s">
        <v>736</v>
      </c>
      <c r="J7" s="22">
        <v>250.8</v>
      </c>
      <c r="K7" s="3" t="s">
        <v>736</v>
      </c>
      <c r="L7" s="3" t="s">
        <v>736</v>
      </c>
      <c r="M7" s="12">
        <v>323.52999999999997</v>
      </c>
      <c r="N7" s="22">
        <v>600</v>
      </c>
      <c r="O7" s="22">
        <v>100</v>
      </c>
      <c r="P7" s="3" t="s">
        <v>736</v>
      </c>
      <c r="Q7" s="3" t="s">
        <v>736</v>
      </c>
      <c r="R7" s="3" t="s">
        <v>736</v>
      </c>
      <c r="S7" s="22">
        <v>1200</v>
      </c>
      <c r="T7" s="3" t="s">
        <v>736</v>
      </c>
      <c r="U7" s="3" t="s">
        <v>736</v>
      </c>
      <c r="V7" s="2">
        <v>0.37</v>
      </c>
      <c r="W7" s="22">
        <v>1</v>
      </c>
      <c r="X7" s="22">
        <v>22</v>
      </c>
      <c r="Y7" s="3" t="s">
        <v>737</v>
      </c>
      <c r="Z7" s="3" t="s">
        <v>738</v>
      </c>
      <c r="AA7" s="12" t="str">
        <f ca="1">IFERROR(_xludf.ifs(D7="40%","Grau máximo previsto por higienização de banheiros coletivos, resíduos e unidades de saúde, condicionado a LTCAT/PGR/LIP",D7="20%","Grau médio a confirmar por laudo",D7="10%","Grau mínimo a confirmar por laudo",TRUE(),"Sem indicação automática na tabela"),"Revisar laudo técnico")</f>
        <v>Revisar laudo técnico</v>
      </c>
      <c r="AB7" s="3" t="str">
        <f ca="1">IFERROR(_xludf.ifs(W7&lt;V7,"Abaixo do calculado",W7=0,"Sem posto adotado",W7&gt;=V7,"Adotado igual ou superior ao calculado"),"Revisar")</f>
        <v>Revisar</v>
      </c>
      <c r="AC7" s="3" t="str">
        <f ca="1">IFERROR(_xludf.ifs(W7&lt;V7,"Reavaliar quantitativo antes da licitação",W7-V7&gt;1,"Justificar arredondamento operacional ou cobertura",TRUE(),"Manter com justificativa registrada"),"Revisar")</f>
        <v>Revisar</v>
      </c>
    </row>
    <row r="8" spans="1:29" ht="21.75" customHeight="1" x14ac:dyDescent="0.25">
      <c r="A8" s="22">
        <v>2</v>
      </c>
      <c r="B8" s="3" t="s">
        <v>739</v>
      </c>
      <c r="C8" s="3" t="s">
        <v>734</v>
      </c>
      <c r="D8" s="2" t="s">
        <v>735</v>
      </c>
      <c r="E8" s="22">
        <v>67.63</v>
      </c>
      <c r="F8" s="2">
        <v>5.0999999999999996</v>
      </c>
      <c r="G8" s="3" t="s">
        <v>736</v>
      </c>
      <c r="H8" s="3" t="s">
        <v>736</v>
      </c>
      <c r="I8" s="3" t="s">
        <v>736</v>
      </c>
      <c r="J8" s="22">
        <v>225.79</v>
      </c>
      <c r="K8" s="3" t="s">
        <v>736</v>
      </c>
      <c r="L8" s="3" t="s">
        <v>736</v>
      </c>
      <c r="M8" s="12">
        <v>298.52</v>
      </c>
      <c r="N8" s="22">
        <v>600</v>
      </c>
      <c r="O8" s="22">
        <v>100</v>
      </c>
      <c r="P8" s="3" t="s">
        <v>736</v>
      </c>
      <c r="Q8" s="3" t="s">
        <v>736</v>
      </c>
      <c r="R8" s="3" t="s">
        <v>736</v>
      </c>
      <c r="S8" s="22">
        <v>1200</v>
      </c>
      <c r="T8" s="3" t="s">
        <v>736</v>
      </c>
      <c r="U8" s="3" t="s">
        <v>736</v>
      </c>
      <c r="V8" s="2">
        <v>0.35</v>
      </c>
      <c r="W8" s="22">
        <v>1</v>
      </c>
      <c r="X8" s="22">
        <v>22</v>
      </c>
      <c r="Y8" s="3" t="s">
        <v>740</v>
      </c>
      <c r="Z8" s="3" t="s">
        <v>738</v>
      </c>
      <c r="AA8" s="12" t="str">
        <f ca="1">IFERROR(_xludf.ifs(D8="40%","Grau máximo previsto por higienização de banheiros coletivos, resíduos e unidades de saúde, condicionado a LTCAT/PGR/LIP",D8="20%","Grau médio a confirmar por laudo",D8="10%","Grau mínimo a confirmar por laudo",TRUE(),"Sem indicação automática na tabela"),"Revisar laudo técnico")</f>
        <v>Revisar laudo técnico</v>
      </c>
      <c r="AB8" s="3" t="str">
        <f ca="1">IFERROR(_xludf.ifs(W8&lt;V8,"Abaixo do calculado",W8=0,"Sem posto adotado",W8&gt;=V8,"Adotado igual ou superior ao calculado"),"Revisar")</f>
        <v>Revisar</v>
      </c>
      <c r="AC8" s="3" t="str">
        <f ca="1">IFERROR(_xludf.ifs(W8&lt;V8,"Reavaliar quantitativo antes da licitação",W8-V8&gt;1,"Justificar arredondamento operacional ou cobertura",TRUE(),"Manter com justificativa registrada"),"Revisar")</f>
        <v>Revisar</v>
      </c>
    </row>
    <row r="9" spans="1:29" ht="21.75" customHeight="1" x14ac:dyDescent="0.25">
      <c r="A9" s="22">
        <v>3</v>
      </c>
      <c r="B9" s="3" t="s">
        <v>506</v>
      </c>
      <c r="C9" s="3" t="s">
        <v>741</v>
      </c>
      <c r="D9" s="2" t="s">
        <v>735</v>
      </c>
      <c r="E9" s="22">
        <v>56.26</v>
      </c>
      <c r="F9" s="2">
        <v>11.62</v>
      </c>
      <c r="G9" s="22">
        <v>52.77</v>
      </c>
      <c r="H9" s="3" t="s">
        <v>736</v>
      </c>
      <c r="I9" s="3" t="s">
        <v>736</v>
      </c>
      <c r="J9" s="22">
        <v>215.45</v>
      </c>
      <c r="K9" s="3" t="s">
        <v>736</v>
      </c>
      <c r="L9" s="3" t="s">
        <v>736</v>
      </c>
      <c r="M9" s="12">
        <v>336.1</v>
      </c>
      <c r="N9" s="22">
        <v>600</v>
      </c>
      <c r="O9" s="22">
        <v>100</v>
      </c>
      <c r="P9" s="22">
        <v>280</v>
      </c>
      <c r="Q9" s="3" t="s">
        <v>736</v>
      </c>
      <c r="R9" s="3" t="s">
        <v>736</v>
      </c>
      <c r="S9" s="22">
        <v>1200</v>
      </c>
      <c r="T9" s="3" t="s">
        <v>736</v>
      </c>
      <c r="U9" s="3" t="s">
        <v>736</v>
      </c>
      <c r="V9" s="2">
        <v>0.57999999999999996</v>
      </c>
      <c r="W9" s="22">
        <v>1</v>
      </c>
      <c r="X9" s="22">
        <v>22</v>
      </c>
      <c r="Y9" s="3" t="s">
        <v>742</v>
      </c>
      <c r="Z9" s="3" t="s">
        <v>738</v>
      </c>
      <c r="AA9" s="12" t="str">
        <f ca="1">IFERROR(_xludf.ifs(D9="40%","Grau máximo previsto por higienização de banheiros coletivos, resíduos e unidades de saúde, condicionado a LTCAT/PGR/LIP",D9="20%","Grau médio a confirmar por laudo",D9="10%","Grau mínimo a confirmar por laudo",TRUE(),"Sem indicação automática na tabela"),"Revisar laudo técnico")</f>
        <v>Revisar laudo técnico</v>
      </c>
      <c r="AB9" s="3" t="str">
        <f ca="1">IFERROR(_xludf.ifs(W9&lt;V9,"Abaixo do calculado",W9=0,"Sem posto adotado",W9&gt;=V9,"Adotado igual ou superior ao calculado"),"Revisar")</f>
        <v>Revisar</v>
      </c>
      <c r="AC9" s="3" t="str">
        <f ca="1">IFERROR(_xludf.ifs(W9&lt;V9,"Reavaliar quantitativo antes da licitação",W9-V9&gt;1,"Justificar arredondamento operacional ou cobertura",TRUE(),"Manter com justificativa registrada"),"Revisar")</f>
        <v>Revisar</v>
      </c>
    </row>
    <row r="10" spans="1:29" ht="21.75" customHeight="1" x14ac:dyDescent="0.25">
      <c r="A10" s="22">
        <v>4</v>
      </c>
      <c r="B10" s="3" t="s">
        <v>398</v>
      </c>
      <c r="C10" s="3" t="s">
        <v>734</v>
      </c>
      <c r="D10" s="2" t="s">
        <v>735</v>
      </c>
      <c r="E10" s="22">
        <v>190.06</v>
      </c>
      <c r="F10" s="2">
        <v>10.42</v>
      </c>
      <c r="G10" s="3" t="s">
        <v>736</v>
      </c>
      <c r="H10" s="3" t="s">
        <v>736</v>
      </c>
      <c r="I10" s="22">
        <v>435.79</v>
      </c>
      <c r="J10" s="22">
        <v>928.79</v>
      </c>
      <c r="K10" s="3" t="s">
        <v>736</v>
      </c>
      <c r="L10" s="3" t="s">
        <v>736</v>
      </c>
      <c r="M10" s="12">
        <v>1565.06</v>
      </c>
      <c r="N10" s="22">
        <v>600</v>
      </c>
      <c r="O10" s="22">
        <v>100</v>
      </c>
      <c r="P10" s="3" t="s">
        <v>736</v>
      </c>
      <c r="Q10" s="3" t="s">
        <v>736</v>
      </c>
      <c r="R10" s="22">
        <v>600</v>
      </c>
      <c r="S10" s="22">
        <v>1200</v>
      </c>
      <c r="T10" s="3" t="s">
        <v>736</v>
      </c>
      <c r="U10" s="3" t="s">
        <v>736</v>
      </c>
      <c r="V10" s="2">
        <v>1.92</v>
      </c>
      <c r="W10" s="22">
        <v>2</v>
      </c>
      <c r="X10" s="22">
        <v>22</v>
      </c>
      <c r="Y10" s="3" t="s">
        <v>743</v>
      </c>
      <c r="Z10" s="3" t="s">
        <v>738</v>
      </c>
      <c r="AA10" s="12" t="str">
        <f ca="1">IFERROR(_xludf.ifs(D10="40%","Grau máximo previsto por higienização de banheiros coletivos, resíduos e unidades de saúde, condicionado a LTCAT/PGR/LIP",D10="20%","Grau médio a confirmar por laudo",D10="10%","Grau mínimo a confirmar por laudo",TRUE(),"Sem indicação automática na tabela"),"Revisar laudo técnico")</f>
        <v>Revisar laudo técnico</v>
      </c>
      <c r="AB10" s="3" t="str">
        <f ca="1">IFERROR(_xludf.ifs(W10&lt;V10,"Abaixo do calculado",W10=0,"Sem posto adotado",W10&gt;=V10,"Adotado igual ou superior ao calculado"),"Revisar")</f>
        <v>Revisar</v>
      </c>
      <c r="AC10" s="3" t="str">
        <f ca="1">IFERROR(_xludf.ifs(W10&lt;V10,"Reavaliar quantitativo antes da licitação",W10-V10&gt;1,"Justificar arredondamento operacional ou cobertura",TRUE(),"Manter com justificativa registrada"),"Revisar")</f>
        <v>Revisar</v>
      </c>
    </row>
    <row r="11" spans="1:29" ht="21.75" customHeight="1" x14ac:dyDescent="0.25">
      <c r="A11" s="22">
        <v>5</v>
      </c>
      <c r="B11" s="3" t="s">
        <v>744</v>
      </c>
      <c r="C11" s="3" t="s">
        <v>734</v>
      </c>
      <c r="D11" s="2" t="s">
        <v>735</v>
      </c>
      <c r="E11" s="22">
        <v>372</v>
      </c>
      <c r="F11" s="2">
        <v>36</v>
      </c>
      <c r="G11" s="3" t="s">
        <v>736</v>
      </c>
      <c r="H11" s="3" t="s">
        <v>736</v>
      </c>
      <c r="I11" s="3" t="s">
        <v>736</v>
      </c>
      <c r="J11" s="22">
        <v>42</v>
      </c>
      <c r="K11" s="3" t="s">
        <v>736</v>
      </c>
      <c r="L11" s="3" t="s">
        <v>736</v>
      </c>
      <c r="M11" s="12">
        <v>450</v>
      </c>
      <c r="N11" s="22">
        <v>600</v>
      </c>
      <c r="O11" s="22">
        <v>100</v>
      </c>
      <c r="P11" s="3" t="s">
        <v>736</v>
      </c>
      <c r="Q11" s="3" t="s">
        <v>736</v>
      </c>
      <c r="R11" s="3" t="s">
        <v>736</v>
      </c>
      <c r="S11" s="22">
        <v>1200</v>
      </c>
      <c r="T11" s="3" t="s">
        <v>736</v>
      </c>
      <c r="U11" s="3" t="s">
        <v>736</v>
      </c>
      <c r="V11" s="2">
        <v>1.01</v>
      </c>
      <c r="W11" s="22">
        <v>2</v>
      </c>
      <c r="X11" s="22">
        <v>22</v>
      </c>
      <c r="Y11" s="3" t="s">
        <v>745</v>
      </c>
      <c r="Z11" s="3" t="s">
        <v>738</v>
      </c>
      <c r="AA11" s="12" t="str">
        <f ca="1">IFERROR(_xludf.ifs(D11="40%","Grau máximo previsto por higienização de banheiros coletivos, resíduos e unidades de saúde, condicionado a LTCAT/PGR/LIP",D11="20%","Grau médio a confirmar por laudo",D11="10%","Grau mínimo a confirmar por laudo",TRUE(),"Sem indicação automática na tabela"),"Revisar laudo técnico")</f>
        <v>Revisar laudo técnico</v>
      </c>
      <c r="AB11" s="3" t="str">
        <f ca="1">IFERROR(_xludf.ifs(W11&lt;V11,"Abaixo do calculado",W11=0,"Sem posto adotado",W11&gt;=V11,"Adotado igual ou superior ao calculado"),"Revisar")</f>
        <v>Revisar</v>
      </c>
      <c r="AC11" s="3" t="str">
        <f ca="1">IFERROR(_xludf.ifs(W11&lt;V11,"Reavaliar quantitativo antes da licitação",W11-V11&gt;1,"Justificar arredondamento operacional ou cobertura",TRUE(),"Manter com justificativa registrada"),"Revisar")</f>
        <v>Revisar</v>
      </c>
    </row>
    <row r="12" spans="1:29" ht="21.75" customHeight="1" x14ac:dyDescent="0.25">
      <c r="A12" s="22">
        <v>6</v>
      </c>
      <c r="B12" s="3" t="s">
        <v>746</v>
      </c>
      <c r="C12" s="3" t="s">
        <v>734</v>
      </c>
      <c r="D12" s="2" t="s">
        <v>735</v>
      </c>
      <c r="E12" s="22">
        <v>197.14</v>
      </c>
      <c r="F12" s="2">
        <v>27.68</v>
      </c>
      <c r="G12" s="22">
        <v>28.8</v>
      </c>
      <c r="H12" s="3" t="s">
        <v>736</v>
      </c>
      <c r="I12" s="3" t="s">
        <v>736</v>
      </c>
      <c r="J12" s="3" t="s">
        <v>736</v>
      </c>
      <c r="K12" s="3" t="s">
        <v>736</v>
      </c>
      <c r="L12" s="3" t="s">
        <v>736</v>
      </c>
      <c r="M12" s="12">
        <v>253.62</v>
      </c>
      <c r="N12" s="22">
        <v>600</v>
      </c>
      <c r="O12" s="22">
        <v>100</v>
      </c>
      <c r="P12" s="22">
        <v>280</v>
      </c>
      <c r="Q12" s="3" t="s">
        <v>736</v>
      </c>
      <c r="R12" s="3" t="s">
        <v>736</v>
      </c>
      <c r="S12" s="3" t="s">
        <v>736</v>
      </c>
      <c r="T12" s="3" t="s">
        <v>736</v>
      </c>
      <c r="U12" s="3" t="s">
        <v>736</v>
      </c>
      <c r="V12" s="2">
        <v>0.71</v>
      </c>
      <c r="W12" s="22">
        <v>1</v>
      </c>
      <c r="X12" s="22">
        <v>22</v>
      </c>
      <c r="Y12" s="3" t="s">
        <v>747</v>
      </c>
      <c r="Z12" s="3" t="s">
        <v>738</v>
      </c>
      <c r="AA12" s="12" t="str">
        <f ca="1">IFERROR(_xludf.ifs(D12="40%","Grau máximo previsto por higienização de banheiros coletivos, resíduos e unidades de saúde, condicionado a LTCAT/PGR/LIP",D12="20%","Grau médio a confirmar por laudo",D12="10%","Grau mínimo a confirmar por laudo",TRUE(),"Sem indicação automática na tabela"),"Revisar laudo técnico")</f>
        <v>Revisar laudo técnico</v>
      </c>
      <c r="AB12" s="3" t="str">
        <f ca="1">IFERROR(_xludf.ifs(W12&lt;V12,"Abaixo do calculado",W12=0,"Sem posto adotado",W12&gt;=V12,"Adotado igual ou superior ao calculado"),"Revisar")</f>
        <v>Revisar</v>
      </c>
      <c r="AC12" s="3" t="str">
        <f ca="1">IFERROR(_xludf.ifs(W12&lt;V12,"Reavaliar quantitativo antes da licitação",W12-V12&gt;1,"Justificar arredondamento operacional ou cobertura",TRUE(),"Manter com justificativa registrada"),"Revisar")</f>
        <v>Revisar</v>
      </c>
    </row>
    <row r="13" spans="1:29" ht="21.75" customHeight="1" x14ac:dyDescent="0.25">
      <c r="A13" s="22">
        <v>7</v>
      </c>
      <c r="B13" s="3" t="s">
        <v>748</v>
      </c>
      <c r="C13" s="3" t="s">
        <v>734</v>
      </c>
      <c r="D13" s="2" t="s">
        <v>735</v>
      </c>
      <c r="E13" s="22">
        <v>151.69999999999999</v>
      </c>
      <c r="F13" s="2">
        <v>19.579999999999998</v>
      </c>
      <c r="G13" s="22">
        <v>137.38999999999999</v>
      </c>
      <c r="H13" s="3" t="s">
        <v>736</v>
      </c>
      <c r="I13" s="22">
        <v>2</v>
      </c>
      <c r="J13" s="22">
        <v>218.76</v>
      </c>
      <c r="K13" s="3" t="s">
        <v>736</v>
      </c>
      <c r="L13" s="3" t="s">
        <v>736</v>
      </c>
      <c r="M13" s="12">
        <v>529.42999999999995</v>
      </c>
      <c r="N13" s="22">
        <v>600</v>
      </c>
      <c r="O13" s="22">
        <v>100</v>
      </c>
      <c r="P13" s="22">
        <v>280</v>
      </c>
      <c r="Q13" s="3" t="s">
        <v>736</v>
      </c>
      <c r="R13" s="22">
        <v>600</v>
      </c>
      <c r="S13" s="22">
        <v>1200</v>
      </c>
      <c r="T13" s="3" t="s">
        <v>736</v>
      </c>
      <c r="U13" s="3" t="s">
        <v>736</v>
      </c>
      <c r="V13" s="2">
        <v>1.1200000000000001</v>
      </c>
      <c r="W13" s="22">
        <v>2</v>
      </c>
      <c r="X13" s="22">
        <v>22</v>
      </c>
      <c r="Y13" s="3" t="s">
        <v>749</v>
      </c>
      <c r="Z13" s="3" t="s">
        <v>738</v>
      </c>
      <c r="AA13" s="12" t="str">
        <f ca="1">IFERROR(_xludf.ifs(D13="40%","Grau máximo previsto por higienização de banheiros coletivos, resíduos e unidades de saúde, condicionado a LTCAT/PGR/LIP",D13="20%","Grau médio a confirmar por laudo",D13="10%","Grau mínimo a confirmar por laudo",TRUE(),"Sem indicação automática na tabela"),"Revisar laudo técnico")</f>
        <v>Revisar laudo técnico</v>
      </c>
      <c r="AB13" s="3" t="str">
        <f ca="1">IFERROR(_xludf.ifs(W13&lt;V13,"Abaixo do calculado",W13=0,"Sem posto adotado",W13&gt;=V13,"Adotado igual ou superior ao calculado"),"Revisar")</f>
        <v>Revisar</v>
      </c>
      <c r="AC13" s="3" t="str">
        <f ca="1">IFERROR(_xludf.ifs(W13&lt;V13,"Reavaliar quantitativo antes da licitação",W13-V13&gt;1,"Justificar arredondamento operacional ou cobertura",TRUE(),"Manter com justificativa registrada"),"Revisar")</f>
        <v>Revisar</v>
      </c>
    </row>
    <row r="14" spans="1:29" ht="21.75" customHeight="1" x14ac:dyDescent="0.25">
      <c r="A14" s="22">
        <v>8</v>
      </c>
      <c r="B14" s="3" t="s">
        <v>541</v>
      </c>
      <c r="C14" s="3" t="s">
        <v>734</v>
      </c>
      <c r="D14" s="2" t="s">
        <v>735</v>
      </c>
      <c r="E14" s="22">
        <v>149.91999999999999</v>
      </c>
      <c r="F14" s="2">
        <v>15.73</v>
      </c>
      <c r="G14" s="22">
        <v>18.03</v>
      </c>
      <c r="H14" s="22">
        <v>8.1999999999999993</v>
      </c>
      <c r="I14" s="3" t="s">
        <v>736</v>
      </c>
      <c r="J14" s="22">
        <v>482.49</v>
      </c>
      <c r="K14" s="3" t="s">
        <v>736</v>
      </c>
      <c r="L14" s="3" t="s">
        <v>736</v>
      </c>
      <c r="M14" s="12">
        <v>674.37</v>
      </c>
      <c r="N14" s="22">
        <v>600</v>
      </c>
      <c r="O14" s="22">
        <v>100</v>
      </c>
      <c r="P14" s="22">
        <v>280</v>
      </c>
      <c r="Q14" s="22">
        <v>600</v>
      </c>
      <c r="R14" s="3" t="s">
        <v>736</v>
      </c>
      <c r="S14" s="22">
        <v>1200</v>
      </c>
      <c r="T14" s="3" t="s">
        <v>736</v>
      </c>
      <c r="U14" s="3" t="s">
        <v>736</v>
      </c>
      <c r="V14" s="2">
        <v>0.89</v>
      </c>
      <c r="W14" s="22">
        <v>1</v>
      </c>
      <c r="X14" s="22">
        <v>22</v>
      </c>
      <c r="Y14" s="3" t="s">
        <v>750</v>
      </c>
      <c r="Z14" s="3" t="s">
        <v>738</v>
      </c>
      <c r="AA14" s="12" t="str">
        <f ca="1">IFERROR(_xludf.ifs(D14="40%","Grau máximo previsto por higienização de banheiros coletivos, resíduos e unidades de saúde, condicionado a LTCAT/PGR/LIP",D14="20%","Grau médio a confirmar por laudo",D14="10%","Grau mínimo a confirmar por laudo",TRUE(),"Sem indicação automática na tabela"),"Revisar laudo técnico")</f>
        <v>Revisar laudo técnico</v>
      </c>
      <c r="AB14" s="3" t="str">
        <f ca="1">IFERROR(_xludf.ifs(W14&lt;V14,"Abaixo do calculado",W14=0,"Sem posto adotado",W14&gt;=V14,"Adotado igual ou superior ao calculado"),"Revisar")</f>
        <v>Revisar</v>
      </c>
      <c r="AC14" s="3" t="str">
        <f ca="1">IFERROR(_xludf.ifs(W14&lt;V14,"Reavaliar quantitativo antes da licitação",W14-V14&gt;1,"Justificar arredondamento operacional ou cobertura",TRUE(),"Manter com justificativa registrada"),"Revisar")</f>
        <v>Revisar</v>
      </c>
    </row>
    <row r="15" spans="1:29" ht="21.75" customHeight="1" x14ac:dyDescent="0.25">
      <c r="A15" s="22">
        <v>9</v>
      </c>
      <c r="B15" s="3" t="s">
        <v>751</v>
      </c>
      <c r="C15" s="3" t="s">
        <v>734</v>
      </c>
      <c r="D15" s="2" t="s">
        <v>735</v>
      </c>
      <c r="E15" s="22">
        <v>165.16</v>
      </c>
      <c r="F15" s="2">
        <v>16.149999999999999</v>
      </c>
      <c r="G15" s="3" t="s">
        <v>736</v>
      </c>
      <c r="H15" s="22">
        <v>12.11</v>
      </c>
      <c r="I15" s="3" t="s">
        <v>736</v>
      </c>
      <c r="J15" s="22">
        <v>160.96</v>
      </c>
      <c r="K15" s="3" t="s">
        <v>736</v>
      </c>
      <c r="L15" s="3" t="s">
        <v>736</v>
      </c>
      <c r="M15" s="12">
        <v>354.38</v>
      </c>
      <c r="N15" s="22">
        <v>600</v>
      </c>
      <c r="O15" s="22">
        <v>100</v>
      </c>
      <c r="P15" s="3" t="s">
        <v>736</v>
      </c>
      <c r="Q15" s="22">
        <v>600</v>
      </c>
      <c r="R15" s="3" t="s">
        <v>736</v>
      </c>
      <c r="S15" s="22">
        <v>1200</v>
      </c>
      <c r="T15" s="3" t="s">
        <v>736</v>
      </c>
      <c r="U15" s="3" t="s">
        <v>736</v>
      </c>
      <c r="V15" s="2">
        <v>0.59</v>
      </c>
      <c r="W15" s="22">
        <v>1</v>
      </c>
      <c r="X15" s="22">
        <v>22</v>
      </c>
      <c r="Y15" s="3" t="s">
        <v>752</v>
      </c>
      <c r="Z15" s="3" t="s">
        <v>738</v>
      </c>
      <c r="AA15" s="12" t="str">
        <f ca="1">IFERROR(_xludf.ifs(D15="40%","Grau máximo previsto por higienização de banheiros coletivos, resíduos e unidades de saúde, condicionado a LTCAT/PGR/LIP",D15="20%","Grau médio a confirmar por laudo",D15="10%","Grau mínimo a confirmar por laudo",TRUE(),"Sem indicação automática na tabela"),"Revisar laudo técnico")</f>
        <v>Revisar laudo técnico</v>
      </c>
      <c r="AB15" s="3" t="str">
        <f ca="1">IFERROR(_xludf.ifs(W15&lt;V15,"Abaixo do calculado",W15=0,"Sem posto adotado",W15&gt;=V15,"Adotado igual ou superior ao calculado"),"Revisar")</f>
        <v>Revisar</v>
      </c>
      <c r="AC15" s="3" t="str">
        <f ca="1">IFERROR(_xludf.ifs(W15&lt;V15,"Reavaliar quantitativo antes da licitação",W15-V15&gt;1,"Justificar arredondamento operacional ou cobertura",TRUE(),"Manter com justificativa registrada"),"Revisar")</f>
        <v>Revisar</v>
      </c>
    </row>
    <row r="16" spans="1:29" ht="21.75" customHeight="1" x14ac:dyDescent="0.25">
      <c r="A16" s="22">
        <v>10</v>
      </c>
      <c r="B16" s="3" t="s">
        <v>753</v>
      </c>
      <c r="C16" s="3" t="s">
        <v>734</v>
      </c>
      <c r="D16" s="2" t="s">
        <v>735</v>
      </c>
      <c r="E16" s="22">
        <v>260.73</v>
      </c>
      <c r="F16" s="2">
        <v>24.23</v>
      </c>
      <c r="G16" s="3" t="s">
        <v>736</v>
      </c>
      <c r="H16" s="3" t="s">
        <v>736</v>
      </c>
      <c r="I16" s="3" t="s">
        <v>736</v>
      </c>
      <c r="J16" s="22">
        <v>228.56</v>
      </c>
      <c r="K16" s="3" t="s">
        <v>736</v>
      </c>
      <c r="L16" s="3" t="s">
        <v>736</v>
      </c>
      <c r="M16" s="12">
        <v>513.52</v>
      </c>
      <c r="N16" s="22">
        <v>600</v>
      </c>
      <c r="O16" s="22">
        <v>100</v>
      </c>
      <c r="P16" s="3" t="s">
        <v>736</v>
      </c>
      <c r="Q16" s="3" t="s">
        <v>736</v>
      </c>
      <c r="R16" s="3" t="s">
        <v>736</v>
      </c>
      <c r="S16" s="22">
        <v>1200</v>
      </c>
      <c r="T16" s="3" t="s">
        <v>736</v>
      </c>
      <c r="U16" s="3" t="s">
        <v>736</v>
      </c>
      <c r="V16" s="2">
        <v>0.87</v>
      </c>
      <c r="W16" s="22">
        <v>1</v>
      </c>
      <c r="X16" s="22">
        <v>22</v>
      </c>
      <c r="Y16" s="3" t="s">
        <v>754</v>
      </c>
      <c r="Z16" s="3" t="s">
        <v>738</v>
      </c>
      <c r="AA16" s="12" t="str">
        <f ca="1">IFERROR(_xludf.ifs(D16="40%","Grau máximo previsto por higienização de banheiros coletivos, resíduos e unidades de saúde, condicionado a LTCAT/PGR/LIP",D16="20%","Grau médio a confirmar por laudo",D16="10%","Grau mínimo a confirmar por laudo",TRUE(),"Sem indicação automática na tabela"),"Revisar laudo técnico")</f>
        <v>Revisar laudo técnico</v>
      </c>
      <c r="AB16" s="3" t="str">
        <f ca="1">IFERROR(_xludf.ifs(W16&lt;V16,"Abaixo do calculado",W16=0,"Sem posto adotado",W16&gt;=V16,"Adotado igual ou superior ao calculado"),"Revisar")</f>
        <v>Revisar</v>
      </c>
      <c r="AC16" s="3" t="str">
        <f ca="1">IFERROR(_xludf.ifs(W16&lt;V16,"Reavaliar quantitativo antes da licitação",W16-V16&gt;1,"Justificar arredondamento operacional ou cobertura",TRUE(),"Manter com justificativa registrada"),"Revisar")</f>
        <v>Revisar</v>
      </c>
    </row>
    <row r="17" spans="1:29" ht="21.75" customHeight="1" x14ac:dyDescent="0.25">
      <c r="A17" s="22">
        <v>11</v>
      </c>
      <c r="B17" s="3" t="s">
        <v>755</v>
      </c>
      <c r="C17" s="3" t="s">
        <v>734</v>
      </c>
      <c r="D17" s="2" t="s">
        <v>735</v>
      </c>
      <c r="E17" s="22">
        <v>557.6</v>
      </c>
      <c r="F17" s="2">
        <v>89.65</v>
      </c>
      <c r="G17" s="22">
        <v>11.75</v>
      </c>
      <c r="H17" s="3" t="s">
        <v>736</v>
      </c>
      <c r="I17" s="3" t="s">
        <v>736</v>
      </c>
      <c r="J17" s="3" t="s">
        <v>736</v>
      </c>
      <c r="K17" s="3" t="s">
        <v>736</v>
      </c>
      <c r="L17" s="3" t="s">
        <v>736</v>
      </c>
      <c r="M17" s="12">
        <v>659</v>
      </c>
      <c r="N17" s="22">
        <v>600</v>
      </c>
      <c r="O17" s="22">
        <v>100</v>
      </c>
      <c r="P17" s="22">
        <v>280</v>
      </c>
      <c r="Q17" s="3" t="s">
        <v>736</v>
      </c>
      <c r="R17" s="3" t="s">
        <v>736</v>
      </c>
      <c r="S17" s="3" t="s">
        <v>736</v>
      </c>
      <c r="T17" s="3" t="s">
        <v>736</v>
      </c>
      <c r="U17" s="3" t="s">
        <v>736</v>
      </c>
      <c r="V17" s="2">
        <v>1.87</v>
      </c>
      <c r="W17" s="22">
        <v>2</v>
      </c>
      <c r="X17" s="22">
        <v>22</v>
      </c>
      <c r="Y17" s="3" t="s">
        <v>756</v>
      </c>
      <c r="Z17" s="3" t="s">
        <v>738</v>
      </c>
      <c r="AA17" s="12" t="str">
        <f ca="1">IFERROR(_xludf.ifs(D17="40%","Grau máximo previsto por higienização de banheiros coletivos, resíduos e unidades de saúde, condicionado a LTCAT/PGR/LIP",D17="20%","Grau médio a confirmar por laudo",D17="10%","Grau mínimo a confirmar por laudo",TRUE(),"Sem indicação automática na tabela"),"Revisar laudo técnico")</f>
        <v>Revisar laudo técnico</v>
      </c>
      <c r="AB17" s="3" t="str">
        <f ca="1">IFERROR(_xludf.ifs(W17&lt;V17,"Abaixo do calculado",W17=0,"Sem posto adotado",W17&gt;=V17,"Adotado igual ou superior ao calculado"),"Revisar")</f>
        <v>Revisar</v>
      </c>
      <c r="AC17" s="3" t="str">
        <f ca="1">IFERROR(_xludf.ifs(W17&lt;V17,"Reavaliar quantitativo antes da licitação",W17-V17&gt;1,"Justificar arredondamento operacional ou cobertura",TRUE(),"Manter com justificativa registrada"),"Revisar")</f>
        <v>Revisar</v>
      </c>
    </row>
    <row r="18" spans="1:29" ht="30" customHeight="1" x14ac:dyDescent="0.25">
      <c r="A18" s="40">
        <v>12</v>
      </c>
      <c r="B18" s="17" t="s">
        <v>757</v>
      </c>
      <c r="C18" s="17" t="s">
        <v>734</v>
      </c>
      <c r="D18" s="30" t="s">
        <v>735</v>
      </c>
      <c r="E18" s="40">
        <v>110.83</v>
      </c>
      <c r="F18" s="1">
        <v>9.48</v>
      </c>
      <c r="G18" s="40">
        <v>144.63999999999999</v>
      </c>
      <c r="H18" s="40">
        <v>14.7</v>
      </c>
      <c r="I18" s="40">
        <v>4.72</v>
      </c>
      <c r="J18" s="40">
        <v>280.11</v>
      </c>
      <c r="K18" s="17" t="s">
        <v>736</v>
      </c>
      <c r="L18" s="17" t="s">
        <v>736</v>
      </c>
      <c r="M18" s="19">
        <v>564.48</v>
      </c>
      <c r="N18" s="40">
        <v>600</v>
      </c>
      <c r="O18" s="40">
        <v>100</v>
      </c>
      <c r="P18" s="40">
        <v>280</v>
      </c>
      <c r="Q18" s="40">
        <v>600</v>
      </c>
      <c r="R18" s="40">
        <v>600</v>
      </c>
      <c r="S18" s="40">
        <v>1200</v>
      </c>
      <c r="T18" s="17" t="s">
        <v>736</v>
      </c>
      <c r="U18" s="17" t="s">
        <v>736</v>
      </c>
      <c r="V18" s="1">
        <v>1.06</v>
      </c>
      <c r="W18" s="40">
        <v>2</v>
      </c>
      <c r="X18" s="40">
        <v>22</v>
      </c>
      <c r="Y18" s="20" t="s">
        <v>758</v>
      </c>
      <c r="Z18" s="20" t="s">
        <v>738</v>
      </c>
      <c r="AA18" s="18" t="str">
        <f ca="1">IFERROR(_xludf.ifs(D18="40%","Grau máximo previsto por higienização de banheiros coletivos, resíduos e unidades de saúde, condicionado a LTCAT/PGR/LIP",D18="20%","Grau médio a confirmar por laudo",D18="10%","Grau mínimo a confirmar por laudo",TRUE(),"Sem indicação automática na tabela"),"Revisar laudo técnico")</f>
        <v>Revisar laudo técnico</v>
      </c>
      <c r="AB18" s="54" t="str">
        <f ca="1">IFERROR(_xludf.ifs(W18&lt;V18,"Abaixo do calculado",W18=0,"Sem posto adotado",W18&gt;=V18,"Adotado igual ou superior ao calculado"),"Revisar")</f>
        <v>Revisar</v>
      </c>
      <c r="AC18" s="54" t="str">
        <f ca="1">IFERROR(_xludf.ifs(W18&lt;V18,"Reavaliar quantitativo antes da licitação",W18-V18&gt;1,"Justificar arredondamento operacional ou cobertura",TRUE(),"Manter com justificativa registrada"),"Revisar")</f>
        <v>Revisar</v>
      </c>
    </row>
    <row r="19" spans="1:29" ht="21.75" customHeight="1" x14ac:dyDescent="0.25">
      <c r="A19" s="22">
        <v>13</v>
      </c>
      <c r="B19" s="3" t="s">
        <v>759</v>
      </c>
      <c r="C19" s="3" t="s">
        <v>734</v>
      </c>
      <c r="D19" s="2" t="s">
        <v>735</v>
      </c>
      <c r="E19" s="22">
        <v>179.6</v>
      </c>
      <c r="F19" s="2">
        <v>12</v>
      </c>
      <c r="G19" s="3" t="s">
        <v>736</v>
      </c>
      <c r="H19" s="3" t="s">
        <v>736</v>
      </c>
      <c r="I19" s="3" t="s">
        <v>736</v>
      </c>
      <c r="J19" s="22">
        <v>250</v>
      </c>
      <c r="K19" s="3" t="s">
        <v>736</v>
      </c>
      <c r="L19" s="3" t="s">
        <v>736</v>
      </c>
      <c r="M19" s="12">
        <v>441.6</v>
      </c>
      <c r="N19" s="22">
        <v>600</v>
      </c>
      <c r="O19" s="22">
        <v>100</v>
      </c>
      <c r="P19" s="3" t="s">
        <v>736</v>
      </c>
      <c r="Q19" s="3" t="s">
        <v>736</v>
      </c>
      <c r="R19" s="3" t="s">
        <v>736</v>
      </c>
      <c r="S19" s="22">
        <v>1200</v>
      </c>
      <c r="T19" s="3" t="s">
        <v>736</v>
      </c>
      <c r="U19" s="3" t="s">
        <v>736</v>
      </c>
      <c r="V19" s="2">
        <v>0.63</v>
      </c>
      <c r="W19" s="22">
        <v>1</v>
      </c>
      <c r="X19" s="22">
        <v>22</v>
      </c>
      <c r="Y19" s="3" t="s">
        <v>760</v>
      </c>
      <c r="Z19" s="3" t="s">
        <v>738</v>
      </c>
      <c r="AA19" s="12" t="str">
        <f ca="1">IFERROR(_xludf.ifs(D19="40%","Grau máximo previsto por higienização de banheiros coletivos, resíduos e unidades de saúde, condicionado a LTCAT/PGR/LIP",D19="20%","Grau médio a confirmar por laudo",D19="10%","Grau mínimo a confirmar por laudo",TRUE(),"Sem indicação automática na tabela"),"Revisar laudo técnico")</f>
        <v>Revisar laudo técnico</v>
      </c>
      <c r="AB19" s="3" t="str">
        <f ca="1">IFERROR(_xludf.ifs(W19&lt;V19,"Abaixo do calculado",W19=0,"Sem posto adotado",W19&gt;=V19,"Adotado igual ou superior ao calculado"),"Revisar")</f>
        <v>Revisar</v>
      </c>
      <c r="AC19" s="3" t="str">
        <f ca="1">IFERROR(_xludf.ifs(W19&lt;V19,"Reavaliar quantitativo antes da licitação",W19-V19&gt;1,"Justificar arredondamento operacional ou cobertura",TRUE(),"Manter com justificativa registrada"),"Revisar")</f>
        <v>Revisar</v>
      </c>
    </row>
    <row r="20" spans="1:29" ht="21.75" customHeight="1" x14ac:dyDescent="0.25">
      <c r="A20" s="22">
        <v>14</v>
      </c>
      <c r="B20" s="3" t="s">
        <v>761</v>
      </c>
      <c r="C20" s="3" t="s">
        <v>734</v>
      </c>
      <c r="D20" s="2" t="s">
        <v>735</v>
      </c>
      <c r="E20" s="22">
        <v>151.13</v>
      </c>
      <c r="F20" s="2">
        <v>71.08</v>
      </c>
      <c r="G20" s="22">
        <v>311.23</v>
      </c>
      <c r="H20" s="22">
        <v>111.11</v>
      </c>
      <c r="I20" s="3" t="s">
        <v>736</v>
      </c>
      <c r="J20" s="22">
        <v>65.38</v>
      </c>
      <c r="K20" s="3" t="s">
        <v>736</v>
      </c>
      <c r="L20" s="3" t="s">
        <v>736</v>
      </c>
      <c r="M20" s="12">
        <v>709.93</v>
      </c>
      <c r="N20" s="22">
        <v>600</v>
      </c>
      <c r="O20" s="22">
        <v>100</v>
      </c>
      <c r="P20" s="22">
        <v>280</v>
      </c>
      <c r="Q20" s="22">
        <v>600</v>
      </c>
      <c r="R20" s="3" t="s">
        <v>736</v>
      </c>
      <c r="S20" s="22">
        <v>1200</v>
      </c>
      <c r="T20" s="3" t="s">
        <v>736</v>
      </c>
      <c r="U20" s="3" t="s">
        <v>736</v>
      </c>
      <c r="V20" s="2">
        <v>2.31</v>
      </c>
      <c r="W20" s="22">
        <v>3</v>
      </c>
      <c r="X20" s="22">
        <v>22</v>
      </c>
      <c r="Y20" s="3" t="s">
        <v>762</v>
      </c>
      <c r="Z20" s="3" t="s">
        <v>738</v>
      </c>
      <c r="AA20" s="12" t="str">
        <f ca="1">IFERROR(_xludf.ifs(D20="40%","Grau máximo previsto por higienização de banheiros coletivos, resíduos e unidades de saúde, condicionado a LTCAT/PGR/LIP",D20="20%","Grau médio a confirmar por laudo",D20="10%","Grau mínimo a confirmar por laudo",TRUE(),"Sem indicação automática na tabela"),"Revisar laudo técnico")</f>
        <v>Revisar laudo técnico</v>
      </c>
      <c r="AB20" s="3" t="str">
        <f ca="1">IFERROR(_xludf.ifs(W20&lt;V20,"Abaixo do calculado",W20=0,"Sem posto adotado",W20&gt;=V20,"Adotado igual ou superior ao calculado"),"Revisar")</f>
        <v>Revisar</v>
      </c>
      <c r="AC20" s="3" t="str">
        <f ca="1">IFERROR(_xludf.ifs(W20&lt;V20,"Reavaliar quantitativo antes da licitação",W20-V20&gt;1,"Justificar arredondamento operacional ou cobertura",TRUE(),"Manter com justificativa registrada"),"Revisar")</f>
        <v>Revisar</v>
      </c>
    </row>
    <row r="21" spans="1:29" ht="21.75" customHeight="1" x14ac:dyDescent="0.25">
      <c r="A21" s="22">
        <v>15</v>
      </c>
      <c r="B21" s="3" t="s">
        <v>763</v>
      </c>
      <c r="C21" s="3" t="s">
        <v>734</v>
      </c>
      <c r="D21" s="2" t="s">
        <v>735</v>
      </c>
      <c r="E21" s="22">
        <v>653.94000000000005</v>
      </c>
      <c r="F21" s="2">
        <v>30.43</v>
      </c>
      <c r="G21" s="22">
        <v>21.66</v>
      </c>
      <c r="H21" s="3" t="s">
        <v>736</v>
      </c>
      <c r="I21" s="3" t="s">
        <v>736</v>
      </c>
      <c r="J21" s="3" t="s">
        <v>736</v>
      </c>
      <c r="K21" s="3" t="s">
        <v>736</v>
      </c>
      <c r="L21" s="3" t="s">
        <v>736</v>
      </c>
      <c r="M21" s="12">
        <v>706.03</v>
      </c>
      <c r="N21" s="22">
        <v>600</v>
      </c>
      <c r="O21" s="22">
        <v>100</v>
      </c>
      <c r="P21" s="22">
        <v>280</v>
      </c>
      <c r="Q21" s="3" t="s">
        <v>736</v>
      </c>
      <c r="R21" s="3" t="s">
        <v>736</v>
      </c>
      <c r="S21" s="3" t="s">
        <v>736</v>
      </c>
      <c r="T21" s="3" t="s">
        <v>736</v>
      </c>
      <c r="U21" s="3" t="s">
        <v>736</v>
      </c>
      <c r="V21" s="2">
        <v>1.47</v>
      </c>
      <c r="W21" s="22">
        <v>2</v>
      </c>
      <c r="X21" s="22">
        <v>22</v>
      </c>
      <c r="Y21" s="3" t="s">
        <v>764</v>
      </c>
      <c r="Z21" s="3" t="s">
        <v>738</v>
      </c>
      <c r="AA21" s="12" t="str">
        <f ca="1">IFERROR(_xludf.ifs(D21="40%","Grau máximo previsto por higienização de banheiros coletivos, resíduos e unidades de saúde, condicionado a LTCAT/PGR/LIP",D21="20%","Grau médio a confirmar por laudo",D21="10%","Grau mínimo a confirmar por laudo",TRUE(),"Sem indicação automática na tabela"),"Revisar laudo técnico")</f>
        <v>Revisar laudo técnico</v>
      </c>
      <c r="AB21" s="3" t="str">
        <f ca="1">IFERROR(_xludf.ifs(W21&lt;V21,"Abaixo do calculado",W21=0,"Sem posto adotado",W21&gt;=V21,"Adotado igual ou superior ao calculado"),"Revisar")</f>
        <v>Revisar</v>
      </c>
      <c r="AC21" s="3" t="str">
        <f ca="1">IFERROR(_xludf.ifs(W21&lt;V21,"Reavaliar quantitativo antes da licitação",W21-V21&gt;1,"Justificar arredondamento operacional ou cobertura",TRUE(),"Manter com justificativa registrada"),"Revisar")</f>
        <v>Revisar</v>
      </c>
    </row>
    <row r="22" spans="1:29" ht="21.75" customHeight="1" x14ac:dyDescent="0.25">
      <c r="A22" s="22">
        <v>16</v>
      </c>
      <c r="B22" s="3" t="s">
        <v>765</v>
      </c>
      <c r="C22" s="3" t="s">
        <v>734</v>
      </c>
      <c r="D22" s="2" t="s">
        <v>735</v>
      </c>
      <c r="E22" s="22">
        <v>41.89</v>
      </c>
      <c r="F22" s="2">
        <v>19</v>
      </c>
      <c r="G22" s="22">
        <v>74.94</v>
      </c>
      <c r="H22" s="3" t="s">
        <v>736</v>
      </c>
      <c r="I22" s="3" t="s">
        <v>736</v>
      </c>
      <c r="J22" s="22">
        <v>181.61</v>
      </c>
      <c r="K22" s="3" t="s">
        <v>736</v>
      </c>
      <c r="L22" s="3" t="s">
        <v>736</v>
      </c>
      <c r="M22" s="12">
        <v>317.44</v>
      </c>
      <c r="N22" s="22">
        <v>600</v>
      </c>
      <c r="O22" s="22">
        <v>100</v>
      </c>
      <c r="P22" s="22">
        <v>280</v>
      </c>
      <c r="Q22" s="3" t="s">
        <v>736</v>
      </c>
      <c r="R22" s="3" t="s">
        <v>736</v>
      </c>
      <c r="S22" s="22">
        <v>1200</v>
      </c>
      <c r="T22" s="3" t="s">
        <v>736</v>
      </c>
      <c r="U22" s="3" t="s">
        <v>736</v>
      </c>
      <c r="V22" s="2">
        <v>0.68</v>
      </c>
      <c r="W22" s="22">
        <v>1</v>
      </c>
      <c r="X22" s="22">
        <v>22</v>
      </c>
      <c r="Y22" s="3" t="s">
        <v>766</v>
      </c>
      <c r="Z22" s="3" t="s">
        <v>738</v>
      </c>
      <c r="AA22" s="12" t="str">
        <f ca="1">IFERROR(_xludf.ifs(D22="40%","Grau máximo previsto por higienização de banheiros coletivos, resíduos e unidades de saúde, condicionado a LTCAT/PGR/LIP",D22="20%","Grau médio a confirmar por laudo",D22="10%","Grau mínimo a confirmar por laudo",TRUE(),"Sem indicação automática na tabela"),"Revisar laudo técnico")</f>
        <v>Revisar laudo técnico</v>
      </c>
      <c r="AB22" s="3" t="str">
        <f ca="1">IFERROR(_xludf.ifs(W22&lt;V22,"Abaixo do calculado",W22=0,"Sem posto adotado",W22&gt;=V22,"Adotado igual ou superior ao calculado"),"Revisar")</f>
        <v>Revisar</v>
      </c>
      <c r="AC22" s="3" t="str">
        <f ca="1">IFERROR(_xludf.ifs(W22&lt;V22,"Reavaliar quantitativo antes da licitação",W22-V22&gt;1,"Justificar arredondamento operacional ou cobertura",TRUE(),"Manter com justificativa registrada"),"Revisar")</f>
        <v>Revisar</v>
      </c>
    </row>
    <row r="23" spans="1:29" ht="21.75" customHeight="1" x14ac:dyDescent="0.25">
      <c r="A23" s="22">
        <v>17</v>
      </c>
      <c r="B23" s="3" t="s">
        <v>767</v>
      </c>
      <c r="C23" s="3" t="s">
        <v>734</v>
      </c>
      <c r="D23" s="2" t="s">
        <v>735</v>
      </c>
      <c r="E23" s="22">
        <v>140.76</v>
      </c>
      <c r="F23" s="2">
        <v>19.23</v>
      </c>
      <c r="G23" s="22">
        <v>97.53</v>
      </c>
      <c r="H23" s="22">
        <v>35.6</v>
      </c>
      <c r="I23" s="3" t="s">
        <v>736</v>
      </c>
      <c r="J23" s="22">
        <v>505.76</v>
      </c>
      <c r="K23" s="3" t="s">
        <v>736</v>
      </c>
      <c r="L23" s="3" t="s">
        <v>736</v>
      </c>
      <c r="M23" s="12">
        <v>798.88</v>
      </c>
      <c r="N23" s="22">
        <v>600</v>
      </c>
      <c r="O23" s="22">
        <v>100</v>
      </c>
      <c r="P23" s="22">
        <v>280</v>
      </c>
      <c r="Q23" s="22">
        <v>600</v>
      </c>
      <c r="R23" s="3" t="s">
        <v>736</v>
      </c>
      <c r="S23" s="22">
        <v>1200</v>
      </c>
      <c r="T23" s="3" t="s">
        <v>736</v>
      </c>
      <c r="U23" s="3" t="s">
        <v>736</v>
      </c>
      <c r="V23" s="2">
        <v>1.26</v>
      </c>
      <c r="W23" s="22">
        <v>2</v>
      </c>
      <c r="X23" s="22">
        <v>22</v>
      </c>
      <c r="Y23" s="3" t="s">
        <v>768</v>
      </c>
      <c r="Z23" s="3" t="s">
        <v>738</v>
      </c>
      <c r="AA23" s="12" t="str">
        <f ca="1">IFERROR(_xludf.ifs(D23="40%","Grau máximo previsto por higienização de banheiros coletivos, resíduos e unidades de saúde, condicionado a LTCAT/PGR/LIP",D23="20%","Grau médio a confirmar por laudo",D23="10%","Grau mínimo a confirmar por laudo",TRUE(),"Sem indicação automática na tabela"),"Revisar laudo técnico")</f>
        <v>Revisar laudo técnico</v>
      </c>
      <c r="AB23" s="3" t="str">
        <f ca="1">IFERROR(_xludf.ifs(W23&lt;V23,"Abaixo do calculado",W23=0,"Sem posto adotado",W23&gt;=V23,"Adotado igual ou superior ao calculado"),"Revisar")</f>
        <v>Revisar</v>
      </c>
      <c r="AC23" s="3" t="str">
        <f ca="1">IFERROR(_xludf.ifs(W23&lt;V23,"Reavaliar quantitativo antes da licitação",W23-V23&gt;1,"Justificar arredondamento operacional ou cobertura",TRUE(),"Manter com justificativa registrada"),"Revisar")</f>
        <v>Revisar</v>
      </c>
    </row>
    <row r="24" spans="1:29" ht="21.75" customHeight="1" x14ac:dyDescent="0.25">
      <c r="A24" s="22">
        <v>18</v>
      </c>
      <c r="B24" s="3" t="s">
        <v>769</v>
      </c>
      <c r="C24" s="3" t="s">
        <v>734</v>
      </c>
      <c r="D24" s="2" t="s">
        <v>735</v>
      </c>
      <c r="E24" s="22">
        <v>278.94</v>
      </c>
      <c r="F24" s="2">
        <v>24.7</v>
      </c>
      <c r="G24" s="22">
        <v>86.76</v>
      </c>
      <c r="H24" s="22">
        <v>26.48</v>
      </c>
      <c r="I24" s="3" t="s">
        <v>736</v>
      </c>
      <c r="J24" s="22">
        <v>38.78</v>
      </c>
      <c r="K24" s="3" t="s">
        <v>736</v>
      </c>
      <c r="L24" s="3" t="s">
        <v>736</v>
      </c>
      <c r="M24" s="12">
        <v>455.66</v>
      </c>
      <c r="N24" s="22">
        <v>600</v>
      </c>
      <c r="O24" s="22">
        <v>100</v>
      </c>
      <c r="P24" s="22">
        <v>280</v>
      </c>
      <c r="Q24" s="22">
        <v>600</v>
      </c>
      <c r="R24" s="3" t="s">
        <v>736</v>
      </c>
      <c r="S24" s="22">
        <v>1200</v>
      </c>
      <c r="T24" s="3" t="s">
        <v>736</v>
      </c>
      <c r="U24" s="3" t="s">
        <v>736</v>
      </c>
      <c r="V24" s="2">
        <v>1.1000000000000001</v>
      </c>
      <c r="W24" s="22">
        <v>2</v>
      </c>
      <c r="X24" s="22">
        <v>22</v>
      </c>
      <c r="Y24" s="3" t="s">
        <v>770</v>
      </c>
      <c r="Z24" s="3" t="s">
        <v>738</v>
      </c>
      <c r="AA24" s="12" t="str">
        <f ca="1">IFERROR(_xludf.ifs(D24="40%","Grau máximo previsto por higienização de banheiros coletivos, resíduos e unidades de saúde, condicionado a LTCAT/PGR/LIP",D24="20%","Grau médio a confirmar por laudo",D24="10%","Grau mínimo a confirmar por laudo",TRUE(),"Sem indicação automática na tabela"),"Revisar laudo técnico")</f>
        <v>Revisar laudo técnico</v>
      </c>
      <c r="AB24" s="3" t="str">
        <f ca="1">IFERROR(_xludf.ifs(W24&lt;V24,"Abaixo do calculado",W24=0,"Sem posto adotado",W24&gt;=V24,"Adotado igual ou superior ao calculado"),"Revisar")</f>
        <v>Revisar</v>
      </c>
      <c r="AC24" s="3" t="str">
        <f ca="1">IFERROR(_xludf.ifs(W24&lt;V24,"Reavaliar quantitativo antes da licitação",W24-V24&gt;1,"Justificar arredondamento operacional ou cobertura",TRUE(),"Manter com justificativa registrada"),"Revisar")</f>
        <v>Revisar</v>
      </c>
    </row>
    <row r="25" spans="1:29" ht="21.75" customHeight="1" x14ac:dyDescent="0.25">
      <c r="A25" s="22">
        <v>19</v>
      </c>
      <c r="B25" s="3" t="s">
        <v>771</v>
      </c>
      <c r="C25" s="3" t="s">
        <v>734</v>
      </c>
      <c r="D25" s="2" t="s">
        <v>735</v>
      </c>
      <c r="E25" s="22">
        <v>67.7</v>
      </c>
      <c r="F25" s="2">
        <v>9.84</v>
      </c>
      <c r="G25" s="22">
        <v>21.54</v>
      </c>
      <c r="H25" s="3" t="s">
        <v>736</v>
      </c>
      <c r="I25" s="3" t="s">
        <v>736</v>
      </c>
      <c r="J25" s="22">
        <v>117</v>
      </c>
      <c r="K25" s="3" t="s">
        <v>736</v>
      </c>
      <c r="L25" s="3" t="s">
        <v>736</v>
      </c>
      <c r="M25" s="12">
        <v>216.08</v>
      </c>
      <c r="N25" s="22">
        <v>600</v>
      </c>
      <c r="O25" s="22">
        <v>100</v>
      </c>
      <c r="P25" s="22">
        <v>280</v>
      </c>
      <c r="Q25" s="3" t="s">
        <v>736</v>
      </c>
      <c r="R25" s="3" t="s">
        <v>736</v>
      </c>
      <c r="S25" s="22">
        <v>1200</v>
      </c>
      <c r="T25" s="3" t="s">
        <v>736</v>
      </c>
      <c r="U25" s="3" t="s">
        <v>736</v>
      </c>
      <c r="V25" s="2">
        <v>0.39</v>
      </c>
      <c r="W25" s="22">
        <v>1</v>
      </c>
      <c r="X25" s="22">
        <v>22</v>
      </c>
      <c r="Y25" s="3" t="s">
        <v>772</v>
      </c>
      <c r="Z25" s="3" t="s">
        <v>738</v>
      </c>
      <c r="AA25" s="12" t="str">
        <f ca="1">IFERROR(_xludf.ifs(D25="40%","Grau máximo previsto por higienização de banheiros coletivos, resíduos e unidades de saúde, condicionado a LTCAT/PGR/LIP",D25="20%","Grau médio a confirmar por laudo",D25="10%","Grau mínimo a confirmar por laudo",TRUE(),"Sem indicação automática na tabela"),"Revisar laudo técnico")</f>
        <v>Revisar laudo técnico</v>
      </c>
      <c r="AB25" s="3" t="str">
        <f ca="1">IFERROR(_xludf.ifs(W25&lt;V25,"Abaixo do calculado",W25=0,"Sem posto adotado",W25&gt;=V25,"Adotado igual ou superior ao calculado"),"Revisar")</f>
        <v>Revisar</v>
      </c>
      <c r="AC25" s="3" t="str">
        <f ca="1">IFERROR(_xludf.ifs(W25&lt;V25,"Reavaliar quantitativo antes da licitação",W25-V25&gt;1,"Justificar arredondamento operacional ou cobertura",TRUE(),"Manter com justificativa registrada"),"Revisar")</f>
        <v>Revisar</v>
      </c>
    </row>
    <row r="26" spans="1:29" ht="21.75" customHeight="1" x14ac:dyDescent="0.25">
      <c r="A26" s="22">
        <v>20</v>
      </c>
      <c r="B26" s="3" t="s">
        <v>773</v>
      </c>
      <c r="C26" s="3" t="s">
        <v>734</v>
      </c>
      <c r="D26" s="2" t="s">
        <v>735</v>
      </c>
      <c r="E26" s="22">
        <v>79.099999999999994</v>
      </c>
      <c r="F26" s="2">
        <v>9.1199999999999992</v>
      </c>
      <c r="G26" s="22">
        <v>26</v>
      </c>
      <c r="H26" s="3" t="s">
        <v>736</v>
      </c>
      <c r="I26" s="3" t="s">
        <v>736</v>
      </c>
      <c r="J26" s="22">
        <v>276</v>
      </c>
      <c r="K26" s="3" t="s">
        <v>736</v>
      </c>
      <c r="L26" s="3" t="s">
        <v>736</v>
      </c>
      <c r="M26" s="12">
        <v>390.22</v>
      </c>
      <c r="N26" s="22">
        <v>600</v>
      </c>
      <c r="O26" s="22">
        <v>100</v>
      </c>
      <c r="P26" s="22">
        <v>280</v>
      </c>
      <c r="Q26" s="3" t="s">
        <v>736</v>
      </c>
      <c r="R26" s="3" t="s">
        <v>736</v>
      </c>
      <c r="S26" s="22">
        <v>1200</v>
      </c>
      <c r="T26" s="3" t="s">
        <v>736</v>
      </c>
      <c r="U26" s="3" t="s">
        <v>736</v>
      </c>
      <c r="V26" s="2">
        <v>0.55000000000000004</v>
      </c>
      <c r="W26" s="22">
        <v>1</v>
      </c>
      <c r="X26" s="22">
        <v>22</v>
      </c>
      <c r="Y26" s="3" t="s">
        <v>774</v>
      </c>
      <c r="Z26" s="3" t="s">
        <v>738</v>
      </c>
      <c r="AA26" s="12" t="str">
        <f ca="1">IFERROR(_xludf.ifs(D26="40%","Grau máximo previsto por higienização de banheiros coletivos, resíduos e unidades de saúde, condicionado a LTCAT/PGR/LIP",D26="20%","Grau médio a confirmar por laudo",D26="10%","Grau mínimo a confirmar por laudo",TRUE(),"Sem indicação automática na tabela"),"Revisar laudo técnico")</f>
        <v>Revisar laudo técnico</v>
      </c>
      <c r="AB26" s="3" t="str">
        <f ca="1">IFERROR(_xludf.ifs(W26&lt;V26,"Abaixo do calculado",W26=0,"Sem posto adotado",W26&gt;=V26,"Adotado igual ou superior ao calculado"),"Revisar")</f>
        <v>Revisar</v>
      </c>
      <c r="AC26" s="3" t="str">
        <f ca="1">IFERROR(_xludf.ifs(W26&lt;V26,"Reavaliar quantitativo antes da licitação",W26-V26&gt;1,"Justificar arredondamento operacional ou cobertura",TRUE(),"Manter com justificativa registrada"),"Revisar")</f>
        <v>Revisar</v>
      </c>
    </row>
    <row r="27" spans="1:29" ht="21.75" customHeight="1" x14ac:dyDescent="0.25">
      <c r="A27" s="22">
        <v>21</v>
      </c>
      <c r="B27" s="3" t="s">
        <v>775</v>
      </c>
      <c r="C27" s="3" t="s">
        <v>734</v>
      </c>
      <c r="D27" s="2" t="s">
        <v>735</v>
      </c>
      <c r="E27" s="22">
        <v>98.99</v>
      </c>
      <c r="F27" s="2">
        <v>4.5599999999999996</v>
      </c>
      <c r="G27" s="22">
        <v>70.66</v>
      </c>
      <c r="H27" s="22">
        <v>36.72</v>
      </c>
      <c r="I27" s="3" t="s">
        <v>736</v>
      </c>
      <c r="J27" s="3" t="s">
        <v>736</v>
      </c>
      <c r="K27" s="3" t="s">
        <v>736</v>
      </c>
      <c r="L27" s="3" t="s">
        <v>736</v>
      </c>
      <c r="M27" s="12">
        <v>210.93</v>
      </c>
      <c r="N27" s="22">
        <v>600</v>
      </c>
      <c r="O27" s="22">
        <v>100</v>
      </c>
      <c r="P27" s="22">
        <v>280</v>
      </c>
      <c r="Q27" s="22">
        <v>600</v>
      </c>
      <c r="R27" s="3" t="s">
        <v>736</v>
      </c>
      <c r="S27" s="3" t="s">
        <v>736</v>
      </c>
      <c r="T27" s="3" t="s">
        <v>736</v>
      </c>
      <c r="U27" s="3" t="s">
        <v>736</v>
      </c>
      <c r="V27" s="2">
        <v>0.52</v>
      </c>
      <c r="W27" s="22">
        <v>1</v>
      </c>
      <c r="X27" s="22">
        <v>22</v>
      </c>
      <c r="Y27" s="3" t="s">
        <v>776</v>
      </c>
      <c r="Z27" s="3" t="s">
        <v>738</v>
      </c>
      <c r="AA27" s="12" t="str">
        <f ca="1">IFERROR(_xludf.ifs(D27="40%","Grau máximo previsto por higienização de banheiros coletivos, resíduos e unidades de saúde, condicionado a LTCAT/PGR/LIP",D27="20%","Grau médio a confirmar por laudo",D27="10%","Grau mínimo a confirmar por laudo",TRUE(),"Sem indicação automática na tabela"),"Revisar laudo técnico")</f>
        <v>Revisar laudo técnico</v>
      </c>
      <c r="AB27" s="3" t="str">
        <f ca="1">IFERROR(_xludf.ifs(W27&lt;V27,"Abaixo do calculado",W27=0,"Sem posto adotado",W27&gt;=V27,"Adotado igual ou superior ao calculado"),"Revisar")</f>
        <v>Revisar</v>
      </c>
      <c r="AC27" s="3" t="str">
        <f ca="1">IFERROR(_xludf.ifs(W27&lt;V27,"Reavaliar quantitativo antes da licitação",W27-V27&gt;1,"Justificar arredondamento operacional ou cobertura",TRUE(),"Manter com justificativa registrada"),"Revisar")</f>
        <v>Revisar</v>
      </c>
    </row>
    <row r="28" spans="1:29" ht="21.75" customHeight="1" x14ac:dyDescent="0.25">
      <c r="A28" s="22">
        <v>22</v>
      </c>
      <c r="B28" s="3" t="s">
        <v>777</v>
      </c>
      <c r="C28" s="3" t="s">
        <v>741</v>
      </c>
      <c r="D28" s="2" t="s">
        <v>736</v>
      </c>
      <c r="E28" s="22">
        <v>25</v>
      </c>
      <c r="F28" s="2" t="s">
        <v>736</v>
      </c>
      <c r="G28" s="3" t="s">
        <v>736</v>
      </c>
      <c r="H28" s="3" t="s">
        <v>736</v>
      </c>
      <c r="I28" s="3" t="s">
        <v>736</v>
      </c>
      <c r="J28" s="22">
        <v>57.4</v>
      </c>
      <c r="K28" s="3" t="s">
        <v>736</v>
      </c>
      <c r="L28" s="3" t="s">
        <v>736</v>
      </c>
      <c r="M28" s="12">
        <v>82.4</v>
      </c>
      <c r="N28" s="22">
        <v>600</v>
      </c>
      <c r="O28" s="3" t="s">
        <v>736</v>
      </c>
      <c r="P28" s="3" t="s">
        <v>736</v>
      </c>
      <c r="Q28" s="3" t="s">
        <v>736</v>
      </c>
      <c r="R28" s="3" t="s">
        <v>736</v>
      </c>
      <c r="S28" s="22">
        <v>1200</v>
      </c>
      <c r="T28" s="3" t="s">
        <v>736</v>
      </c>
      <c r="U28" s="3" t="s">
        <v>736</v>
      </c>
      <c r="V28" s="2">
        <v>0.09</v>
      </c>
      <c r="W28" s="22">
        <v>1</v>
      </c>
      <c r="X28" s="22">
        <v>22</v>
      </c>
      <c r="Y28" s="3" t="s">
        <v>778</v>
      </c>
      <c r="Z28" s="3" t="s">
        <v>738</v>
      </c>
      <c r="AA28" s="12" t="str">
        <f ca="1">IFERROR(_xludf.ifs(D28="40%","Grau máximo previsto por higienização de banheiros coletivos, resíduos e unidades de saúde, condicionado a LTCAT/PGR/LIP",D28="20%","Grau médio a confirmar por laudo",D28="10%","Grau mínimo a confirmar por laudo",TRUE(),"Sem indicação automática na tabela"),"Revisar laudo técnico")</f>
        <v>Revisar laudo técnico</v>
      </c>
      <c r="AB28" s="3" t="str">
        <f ca="1">IFERROR(_xludf.ifs(W28&lt;V28,"Abaixo do calculado",W28=0,"Sem posto adotado",W28&gt;=V28,"Adotado igual ou superior ao calculado"),"Revisar")</f>
        <v>Revisar</v>
      </c>
      <c r="AC28" s="3" t="str">
        <f ca="1">IFERROR(_xludf.ifs(W28&lt;V28,"Reavaliar quantitativo antes da licitação",W28-V28&gt;1,"Justificar arredondamento operacional ou cobertura",TRUE(),"Manter com justificativa registrada"),"Revisar")</f>
        <v>Revisar</v>
      </c>
    </row>
    <row r="29" spans="1:29" ht="21.75" customHeight="1" x14ac:dyDescent="0.25">
      <c r="A29" s="22">
        <v>23</v>
      </c>
      <c r="B29" s="3" t="s">
        <v>779</v>
      </c>
      <c r="C29" s="3" t="s">
        <v>741</v>
      </c>
      <c r="D29" s="2" t="s">
        <v>735</v>
      </c>
      <c r="E29" s="3" t="s">
        <v>736</v>
      </c>
      <c r="F29" s="2" t="s">
        <v>736</v>
      </c>
      <c r="G29" s="22">
        <v>21</v>
      </c>
      <c r="H29" s="3" t="s">
        <v>736</v>
      </c>
      <c r="I29" s="3" t="s">
        <v>736</v>
      </c>
      <c r="J29" s="22">
        <v>200</v>
      </c>
      <c r="K29" s="3" t="s">
        <v>736</v>
      </c>
      <c r="L29" s="3" t="s">
        <v>736</v>
      </c>
      <c r="M29" s="12">
        <v>221</v>
      </c>
      <c r="N29" s="3" t="s">
        <v>736</v>
      </c>
      <c r="O29" s="3" t="s">
        <v>736</v>
      </c>
      <c r="P29" s="22">
        <v>280</v>
      </c>
      <c r="Q29" s="3" t="s">
        <v>736</v>
      </c>
      <c r="R29" s="3" t="s">
        <v>736</v>
      </c>
      <c r="S29" s="22">
        <v>1200</v>
      </c>
      <c r="T29" s="3" t="s">
        <v>736</v>
      </c>
      <c r="U29" s="3" t="s">
        <v>736</v>
      </c>
      <c r="V29" s="2">
        <v>0.24</v>
      </c>
      <c r="W29" s="22">
        <v>1</v>
      </c>
      <c r="X29" s="22">
        <v>22</v>
      </c>
      <c r="Y29" s="3" t="s">
        <v>780</v>
      </c>
      <c r="Z29" s="3" t="s">
        <v>738</v>
      </c>
      <c r="AA29" s="12" t="str">
        <f ca="1">IFERROR(_xludf.ifs(D29="40%","Grau máximo previsto por higienização de banheiros coletivos, resíduos e unidades de saúde, condicionado a LTCAT/PGR/LIP",D29="20%","Grau médio a confirmar por laudo",D29="10%","Grau mínimo a confirmar por laudo",TRUE(),"Sem indicação automática na tabela"),"Revisar laudo técnico")</f>
        <v>Revisar laudo técnico</v>
      </c>
      <c r="AB29" s="3" t="str">
        <f ca="1">IFERROR(_xludf.ifs(W29&lt;V29,"Abaixo do calculado",W29=0,"Sem posto adotado",W29&gt;=V29,"Adotado igual ou superior ao calculado"),"Revisar")</f>
        <v>Revisar</v>
      </c>
      <c r="AC29" s="3" t="str">
        <f ca="1">IFERROR(_xludf.ifs(W29&lt;V29,"Reavaliar quantitativo antes da licitação",W29-V29&gt;1,"Justificar arredondamento operacional ou cobertura",TRUE(),"Manter com justificativa registrada"),"Revisar")</f>
        <v>Revisar</v>
      </c>
    </row>
    <row r="30" spans="1:29" ht="21.75" customHeight="1" x14ac:dyDescent="0.25">
      <c r="A30" s="22">
        <v>24</v>
      </c>
      <c r="B30" s="3" t="s">
        <v>781</v>
      </c>
      <c r="C30" s="3" t="s">
        <v>734</v>
      </c>
      <c r="D30" s="2" t="s">
        <v>735</v>
      </c>
      <c r="E30" s="22">
        <v>149.81</v>
      </c>
      <c r="F30" s="2">
        <v>13.97</v>
      </c>
      <c r="G30" s="22">
        <v>68.16</v>
      </c>
      <c r="H30" s="3" t="s">
        <v>736</v>
      </c>
      <c r="I30" s="22">
        <v>2.34</v>
      </c>
      <c r="J30" s="22">
        <v>200.19</v>
      </c>
      <c r="K30" s="3" t="s">
        <v>736</v>
      </c>
      <c r="L30" s="3" t="s">
        <v>736</v>
      </c>
      <c r="M30" s="12">
        <v>434.47</v>
      </c>
      <c r="N30" s="22">
        <v>600</v>
      </c>
      <c r="O30" s="22">
        <v>100</v>
      </c>
      <c r="P30" s="22">
        <v>280</v>
      </c>
      <c r="Q30" s="3" t="s">
        <v>736</v>
      </c>
      <c r="R30" s="22">
        <v>600</v>
      </c>
      <c r="S30" s="22">
        <v>1200</v>
      </c>
      <c r="T30" s="3" t="s">
        <v>736</v>
      </c>
      <c r="U30" s="3" t="s">
        <v>736</v>
      </c>
      <c r="V30" s="2">
        <v>0.8</v>
      </c>
      <c r="W30" s="22">
        <v>1</v>
      </c>
      <c r="X30" s="22">
        <v>22</v>
      </c>
      <c r="Y30" s="3" t="s">
        <v>782</v>
      </c>
      <c r="Z30" s="3" t="s">
        <v>738</v>
      </c>
      <c r="AA30" s="12" t="str">
        <f ca="1">IFERROR(_xludf.ifs(D30="40%","Grau máximo previsto por higienização de banheiros coletivos, resíduos e unidades de saúde, condicionado a LTCAT/PGR/LIP",D30="20%","Grau médio a confirmar por laudo",D30="10%","Grau mínimo a confirmar por laudo",TRUE(),"Sem indicação automática na tabela"),"Revisar laudo técnico")</f>
        <v>Revisar laudo técnico</v>
      </c>
      <c r="AB30" s="3" t="str">
        <f ca="1">IFERROR(_xludf.ifs(W30&lt;V30,"Abaixo do calculado",W30=0,"Sem posto adotado",W30&gt;=V30,"Adotado igual ou superior ao calculado"),"Revisar")</f>
        <v>Revisar</v>
      </c>
      <c r="AC30" s="3" t="str">
        <f ca="1">IFERROR(_xludf.ifs(W30&lt;V30,"Reavaliar quantitativo antes da licitação",W30-V30&gt;1,"Justificar arredondamento operacional ou cobertura",TRUE(),"Manter com justificativa registrada"),"Revisar")</f>
        <v>Revisar</v>
      </c>
    </row>
    <row r="31" spans="1:29" ht="21.75" customHeight="1" x14ac:dyDescent="0.25">
      <c r="A31" s="22">
        <v>25</v>
      </c>
      <c r="B31" s="3" t="s">
        <v>783</v>
      </c>
      <c r="C31" s="3" t="s">
        <v>734</v>
      </c>
      <c r="D31" s="2" t="s">
        <v>735</v>
      </c>
      <c r="E31" s="22">
        <v>81.25</v>
      </c>
      <c r="F31" s="2">
        <v>15.5</v>
      </c>
      <c r="G31" s="22">
        <v>20.96</v>
      </c>
      <c r="H31" s="22">
        <v>38</v>
      </c>
      <c r="I31" s="3" t="s">
        <v>736</v>
      </c>
      <c r="J31" s="22">
        <v>274.99</v>
      </c>
      <c r="K31" s="3" t="s">
        <v>736</v>
      </c>
      <c r="L31" s="3" t="s">
        <v>736</v>
      </c>
      <c r="M31" s="12">
        <v>430.7</v>
      </c>
      <c r="N31" s="22">
        <v>600</v>
      </c>
      <c r="O31" s="22">
        <v>100</v>
      </c>
      <c r="P31" s="22">
        <v>280</v>
      </c>
      <c r="Q31" s="22">
        <v>600</v>
      </c>
      <c r="R31" s="3" t="s">
        <v>736</v>
      </c>
      <c r="S31" s="22">
        <v>1200</v>
      </c>
      <c r="T31" s="3" t="s">
        <v>736</v>
      </c>
      <c r="U31" s="3" t="s">
        <v>736</v>
      </c>
      <c r="V31" s="2">
        <v>0.66</v>
      </c>
      <c r="W31" s="22">
        <v>1</v>
      </c>
      <c r="X31" s="22">
        <v>22</v>
      </c>
      <c r="Y31" s="3" t="s">
        <v>784</v>
      </c>
      <c r="Z31" s="3" t="s">
        <v>738</v>
      </c>
      <c r="AA31" s="12" t="str">
        <f ca="1">IFERROR(_xludf.ifs(D31="40%","Grau máximo previsto por higienização de banheiros coletivos, resíduos e unidades de saúde, condicionado a LTCAT/PGR/LIP",D31="20%","Grau médio a confirmar por laudo",D31="10%","Grau mínimo a confirmar por laudo",TRUE(),"Sem indicação automática na tabela"),"Revisar laudo técnico")</f>
        <v>Revisar laudo técnico</v>
      </c>
      <c r="AB31" s="3" t="str">
        <f ca="1">IFERROR(_xludf.ifs(W31&lt;V31,"Abaixo do calculado",W31=0,"Sem posto adotado",W31&gt;=V31,"Adotado igual ou superior ao calculado"),"Revisar")</f>
        <v>Revisar</v>
      </c>
      <c r="AC31" s="3" t="str">
        <f ca="1">IFERROR(_xludf.ifs(W31&lt;V31,"Reavaliar quantitativo antes da licitação",W31-V31&gt;1,"Justificar arredondamento operacional ou cobertura",TRUE(),"Manter com justificativa registrada"),"Revisar")</f>
        <v>Revisar</v>
      </c>
    </row>
    <row r="32" spans="1:29" ht="21.75" customHeight="1" x14ac:dyDescent="0.25">
      <c r="A32" s="22">
        <v>26</v>
      </c>
      <c r="B32" s="3" t="s">
        <v>785</v>
      </c>
      <c r="C32" s="3" t="s">
        <v>741</v>
      </c>
      <c r="D32" s="2" t="s">
        <v>735</v>
      </c>
      <c r="E32" s="22">
        <v>220.85</v>
      </c>
      <c r="F32" s="2">
        <v>22.9</v>
      </c>
      <c r="G32" s="22">
        <v>46.98</v>
      </c>
      <c r="H32" s="3" t="s">
        <v>736</v>
      </c>
      <c r="I32" s="22">
        <v>7.22</v>
      </c>
      <c r="J32" s="22">
        <v>200</v>
      </c>
      <c r="K32" s="3" t="s">
        <v>736</v>
      </c>
      <c r="L32" s="3" t="s">
        <v>736</v>
      </c>
      <c r="M32" s="12">
        <v>497.95</v>
      </c>
      <c r="N32" s="22">
        <v>600</v>
      </c>
      <c r="O32" s="22">
        <v>100</v>
      </c>
      <c r="P32" s="22">
        <v>280</v>
      </c>
      <c r="Q32" s="3" t="s">
        <v>736</v>
      </c>
      <c r="R32" s="22">
        <v>600</v>
      </c>
      <c r="S32" s="22">
        <v>1200</v>
      </c>
      <c r="T32" s="3" t="s">
        <v>736</v>
      </c>
      <c r="U32" s="3" t="s">
        <v>736</v>
      </c>
      <c r="V32" s="2">
        <v>0.94</v>
      </c>
      <c r="W32" s="22">
        <v>1</v>
      </c>
      <c r="X32" s="22">
        <v>22</v>
      </c>
      <c r="Y32" s="3" t="s">
        <v>786</v>
      </c>
      <c r="Z32" s="3" t="s">
        <v>738</v>
      </c>
      <c r="AA32" s="12" t="str">
        <f ca="1">IFERROR(_xludf.ifs(D32="40%","Grau máximo previsto por higienização de banheiros coletivos, resíduos e unidades de saúde, condicionado a LTCAT/PGR/LIP",D32="20%","Grau médio a confirmar por laudo",D32="10%","Grau mínimo a confirmar por laudo",TRUE(),"Sem indicação automática na tabela"),"Revisar laudo técnico")</f>
        <v>Revisar laudo técnico</v>
      </c>
      <c r="AB32" s="3" t="str">
        <f ca="1">IFERROR(_xludf.ifs(W32&lt;V32,"Abaixo do calculado",W32=0,"Sem posto adotado",W32&gt;=V32,"Adotado igual ou superior ao calculado"),"Revisar")</f>
        <v>Revisar</v>
      </c>
      <c r="AC32" s="3" t="str">
        <f ca="1">IFERROR(_xludf.ifs(W32&lt;V32,"Reavaliar quantitativo antes da licitação",W32-V32&gt;1,"Justificar arredondamento operacional ou cobertura",TRUE(),"Manter com justificativa registrada"),"Revisar")</f>
        <v>Revisar</v>
      </c>
    </row>
    <row r="33" spans="1:29" ht="21.75" customHeight="1" x14ac:dyDescent="0.25">
      <c r="A33" s="22">
        <v>27</v>
      </c>
      <c r="B33" s="3" t="s">
        <v>787</v>
      </c>
      <c r="C33" s="3" t="s">
        <v>741</v>
      </c>
      <c r="D33" s="2" t="s">
        <v>735</v>
      </c>
      <c r="E33" s="22">
        <v>12.95</v>
      </c>
      <c r="F33" s="2">
        <v>10.78</v>
      </c>
      <c r="G33" s="3" t="s">
        <v>736</v>
      </c>
      <c r="H33" s="3" t="s">
        <v>736</v>
      </c>
      <c r="I33" s="3" t="s">
        <v>736</v>
      </c>
      <c r="J33" s="22">
        <v>204.32</v>
      </c>
      <c r="K33" s="3" t="s">
        <v>736</v>
      </c>
      <c r="L33" s="3" t="s">
        <v>736</v>
      </c>
      <c r="M33" s="12">
        <v>228.05</v>
      </c>
      <c r="N33" s="22">
        <v>600</v>
      </c>
      <c r="O33" s="22">
        <v>100</v>
      </c>
      <c r="P33" s="3" t="s">
        <v>736</v>
      </c>
      <c r="Q33" s="3" t="s">
        <v>736</v>
      </c>
      <c r="R33" s="3" t="s">
        <v>736</v>
      </c>
      <c r="S33" s="22">
        <v>1200</v>
      </c>
      <c r="T33" s="3" t="s">
        <v>736</v>
      </c>
      <c r="U33" s="3" t="s">
        <v>736</v>
      </c>
      <c r="V33" s="2">
        <v>0.3</v>
      </c>
      <c r="W33" s="22">
        <v>1</v>
      </c>
      <c r="X33" s="22">
        <v>22</v>
      </c>
      <c r="Y33" s="3" t="s">
        <v>788</v>
      </c>
      <c r="Z33" s="3" t="s">
        <v>738</v>
      </c>
      <c r="AA33" s="12" t="str">
        <f ca="1">IFERROR(_xludf.ifs(D33="40%","Grau máximo previsto por higienização de banheiros coletivos, resíduos e unidades de saúde, condicionado a LTCAT/PGR/LIP",D33="20%","Grau médio a confirmar por laudo",D33="10%","Grau mínimo a confirmar por laudo",TRUE(),"Sem indicação automática na tabela"),"Revisar laudo técnico")</f>
        <v>Revisar laudo técnico</v>
      </c>
      <c r="AB33" s="3" t="str">
        <f ca="1">IFERROR(_xludf.ifs(W33&lt;V33,"Abaixo do calculado",W33=0,"Sem posto adotado",W33&gt;=V33,"Adotado igual ou superior ao calculado"),"Revisar")</f>
        <v>Revisar</v>
      </c>
      <c r="AC33" s="3" t="str">
        <f ca="1">IFERROR(_xludf.ifs(W33&lt;V33,"Reavaliar quantitativo antes da licitação",W33-V33&gt;1,"Justificar arredondamento operacional ou cobertura",TRUE(),"Manter com justificativa registrada"),"Revisar")</f>
        <v>Revisar</v>
      </c>
    </row>
    <row r="34" spans="1:29" ht="30" customHeight="1" x14ac:dyDescent="0.25">
      <c r="A34" s="40">
        <v>28</v>
      </c>
      <c r="B34" s="17" t="s">
        <v>789</v>
      </c>
      <c r="C34" s="17" t="s">
        <v>734</v>
      </c>
      <c r="D34" s="30" t="s">
        <v>735</v>
      </c>
      <c r="E34" s="40">
        <v>154.01</v>
      </c>
      <c r="F34" s="1">
        <v>34.380000000000003</v>
      </c>
      <c r="G34" s="40">
        <v>145.53</v>
      </c>
      <c r="H34" s="40">
        <v>48.71</v>
      </c>
      <c r="I34" s="40">
        <v>6</v>
      </c>
      <c r="J34" s="40">
        <v>41.24</v>
      </c>
      <c r="K34" s="17" t="s">
        <v>736</v>
      </c>
      <c r="L34" s="17" t="s">
        <v>736</v>
      </c>
      <c r="M34" s="19">
        <v>429.87</v>
      </c>
      <c r="N34" s="40">
        <v>600</v>
      </c>
      <c r="O34" s="40">
        <v>100</v>
      </c>
      <c r="P34" s="40">
        <v>280</v>
      </c>
      <c r="Q34" s="40">
        <v>600</v>
      </c>
      <c r="R34" s="40">
        <v>600</v>
      </c>
      <c r="S34" s="40">
        <v>1200</v>
      </c>
      <c r="T34" s="17" t="s">
        <v>736</v>
      </c>
      <c r="U34" s="17" t="s">
        <v>736</v>
      </c>
      <c r="V34" s="1">
        <v>1.25</v>
      </c>
      <c r="W34" s="40">
        <v>2</v>
      </c>
      <c r="X34" s="40">
        <v>22</v>
      </c>
      <c r="Y34" s="20" t="s">
        <v>790</v>
      </c>
      <c r="Z34" s="20" t="s">
        <v>738</v>
      </c>
      <c r="AA34" s="18" t="str">
        <f ca="1">IFERROR(_xludf.ifs(D34="40%","Grau máximo previsto por higienização de banheiros coletivos, resíduos e unidades de saúde, condicionado a LTCAT/PGR/LIP",D34="20%","Grau médio a confirmar por laudo",D34="10%","Grau mínimo a confirmar por laudo",TRUE(),"Sem indicação automática na tabela"),"Revisar laudo técnico")</f>
        <v>Revisar laudo técnico</v>
      </c>
      <c r="AB34" s="54" t="str">
        <f ca="1">IFERROR(_xludf.ifs(W34&lt;V34,"Abaixo do calculado",W34=0,"Sem posto adotado",W34&gt;=V34,"Adotado igual ou superior ao calculado"),"Revisar")</f>
        <v>Revisar</v>
      </c>
      <c r="AC34" s="54" t="str">
        <f ca="1">IFERROR(_xludf.ifs(W34&lt;V34,"Reavaliar quantitativo antes da licitação",W34-V34&gt;1,"Justificar arredondamento operacional ou cobertura",TRUE(),"Manter com justificativa registrada"),"Revisar")</f>
        <v>Revisar</v>
      </c>
    </row>
    <row r="35" spans="1:29" ht="21.75" customHeight="1" x14ac:dyDescent="0.25">
      <c r="A35" s="22">
        <v>29</v>
      </c>
      <c r="B35" s="3" t="s">
        <v>490</v>
      </c>
      <c r="C35" s="3" t="s">
        <v>734</v>
      </c>
      <c r="D35" s="2" t="s">
        <v>735</v>
      </c>
      <c r="E35" s="22">
        <v>190.39</v>
      </c>
      <c r="F35" s="2">
        <v>11.35</v>
      </c>
      <c r="G35" s="3" t="s">
        <v>736</v>
      </c>
      <c r="H35" s="3" t="s">
        <v>736</v>
      </c>
      <c r="I35" s="3" t="s">
        <v>736</v>
      </c>
      <c r="J35" s="22">
        <v>200</v>
      </c>
      <c r="K35" s="3" t="s">
        <v>736</v>
      </c>
      <c r="L35" s="3" t="s">
        <v>736</v>
      </c>
      <c r="M35" s="12">
        <v>401.74</v>
      </c>
      <c r="N35" s="22">
        <v>600</v>
      </c>
      <c r="O35" s="22">
        <v>100</v>
      </c>
      <c r="P35" s="3" t="s">
        <v>736</v>
      </c>
      <c r="Q35" s="3" t="s">
        <v>736</v>
      </c>
      <c r="R35" s="3" t="s">
        <v>736</v>
      </c>
      <c r="S35" s="22">
        <v>1200</v>
      </c>
      <c r="T35" s="3" t="s">
        <v>736</v>
      </c>
      <c r="U35" s="3" t="s">
        <v>736</v>
      </c>
      <c r="V35" s="2">
        <v>0.6</v>
      </c>
      <c r="W35" s="22">
        <v>1</v>
      </c>
      <c r="X35" s="22">
        <v>22</v>
      </c>
      <c r="Y35" s="3" t="s">
        <v>791</v>
      </c>
      <c r="Z35" s="3" t="s">
        <v>738</v>
      </c>
      <c r="AA35" s="12" t="str">
        <f ca="1">IFERROR(_xludf.ifs(D35="40%","Grau máximo previsto por higienização de banheiros coletivos, resíduos e unidades de saúde, condicionado a LTCAT/PGR/LIP",D35="20%","Grau médio a confirmar por laudo",D35="10%","Grau mínimo a confirmar por laudo",TRUE(),"Sem indicação automática na tabela"),"Revisar laudo técnico")</f>
        <v>Revisar laudo técnico</v>
      </c>
      <c r="AB35" s="3" t="str">
        <f ca="1">IFERROR(_xludf.ifs(W35&lt;V35,"Abaixo do calculado",W35=0,"Sem posto adotado",W35&gt;=V35,"Adotado igual ou superior ao calculado"),"Revisar")</f>
        <v>Revisar</v>
      </c>
      <c r="AC35" s="3" t="str">
        <f ca="1">IFERROR(_xludf.ifs(W35&lt;V35,"Reavaliar quantitativo antes da licitação",W35-V35&gt;1,"Justificar arredondamento operacional ou cobertura",TRUE(),"Manter com justificativa registrada"),"Revisar")</f>
        <v>Revisar</v>
      </c>
    </row>
    <row r="36" spans="1:29" ht="21.75" customHeight="1" x14ac:dyDescent="0.25">
      <c r="A36" s="22">
        <v>30</v>
      </c>
      <c r="B36" s="3" t="s">
        <v>792</v>
      </c>
      <c r="C36" s="3" t="s">
        <v>734</v>
      </c>
      <c r="D36" s="2" t="s">
        <v>735</v>
      </c>
      <c r="E36" s="22">
        <v>372</v>
      </c>
      <c r="F36" s="2">
        <v>36</v>
      </c>
      <c r="G36" s="3" t="s">
        <v>736</v>
      </c>
      <c r="H36" s="3" t="s">
        <v>736</v>
      </c>
      <c r="I36" s="3" t="s">
        <v>736</v>
      </c>
      <c r="J36" s="22">
        <v>42</v>
      </c>
      <c r="K36" s="3" t="s">
        <v>736</v>
      </c>
      <c r="L36" s="3" t="s">
        <v>736</v>
      </c>
      <c r="M36" s="12">
        <v>450</v>
      </c>
      <c r="N36" s="22">
        <v>600</v>
      </c>
      <c r="O36" s="22">
        <v>100</v>
      </c>
      <c r="P36" s="3" t="s">
        <v>736</v>
      </c>
      <c r="Q36" s="3" t="s">
        <v>736</v>
      </c>
      <c r="R36" s="3" t="s">
        <v>736</v>
      </c>
      <c r="S36" s="22">
        <v>1200</v>
      </c>
      <c r="T36" s="3" t="s">
        <v>736</v>
      </c>
      <c r="U36" s="3" t="s">
        <v>736</v>
      </c>
      <c r="V36" s="2">
        <v>1.01</v>
      </c>
      <c r="W36" s="22">
        <v>2</v>
      </c>
      <c r="X36" s="22">
        <v>22</v>
      </c>
      <c r="Y36" s="3" t="s">
        <v>745</v>
      </c>
      <c r="Z36" s="3" t="s">
        <v>738</v>
      </c>
      <c r="AA36" s="12" t="str">
        <f ca="1">IFERROR(_xludf.ifs(D36="40%","Grau máximo previsto por higienização de banheiros coletivos, resíduos e unidades de saúde, condicionado a LTCAT/PGR/LIP",D36="20%","Grau médio a confirmar por laudo",D36="10%","Grau mínimo a confirmar por laudo",TRUE(),"Sem indicação automática na tabela"),"Revisar laudo técnico")</f>
        <v>Revisar laudo técnico</v>
      </c>
      <c r="AB36" s="3" t="str">
        <f ca="1">IFERROR(_xludf.ifs(W36&lt;V36,"Abaixo do calculado",W36=0,"Sem posto adotado",W36&gt;=V36,"Adotado igual ou superior ao calculado"),"Revisar")</f>
        <v>Revisar</v>
      </c>
      <c r="AC36" s="3" t="str">
        <f ca="1">IFERROR(_xludf.ifs(W36&lt;V36,"Reavaliar quantitativo antes da licitação",W36-V36&gt;1,"Justificar arredondamento operacional ou cobertura",TRUE(),"Manter com justificativa registrada"),"Revisar")</f>
        <v>Revisar</v>
      </c>
    </row>
    <row r="37" spans="1:29" ht="21.75" customHeight="1" x14ac:dyDescent="0.25">
      <c r="A37" s="22">
        <v>31</v>
      </c>
      <c r="B37" s="3" t="s">
        <v>793</v>
      </c>
      <c r="C37" s="3" t="s">
        <v>734</v>
      </c>
      <c r="D37" s="2" t="s">
        <v>735</v>
      </c>
      <c r="E37" s="22">
        <v>106.88</v>
      </c>
      <c r="F37" s="2">
        <v>30.08</v>
      </c>
      <c r="G37" s="22">
        <v>82.89</v>
      </c>
      <c r="H37" s="3" t="s">
        <v>736</v>
      </c>
      <c r="I37" s="22">
        <v>22.09</v>
      </c>
      <c r="J37" s="22">
        <v>35.33</v>
      </c>
      <c r="K37" s="3" t="s">
        <v>736</v>
      </c>
      <c r="L37" s="3" t="s">
        <v>736</v>
      </c>
      <c r="M37" s="12">
        <v>277.27</v>
      </c>
      <c r="N37" s="22">
        <v>600</v>
      </c>
      <c r="O37" s="22">
        <v>100</v>
      </c>
      <c r="P37" s="22">
        <v>280</v>
      </c>
      <c r="Q37" s="3" t="s">
        <v>736</v>
      </c>
      <c r="R37" s="22">
        <v>600</v>
      </c>
      <c r="S37" s="22">
        <v>1200</v>
      </c>
      <c r="T37" s="3" t="s">
        <v>736</v>
      </c>
      <c r="U37" s="3" t="s">
        <v>736</v>
      </c>
      <c r="V37" s="2">
        <v>0.84</v>
      </c>
      <c r="W37" s="22">
        <v>1</v>
      </c>
      <c r="X37" s="22">
        <v>22</v>
      </c>
      <c r="Y37" s="3" t="s">
        <v>794</v>
      </c>
      <c r="Z37" s="3" t="s">
        <v>738</v>
      </c>
      <c r="AA37" s="12" t="str">
        <f ca="1">IFERROR(_xludf.ifs(D37="40%","Grau máximo previsto por higienização de banheiros coletivos, resíduos e unidades de saúde, condicionado a LTCAT/PGR/LIP",D37="20%","Grau médio a confirmar por laudo",D37="10%","Grau mínimo a confirmar por laudo",TRUE(),"Sem indicação automática na tabela"),"Revisar laudo técnico")</f>
        <v>Revisar laudo técnico</v>
      </c>
      <c r="AB37" s="3" t="str">
        <f ca="1">IFERROR(_xludf.ifs(W37&lt;V37,"Abaixo do calculado",W37=0,"Sem posto adotado",W37&gt;=V37,"Adotado igual ou superior ao calculado"),"Revisar")</f>
        <v>Revisar</v>
      </c>
      <c r="AC37" s="3" t="str">
        <f ca="1">IFERROR(_xludf.ifs(W37&lt;V37,"Reavaliar quantitativo antes da licitação",W37-V37&gt;1,"Justificar arredondamento operacional ou cobertura",TRUE(),"Manter com justificativa registrada"),"Revisar")</f>
        <v>Revisar</v>
      </c>
    </row>
    <row r="38" spans="1:29" ht="21.75" customHeight="1" x14ac:dyDescent="0.25">
      <c r="A38" s="22">
        <v>32</v>
      </c>
      <c r="B38" s="3" t="s">
        <v>547</v>
      </c>
      <c r="C38" s="3" t="s">
        <v>528</v>
      </c>
      <c r="D38" s="2" t="s">
        <v>735</v>
      </c>
      <c r="E38" s="22">
        <v>154.99</v>
      </c>
      <c r="F38" s="2" t="s">
        <v>736</v>
      </c>
      <c r="G38" s="22">
        <v>57.66</v>
      </c>
      <c r="H38" s="3" t="s">
        <v>736</v>
      </c>
      <c r="I38" s="22">
        <v>2.66</v>
      </c>
      <c r="J38" s="22">
        <v>76.5</v>
      </c>
      <c r="K38" s="3" t="s">
        <v>736</v>
      </c>
      <c r="L38" s="3" t="s">
        <v>736</v>
      </c>
      <c r="M38" s="12">
        <v>291.81</v>
      </c>
      <c r="N38" s="22">
        <v>600</v>
      </c>
      <c r="O38" s="3" t="s">
        <v>736</v>
      </c>
      <c r="P38" s="22">
        <v>390</v>
      </c>
      <c r="Q38" s="3" t="s">
        <v>736</v>
      </c>
      <c r="R38" s="22">
        <v>600</v>
      </c>
      <c r="S38" s="22">
        <v>1200</v>
      </c>
      <c r="T38" s="3" t="s">
        <v>736</v>
      </c>
      <c r="U38" s="3" t="s">
        <v>736</v>
      </c>
      <c r="V38" s="2">
        <v>0.47</v>
      </c>
      <c r="W38" s="22">
        <v>1</v>
      </c>
      <c r="X38" s="22">
        <v>15</v>
      </c>
      <c r="Y38" s="3" t="s">
        <v>795</v>
      </c>
      <c r="Z38" s="3" t="s">
        <v>796</v>
      </c>
      <c r="AA38" s="12" t="str">
        <f ca="1">IFERROR(_xludf.ifs(D38="40%","Grau máximo previsto por higienização de banheiros coletivos, resíduos e unidades de saúde, condicionado a LTCAT/PGR/LIP",D38="20%","Grau médio a confirmar por laudo",D38="10%","Grau mínimo a confirmar por laudo",TRUE(),"Sem indicação automática na tabela"),"Revisar laudo técnico")</f>
        <v>Revisar laudo técnico</v>
      </c>
      <c r="AB38" s="3" t="str">
        <f ca="1">IFERROR(_xludf.ifs(W38&lt;V38,"Abaixo do calculado",W38=0,"Sem posto adotado",W38&gt;=V38,"Adotado igual ou superior ao calculado"),"Revisar")</f>
        <v>Revisar</v>
      </c>
      <c r="AC38" s="3" t="str">
        <f ca="1">IFERROR(_xludf.ifs(W38&lt;V38,"Reavaliar quantitativo antes da licitação",W38-V38&gt;1,"Justificar arredondamento operacional ou cobertura",TRUE(),"Manter com justificativa registrada"),"Revisar")</f>
        <v>Revisar</v>
      </c>
    </row>
    <row r="39" spans="1:29" ht="21.75" customHeight="1" x14ac:dyDescent="0.25">
      <c r="A39" s="22">
        <v>33</v>
      </c>
      <c r="B39" s="3" t="s">
        <v>797</v>
      </c>
      <c r="C39" s="3" t="s">
        <v>734</v>
      </c>
      <c r="D39" s="2" t="s">
        <v>735</v>
      </c>
      <c r="E39" s="22">
        <v>263.85000000000002</v>
      </c>
      <c r="F39" s="2">
        <v>44.2</v>
      </c>
      <c r="G39" s="22">
        <v>128.68</v>
      </c>
      <c r="H39" s="22">
        <v>50.69</v>
      </c>
      <c r="I39" s="3" t="s">
        <v>736</v>
      </c>
      <c r="J39" s="22">
        <v>180.1</v>
      </c>
      <c r="K39" s="3" t="s">
        <v>736</v>
      </c>
      <c r="L39" s="3" t="s">
        <v>736</v>
      </c>
      <c r="M39" s="12">
        <v>667.52</v>
      </c>
      <c r="N39" s="22">
        <v>600</v>
      </c>
      <c r="O39" s="22">
        <v>100</v>
      </c>
      <c r="P39" s="22">
        <v>280</v>
      </c>
      <c r="Q39" s="22">
        <v>600</v>
      </c>
      <c r="R39" s="3" t="s">
        <v>736</v>
      </c>
      <c r="S39" s="22">
        <v>1200</v>
      </c>
      <c r="T39" s="3" t="s">
        <v>736</v>
      </c>
      <c r="U39" s="3" t="s">
        <v>736</v>
      </c>
      <c r="V39" s="2">
        <v>1.58</v>
      </c>
      <c r="W39" s="22">
        <v>2</v>
      </c>
      <c r="X39" s="22">
        <v>22</v>
      </c>
      <c r="Y39" s="3" t="s">
        <v>798</v>
      </c>
      <c r="Z39" s="3" t="s">
        <v>738</v>
      </c>
      <c r="AA39" s="12" t="str">
        <f ca="1">IFERROR(_xludf.ifs(D39="40%","Grau máximo previsto por higienização de banheiros coletivos, resíduos e unidades de saúde, condicionado a LTCAT/PGR/LIP",D39="20%","Grau médio a confirmar por laudo",D39="10%","Grau mínimo a confirmar por laudo",TRUE(),"Sem indicação automática na tabela"),"Revisar laudo técnico")</f>
        <v>Revisar laudo técnico</v>
      </c>
      <c r="AB39" s="3" t="str">
        <f ca="1">IFERROR(_xludf.ifs(W39&lt;V39,"Abaixo do calculado",W39=0,"Sem posto adotado",W39&gt;=V39,"Adotado igual ou superior ao calculado"),"Revisar")</f>
        <v>Revisar</v>
      </c>
      <c r="AC39" s="3" t="str">
        <f ca="1">IFERROR(_xludf.ifs(W39&lt;V39,"Reavaliar quantitativo antes da licitação",W39-V39&gt;1,"Justificar arredondamento operacional ou cobertura",TRUE(),"Manter com justificativa registrada"),"Revisar")</f>
        <v>Revisar</v>
      </c>
    </row>
    <row r="40" spans="1:29" ht="30" customHeight="1" x14ac:dyDescent="0.25">
      <c r="A40" s="40">
        <v>34</v>
      </c>
      <c r="B40" s="17" t="s">
        <v>799</v>
      </c>
      <c r="C40" s="17" t="s">
        <v>734</v>
      </c>
      <c r="D40" s="30" t="s">
        <v>735</v>
      </c>
      <c r="E40" s="40">
        <v>125.7</v>
      </c>
      <c r="F40" s="1">
        <v>10.75</v>
      </c>
      <c r="G40" s="40">
        <v>73.95</v>
      </c>
      <c r="H40" s="40">
        <v>38.880000000000003</v>
      </c>
      <c r="I40" s="40">
        <v>7.7</v>
      </c>
      <c r="J40" s="40">
        <v>105.71</v>
      </c>
      <c r="K40" s="17" t="s">
        <v>736</v>
      </c>
      <c r="L40" s="17" t="s">
        <v>736</v>
      </c>
      <c r="M40" s="19">
        <v>362.69</v>
      </c>
      <c r="N40" s="40">
        <v>600</v>
      </c>
      <c r="O40" s="40">
        <v>100</v>
      </c>
      <c r="P40" s="40">
        <v>280</v>
      </c>
      <c r="Q40" s="40">
        <v>600</v>
      </c>
      <c r="R40" s="40">
        <v>600</v>
      </c>
      <c r="S40" s="40">
        <v>1200</v>
      </c>
      <c r="T40" s="17" t="s">
        <v>736</v>
      </c>
      <c r="U40" s="17" t="s">
        <v>736</v>
      </c>
      <c r="V40" s="1">
        <v>0.75</v>
      </c>
      <c r="W40" s="40">
        <v>1</v>
      </c>
      <c r="X40" s="40">
        <v>22</v>
      </c>
      <c r="Y40" s="20" t="s">
        <v>800</v>
      </c>
      <c r="Z40" s="20" t="s">
        <v>738</v>
      </c>
      <c r="AA40" s="18" t="str">
        <f ca="1">IFERROR(_xludf.ifs(D40="40%","Grau máximo previsto por higienização de banheiros coletivos, resíduos e unidades de saúde, condicionado a LTCAT/PGR/LIP",D40="20%","Grau médio a confirmar por laudo",D40="10%","Grau mínimo a confirmar por laudo",TRUE(),"Sem indicação automática na tabela"),"Revisar laudo técnico")</f>
        <v>Revisar laudo técnico</v>
      </c>
      <c r="AB40" s="54" t="str">
        <f ca="1">IFERROR(_xludf.ifs(W40&lt;V40,"Abaixo do calculado",W40=0,"Sem posto adotado",W40&gt;=V40,"Adotado igual ou superior ao calculado"),"Revisar")</f>
        <v>Revisar</v>
      </c>
      <c r="AC40" s="54" t="str">
        <f ca="1">IFERROR(_xludf.ifs(W40&lt;V40,"Reavaliar quantitativo antes da licitação",W40-V40&gt;1,"Justificar arredondamento operacional ou cobertura",TRUE(),"Manter com justificativa registrada"),"Revisar")</f>
        <v>Revisar</v>
      </c>
    </row>
    <row r="41" spans="1:29" ht="21.75" customHeight="1" x14ac:dyDescent="0.25">
      <c r="A41" s="22">
        <v>35</v>
      </c>
      <c r="B41" s="3" t="s">
        <v>801</v>
      </c>
      <c r="C41" s="3" t="s">
        <v>734</v>
      </c>
      <c r="D41" s="2" t="s">
        <v>735</v>
      </c>
      <c r="E41" s="22">
        <v>116.05</v>
      </c>
      <c r="F41" s="2">
        <v>8.43</v>
      </c>
      <c r="G41" s="22">
        <v>10.18</v>
      </c>
      <c r="H41" s="3" t="s">
        <v>736</v>
      </c>
      <c r="I41" s="3" t="s">
        <v>736</v>
      </c>
      <c r="J41" s="22">
        <v>167.83</v>
      </c>
      <c r="K41" s="3" t="s">
        <v>736</v>
      </c>
      <c r="L41" s="3" t="s">
        <v>736</v>
      </c>
      <c r="M41" s="12">
        <v>302.49</v>
      </c>
      <c r="N41" s="22">
        <v>600</v>
      </c>
      <c r="O41" s="22">
        <v>100</v>
      </c>
      <c r="P41" s="22">
        <v>280</v>
      </c>
      <c r="Q41" s="3" t="s">
        <v>736</v>
      </c>
      <c r="R41" s="3" t="s">
        <v>736</v>
      </c>
      <c r="S41" s="22">
        <v>1200</v>
      </c>
      <c r="T41" s="3" t="s">
        <v>736</v>
      </c>
      <c r="U41" s="3" t="s">
        <v>736</v>
      </c>
      <c r="V41" s="2">
        <v>0.45</v>
      </c>
      <c r="W41" s="22">
        <v>1</v>
      </c>
      <c r="X41" s="22">
        <v>22</v>
      </c>
      <c r="Y41" s="3" t="s">
        <v>802</v>
      </c>
      <c r="Z41" s="3" t="s">
        <v>738</v>
      </c>
      <c r="AA41" s="12" t="str">
        <f ca="1">IFERROR(_xludf.ifs(D41="40%","Grau máximo previsto por higienização de banheiros coletivos, resíduos e unidades de saúde, condicionado a LTCAT/PGR/LIP",D41="20%","Grau médio a confirmar por laudo",D41="10%","Grau mínimo a confirmar por laudo",TRUE(),"Sem indicação automática na tabela"),"Revisar laudo técnico")</f>
        <v>Revisar laudo técnico</v>
      </c>
      <c r="AB41" s="3" t="str">
        <f ca="1">IFERROR(_xludf.ifs(W41&lt;V41,"Abaixo do calculado",W41=0,"Sem posto adotado",W41&gt;=V41,"Adotado igual ou superior ao calculado"),"Revisar")</f>
        <v>Revisar</v>
      </c>
      <c r="AC41" s="3" t="str">
        <f ca="1">IFERROR(_xludf.ifs(W41&lt;V41,"Reavaliar quantitativo antes da licitação",W41-V41&gt;1,"Justificar arredondamento operacional ou cobertura",TRUE(),"Manter com justificativa registrada"),"Revisar")</f>
        <v>Revisar</v>
      </c>
    </row>
    <row r="42" spans="1:29" ht="21.75" customHeight="1" x14ac:dyDescent="0.25">
      <c r="A42" s="22">
        <v>36</v>
      </c>
      <c r="B42" s="3" t="s">
        <v>526</v>
      </c>
      <c r="C42" s="3" t="s">
        <v>528</v>
      </c>
      <c r="D42" s="2" t="s">
        <v>735</v>
      </c>
      <c r="E42" s="22">
        <v>691.68</v>
      </c>
      <c r="F42" s="2" t="s">
        <v>736</v>
      </c>
      <c r="G42" s="22">
        <v>900</v>
      </c>
      <c r="H42" s="3" t="s">
        <v>736</v>
      </c>
      <c r="I42" s="3" t="s">
        <v>736</v>
      </c>
      <c r="J42" s="22">
        <v>742.76</v>
      </c>
      <c r="K42" s="22">
        <v>108.01</v>
      </c>
      <c r="L42" s="22">
        <v>108.01</v>
      </c>
      <c r="M42" s="12">
        <v>2550.46</v>
      </c>
      <c r="N42" s="22">
        <v>600</v>
      </c>
      <c r="O42" s="3" t="s">
        <v>736</v>
      </c>
      <c r="P42" s="22">
        <v>390</v>
      </c>
      <c r="Q42" s="3" t="s">
        <v>736</v>
      </c>
      <c r="R42" s="3" t="s">
        <v>736</v>
      </c>
      <c r="S42" s="22">
        <v>1200</v>
      </c>
      <c r="T42" s="22">
        <v>100</v>
      </c>
      <c r="U42" s="22">
        <v>150</v>
      </c>
      <c r="V42" s="2">
        <v>5.88</v>
      </c>
      <c r="W42" s="22">
        <v>6</v>
      </c>
      <c r="X42" s="22">
        <v>15</v>
      </c>
      <c r="Y42" s="3" t="s">
        <v>803</v>
      </c>
      <c r="Z42" s="3" t="s">
        <v>796</v>
      </c>
      <c r="AA42" s="12" t="str">
        <f ca="1">IFERROR(_xludf.ifs(D42="40%","Grau máximo previsto por higienização de banheiros coletivos, resíduos e unidades de saúde, condicionado a LTCAT/PGR/LIP",D42="20%","Grau médio a confirmar por laudo",D42="10%","Grau mínimo a confirmar por laudo",TRUE(),"Sem indicação automática na tabela"),"Revisar laudo técnico")</f>
        <v>Revisar laudo técnico</v>
      </c>
      <c r="AB42" s="3" t="str">
        <f ca="1">IFERROR(_xludf.ifs(W42&lt;V42,"Abaixo do calculado",W42=0,"Sem posto adotado",W42&gt;=V42,"Adotado igual ou superior ao calculado"),"Revisar")</f>
        <v>Revisar</v>
      </c>
      <c r="AC42" s="3" t="str">
        <f ca="1">IFERROR(_xludf.ifs(W42&lt;V42,"Reavaliar quantitativo antes da licitação",W42-V42&gt;1,"Justificar arredondamento operacional ou cobertura",TRUE(),"Manter com justificativa registrada"),"Revisar")</f>
        <v>Revisar</v>
      </c>
    </row>
    <row r="43" spans="1:29" ht="21.75" customHeight="1" x14ac:dyDescent="0.25">
      <c r="A43" s="22">
        <v>37</v>
      </c>
      <c r="B43" s="3" t="s">
        <v>804</v>
      </c>
      <c r="C43" s="3" t="s">
        <v>734</v>
      </c>
      <c r="D43" s="2" t="s">
        <v>735</v>
      </c>
      <c r="E43" s="22">
        <v>266.44</v>
      </c>
      <c r="F43" s="2">
        <v>30.52</v>
      </c>
      <c r="G43" s="3" t="s">
        <v>736</v>
      </c>
      <c r="H43" s="22">
        <v>231.78</v>
      </c>
      <c r="I43" s="3" t="s">
        <v>736</v>
      </c>
      <c r="J43" s="22">
        <v>255.62</v>
      </c>
      <c r="K43" s="3" t="s">
        <v>736</v>
      </c>
      <c r="L43" s="3" t="s">
        <v>736</v>
      </c>
      <c r="M43" s="12">
        <v>784.36</v>
      </c>
      <c r="N43" s="22">
        <v>600</v>
      </c>
      <c r="O43" s="22">
        <v>100</v>
      </c>
      <c r="P43" s="3" t="s">
        <v>736</v>
      </c>
      <c r="Q43" s="22">
        <v>600</v>
      </c>
      <c r="R43" s="3" t="s">
        <v>736</v>
      </c>
      <c r="S43" s="22">
        <v>1200</v>
      </c>
      <c r="T43" s="3" t="s">
        <v>736</v>
      </c>
      <c r="U43" s="3" t="s">
        <v>736</v>
      </c>
      <c r="V43" s="2">
        <v>1.35</v>
      </c>
      <c r="W43" s="22">
        <v>2</v>
      </c>
      <c r="X43" s="22">
        <v>22</v>
      </c>
      <c r="Y43" s="3" t="s">
        <v>805</v>
      </c>
      <c r="Z43" s="3" t="s">
        <v>738</v>
      </c>
      <c r="AA43" s="12" t="str">
        <f ca="1">IFERROR(_xludf.ifs(D43="40%","Grau máximo previsto por higienização de banheiros coletivos, resíduos e unidades de saúde, condicionado a LTCAT/PGR/LIP",D43="20%","Grau médio a confirmar por laudo",D43="10%","Grau mínimo a confirmar por laudo",TRUE(),"Sem indicação automática na tabela"),"Revisar laudo técnico")</f>
        <v>Revisar laudo técnico</v>
      </c>
      <c r="AB43" s="3" t="str">
        <f ca="1">IFERROR(_xludf.ifs(W43&lt;V43,"Abaixo do calculado",W43=0,"Sem posto adotado",W43&gt;=V43,"Adotado igual ou superior ao calculado"),"Revisar")</f>
        <v>Revisar</v>
      </c>
      <c r="AC43" s="3" t="str">
        <f ca="1">IFERROR(_xludf.ifs(W43&lt;V43,"Reavaliar quantitativo antes da licitação",W43-V43&gt;1,"Justificar arredondamento operacional ou cobertura",TRUE(),"Manter com justificativa registrada"),"Revisar")</f>
        <v>Revisar</v>
      </c>
    </row>
    <row r="44" spans="1:29" ht="21.75" customHeight="1" x14ac:dyDescent="0.25">
      <c r="A44" s="22">
        <v>38</v>
      </c>
      <c r="B44" s="3" t="s">
        <v>806</v>
      </c>
      <c r="C44" s="3" t="s">
        <v>734</v>
      </c>
      <c r="D44" s="2" t="s">
        <v>735</v>
      </c>
      <c r="E44" s="22">
        <v>146.75</v>
      </c>
      <c r="F44" s="2">
        <v>12.1</v>
      </c>
      <c r="G44" s="3" t="s">
        <v>736</v>
      </c>
      <c r="H44" s="3" t="s">
        <v>736</v>
      </c>
      <c r="I44" s="3" t="s">
        <v>736</v>
      </c>
      <c r="J44" s="22">
        <v>199</v>
      </c>
      <c r="K44" s="3" t="s">
        <v>736</v>
      </c>
      <c r="L44" s="3" t="s">
        <v>736</v>
      </c>
      <c r="M44" s="12">
        <v>357.85</v>
      </c>
      <c r="N44" s="22">
        <v>600</v>
      </c>
      <c r="O44" s="22">
        <v>100</v>
      </c>
      <c r="P44" s="3" t="s">
        <v>736</v>
      </c>
      <c r="Q44" s="3" t="s">
        <v>736</v>
      </c>
      <c r="R44" s="3" t="s">
        <v>736</v>
      </c>
      <c r="S44" s="22">
        <v>1200</v>
      </c>
      <c r="T44" s="3" t="s">
        <v>736</v>
      </c>
      <c r="U44" s="3" t="s">
        <v>736</v>
      </c>
      <c r="V44" s="2">
        <v>0.53</v>
      </c>
      <c r="W44" s="22">
        <v>1</v>
      </c>
      <c r="X44" s="22">
        <v>22</v>
      </c>
      <c r="Y44" s="3" t="s">
        <v>807</v>
      </c>
      <c r="Z44" s="3" t="s">
        <v>738</v>
      </c>
      <c r="AA44" s="12" t="str">
        <f ca="1">IFERROR(_xludf.ifs(D44="40%","Grau máximo previsto por higienização de banheiros coletivos, resíduos e unidades de saúde, condicionado a LTCAT/PGR/LIP",D44="20%","Grau médio a confirmar por laudo",D44="10%","Grau mínimo a confirmar por laudo",TRUE(),"Sem indicação automática na tabela"),"Revisar laudo técnico")</f>
        <v>Revisar laudo técnico</v>
      </c>
      <c r="AB44" s="3" t="str">
        <f ca="1">IFERROR(_xludf.ifs(W44&lt;V44,"Abaixo do calculado",W44=0,"Sem posto adotado",W44&gt;=V44,"Adotado igual ou superior ao calculado"),"Revisar")</f>
        <v>Revisar</v>
      </c>
      <c r="AC44" s="3" t="str">
        <f ca="1">IFERROR(_xludf.ifs(W44&lt;V44,"Reavaliar quantitativo antes da licitação",W44-V44&gt;1,"Justificar arredondamento operacional ou cobertura",TRUE(),"Manter com justificativa registrada"),"Revisar")</f>
        <v>Revisar</v>
      </c>
    </row>
    <row r="45" spans="1:29" ht="21.75" customHeight="1" x14ac:dyDescent="0.25">
      <c r="A45" s="22">
        <v>39</v>
      </c>
      <c r="B45" s="3" t="s">
        <v>808</v>
      </c>
      <c r="C45" s="3" t="s">
        <v>734</v>
      </c>
      <c r="D45" s="2" t="s">
        <v>735</v>
      </c>
      <c r="E45" s="22">
        <v>142.76</v>
      </c>
      <c r="F45" s="2">
        <v>29.04</v>
      </c>
      <c r="G45" s="3" t="s">
        <v>736</v>
      </c>
      <c r="H45" s="22">
        <v>34.21</v>
      </c>
      <c r="I45" s="22">
        <v>10.85</v>
      </c>
      <c r="J45" s="22">
        <v>378.9</v>
      </c>
      <c r="K45" s="3" t="s">
        <v>736</v>
      </c>
      <c r="L45" s="3" t="s">
        <v>736</v>
      </c>
      <c r="M45" s="12">
        <v>595.76</v>
      </c>
      <c r="N45" s="22">
        <v>600</v>
      </c>
      <c r="O45" s="22">
        <v>100</v>
      </c>
      <c r="P45" s="3" t="s">
        <v>736</v>
      </c>
      <c r="Q45" s="22">
        <v>600</v>
      </c>
      <c r="R45" s="22">
        <v>600</v>
      </c>
      <c r="S45" s="22">
        <v>1200</v>
      </c>
      <c r="T45" s="3" t="s">
        <v>736</v>
      </c>
      <c r="U45" s="3" t="s">
        <v>736</v>
      </c>
      <c r="V45" s="2">
        <v>0.92</v>
      </c>
      <c r="W45" s="22">
        <v>1</v>
      </c>
      <c r="X45" s="22">
        <v>22</v>
      </c>
      <c r="Y45" s="3" t="s">
        <v>809</v>
      </c>
      <c r="Z45" s="3" t="s">
        <v>738</v>
      </c>
      <c r="AA45" s="12" t="str">
        <f ca="1">IFERROR(_xludf.ifs(D45="40%","Grau máximo previsto por higienização de banheiros coletivos, resíduos e unidades de saúde, condicionado a LTCAT/PGR/LIP",D45="20%","Grau médio a confirmar por laudo",D45="10%","Grau mínimo a confirmar por laudo",TRUE(),"Sem indicação automática na tabela"),"Revisar laudo técnico")</f>
        <v>Revisar laudo técnico</v>
      </c>
      <c r="AB45" s="3" t="str">
        <f ca="1">IFERROR(_xludf.ifs(W45&lt;V45,"Abaixo do calculado",W45=0,"Sem posto adotado",W45&gt;=V45,"Adotado igual ou superior ao calculado"),"Revisar")</f>
        <v>Revisar</v>
      </c>
      <c r="AC45" s="3" t="str">
        <f ca="1">IFERROR(_xludf.ifs(W45&lt;V45,"Reavaliar quantitativo antes da licitação",W45-V45&gt;1,"Justificar arredondamento operacional ou cobertura",TRUE(),"Manter com justificativa registrada"),"Revisar")</f>
        <v>Revisar</v>
      </c>
    </row>
    <row r="46" spans="1:29" ht="21.75" customHeight="1" x14ac:dyDescent="0.25">
      <c r="A46" s="22">
        <v>40</v>
      </c>
      <c r="B46" s="3" t="s">
        <v>810</v>
      </c>
      <c r="C46" s="3" t="s">
        <v>734</v>
      </c>
      <c r="D46" s="2" t="s">
        <v>735</v>
      </c>
      <c r="E46" s="22">
        <v>50.08</v>
      </c>
      <c r="F46" s="2">
        <v>18.079999999999998</v>
      </c>
      <c r="G46" s="22">
        <v>49.31</v>
      </c>
      <c r="H46" s="3" t="s">
        <v>736</v>
      </c>
      <c r="I46" s="22">
        <v>1.82</v>
      </c>
      <c r="J46" s="22">
        <v>128.79</v>
      </c>
      <c r="K46" s="3" t="s">
        <v>736</v>
      </c>
      <c r="L46" s="3" t="s">
        <v>736</v>
      </c>
      <c r="M46" s="12">
        <v>248.08</v>
      </c>
      <c r="N46" s="22">
        <v>600</v>
      </c>
      <c r="O46" s="22">
        <v>100</v>
      </c>
      <c r="P46" s="22">
        <v>280</v>
      </c>
      <c r="Q46" s="3" t="s">
        <v>736</v>
      </c>
      <c r="R46" s="22">
        <v>600</v>
      </c>
      <c r="S46" s="22">
        <v>1200</v>
      </c>
      <c r="T46" s="3" t="s">
        <v>736</v>
      </c>
      <c r="U46" s="3" t="s">
        <v>736</v>
      </c>
      <c r="V46" s="2">
        <v>0.55000000000000004</v>
      </c>
      <c r="W46" s="22">
        <v>1</v>
      </c>
      <c r="X46" s="22">
        <v>22</v>
      </c>
      <c r="Y46" s="3" t="s">
        <v>811</v>
      </c>
      <c r="Z46" s="3" t="s">
        <v>738</v>
      </c>
      <c r="AA46" s="12" t="str">
        <f ca="1">IFERROR(_xludf.ifs(D46="40%","Grau máximo previsto por higienização de banheiros coletivos, resíduos e unidades de saúde, condicionado a LTCAT/PGR/LIP",D46="20%","Grau médio a confirmar por laudo",D46="10%","Grau mínimo a confirmar por laudo",TRUE(),"Sem indicação automática na tabela"),"Revisar laudo técnico")</f>
        <v>Revisar laudo técnico</v>
      </c>
      <c r="AB46" s="3" t="str">
        <f ca="1">IFERROR(_xludf.ifs(W46&lt;V46,"Abaixo do calculado",W46=0,"Sem posto adotado",W46&gt;=V46,"Adotado igual ou superior ao calculado"),"Revisar")</f>
        <v>Revisar</v>
      </c>
      <c r="AC46" s="3" t="str">
        <f ca="1">IFERROR(_xludf.ifs(W46&lt;V46,"Reavaliar quantitativo antes da licitação",W46-V46&gt;1,"Justificar arredondamento operacional ou cobertura",TRUE(),"Manter com justificativa registrada"),"Revisar")</f>
        <v>Revisar</v>
      </c>
    </row>
    <row r="47" spans="1:29" ht="30" customHeight="1" x14ac:dyDescent="0.25">
      <c r="A47" s="40">
        <v>41</v>
      </c>
      <c r="B47" s="17" t="s">
        <v>812</v>
      </c>
      <c r="C47" s="17" t="s">
        <v>734</v>
      </c>
      <c r="D47" s="30" t="s">
        <v>735</v>
      </c>
      <c r="E47" s="40">
        <v>370.33</v>
      </c>
      <c r="F47" s="1">
        <v>39.08</v>
      </c>
      <c r="G47" s="40">
        <v>151.49</v>
      </c>
      <c r="H47" s="40">
        <v>33.33</v>
      </c>
      <c r="I47" s="40">
        <v>13.33</v>
      </c>
      <c r="J47" s="40">
        <v>1331</v>
      </c>
      <c r="K47" s="17" t="s">
        <v>736</v>
      </c>
      <c r="L47" s="17" t="s">
        <v>736</v>
      </c>
      <c r="M47" s="19">
        <v>1938.56</v>
      </c>
      <c r="N47" s="40">
        <v>600</v>
      </c>
      <c r="O47" s="40">
        <v>100</v>
      </c>
      <c r="P47" s="40">
        <v>280</v>
      </c>
      <c r="Q47" s="40">
        <v>600</v>
      </c>
      <c r="R47" s="40">
        <v>600</v>
      </c>
      <c r="S47" s="40">
        <v>1200</v>
      </c>
      <c r="T47" s="17" t="s">
        <v>736</v>
      </c>
      <c r="U47" s="17" t="s">
        <v>736</v>
      </c>
      <c r="V47" s="1">
        <v>2.74</v>
      </c>
      <c r="W47" s="40">
        <v>3</v>
      </c>
      <c r="X47" s="40">
        <v>22</v>
      </c>
      <c r="Y47" s="20" t="s">
        <v>813</v>
      </c>
      <c r="Z47" s="20" t="s">
        <v>738</v>
      </c>
      <c r="AA47" s="18" t="str">
        <f ca="1">IFERROR(_xludf.ifs(D47="40%","Grau máximo previsto por higienização de banheiros coletivos, resíduos e unidades de saúde, condicionado a LTCAT/PGR/LIP",D47="20%","Grau médio a confirmar por laudo",D47="10%","Grau mínimo a confirmar por laudo",TRUE(),"Sem indicação automática na tabela"),"Revisar laudo técnico")</f>
        <v>Revisar laudo técnico</v>
      </c>
      <c r="AB47" s="54" t="str">
        <f ca="1">IFERROR(_xludf.ifs(W47&lt;V47,"Abaixo do calculado",W47=0,"Sem posto adotado",W47&gt;=V47,"Adotado igual ou superior ao calculado"),"Revisar")</f>
        <v>Revisar</v>
      </c>
      <c r="AC47" s="54" t="str">
        <f ca="1">IFERROR(_xludf.ifs(W47&lt;V47,"Reavaliar quantitativo antes da licitação",W47-V47&gt;1,"Justificar arredondamento operacional ou cobertura",TRUE(),"Manter com justificativa registrada"),"Revisar")</f>
        <v>Revisar</v>
      </c>
    </row>
    <row r="48" spans="1:29" ht="21.75" customHeight="1" x14ac:dyDescent="0.25">
      <c r="A48" s="22">
        <v>42</v>
      </c>
      <c r="B48" s="3" t="s">
        <v>814</v>
      </c>
      <c r="C48" s="3" t="s">
        <v>741</v>
      </c>
      <c r="D48" s="2" t="s">
        <v>735</v>
      </c>
      <c r="E48" s="22">
        <v>93.21</v>
      </c>
      <c r="F48" s="2">
        <v>6.84</v>
      </c>
      <c r="G48" s="22">
        <v>34.840000000000003</v>
      </c>
      <c r="H48" s="3" t="s">
        <v>736</v>
      </c>
      <c r="I48" s="3" t="s">
        <v>736</v>
      </c>
      <c r="J48" s="22">
        <v>9.2799999999999994</v>
      </c>
      <c r="K48" s="3" t="s">
        <v>736</v>
      </c>
      <c r="L48" s="3" t="s">
        <v>736</v>
      </c>
      <c r="M48" s="12">
        <v>144.16999999999999</v>
      </c>
      <c r="N48" s="22">
        <v>600</v>
      </c>
      <c r="O48" s="22">
        <v>100</v>
      </c>
      <c r="P48" s="22">
        <v>280</v>
      </c>
      <c r="Q48" s="3" t="s">
        <v>736</v>
      </c>
      <c r="R48" s="3" t="s">
        <v>736</v>
      </c>
      <c r="S48" s="22">
        <v>1200</v>
      </c>
      <c r="T48" s="3" t="s">
        <v>736</v>
      </c>
      <c r="U48" s="3" t="s">
        <v>736</v>
      </c>
      <c r="V48" s="2">
        <v>0.36</v>
      </c>
      <c r="W48" s="22">
        <v>1</v>
      </c>
      <c r="X48" s="22">
        <v>22</v>
      </c>
      <c r="Y48" s="3" t="s">
        <v>815</v>
      </c>
      <c r="Z48" s="3" t="s">
        <v>738</v>
      </c>
      <c r="AA48" s="12" t="str">
        <f ca="1">IFERROR(_xludf.ifs(D48="40%","Grau máximo previsto por higienização de banheiros coletivos, resíduos e unidades de saúde, condicionado a LTCAT/PGR/LIP",D48="20%","Grau médio a confirmar por laudo",D48="10%","Grau mínimo a confirmar por laudo",TRUE(),"Sem indicação automática na tabela"),"Revisar laudo técnico")</f>
        <v>Revisar laudo técnico</v>
      </c>
      <c r="AB48" s="3" t="str">
        <f ca="1">IFERROR(_xludf.ifs(W48&lt;V48,"Abaixo do calculado",W48=0,"Sem posto adotado",W48&gt;=V48,"Adotado igual ou superior ao calculado"),"Revisar")</f>
        <v>Revisar</v>
      </c>
      <c r="AC48" s="3" t="str">
        <f ca="1">IFERROR(_xludf.ifs(W48&lt;V48,"Reavaliar quantitativo antes da licitação",W48-V48&gt;1,"Justificar arredondamento operacional ou cobertura",TRUE(),"Manter com justificativa registrada"),"Revisar")</f>
        <v>Revisar</v>
      </c>
    </row>
    <row r="49" spans="1:29" ht="21.75" customHeight="1" x14ac:dyDescent="0.25">
      <c r="A49" s="22">
        <v>43</v>
      </c>
      <c r="B49" s="3" t="s">
        <v>816</v>
      </c>
      <c r="C49" s="3" t="s">
        <v>734</v>
      </c>
      <c r="D49" s="2" t="s">
        <v>735</v>
      </c>
      <c r="E49" s="22">
        <v>115.2</v>
      </c>
      <c r="F49" s="2">
        <v>18.600000000000001</v>
      </c>
      <c r="G49" s="22">
        <v>101.55</v>
      </c>
      <c r="H49" s="22">
        <v>75.790000000000006</v>
      </c>
      <c r="I49" s="22">
        <v>6.97</v>
      </c>
      <c r="J49" s="3" t="s">
        <v>736</v>
      </c>
      <c r="K49" s="3" t="s">
        <v>736</v>
      </c>
      <c r="L49" s="3" t="s">
        <v>736</v>
      </c>
      <c r="M49" s="12">
        <v>318.11</v>
      </c>
      <c r="N49" s="22">
        <v>600</v>
      </c>
      <c r="O49" s="22">
        <v>100</v>
      </c>
      <c r="P49" s="22">
        <v>280</v>
      </c>
      <c r="Q49" s="22">
        <v>600</v>
      </c>
      <c r="R49" s="22">
        <v>600</v>
      </c>
      <c r="S49" s="3" t="s">
        <v>736</v>
      </c>
      <c r="T49" s="3" t="s">
        <v>736</v>
      </c>
      <c r="U49" s="3" t="s">
        <v>736</v>
      </c>
      <c r="V49" s="2">
        <v>0.88</v>
      </c>
      <c r="W49" s="22">
        <v>1</v>
      </c>
      <c r="X49" s="22">
        <v>22</v>
      </c>
      <c r="Y49" s="3" t="s">
        <v>817</v>
      </c>
      <c r="Z49" s="3" t="s">
        <v>738</v>
      </c>
      <c r="AA49" s="12" t="str">
        <f ca="1">IFERROR(_xludf.ifs(D49="40%","Grau máximo previsto por higienização de banheiros coletivos, resíduos e unidades de saúde, condicionado a LTCAT/PGR/LIP",D49="20%","Grau médio a confirmar por laudo",D49="10%","Grau mínimo a confirmar por laudo",TRUE(),"Sem indicação automática na tabela"),"Revisar laudo técnico")</f>
        <v>Revisar laudo técnico</v>
      </c>
      <c r="AB49" s="3" t="str">
        <f ca="1">IFERROR(_xludf.ifs(W49&lt;V49,"Abaixo do calculado",W49=0,"Sem posto adotado",W49&gt;=V49,"Adotado igual ou superior ao calculado"),"Revisar")</f>
        <v>Revisar</v>
      </c>
      <c r="AC49" s="3" t="str">
        <f ca="1">IFERROR(_xludf.ifs(W49&lt;V49,"Reavaliar quantitativo antes da licitação",W49-V49&gt;1,"Justificar arredondamento operacional ou cobertura",TRUE(),"Manter com justificativa registrada"),"Revisar")</f>
        <v>Revisar</v>
      </c>
    </row>
    <row r="50" spans="1:29" ht="21.75" customHeight="1" x14ac:dyDescent="0.25">
      <c r="A50" s="22">
        <v>44</v>
      </c>
      <c r="B50" s="3" t="s">
        <v>818</v>
      </c>
      <c r="C50" s="3" t="s">
        <v>734</v>
      </c>
      <c r="D50" s="2" t="s">
        <v>735</v>
      </c>
      <c r="E50" s="22">
        <v>130.01</v>
      </c>
      <c r="F50" s="2">
        <v>14.69</v>
      </c>
      <c r="G50" s="22">
        <v>89.03</v>
      </c>
      <c r="H50" s="3" t="s">
        <v>736</v>
      </c>
      <c r="I50" s="22">
        <v>2.9</v>
      </c>
      <c r="J50" s="22">
        <v>12.7</v>
      </c>
      <c r="K50" s="3" t="s">
        <v>736</v>
      </c>
      <c r="L50" s="3" t="s">
        <v>736</v>
      </c>
      <c r="M50" s="12">
        <v>249.33</v>
      </c>
      <c r="N50" s="22">
        <v>600</v>
      </c>
      <c r="O50" s="22">
        <v>100</v>
      </c>
      <c r="P50" s="22">
        <v>280</v>
      </c>
      <c r="Q50" s="3" t="s">
        <v>736</v>
      </c>
      <c r="R50" s="22">
        <v>600</v>
      </c>
      <c r="S50" s="22">
        <v>1200</v>
      </c>
      <c r="T50" s="3" t="s">
        <v>736</v>
      </c>
      <c r="U50" s="3" t="s">
        <v>736</v>
      </c>
      <c r="V50" s="2">
        <v>0.7</v>
      </c>
      <c r="W50" s="22">
        <v>1</v>
      </c>
      <c r="X50" s="22">
        <v>22</v>
      </c>
      <c r="Y50" s="3" t="s">
        <v>819</v>
      </c>
      <c r="Z50" s="3" t="s">
        <v>738</v>
      </c>
      <c r="AA50" s="12" t="str">
        <f ca="1">IFERROR(_xludf.ifs(D50="40%","Grau máximo previsto por higienização de banheiros coletivos, resíduos e unidades de saúde, condicionado a LTCAT/PGR/LIP",D50="20%","Grau médio a confirmar por laudo",D50="10%","Grau mínimo a confirmar por laudo",TRUE(),"Sem indicação automática na tabela"),"Revisar laudo técnico")</f>
        <v>Revisar laudo técnico</v>
      </c>
      <c r="AB50" s="3" t="str">
        <f ca="1">IFERROR(_xludf.ifs(W50&lt;V50,"Abaixo do calculado",W50=0,"Sem posto adotado",W50&gt;=V50,"Adotado igual ou superior ao calculado"),"Revisar")</f>
        <v>Revisar</v>
      </c>
      <c r="AC50" s="3" t="str">
        <f ca="1">IFERROR(_xludf.ifs(W50&lt;V50,"Reavaliar quantitativo antes da licitação",W50-V50&gt;1,"Justificar arredondamento operacional ou cobertura",TRUE(),"Manter com justificativa registrada"),"Revisar")</f>
        <v>Revisar</v>
      </c>
    </row>
    <row r="51" spans="1:29" ht="30" customHeight="1" x14ac:dyDescent="0.25">
      <c r="A51" s="40">
        <v>45</v>
      </c>
      <c r="B51" s="17" t="s">
        <v>820</v>
      </c>
      <c r="C51" s="17" t="s">
        <v>528</v>
      </c>
      <c r="D51" s="30" t="s">
        <v>735</v>
      </c>
      <c r="E51" s="40">
        <v>266.95</v>
      </c>
      <c r="F51" s="1">
        <v>45.99</v>
      </c>
      <c r="G51" s="40">
        <v>236.32</v>
      </c>
      <c r="H51" s="40">
        <v>67.319999999999993</v>
      </c>
      <c r="I51" s="40">
        <v>4.45</v>
      </c>
      <c r="J51" s="40">
        <v>3610.71</v>
      </c>
      <c r="K51" s="17" t="s">
        <v>736</v>
      </c>
      <c r="L51" s="17" t="s">
        <v>736</v>
      </c>
      <c r="M51" s="19">
        <v>4231.74</v>
      </c>
      <c r="N51" s="40">
        <v>600</v>
      </c>
      <c r="O51" s="40">
        <v>100</v>
      </c>
      <c r="P51" s="40">
        <v>390</v>
      </c>
      <c r="Q51" s="40">
        <v>600</v>
      </c>
      <c r="R51" s="40">
        <v>600</v>
      </c>
      <c r="S51" s="40">
        <v>1200</v>
      </c>
      <c r="T51" s="17" t="s">
        <v>736</v>
      </c>
      <c r="U51" s="17" t="s">
        <v>736</v>
      </c>
      <c r="V51" s="1">
        <v>4.6399999999999997</v>
      </c>
      <c r="W51" s="40">
        <v>5</v>
      </c>
      <c r="X51" s="40">
        <v>15</v>
      </c>
      <c r="Y51" s="20" t="s">
        <v>821</v>
      </c>
      <c r="Z51" s="20" t="s">
        <v>796</v>
      </c>
      <c r="AA51" s="18" t="str">
        <f ca="1">IFERROR(_xludf.ifs(D51="40%","Grau máximo previsto por higienização de banheiros coletivos, resíduos e unidades de saúde, condicionado a LTCAT/PGR/LIP",D51="20%","Grau médio a confirmar por laudo",D51="10%","Grau mínimo a confirmar por laudo",TRUE(),"Sem indicação automática na tabela"),"Revisar laudo técnico")</f>
        <v>Revisar laudo técnico</v>
      </c>
      <c r="AB51" s="54" t="str">
        <f ca="1">IFERROR(_xludf.ifs(W51&lt;V51,"Abaixo do calculado",W51=0,"Sem posto adotado",W51&gt;=V51,"Adotado igual ou superior ao calculado"),"Revisar")</f>
        <v>Revisar</v>
      </c>
      <c r="AC51" s="54" t="str">
        <f ca="1">IFERROR(_xludf.ifs(W51&lt;V51,"Reavaliar quantitativo antes da licitação",W51-V51&gt;1,"Justificar arredondamento operacional ou cobertura",TRUE(),"Manter com justificativa registrada"),"Revisar")</f>
        <v>Revisar</v>
      </c>
    </row>
    <row r="52" spans="1:29" ht="21.75" customHeight="1" x14ac:dyDescent="0.25">
      <c r="A52" s="22">
        <v>46</v>
      </c>
      <c r="B52" s="3" t="s">
        <v>406</v>
      </c>
      <c r="C52" s="3" t="s">
        <v>734</v>
      </c>
      <c r="D52" s="2" t="s">
        <v>735</v>
      </c>
      <c r="E52" s="22">
        <v>308.88</v>
      </c>
      <c r="F52" s="2">
        <v>47.91</v>
      </c>
      <c r="G52" s="3" t="s">
        <v>736</v>
      </c>
      <c r="H52" s="22">
        <v>17.95</v>
      </c>
      <c r="I52" s="3" t="s">
        <v>736</v>
      </c>
      <c r="J52" s="22">
        <v>496.81</v>
      </c>
      <c r="K52" s="3" t="s">
        <v>736</v>
      </c>
      <c r="L52" s="3" t="s">
        <v>736</v>
      </c>
      <c r="M52" s="12">
        <v>871.55</v>
      </c>
      <c r="N52" s="22">
        <v>600</v>
      </c>
      <c r="O52" s="22">
        <v>100</v>
      </c>
      <c r="P52" s="3" t="s">
        <v>736</v>
      </c>
      <c r="Q52" s="22">
        <v>600</v>
      </c>
      <c r="R52" s="3" t="s">
        <v>736</v>
      </c>
      <c r="S52" s="22">
        <v>1200</v>
      </c>
      <c r="T52" s="3" t="s">
        <v>736</v>
      </c>
      <c r="U52" s="3" t="s">
        <v>736</v>
      </c>
      <c r="V52" s="2">
        <v>1.44</v>
      </c>
      <c r="W52" s="22">
        <v>2</v>
      </c>
      <c r="X52" s="22">
        <v>22</v>
      </c>
      <c r="Y52" s="3" t="s">
        <v>822</v>
      </c>
      <c r="Z52" s="3" t="s">
        <v>738</v>
      </c>
      <c r="AA52" s="12" t="str">
        <f ca="1">IFERROR(_xludf.ifs(D52="40%","Grau máximo previsto por higienização de banheiros coletivos, resíduos e unidades de saúde, condicionado a LTCAT/PGR/LIP",D52="20%","Grau médio a confirmar por laudo",D52="10%","Grau mínimo a confirmar por laudo",TRUE(),"Sem indicação automática na tabela"),"Revisar laudo técnico")</f>
        <v>Revisar laudo técnico</v>
      </c>
      <c r="AB52" s="3" t="str">
        <f ca="1">IFERROR(_xludf.ifs(W52&lt;V52,"Abaixo do calculado",W52=0,"Sem posto adotado",W52&gt;=V52,"Adotado igual ou superior ao calculado"),"Revisar")</f>
        <v>Revisar</v>
      </c>
      <c r="AC52" s="3" t="str">
        <f ca="1">IFERROR(_xludf.ifs(W52&lt;V52,"Reavaliar quantitativo antes da licitação",W52-V52&gt;1,"Justificar arredondamento operacional ou cobertura",TRUE(),"Manter com justificativa registrada"),"Revisar")</f>
        <v>Revisar</v>
      </c>
    </row>
    <row r="53" spans="1:29" ht="18" customHeight="1"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ht="21.75" customHeight="1" x14ac:dyDescent="0.25">
      <c r="A54" s="3"/>
      <c r="B54" s="3"/>
      <c r="C54" s="3"/>
      <c r="D54" s="3"/>
      <c r="E54" s="3"/>
      <c r="F54" s="3"/>
      <c r="G54" s="3"/>
      <c r="H54" s="3"/>
      <c r="I54" s="3"/>
      <c r="J54" s="3"/>
      <c r="K54" s="3"/>
      <c r="L54" s="3"/>
      <c r="M54" s="3"/>
      <c r="N54" s="3"/>
      <c r="O54" s="3"/>
      <c r="P54" s="3"/>
      <c r="Q54" s="3"/>
      <c r="R54" s="3"/>
      <c r="S54" s="3"/>
      <c r="T54" s="3"/>
      <c r="U54" s="10" t="s">
        <v>823</v>
      </c>
      <c r="V54" s="44">
        <f>IFERROR(SUM(V7:V52),0)</f>
        <v>50.220000000000013</v>
      </c>
      <c r="W54" s="26">
        <f>IFERROR(SUM(W7:W52),0)</f>
        <v>72</v>
      </c>
      <c r="X54" s="53" t="s">
        <v>824</v>
      </c>
      <c r="Y54" s="3"/>
      <c r="Z54" s="3"/>
      <c r="AA54" s="3"/>
      <c r="AB54" s="3"/>
      <c r="AC54" s="3"/>
    </row>
    <row r="55" spans="1:29" ht="18" customHeight="1" x14ac:dyDescent="0.25">
      <c r="A55" s="111"/>
      <c r="B55" s="112"/>
      <c r="C55" s="112"/>
      <c r="D55" s="112"/>
      <c r="E55" s="112"/>
      <c r="F55" s="112"/>
      <c r="G55" s="112"/>
      <c r="H55" s="112"/>
      <c r="I55" s="112"/>
      <c r="J55" s="112"/>
      <c r="K55" s="112"/>
      <c r="L55" s="112"/>
      <c r="M55" s="112"/>
      <c r="N55" s="112"/>
      <c r="O55" s="112"/>
      <c r="P55" s="112"/>
      <c r="Q55" s="112"/>
      <c r="R55" s="112"/>
      <c r="S55" s="112"/>
      <c r="T55" s="112"/>
      <c r="U55" s="112"/>
      <c r="V55" s="112"/>
      <c r="W55" s="112"/>
      <c r="X55" s="112"/>
      <c r="Y55" s="112"/>
      <c r="Z55" s="112"/>
      <c r="AA55" s="9"/>
      <c r="AB55" s="9"/>
      <c r="AC55" s="9"/>
    </row>
    <row r="56" spans="1:29" ht="18" customHeight="1" x14ac:dyDescent="0.25">
      <c r="A56" s="113"/>
      <c r="B56" s="108"/>
      <c r="C56" s="108"/>
      <c r="D56" s="108"/>
      <c r="E56" s="108"/>
      <c r="F56" s="108"/>
      <c r="G56" s="108"/>
      <c r="H56" s="108"/>
      <c r="I56" s="108"/>
      <c r="J56" s="108"/>
      <c r="K56" s="108"/>
      <c r="L56" s="109"/>
      <c r="M56" s="8"/>
      <c r="N56" s="8"/>
      <c r="O56" s="8"/>
      <c r="P56" s="8"/>
      <c r="Q56" s="8"/>
      <c r="R56" s="8"/>
      <c r="S56" s="8"/>
      <c r="T56" s="8"/>
      <c r="U56" s="8"/>
      <c r="V56" s="8"/>
      <c r="W56" s="8"/>
      <c r="X56" s="55" t="s">
        <v>825</v>
      </c>
      <c r="Y56" s="51">
        <f>IFERROR(SUMIFS(W7:W52,C7:C52,"12x36",D7:D52,"40%"),0)</f>
        <v>12</v>
      </c>
      <c r="Z56" s="8"/>
      <c r="AA56" s="8"/>
      <c r="AB56" s="8"/>
      <c r="AC56" s="8"/>
    </row>
    <row r="57" spans="1:29" ht="18" customHeight="1" x14ac:dyDescent="0.25">
      <c r="A57" s="113"/>
      <c r="B57" s="108"/>
      <c r="C57" s="108"/>
      <c r="D57" s="108"/>
      <c r="E57" s="108"/>
      <c r="F57" s="108"/>
      <c r="G57" s="108"/>
      <c r="H57" s="108"/>
      <c r="I57" s="108"/>
      <c r="J57" s="108"/>
      <c r="K57" s="108"/>
      <c r="L57" s="109"/>
      <c r="M57" s="8"/>
      <c r="N57" s="8"/>
      <c r="O57" s="8"/>
      <c r="P57" s="8"/>
      <c r="Q57" s="8"/>
      <c r="R57" s="8"/>
      <c r="S57" s="8"/>
      <c r="T57" s="8"/>
      <c r="U57" s="8"/>
      <c r="V57" s="8"/>
      <c r="W57" s="8"/>
      <c r="X57" s="55" t="s">
        <v>826</v>
      </c>
      <c r="Y57" s="51">
        <f>IFERROR(SUMIFS(W7:W52,C7:C52,"6h",D7:D52,"40%"),0)</f>
        <v>5</v>
      </c>
      <c r="Z57" s="8"/>
      <c r="AA57" s="8"/>
      <c r="AB57" s="8"/>
      <c r="AC57" s="8"/>
    </row>
    <row r="58" spans="1:29" ht="18" customHeight="1" x14ac:dyDescent="0.25">
      <c r="A58" s="113"/>
      <c r="B58" s="108"/>
      <c r="C58" s="108"/>
      <c r="D58" s="108"/>
      <c r="E58" s="108"/>
      <c r="F58" s="108"/>
      <c r="G58" s="108"/>
      <c r="H58" s="108"/>
      <c r="I58" s="108"/>
      <c r="J58" s="108"/>
      <c r="K58" s="108"/>
      <c r="L58" s="109"/>
      <c r="M58" s="8"/>
      <c r="N58" s="8"/>
      <c r="O58" s="8"/>
      <c r="P58" s="8"/>
      <c r="Q58" s="8"/>
      <c r="R58" s="8"/>
      <c r="S58" s="8"/>
      <c r="T58" s="8"/>
      <c r="U58" s="8"/>
      <c r="V58" s="8"/>
      <c r="W58" s="8"/>
      <c r="X58" s="55" t="s">
        <v>827</v>
      </c>
      <c r="Y58" s="51">
        <f>IFERROR(SUMIFS(W7:W52,C7:C52,"6h",D7:D52,"—"),0)</f>
        <v>1</v>
      </c>
      <c r="Z58" s="8"/>
      <c r="AA58" s="8"/>
      <c r="AB58" s="8"/>
      <c r="AC58" s="8"/>
    </row>
    <row r="59" spans="1:29" ht="15" customHeight="1" x14ac:dyDescent="0.25">
      <c r="A59" s="135"/>
      <c r="B59" s="112"/>
      <c r="C59" s="112"/>
      <c r="D59" s="112"/>
      <c r="E59" s="112"/>
      <c r="F59" s="112"/>
      <c r="G59" s="112"/>
      <c r="H59" s="112"/>
      <c r="I59" s="112"/>
      <c r="J59" s="112"/>
      <c r="K59" s="112"/>
      <c r="L59" s="112"/>
      <c r="M59" s="112"/>
      <c r="N59" s="112"/>
      <c r="O59" s="112"/>
      <c r="P59" s="112"/>
      <c r="Q59" s="112"/>
      <c r="R59" s="112"/>
      <c r="S59" s="112"/>
      <c r="T59" s="112"/>
      <c r="U59" s="112"/>
      <c r="V59" s="112"/>
    </row>
    <row r="60" spans="1:29" ht="15" customHeight="1" x14ac:dyDescent="0.25">
      <c r="A60" s="135"/>
      <c r="B60" s="112"/>
      <c r="C60" s="112"/>
      <c r="D60" s="112"/>
      <c r="E60" s="112"/>
      <c r="F60" s="112"/>
      <c r="G60" s="112"/>
      <c r="H60" s="112"/>
      <c r="I60" s="112"/>
      <c r="J60" s="112"/>
      <c r="K60" s="112"/>
      <c r="L60" s="112"/>
      <c r="M60" s="112"/>
      <c r="N60" s="112"/>
      <c r="O60" s="112"/>
      <c r="P60" s="112"/>
      <c r="Q60" s="112"/>
      <c r="R60" s="112"/>
      <c r="S60" s="112"/>
      <c r="T60" s="112"/>
      <c r="U60" s="112"/>
      <c r="V60" s="112"/>
    </row>
  </sheetData>
  <mergeCells count="16">
    <mergeCell ref="A5:A6"/>
    <mergeCell ref="A57:L57"/>
    <mergeCell ref="A60:V60"/>
    <mergeCell ref="A1:Z1"/>
    <mergeCell ref="E5:M5"/>
    <mergeCell ref="B5:B6"/>
    <mergeCell ref="A3:Z3"/>
    <mergeCell ref="A55:Z55"/>
    <mergeCell ref="A58:L58"/>
    <mergeCell ref="C5:C6"/>
    <mergeCell ref="V5:Z5"/>
    <mergeCell ref="A2:Z2"/>
    <mergeCell ref="A56:L56"/>
    <mergeCell ref="N5:U5"/>
    <mergeCell ref="A59:V59"/>
    <mergeCell ref="D5:D6"/>
  </mergeCells>
  <printOptions horizontalCentered="1"/>
  <pageMargins left="0.35" right="0.35" top="0.55000000000000004" bottom="0.55000000000000004" header="0.511811023622047" footer="0.511811023622047"/>
  <pageSetup paperSize="9" fitToHeight="0" orientation="landscape" horizontalDpi="300" verticalDpi="30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H12"/>
  <sheetViews>
    <sheetView showGridLines="0" zoomScaleNormal="100" workbookViewId="0">
      <pane ySplit="3" topLeftCell="A4" activePane="bottomLeft" state="frozen"/>
      <selection pane="bottomLeft"/>
    </sheetView>
  </sheetViews>
  <sheetFormatPr defaultColWidth="8.5703125" defaultRowHeight="15" x14ac:dyDescent="0.25"/>
  <cols>
    <col min="1" max="1" width="34" customWidth="1"/>
    <col min="2" max="2" width="20" customWidth="1"/>
    <col min="3" max="7" width="34" customWidth="1"/>
    <col min="8" max="8" width="14" customWidth="1"/>
  </cols>
  <sheetData>
    <row r="1" spans="1:8" ht="24" customHeight="1" x14ac:dyDescent="0.25">
      <c r="A1" s="107" t="s">
        <v>828</v>
      </c>
      <c r="B1" s="108"/>
      <c r="C1" s="108"/>
      <c r="D1" s="108"/>
      <c r="E1" s="108"/>
      <c r="F1" s="108"/>
      <c r="G1" s="108"/>
      <c r="H1" s="109"/>
    </row>
    <row r="2" spans="1:8" ht="18" customHeight="1" x14ac:dyDescent="0.25">
      <c r="A2" s="9"/>
      <c r="B2" s="9"/>
      <c r="C2" s="9"/>
      <c r="D2" s="9"/>
      <c r="E2" s="9"/>
      <c r="F2" s="9"/>
      <c r="G2" s="9"/>
      <c r="H2" s="9"/>
    </row>
    <row r="3" spans="1:8" ht="21.75" customHeight="1" x14ac:dyDescent="0.25">
      <c r="A3" s="3" t="s">
        <v>91</v>
      </c>
      <c r="B3" s="3" t="s">
        <v>829</v>
      </c>
      <c r="C3" s="3" t="s">
        <v>830</v>
      </c>
      <c r="D3" s="12" t="s">
        <v>831</v>
      </c>
      <c r="E3" s="12" t="s">
        <v>832</v>
      </c>
      <c r="F3" s="3" t="s">
        <v>833</v>
      </c>
      <c r="G3" s="12" t="s">
        <v>834</v>
      </c>
      <c r="H3" s="3" t="s">
        <v>13</v>
      </c>
    </row>
    <row r="4" spans="1:8" ht="21.75" customHeight="1" x14ac:dyDescent="0.25">
      <c r="A4" s="26">
        <v>1</v>
      </c>
      <c r="B4" s="10" t="s">
        <v>835</v>
      </c>
      <c r="C4" s="10" t="s">
        <v>836</v>
      </c>
      <c r="D4" s="6" t="s">
        <v>837</v>
      </c>
      <c r="E4" s="6" t="s">
        <v>838</v>
      </c>
      <c r="F4" s="10" t="s">
        <v>839</v>
      </c>
      <c r="G4" s="6" t="s">
        <v>840</v>
      </c>
      <c r="H4" s="10" t="s">
        <v>109</v>
      </c>
    </row>
    <row r="5" spans="1:8" ht="21.75" customHeight="1" x14ac:dyDescent="0.25">
      <c r="A5" s="22">
        <v>2</v>
      </c>
      <c r="B5" s="3" t="s">
        <v>835</v>
      </c>
      <c r="C5" s="3" t="s">
        <v>841</v>
      </c>
      <c r="D5" s="12" t="s">
        <v>842</v>
      </c>
      <c r="E5" s="12" t="s">
        <v>843</v>
      </c>
      <c r="F5" s="3" t="s">
        <v>844</v>
      </c>
      <c r="G5" s="12" t="s">
        <v>845</v>
      </c>
      <c r="H5" s="3" t="s">
        <v>109</v>
      </c>
    </row>
    <row r="6" spans="1:8" ht="21.75" customHeight="1" x14ac:dyDescent="0.25">
      <c r="A6" s="22">
        <v>3</v>
      </c>
      <c r="B6" s="3" t="s">
        <v>846</v>
      </c>
      <c r="C6" s="3" t="s">
        <v>847</v>
      </c>
      <c r="D6" s="12" t="s">
        <v>848</v>
      </c>
      <c r="E6" s="12" t="s">
        <v>849</v>
      </c>
      <c r="F6" s="3" t="s">
        <v>850</v>
      </c>
      <c r="G6" s="12" t="s">
        <v>851</v>
      </c>
      <c r="H6" s="3" t="s">
        <v>109</v>
      </c>
    </row>
    <row r="7" spans="1:8" ht="21.75" customHeight="1" x14ac:dyDescent="0.25">
      <c r="A7" s="22">
        <v>4</v>
      </c>
      <c r="B7" s="3" t="s">
        <v>846</v>
      </c>
      <c r="C7" s="3" t="s">
        <v>146</v>
      </c>
      <c r="D7" s="12" t="s">
        <v>852</v>
      </c>
      <c r="E7" s="12" t="s">
        <v>853</v>
      </c>
      <c r="F7" s="3" t="s">
        <v>854</v>
      </c>
      <c r="G7" s="12" t="s">
        <v>855</v>
      </c>
      <c r="H7" s="3" t="s">
        <v>856</v>
      </c>
    </row>
    <row r="8" spans="1:8" ht="21.75" customHeight="1" x14ac:dyDescent="0.25">
      <c r="A8" s="22">
        <v>5</v>
      </c>
      <c r="B8" s="3" t="s">
        <v>857</v>
      </c>
      <c r="C8" s="3" t="s">
        <v>858</v>
      </c>
      <c r="D8" s="12" t="s">
        <v>859</v>
      </c>
      <c r="E8" s="12" t="s">
        <v>860</v>
      </c>
      <c r="F8" s="3" t="s">
        <v>861</v>
      </c>
      <c r="G8" s="12" t="s">
        <v>862</v>
      </c>
      <c r="H8" s="3" t="s">
        <v>856</v>
      </c>
    </row>
    <row r="9" spans="1:8" ht="21.75" customHeight="1" x14ac:dyDescent="0.25">
      <c r="A9" s="22">
        <v>6</v>
      </c>
      <c r="B9" s="3" t="s">
        <v>863</v>
      </c>
      <c r="C9" s="3" t="s">
        <v>864</v>
      </c>
      <c r="D9" s="12" t="s">
        <v>865</v>
      </c>
      <c r="E9" s="12" t="s">
        <v>866</v>
      </c>
      <c r="F9" s="3" t="s">
        <v>867</v>
      </c>
      <c r="G9" s="12" t="s">
        <v>868</v>
      </c>
      <c r="H9" s="3" t="s">
        <v>856</v>
      </c>
    </row>
    <row r="10" spans="1:8" ht="21.75" customHeight="1" x14ac:dyDescent="0.25">
      <c r="A10" s="22">
        <v>7</v>
      </c>
      <c r="B10" s="3" t="s">
        <v>869</v>
      </c>
      <c r="C10" s="3" t="s">
        <v>38</v>
      </c>
      <c r="D10" s="12" t="s">
        <v>870</v>
      </c>
      <c r="E10" s="12" t="s">
        <v>871</v>
      </c>
      <c r="F10" s="3" t="s">
        <v>872</v>
      </c>
      <c r="G10" s="12" t="s">
        <v>873</v>
      </c>
      <c r="H10" s="3" t="s">
        <v>856</v>
      </c>
    </row>
    <row r="11" spans="1:8" ht="21.75" customHeight="1" x14ac:dyDescent="0.25">
      <c r="A11" s="3">
        <v>6</v>
      </c>
      <c r="B11" s="3" t="s">
        <v>54</v>
      </c>
      <c r="C11" s="3" t="s">
        <v>874</v>
      </c>
      <c r="D11" s="12" t="s">
        <v>875</v>
      </c>
      <c r="E11" s="12" t="s">
        <v>876</v>
      </c>
      <c r="F11" s="3" t="s">
        <v>877</v>
      </c>
      <c r="G11" s="12" t="s">
        <v>109</v>
      </c>
      <c r="H11" s="3" t="s">
        <v>878</v>
      </c>
    </row>
    <row r="12" spans="1:8" ht="30" customHeight="1" x14ac:dyDescent="0.25">
      <c r="A12" s="14">
        <v>7</v>
      </c>
      <c r="B12" s="10" t="s">
        <v>54</v>
      </c>
      <c r="C12" s="10" t="s">
        <v>879</v>
      </c>
      <c r="D12" s="6" t="s">
        <v>880</v>
      </c>
      <c r="E12" s="6" t="s">
        <v>881</v>
      </c>
      <c r="F12" s="10" t="s">
        <v>882</v>
      </c>
      <c r="G12" s="6" t="s">
        <v>109</v>
      </c>
      <c r="H12" s="10" t="s">
        <v>878</v>
      </c>
    </row>
  </sheetData>
  <autoFilter ref="A3:H12" xr:uid="{00000000-0009-0000-0000-00000D000000}"/>
  <mergeCells count="1">
    <mergeCell ref="A1:H1"/>
  </mergeCells>
  <printOptions horizontalCentered="1"/>
  <pageMargins left="0.35" right="0.35" top="0.55000000000000004" bottom="0.55000000000000004" header="0.511811023622047" footer="0.511811023622047"/>
  <pageSetup paperSize="9" fitToHeight="0" orientation="portrait" horizontalDpi="300" verticalDpi="30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D11"/>
  <sheetViews>
    <sheetView showGridLines="0" zoomScaleNormal="100" workbookViewId="0">
      <pane ySplit="3" topLeftCell="A4" activePane="bottomLeft" state="frozen"/>
      <selection pane="bottomLeft"/>
    </sheetView>
  </sheetViews>
  <sheetFormatPr defaultColWidth="8.5703125" defaultRowHeight="15" x14ac:dyDescent="0.25"/>
  <cols>
    <col min="1" max="3" width="34" customWidth="1"/>
    <col min="4" max="4" width="11" customWidth="1"/>
  </cols>
  <sheetData>
    <row r="1" spans="1:4" ht="24" customHeight="1" x14ac:dyDescent="0.25">
      <c r="A1" s="107" t="s">
        <v>883</v>
      </c>
      <c r="B1" s="108"/>
      <c r="C1" s="108"/>
      <c r="D1" s="109"/>
    </row>
    <row r="2" spans="1:4" ht="18" customHeight="1" x14ac:dyDescent="0.25">
      <c r="A2" s="9"/>
      <c r="B2" s="9"/>
      <c r="C2" s="9"/>
      <c r="D2" s="9"/>
    </row>
    <row r="3" spans="1:4" ht="21.75" customHeight="1" x14ac:dyDescent="0.25">
      <c r="A3" s="10" t="s">
        <v>884</v>
      </c>
      <c r="B3" s="10" t="s">
        <v>885</v>
      </c>
      <c r="C3" s="10" t="s">
        <v>886</v>
      </c>
      <c r="D3" s="10" t="s">
        <v>887</v>
      </c>
    </row>
    <row r="4" spans="1:4" ht="21.75" customHeight="1" x14ac:dyDescent="0.25">
      <c r="A4" s="3" t="s">
        <v>888</v>
      </c>
      <c r="B4" s="3" t="s">
        <v>889</v>
      </c>
      <c r="C4" s="3" t="s">
        <v>890</v>
      </c>
      <c r="D4" s="3" t="s">
        <v>891</v>
      </c>
    </row>
    <row r="5" spans="1:4" ht="21.75" customHeight="1" x14ac:dyDescent="0.25">
      <c r="A5" s="3" t="s">
        <v>892</v>
      </c>
      <c r="B5" s="3" t="s">
        <v>893</v>
      </c>
      <c r="C5" s="3" t="s">
        <v>894</v>
      </c>
      <c r="D5" s="3" t="s">
        <v>891</v>
      </c>
    </row>
    <row r="6" spans="1:4" ht="21.75" customHeight="1" x14ac:dyDescent="0.25">
      <c r="A6" s="3" t="s">
        <v>895</v>
      </c>
      <c r="B6" s="3" t="s">
        <v>896</v>
      </c>
      <c r="C6" s="3" t="s">
        <v>897</v>
      </c>
      <c r="D6" s="3" t="s">
        <v>891</v>
      </c>
    </row>
    <row r="7" spans="1:4" ht="21.75" customHeight="1" x14ac:dyDescent="0.25">
      <c r="A7" s="3" t="s">
        <v>898</v>
      </c>
      <c r="B7" s="3" t="s">
        <v>899</v>
      </c>
      <c r="C7" s="3" t="s">
        <v>900</v>
      </c>
      <c r="D7" s="3" t="s">
        <v>891</v>
      </c>
    </row>
    <row r="8" spans="1:4" ht="21.75" customHeight="1" x14ac:dyDescent="0.25">
      <c r="A8" s="10" t="s">
        <v>901</v>
      </c>
      <c r="B8" s="10" t="s">
        <v>902</v>
      </c>
      <c r="C8" s="10" t="s">
        <v>903</v>
      </c>
      <c r="D8" s="10" t="s">
        <v>891</v>
      </c>
    </row>
    <row r="9" spans="1:4" ht="21.75" customHeight="1" x14ac:dyDescent="0.25">
      <c r="A9" s="10" t="s">
        <v>904</v>
      </c>
      <c r="B9" s="10" t="s">
        <v>905</v>
      </c>
      <c r="C9" s="10" t="s">
        <v>906</v>
      </c>
      <c r="D9" s="10" t="s">
        <v>891</v>
      </c>
    </row>
    <row r="10" spans="1:4" ht="21.75" customHeight="1" x14ac:dyDescent="0.25">
      <c r="A10" s="3" t="s">
        <v>907</v>
      </c>
      <c r="B10" s="3" t="s">
        <v>908</v>
      </c>
      <c r="C10" s="3" t="s">
        <v>909</v>
      </c>
      <c r="D10" s="3" t="s">
        <v>891</v>
      </c>
    </row>
    <row r="11" spans="1:4" ht="18" customHeight="1" x14ac:dyDescent="0.25">
      <c r="A11" s="17" t="s">
        <v>910</v>
      </c>
      <c r="B11" s="20" t="s">
        <v>911</v>
      </c>
      <c r="C11" s="20" t="s">
        <v>912</v>
      </c>
      <c r="D11" s="17" t="s">
        <v>891</v>
      </c>
    </row>
  </sheetData>
  <autoFilter ref="A3:D11" xr:uid="{00000000-0009-0000-0000-00000E000000}"/>
  <mergeCells count="1">
    <mergeCell ref="A1:D1"/>
  </mergeCells>
  <printOptions horizontalCentered="1"/>
  <pageMargins left="0.35" right="0.35" top="0.55000000000000004" bottom="0.55000000000000004" header="0.511811023622047" footer="0.511811023622047"/>
  <pageSetup paperSize="9" fitToHeight="0" orientation="portrait" horizontalDpi="300" verticalDpi="30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F9"/>
  <sheetViews>
    <sheetView showGridLines="0" zoomScaleNormal="100" workbookViewId="0">
      <pane ySplit="4" topLeftCell="A5" activePane="bottomLeft" state="frozen"/>
      <selection pane="bottomLeft"/>
    </sheetView>
  </sheetViews>
  <sheetFormatPr defaultColWidth="8.5703125" defaultRowHeight="15" x14ac:dyDescent="0.25"/>
  <cols>
    <col min="1" max="1" width="34" customWidth="1"/>
    <col min="2" max="3" width="13" customWidth="1"/>
    <col min="4" max="4" width="24" customWidth="1"/>
    <col min="5" max="5" width="8" customWidth="1"/>
    <col min="6" max="6" width="33" customWidth="1"/>
  </cols>
  <sheetData>
    <row r="1" spans="1:6" ht="24" customHeight="1" x14ac:dyDescent="0.25">
      <c r="A1" s="121" t="s">
        <v>913</v>
      </c>
      <c r="B1" s="108"/>
      <c r="C1" s="108"/>
      <c r="D1" s="108"/>
      <c r="E1" s="108"/>
      <c r="F1" s="109"/>
    </row>
    <row r="2" spans="1:6" ht="24" customHeight="1" x14ac:dyDescent="0.25">
      <c r="A2" s="121" t="s">
        <v>914</v>
      </c>
      <c r="B2" s="108"/>
      <c r="C2" s="108"/>
      <c r="D2" s="108"/>
      <c r="E2" s="108"/>
      <c r="F2" s="109"/>
    </row>
    <row r="3" spans="1:6" ht="18" customHeight="1" x14ac:dyDescent="0.25">
      <c r="A3" s="9"/>
      <c r="B3" s="9"/>
      <c r="C3" s="9"/>
      <c r="D3" s="9"/>
      <c r="E3" s="9"/>
      <c r="F3" s="9"/>
    </row>
    <row r="4" spans="1:6" ht="21.75" customHeight="1" x14ac:dyDescent="0.25">
      <c r="A4" s="12" t="s">
        <v>915</v>
      </c>
      <c r="B4" s="12" t="s">
        <v>122</v>
      </c>
      <c r="C4" s="12" t="s">
        <v>123</v>
      </c>
      <c r="D4" s="3" t="s">
        <v>916</v>
      </c>
      <c r="E4" s="3" t="s">
        <v>13</v>
      </c>
      <c r="F4" s="12" t="s">
        <v>4</v>
      </c>
    </row>
    <row r="5" spans="1:6" ht="21.75" customHeight="1" x14ac:dyDescent="0.25">
      <c r="A5" s="12" t="s">
        <v>917</v>
      </c>
      <c r="B5" s="12">
        <f>IFERROR('L2 Quadro Resumo'!K7,0)</f>
        <v>7175.3124713380603</v>
      </c>
      <c r="C5" s="12" t="s">
        <v>128</v>
      </c>
      <c r="D5" s="3" t="s">
        <v>918</v>
      </c>
      <c r="E5" s="3" t="str">
        <f>IF(B5&gt;0,"OK","Verificar")</f>
        <v>OK</v>
      </c>
      <c r="F5" s="12" t="s">
        <v>919</v>
      </c>
    </row>
    <row r="6" spans="1:6" ht="21.75" customHeight="1" x14ac:dyDescent="0.25">
      <c r="A6" s="12" t="s">
        <v>920</v>
      </c>
      <c r="B6" s="12">
        <f>IFERROR('L2 Quadro Resumo'!L7,0)</f>
        <v>2</v>
      </c>
      <c r="C6" s="12" t="s">
        <v>921</v>
      </c>
      <c r="D6" s="3" t="s">
        <v>922</v>
      </c>
      <c r="E6" s="3" t="str">
        <f>IF(B6&gt;0,"OK","Verificar")</f>
        <v>OK</v>
      </c>
      <c r="F6" s="12" t="s">
        <v>923</v>
      </c>
    </row>
    <row r="7" spans="1:6" ht="21.75" customHeight="1" x14ac:dyDescent="0.25">
      <c r="A7" s="6" t="s">
        <v>10</v>
      </c>
      <c r="B7" s="13">
        <f>IFERROR('L2 Quadro Resumo'!M7,0)</f>
        <v>14350.624942676121</v>
      </c>
      <c r="C7" s="6" t="s">
        <v>128</v>
      </c>
      <c r="D7" s="10" t="s">
        <v>924</v>
      </c>
      <c r="E7" s="14" t="str">
        <f>IF(B7&gt;0,"OK","Verificar")</f>
        <v>OK</v>
      </c>
      <c r="F7" s="6" t="s">
        <v>925</v>
      </c>
    </row>
    <row r="8" spans="1:6" ht="21.75" customHeight="1" x14ac:dyDescent="0.25">
      <c r="A8" s="6" t="s">
        <v>11</v>
      </c>
      <c r="B8" s="13">
        <f>IFERROR('L2 Quadro Resumo'!N7,0)</f>
        <v>172207.49931211345</v>
      </c>
      <c r="C8" s="6" t="s">
        <v>926</v>
      </c>
      <c r="D8" s="10" t="s">
        <v>927</v>
      </c>
      <c r="E8" s="14" t="str">
        <f>IF(B8&gt;0,"OK","Verificar")</f>
        <v>OK</v>
      </c>
      <c r="F8" s="6" t="s">
        <v>928</v>
      </c>
    </row>
    <row r="9" spans="1:6" ht="18" customHeight="1" x14ac:dyDescent="0.25">
      <c r="A9" s="23" t="s">
        <v>12</v>
      </c>
      <c r="B9" s="18">
        <f>IFERROR('L2 Quadro Resumo'!M7-'L2 Quadro Resumo'!F9,0)</f>
        <v>0</v>
      </c>
      <c r="C9" s="23" t="s">
        <v>128</v>
      </c>
      <c r="D9" s="17" t="s">
        <v>929</v>
      </c>
      <c r="E9" s="54" t="str">
        <f>IF(ABS(B9)&lt;0.01,"OK","Divergente")</f>
        <v>OK</v>
      </c>
      <c r="F9" s="38" t="s">
        <v>930</v>
      </c>
    </row>
  </sheetData>
  <autoFilter ref="A4:F9" xr:uid="{00000000-0009-0000-0000-00000F000000}"/>
  <mergeCells count="2">
    <mergeCell ref="A2:F2"/>
    <mergeCell ref="A1:F1"/>
  </mergeCells>
  <printOptions horizontalCentered="1"/>
  <pageMargins left="0.35" right="0.35" top="0.55000000000000004" bottom="0.55000000000000004" header="0.511811023622047" footer="0.511811023622047"/>
  <pageSetup paperSize="9" fitToHeight="0" orientation="portrait" horizontalDpi="300" verticalDpi="30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F17"/>
  <sheetViews>
    <sheetView showGridLines="0" zoomScaleNormal="100" workbookViewId="0">
      <pane ySplit="4" topLeftCell="A5" activePane="bottomLeft" state="frozen"/>
      <selection pane="bottomLeft" activeCell="A17" sqref="A17:F17"/>
    </sheetView>
  </sheetViews>
  <sheetFormatPr defaultColWidth="8.5703125" defaultRowHeight="15" x14ac:dyDescent="0.25"/>
  <cols>
    <col min="1" max="1" width="34" customWidth="1"/>
    <col min="2" max="2" width="13" customWidth="1"/>
    <col min="3" max="3" width="24" customWidth="1"/>
    <col min="4" max="6" width="34" customWidth="1"/>
  </cols>
  <sheetData>
    <row r="1" spans="1:6" ht="24" customHeight="1" x14ac:dyDescent="0.25">
      <c r="A1" s="121" t="s">
        <v>931</v>
      </c>
      <c r="B1" s="108"/>
      <c r="C1" s="108"/>
      <c r="D1" s="108"/>
      <c r="E1" s="108"/>
      <c r="F1" s="109"/>
    </row>
    <row r="2" spans="1:6" ht="24" customHeight="1" x14ac:dyDescent="0.25">
      <c r="A2" s="121" t="s">
        <v>932</v>
      </c>
      <c r="B2" s="108"/>
      <c r="C2" s="108"/>
      <c r="D2" s="108"/>
      <c r="E2" s="108"/>
      <c r="F2" s="109"/>
    </row>
    <row r="3" spans="1:6" ht="18" customHeight="1" x14ac:dyDescent="0.25">
      <c r="A3" s="9"/>
      <c r="B3" s="9"/>
      <c r="C3" s="9"/>
      <c r="D3" s="9"/>
      <c r="E3" s="9"/>
      <c r="F3" s="9"/>
    </row>
    <row r="4" spans="1:6" ht="21.75" customHeight="1" x14ac:dyDescent="0.25">
      <c r="A4" s="12" t="s">
        <v>121</v>
      </c>
      <c r="B4" s="12" t="s">
        <v>122</v>
      </c>
      <c r="C4" s="12" t="s">
        <v>123</v>
      </c>
      <c r="D4" s="12" t="s">
        <v>124</v>
      </c>
      <c r="E4" s="3" t="s">
        <v>933</v>
      </c>
      <c r="F4" s="12" t="s">
        <v>126</v>
      </c>
    </row>
    <row r="5" spans="1:6" ht="25.5" customHeight="1" x14ac:dyDescent="0.25">
      <c r="A5" s="12" t="s">
        <v>127</v>
      </c>
      <c r="B5" s="12">
        <v>1651</v>
      </c>
      <c r="C5" s="12" t="s">
        <v>128</v>
      </c>
      <c r="D5" s="12" t="s">
        <v>129</v>
      </c>
      <c r="E5" s="3" t="s">
        <v>934</v>
      </c>
      <c r="F5" s="12" t="s">
        <v>935</v>
      </c>
    </row>
    <row r="6" spans="1:6" ht="25.5" customHeight="1" x14ac:dyDescent="0.25">
      <c r="A6" s="12" t="s">
        <v>132</v>
      </c>
      <c r="B6" s="12">
        <v>1621</v>
      </c>
      <c r="C6" s="12" t="s">
        <v>128</v>
      </c>
      <c r="D6" s="12" t="s">
        <v>133</v>
      </c>
      <c r="E6" s="3" t="s">
        <v>936</v>
      </c>
      <c r="F6" s="12" t="s">
        <v>937</v>
      </c>
    </row>
    <row r="7" spans="1:6" ht="25.5" customHeight="1" x14ac:dyDescent="0.25">
      <c r="A7" s="12" t="s">
        <v>938</v>
      </c>
      <c r="B7" s="2">
        <v>0.2</v>
      </c>
      <c r="C7" s="12" t="s">
        <v>137</v>
      </c>
      <c r="D7" s="12" t="s">
        <v>939</v>
      </c>
      <c r="E7" s="3" t="s">
        <v>940</v>
      </c>
      <c r="F7" s="12" t="s">
        <v>941</v>
      </c>
    </row>
    <row r="8" spans="1:6" ht="25.5" customHeight="1" x14ac:dyDescent="0.25">
      <c r="A8" s="12" t="s">
        <v>136</v>
      </c>
      <c r="B8" s="2">
        <v>0.4</v>
      </c>
      <c r="C8" s="12" t="s">
        <v>137</v>
      </c>
      <c r="D8" s="12" t="s">
        <v>942</v>
      </c>
      <c r="E8" s="3" t="s">
        <v>936</v>
      </c>
      <c r="F8" s="12" t="s">
        <v>943</v>
      </c>
    </row>
    <row r="9" spans="1:6" ht="25.5" customHeight="1" x14ac:dyDescent="0.25">
      <c r="A9" s="12" t="s">
        <v>145</v>
      </c>
      <c r="B9" s="12">
        <v>400</v>
      </c>
      <c r="C9" s="12" t="s">
        <v>128</v>
      </c>
      <c r="D9" s="12" t="s">
        <v>146</v>
      </c>
      <c r="E9" s="3" t="s">
        <v>944</v>
      </c>
      <c r="F9" s="12" t="s">
        <v>945</v>
      </c>
    </row>
    <row r="10" spans="1:6" ht="25.5" customHeight="1" x14ac:dyDescent="0.25">
      <c r="A10" s="12" t="s">
        <v>149</v>
      </c>
      <c r="B10" s="12">
        <v>3.7</v>
      </c>
      <c r="C10" s="12" t="s">
        <v>150</v>
      </c>
      <c r="D10" s="12" t="s">
        <v>146</v>
      </c>
      <c r="E10" s="3" t="s">
        <v>946</v>
      </c>
      <c r="F10" s="12" t="s">
        <v>947</v>
      </c>
    </row>
    <row r="11" spans="1:6" ht="15" customHeight="1" x14ac:dyDescent="0.25">
      <c r="A11" s="12" t="s">
        <v>153</v>
      </c>
      <c r="B11" s="2">
        <v>0.06</v>
      </c>
      <c r="C11" s="12" t="s">
        <v>137</v>
      </c>
      <c r="D11" s="12" t="s">
        <v>154</v>
      </c>
      <c r="E11" s="3" t="s">
        <v>946</v>
      </c>
      <c r="F11" s="12" t="s">
        <v>948</v>
      </c>
    </row>
    <row r="12" spans="1:6" ht="15" customHeight="1" x14ac:dyDescent="0.25">
      <c r="A12" s="12" t="s">
        <v>157</v>
      </c>
      <c r="B12" s="12">
        <v>14.66</v>
      </c>
      <c r="C12" s="12" t="s">
        <v>158</v>
      </c>
      <c r="D12" s="12" t="s">
        <v>146</v>
      </c>
      <c r="E12" s="3" t="s">
        <v>949</v>
      </c>
      <c r="F12" s="12" t="s">
        <v>950</v>
      </c>
    </row>
    <row r="13" spans="1:6" ht="25.5" customHeight="1" x14ac:dyDescent="0.25">
      <c r="A13" s="12" t="s">
        <v>161</v>
      </c>
      <c r="B13" s="12">
        <v>6.4</v>
      </c>
      <c r="C13" s="12" t="s">
        <v>158</v>
      </c>
      <c r="D13" s="12" t="s">
        <v>146</v>
      </c>
      <c r="E13" s="3" t="s">
        <v>951</v>
      </c>
      <c r="F13" s="12" t="s">
        <v>952</v>
      </c>
    </row>
    <row r="14" spans="1:6" ht="38.25" customHeight="1" x14ac:dyDescent="0.25">
      <c r="A14" s="12" t="s">
        <v>164</v>
      </c>
      <c r="B14" s="12">
        <v>130</v>
      </c>
      <c r="C14" s="12" t="s">
        <v>128</v>
      </c>
      <c r="D14" s="12" t="s">
        <v>146</v>
      </c>
      <c r="E14" s="3" t="s">
        <v>953</v>
      </c>
      <c r="F14" s="12" t="s">
        <v>954</v>
      </c>
    </row>
    <row r="15" spans="1:6" ht="38.25" customHeight="1" x14ac:dyDescent="0.25">
      <c r="A15" s="12" t="s">
        <v>167</v>
      </c>
      <c r="B15" s="12">
        <v>112</v>
      </c>
      <c r="C15" s="12" t="s">
        <v>128</v>
      </c>
      <c r="D15" s="12" t="s">
        <v>168</v>
      </c>
      <c r="E15" s="3" t="s">
        <v>955</v>
      </c>
      <c r="F15" s="12" t="s">
        <v>956</v>
      </c>
    </row>
    <row r="16" spans="1:6" ht="25.5" customHeight="1" thickBot="1" x14ac:dyDescent="0.3">
      <c r="A16" s="12" t="s">
        <v>171</v>
      </c>
      <c r="B16" s="3">
        <v>22</v>
      </c>
      <c r="C16" s="12" t="s">
        <v>172</v>
      </c>
      <c r="D16" s="12" t="s">
        <v>957</v>
      </c>
      <c r="E16" s="3" t="s">
        <v>846</v>
      </c>
      <c r="F16" s="12" t="s">
        <v>958</v>
      </c>
    </row>
    <row r="17" spans="1:6" ht="18" customHeight="1" thickBot="1" x14ac:dyDescent="0.3">
      <c r="A17" s="12" t="s">
        <v>178</v>
      </c>
      <c r="B17" s="3">
        <v>220</v>
      </c>
      <c r="C17" s="12" t="s">
        <v>179</v>
      </c>
      <c r="D17" s="12" t="s">
        <v>180</v>
      </c>
      <c r="E17" s="3" t="s">
        <v>846</v>
      </c>
      <c r="F17" s="3" t="s">
        <v>1189</v>
      </c>
    </row>
  </sheetData>
  <autoFilter ref="A4:F17" xr:uid="{00000000-0009-0000-0000-000010000000}"/>
  <mergeCells count="2">
    <mergeCell ref="A2:F2"/>
    <mergeCell ref="A1:F1"/>
  </mergeCells>
  <printOptions horizontalCentered="1"/>
  <pageMargins left="0.35416666666666702" right="0.35416666666666702" top="0.55138888888888904" bottom="0.55138888888888904" header="0.511811023622047" footer="0.511811023622047"/>
  <pageSetup paperSize="9" scale="80" fitToHeight="0" orientation="landscape" horizontalDpi="300" verticalDpi="3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B1:AMJ1048576"/>
  <sheetViews>
    <sheetView showGridLines="0" zoomScaleNormal="100" workbookViewId="0">
      <pane xSplit="1" ySplit="4" topLeftCell="B5" activePane="bottomRight" state="frozen"/>
      <selection pane="topRight" activeCell="B1" sqref="B1"/>
      <selection pane="bottomLeft" activeCell="A5" sqref="A5"/>
      <selection pane="bottomRight"/>
    </sheetView>
  </sheetViews>
  <sheetFormatPr defaultColWidth="8.5703125" defaultRowHeight="15" x14ac:dyDescent="0.25"/>
  <cols>
    <col min="2" max="2" width="8" customWidth="1"/>
    <col min="3" max="3" width="34" customWidth="1"/>
    <col min="4" max="4" width="18" customWidth="1"/>
  </cols>
  <sheetData>
    <row r="1" spans="2:1024" ht="13.5" customHeight="1" x14ac:dyDescent="0.25"/>
    <row r="2" spans="2:1024" ht="13.5" customHeight="1" x14ac:dyDescent="0.25"/>
    <row r="3" spans="2:1024" ht="13.5" customHeight="1" x14ac:dyDescent="0.25"/>
    <row r="4" spans="2:1024" ht="21.75" customHeight="1" x14ac:dyDescent="0.25">
      <c r="B4" s="3"/>
      <c r="C4" s="2" t="s">
        <v>223</v>
      </c>
      <c r="D4" s="12" t="s">
        <v>211</v>
      </c>
      <c r="AME4" s="31"/>
      <c r="AMF4" s="31"/>
      <c r="AMG4" s="31"/>
      <c r="AMH4" s="31"/>
      <c r="AMI4" s="31"/>
      <c r="AMJ4" s="31"/>
    </row>
    <row r="5" spans="2:1024" ht="30" customHeight="1" x14ac:dyDescent="0.25">
      <c r="B5" s="28">
        <v>8</v>
      </c>
      <c r="C5" s="29" t="s">
        <v>224</v>
      </c>
      <c r="D5" s="19">
        <v>6</v>
      </c>
    </row>
    <row r="6" spans="2:1024" ht="30" customHeight="1" x14ac:dyDescent="0.25">
      <c r="B6" s="28">
        <v>9</v>
      </c>
      <c r="C6" s="29" t="s">
        <v>225</v>
      </c>
      <c r="D6" s="19">
        <v>4</v>
      </c>
    </row>
    <row r="7" spans="2:1024" ht="30" customHeight="1" x14ac:dyDescent="0.25">
      <c r="B7" s="28">
        <v>10</v>
      </c>
      <c r="C7" s="29" t="s">
        <v>226</v>
      </c>
      <c r="D7" s="19">
        <v>2</v>
      </c>
    </row>
    <row r="8" spans="2:1024" ht="30" customHeight="1" x14ac:dyDescent="0.25">
      <c r="B8" s="28">
        <v>11</v>
      </c>
      <c r="C8" s="29" t="s">
        <v>227</v>
      </c>
      <c r="D8" s="19">
        <v>2</v>
      </c>
    </row>
    <row r="9" spans="2:1024" ht="18" customHeight="1" x14ac:dyDescent="0.25">
      <c r="B9" s="28">
        <v>12</v>
      </c>
      <c r="C9" s="30" t="s">
        <v>228</v>
      </c>
      <c r="D9" s="19">
        <v>2</v>
      </c>
    </row>
    <row r="10" spans="2:1024" ht="30" customHeight="1" x14ac:dyDescent="0.25">
      <c r="B10" s="28">
        <v>13</v>
      </c>
      <c r="C10" s="29" t="s">
        <v>229</v>
      </c>
      <c r="D10" s="19">
        <v>2</v>
      </c>
    </row>
    <row r="11" spans="2:1024" ht="30" customHeight="1" x14ac:dyDescent="0.25">
      <c r="B11" s="28">
        <v>14</v>
      </c>
      <c r="C11" s="29" t="s">
        <v>230</v>
      </c>
      <c r="D11" s="19">
        <v>4</v>
      </c>
    </row>
    <row r="12" spans="2:1024" ht="18" customHeight="1" x14ac:dyDescent="0.25">
      <c r="B12" s="28">
        <v>15</v>
      </c>
      <c r="C12" s="30" t="s">
        <v>231</v>
      </c>
      <c r="D12" s="19">
        <v>4</v>
      </c>
    </row>
    <row r="13" spans="2:1024" ht="18" customHeight="1" x14ac:dyDescent="0.25">
      <c r="B13" s="28">
        <v>16</v>
      </c>
      <c r="C13" s="30" t="s">
        <v>232</v>
      </c>
      <c r="D13" s="19">
        <v>6</v>
      </c>
    </row>
    <row r="14" spans="2:1024" ht="18" customHeight="1" x14ac:dyDescent="0.25">
      <c r="B14" s="28">
        <v>17</v>
      </c>
      <c r="C14" s="29" t="s">
        <v>233</v>
      </c>
      <c r="D14" s="19">
        <v>4</v>
      </c>
    </row>
    <row r="15" spans="2:1024" ht="18" customHeight="1" x14ac:dyDescent="0.25">
      <c r="B15" s="28">
        <v>18</v>
      </c>
      <c r="C15" s="30" t="s">
        <v>234</v>
      </c>
      <c r="D15" s="19">
        <v>8</v>
      </c>
    </row>
    <row r="16" spans="2:1024" ht="18" customHeight="1" x14ac:dyDescent="0.25">
      <c r="B16" s="110" t="s">
        <v>297</v>
      </c>
      <c r="C16" s="108"/>
      <c r="D16" s="109"/>
    </row>
    <row r="17" spans="3:4" ht="13.5" customHeight="1" x14ac:dyDescent="0.25">
      <c r="C17" s="56"/>
      <c r="D17" s="57"/>
    </row>
    <row r="18" spans="3:4" ht="13.5" customHeight="1" x14ac:dyDescent="0.25"/>
    <row r="1048563" ht="12.75" customHeight="1" x14ac:dyDescent="0.25"/>
    <row r="1048564" ht="12.75" customHeight="1" x14ac:dyDescent="0.25"/>
    <row r="1048565" ht="12.75" customHeight="1" x14ac:dyDescent="0.25"/>
    <row r="1048566" ht="12.75" customHeight="1" x14ac:dyDescent="0.25"/>
    <row r="1048567" ht="12.75" customHeight="1" x14ac:dyDescent="0.25"/>
    <row r="1048568" ht="12.75" customHeight="1" x14ac:dyDescent="0.25"/>
    <row r="1048569" ht="12.75" customHeight="1" x14ac:dyDescent="0.25"/>
    <row r="1048570" ht="12.75" customHeight="1" x14ac:dyDescent="0.25"/>
    <row r="1048571" ht="12.75" customHeight="1" x14ac:dyDescent="0.25"/>
    <row r="1048572" ht="12.75" customHeight="1" x14ac:dyDescent="0.25"/>
    <row r="1048573" ht="12.75" customHeight="1" x14ac:dyDescent="0.25"/>
    <row r="1048574" ht="12.75" customHeight="1" x14ac:dyDescent="0.25"/>
    <row r="1048575" ht="12.75" customHeight="1" x14ac:dyDescent="0.25"/>
    <row r="1048576" ht="12.75" customHeight="1" x14ac:dyDescent="0.25"/>
  </sheetData>
  <autoFilter ref="B4:D16" xr:uid="{00000000-0009-0000-0000-000011000000}"/>
  <mergeCells count="1">
    <mergeCell ref="B16:D16"/>
  </mergeCells>
  <printOptions horizontalCentered="1"/>
  <pageMargins left="0.35" right="0.35" top="0.55000000000000004" bottom="0.55000000000000004" header="0.511811023622047" footer="0.511811023622047"/>
  <pageSetup paperSize="9" fitToHeight="0" pageOrder="overThenDown" orientation="portrait" useFirstPageNumber="1" horizontalDpi="300" verticalDpi="300"/>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2:I116"/>
  <sheetViews>
    <sheetView showGridLines="0" topLeftCell="A47" zoomScaleNormal="100" workbookViewId="0">
      <selection activeCell="E60" sqref="E60"/>
    </sheetView>
  </sheetViews>
  <sheetFormatPr defaultColWidth="8.5703125" defaultRowHeight="15" x14ac:dyDescent="0.25"/>
  <cols>
    <col min="1" max="2" width="34" customWidth="1"/>
    <col min="3" max="3" width="16" customWidth="1"/>
    <col min="4" max="4" width="13" customWidth="1"/>
    <col min="5" max="5" width="20" customWidth="1"/>
    <col min="6" max="6" width="34" customWidth="1"/>
    <col min="7" max="7" width="18" customWidth="1"/>
    <col min="8" max="8" width="8" customWidth="1"/>
    <col min="9" max="9" width="13" customWidth="1"/>
    <col min="10" max="10" width="15.85546875" customWidth="1"/>
    <col min="11" max="11" width="4.42578125" customWidth="1"/>
    <col min="12" max="12" width="43" customWidth="1"/>
    <col min="13" max="13" width="7.42578125" customWidth="1"/>
    <col min="14" max="15" width="12.42578125" customWidth="1"/>
    <col min="18" max="18" width="22.140625" customWidth="1"/>
    <col min="20" max="20" width="12.85546875" customWidth="1"/>
  </cols>
  <sheetData>
    <row r="2" spans="1:9" ht="33" customHeight="1" thickBot="1" x14ac:dyDescent="0.3">
      <c r="A2" s="11"/>
      <c r="B2" s="5" t="s">
        <v>959</v>
      </c>
      <c r="C2" s="11"/>
      <c r="D2" s="11"/>
      <c r="E2" s="11"/>
      <c r="F2" s="11"/>
      <c r="G2" s="11"/>
      <c r="H2" s="11"/>
      <c r="I2" s="11"/>
    </row>
    <row r="3" spans="1:9" ht="18" customHeight="1" x14ac:dyDescent="0.25">
      <c r="A3" s="9"/>
      <c r="B3" s="9"/>
      <c r="C3" s="9"/>
      <c r="D3" s="9"/>
      <c r="E3" s="9"/>
      <c r="F3" s="9"/>
      <c r="G3" s="9"/>
      <c r="H3" s="9"/>
      <c r="I3" s="9"/>
    </row>
    <row r="4" spans="1:9" ht="18" customHeight="1" x14ac:dyDescent="0.25">
      <c r="A4" s="9"/>
      <c r="B4" s="9"/>
      <c r="C4" s="9"/>
      <c r="D4" s="9"/>
      <c r="E4" s="9"/>
      <c r="F4" s="9"/>
      <c r="G4" s="9"/>
      <c r="H4" s="9"/>
      <c r="I4" s="9"/>
    </row>
    <row r="5" spans="1:9" ht="18" customHeight="1" thickBot="1" x14ac:dyDescent="0.3">
      <c r="A5" s="9"/>
      <c r="B5" s="9"/>
      <c r="C5" s="9"/>
      <c r="D5" s="9"/>
      <c r="E5" s="9"/>
      <c r="F5" s="9"/>
      <c r="G5" s="9"/>
      <c r="H5" s="9"/>
      <c r="I5" s="9"/>
    </row>
    <row r="6" spans="1:9" ht="21.75" customHeight="1" thickBot="1" x14ac:dyDescent="0.3">
      <c r="A6" s="12" t="s">
        <v>559</v>
      </c>
      <c r="B6" s="12" t="s">
        <v>560</v>
      </c>
      <c r="C6" s="12" t="s">
        <v>561</v>
      </c>
      <c r="D6" s="12" t="s">
        <v>137</v>
      </c>
      <c r="E6" s="3"/>
      <c r="F6" s="12" t="s">
        <v>562</v>
      </c>
      <c r="G6" s="3"/>
      <c r="H6" s="3"/>
      <c r="I6" s="47"/>
    </row>
    <row r="7" spans="1:9" ht="21.75" customHeight="1" thickBot="1" x14ac:dyDescent="0.3">
      <c r="A7" s="3"/>
      <c r="B7" s="12" t="s">
        <v>563</v>
      </c>
      <c r="C7" s="12">
        <f>'L2 Param CCT'!$B$5</f>
        <v>1651</v>
      </c>
      <c r="D7" s="3"/>
      <c r="E7" s="3"/>
      <c r="F7" s="12">
        <f>'L2 Param CCT'!$B$6</f>
        <v>1621</v>
      </c>
      <c r="G7" s="3"/>
      <c r="H7" s="3"/>
      <c r="I7" s="47"/>
    </row>
    <row r="8" spans="1:9" ht="30" customHeight="1" x14ac:dyDescent="0.25">
      <c r="A8" s="9"/>
      <c r="B8" s="38" t="s">
        <v>564</v>
      </c>
      <c r="C8" s="83">
        <v>0</v>
      </c>
      <c r="D8" s="92"/>
      <c r="E8" s="9"/>
      <c r="F8" s="9"/>
      <c r="G8" s="9"/>
      <c r="H8" s="9"/>
      <c r="I8" s="9"/>
    </row>
    <row r="9" spans="1:9" ht="18" customHeight="1" thickBot="1" x14ac:dyDescent="0.3">
      <c r="A9" s="9"/>
      <c r="B9" s="23" t="s">
        <v>565</v>
      </c>
      <c r="C9" s="83">
        <v>0</v>
      </c>
      <c r="D9" s="96">
        <v>0</v>
      </c>
      <c r="E9" s="9"/>
      <c r="F9" s="9"/>
      <c r="G9" s="9"/>
      <c r="H9" s="9"/>
      <c r="I9" s="9"/>
    </row>
    <row r="10" spans="1:9" ht="21.75" customHeight="1" thickBot="1" x14ac:dyDescent="0.3">
      <c r="A10" s="3"/>
      <c r="B10" s="12" t="s">
        <v>566</v>
      </c>
      <c r="C10" s="12">
        <f>IFERROR(D10*F7,0)</f>
        <v>324.20000000000005</v>
      </c>
      <c r="D10" s="2">
        <f>'L2 Param CCT'!$B$7</f>
        <v>0.2</v>
      </c>
      <c r="E10" s="3"/>
      <c r="F10" s="3"/>
      <c r="G10" s="3"/>
      <c r="H10" s="3"/>
      <c r="I10" s="3"/>
    </row>
    <row r="11" spans="1:9" ht="18" customHeight="1" x14ac:dyDescent="0.25">
      <c r="A11" s="9"/>
      <c r="B11" s="23" t="s">
        <v>141</v>
      </c>
      <c r="C11" s="83">
        <v>0</v>
      </c>
      <c r="D11" s="96">
        <v>0</v>
      </c>
      <c r="E11" s="9"/>
      <c r="F11" s="9"/>
      <c r="G11" s="9"/>
      <c r="H11" s="9"/>
      <c r="I11" s="9"/>
    </row>
    <row r="12" spans="1:9" ht="18" customHeight="1" x14ac:dyDescent="0.25">
      <c r="A12" s="9"/>
      <c r="B12" s="23" t="s">
        <v>567</v>
      </c>
      <c r="C12" s="83">
        <v>0</v>
      </c>
      <c r="D12" s="96">
        <v>0</v>
      </c>
      <c r="E12" s="9"/>
      <c r="F12" s="9"/>
      <c r="G12" s="9"/>
      <c r="H12" s="9"/>
      <c r="I12" s="9"/>
    </row>
    <row r="13" spans="1:9" ht="18" customHeight="1" x14ac:dyDescent="0.25">
      <c r="A13" s="9"/>
      <c r="B13" s="23" t="s">
        <v>568</v>
      </c>
      <c r="C13" s="83">
        <v>0</v>
      </c>
      <c r="D13" s="96">
        <v>0</v>
      </c>
      <c r="E13" s="9"/>
      <c r="F13" s="9"/>
      <c r="G13" s="9"/>
      <c r="H13" s="9"/>
      <c r="I13" s="9"/>
    </row>
    <row r="14" spans="1:9" ht="18" customHeight="1" x14ac:dyDescent="0.25">
      <c r="A14" s="9"/>
      <c r="B14" s="23" t="s">
        <v>569</v>
      </c>
      <c r="C14" s="83">
        <v>0</v>
      </c>
      <c r="D14" s="96">
        <v>0</v>
      </c>
      <c r="E14" s="9"/>
      <c r="F14" s="9"/>
      <c r="G14" s="9"/>
      <c r="H14" s="9"/>
      <c r="I14" s="9"/>
    </row>
    <row r="15" spans="1:9" ht="18" customHeight="1" thickBot="1" x14ac:dyDescent="0.3">
      <c r="A15" s="9"/>
      <c r="B15" s="23" t="s">
        <v>570</v>
      </c>
      <c r="C15" s="83">
        <v>0</v>
      </c>
      <c r="D15" s="96">
        <v>0</v>
      </c>
      <c r="E15" s="9"/>
      <c r="F15" s="9"/>
      <c r="G15" s="9"/>
      <c r="H15" s="9"/>
      <c r="I15" s="9"/>
    </row>
    <row r="16" spans="1:9" ht="21.75" customHeight="1" thickBot="1" x14ac:dyDescent="0.3">
      <c r="A16" s="3"/>
      <c r="B16" s="6" t="s">
        <v>571</v>
      </c>
      <c r="C16" s="68">
        <f>IFERROR(SUM(C7:C15),0)</f>
        <v>1975.2</v>
      </c>
      <c r="D16" s="3"/>
      <c r="E16" s="3"/>
      <c r="F16" s="3"/>
      <c r="G16" s="3"/>
      <c r="H16" s="3"/>
      <c r="I16" s="3"/>
    </row>
    <row r="17" spans="1:9" ht="18" customHeight="1" x14ac:dyDescent="0.25">
      <c r="A17" s="9"/>
      <c r="B17" s="9"/>
      <c r="C17" s="9"/>
      <c r="D17" s="9"/>
      <c r="E17" s="9"/>
      <c r="F17" s="9"/>
      <c r="G17" s="9"/>
      <c r="H17" s="9"/>
      <c r="I17" s="9"/>
    </row>
    <row r="18" spans="1:9" ht="18" customHeight="1" x14ac:dyDescent="0.25">
      <c r="A18" s="9"/>
      <c r="B18" s="9"/>
      <c r="C18" s="9"/>
      <c r="D18" s="9"/>
      <c r="E18" s="9"/>
      <c r="F18" s="9"/>
      <c r="G18" s="9"/>
      <c r="H18" s="9"/>
      <c r="I18" s="9"/>
    </row>
    <row r="19" spans="1:9" ht="18" customHeight="1" x14ac:dyDescent="0.25">
      <c r="A19" s="114" t="s">
        <v>572</v>
      </c>
      <c r="B19" s="108"/>
      <c r="C19" s="109"/>
      <c r="D19" s="8"/>
      <c r="E19" s="8"/>
      <c r="F19" s="8"/>
      <c r="G19" s="8"/>
      <c r="H19" s="8"/>
      <c r="I19" s="8"/>
    </row>
    <row r="20" spans="1:9" ht="18" customHeight="1" x14ac:dyDescent="0.25">
      <c r="A20" s="9"/>
      <c r="B20" s="9"/>
      <c r="C20" s="9"/>
      <c r="D20" s="9"/>
      <c r="E20" s="9"/>
      <c r="F20" s="9"/>
      <c r="G20" s="9"/>
      <c r="H20" s="9"/>
      <c r="I20" s="9"/>
    </row>
    <row r="21" spans="1:9" ht="21.75" customHeight="1" thickBot="1" x14ac:dyDescent="0.3">
      <c r="A21" s="12" t="s">
        <v>573</v>
      </c>
      <c r="B21" s="12" t="s">
        <v>574</v>
      </c>
      <c r="C21" s="12" t="s">
        <v>561</v>
      </c>
      <c r="D21" s="3"/>
      <c r="E21" s="2" t="s">
        <v>137</v>
      </c>
      <c r="F21" s="12" t="s">
        <v>575</v>
      </c>
      <c r="G21" s="3"/>
      <c r="H21" s="3"/>
      <c r="I21" s="3"/>
    </row>
    <row r="22" spans="1:9" ht="21.75" customHeight="1" thickBot="1" x14ac:dyDescent="0.3">
      <c r="A22" s="3"/>
      <c r="B22" s="12" t="s">
        <v>576</v>
      </c>
      <c r="C22" s="12">
        <f>C16*E22</f>
        <v>164.59999999999994</v>
      </c>
      <c r="D22" s="3"/>
      <c r="E22" s="2">
        <v>8.3333333333333301E-2</v>
      </c>
      <c r="F22" s="12" t="s">
        <v>577</v>
      </c>
      <c r="G22" s="3"/>
      <c r="H22" s="3"/>
      <c r="I22" s="3"/>
    </row>
    <row r="23" spans="1:9" ht="21.75" customHeight="1" thickBot="1" x14ac:dyDescent="0.3">
      <c r="A23" s="3"/>
      <c r="B23" s="12" t="s">
        <v>578</v>
      </c>
      <c r="C23" s="12">
        <f>C16*E23</f>
        <v>179.24940000000001</v>
      </c>
      <c r="D23" s="3"/>
      <c r="E23" s="2">
        <v>9.0749999999999997E-2</v>
      </c>
      <c r="F23" s="12" t="s">
        <v>1188</v>
      </c>
      <c r="G23" s="3"/>
      <c r="H23" s="3"/>
      <c r="I23" s="3"/>
    </row>
    <row r="24" spans="1:9" ht="21.75" customHeight="1" thickBot="1" x14ac:dyDescent="0.3">
      <c r="A24" s="3"/>
      <c r="B24" s="12" t="s">
        <v>579</v>
      </c>
      <c r="C24" s="12">
        <f>C16*E24</f>
        <v>59.7498</v>
      </c>
      <c r="D24" s="3"/>
      <c r="E24" s="2">
        <v>3.0249999999999999E-2</v>
      </c>
      <c r="F24" s="12" t="s">
        <v>1188</v>
      </c>
      <c r="G24" s="3"/>
      <c r="H24" s="3"/>
      <c r="I24" s="3"/>
    </row>
    <row r="25" spans="1:9" ht="21.75" customHeight="1" thickBot="1" x14ac:dyDescent="0.3">
      <c r="A25" s="3"/>
      <c r="B25" s="68" t="s">
        <v>580</v>
      </c>
      <c r="C25" s="68">
        <f>SUM(C22:C24)</f>
        <v>403.59919999999994</v>
      </c>
      <c r="D25" s="3"/>
      <c r="E25" s="3"/>
      <c r="F25" s="3"/>
      <c r="G25" s="3"/>
      <c r="H25" s="3"/>
      <c r="I25" s="3"/>
    </row>
    <row r="26" spans="1:9" ht="18" customHeight="1" thickBot="1" x14ac:dyDescent="0.3">
      <c r="A26" s="9"/>
      <c r="B26" s="9"/>
      <c r="C26" s="9"/>
      <c r="D26" s="9"/>
      <c r="E26" s="9"/>
      <c r="F26" s="9"/>
      <c r="G26" s="9"/>
      <c r="H26" s="9"/>
      <c r="I26" s="9"/>
    </row>
    <row r="27" spans="1:9" ht="15.75" thickBot="1" x14ac:dyDescent="0.3">
      <c r="A27" s="12" t="s">
        <v>581</v>
      </c>
      <c r="B27" s="12" t="s">
        <v>582</v>
      </c>
      <c r="C27" s="12" t="s">
        <v>583</v>
      </c>
      <c r="D27" s="12" t="s">
        <v>561</v>
      </c>
      <c r="E27" s="3"/>
      <c r="F27" s="3"/>
      <c r="G27" s="3"/>
      <c r="H27" s="3"/>
      <c r="I27" s="3"/>
    </row>
    <row r="28" spans="1:9" ht="21.75" customHeight="1" thickBot="1" x14ac:dyDescent="0.3">
      <c r="A28" s="3"/>
      <c r="B28" s="66" t="s">
        <v>584</v>
      </c>
      <c r="C28" s="67">
        <v>0.2</v>
      </c>
      <c r="D28" s="12">
        <f>C28*(C16+C25)</f>
        <v>475.75984</v>
      </c>
      <c r="E28" s="3"/>
      <c r="F28" s="12" t="s">
        <v>585</v>
      </c>
      <c r="G28" s="3"/>
      <c r="H28" s="3"/>
      <c r="I28" s="3"/>
    </row>
    <row r="29" spans="1:9" ht="21.75" customHeight="1" thickBot="1" x14ac:dyDescent="0.3">
      <c r="A29" s="3"/>
      <c r="B29" s="66" t="s">
        <v>586</v>
      </c>
      <c r="C29" s="67">
        <v>1.4999999999999999E-2</v>
      </c>
      <c r="D29" s="12">
        <f>C29*(C16+C25)</f>
        <v>35.681987999999997</v>
      </c>
      <c r="E29" s="3"/>
      <c r="F29" s="47"/>
      <c r="G29" s="3"/>
      <c r="H29" s="3"/>
      <c r="I29" s="3"/>
    </row>
    <row r="30" spans="1:9" ht="21.75" customHeight="1" thickBot="1" x14ac:dyDescent="0.3">
      <c r="A30" s="3"/>
      <c r="B30" s="66" t="s">
        <v>587</v>
      </c>
      <c r="C30" s="67">
        <v>0.01</v>
      </c>
      <c r="D30" s="12">
        <f>C30*(C16+C25)</f>
        <v>23.787991999999999</v>
      </c>
      <c r="E30" s="3"/>
      <c r="F30" s="3"/>
      <c r="G30" s="3"/>
      <c r="H30" s="3"/>
      <c r="I30" s="3"/>
    </row>
    <row r="31" spans="1:9" ht="21.75" customHeight="1" thickBot="1" x14ac:dyDescent="0.3">
      <c r="A31" s="3"/>
      <c r="B31" s="66" t="s">
        <v>588</v>
      </c>
      <c r="C31" s="67">
        <v>2E-3</v>
      </c>
      <c r="D31" s="12">
        <f>C31*(C16+C25)</f>
        <v>4.7575984</v>
      </c>
      <c r="E31" s="3"/>
      <c r="F31" s="12"/>
      <c r="G31" s="12"/>
      <c r="H31" s="3"/>
      <c r="I31" s="3"/>
    </row>
    <row r="32" spans="1:9" ht="21.75" customHeight="1" thickBot="1" x14ac:dyDescent="0.3">
      <c r="A32" s="3"/>
      <c r="B32" s="66" t="s">
        <v>589</v>
      </c>
      <c r="C32" s="67">
        <v>2.5000000000000001E-2</v>
      </c>
      <c r="D32" s="12">
        <f>C32*(C16+C25)</f>
        <v>59.46998</v>
      </c>
      <c r="E32" s="3"/>
      <c r="F32" s="12"/>
      <c r="G32" s="12"/>
      <c r="H32" s="3"/>
      <c r="I32" s="3"/>
    </row>
    <row r="33" spans="1:9" ht="21.75" customHeight="1" thickBot="1" x14ac:dyDescent="0.3">
      <c r="A33" s="3"/>
      <c r="B33" s="66" t="s">
        <v>590</v>
      </c>
      <c r="C33" s="67">
        <v>0.08</v>
      </c>
      <c r="D33" s="12">
        <f>C33*(C16+C25)</f>
        <v>190.30393599999999</v>
      </c>
      <c r="E33" s="3"/>
      <c r="F33" s="3"/>
      <c r="G33" s="3"/>
      <c r="H33" s="3"/>
      <c r="I33" s="3"/>
    </row>
    <row r="34" spans="1:9" ht="25.5" customHeight="1" thickBot="1" x14ac:dyDescent="0.3">
      <c r="A34" s="3"/>
      <c r="B34" s="66" t="s">
        <v>591</v>
      </c>
      <c r="C34" s="67">
        <v>0.06</v>
      </c>
      <c r="D34" s="12">
        <f>C34*(C16+C25)</f>
        <v>142.72795199999999</v>
      </c>
      <c r="E34" s="3"/>
      <c r="F34" s="3"/>
      <c r="G34" s="3"/>
      <c r="H34" s="3"/>
      <c r="I34" s="3"/>
    </row>
    <row r="35" spans="1:9" ht="21.75" customHeight="1" thickBot="1" x14ac:dyDescent="0.3">
      <c r="A35" s="3"/>
      <c r="B35" s="66" t="s">
        <v>592</v>
      </c>
      <c r="C35" s="67">
        <v>6.0000000000000001E-3</v>
      </c>
      <c r="D35" s="12">
        <f>C35*(C16+C25)</f>
        <v>14.272795199999999</v>
      </c>
      <c r="E35" s="3"/>
      <c r="F35" s="3"/>
      <c r="G35" s="3"/>
      <c r="H35" s="3"/>
      <c r="I35" s="3"/>
    </row>
    <row r="36" spans="1:9" ht="21.75" customHeight="1" thickBot="1" x14ac:dyDescent="0.3">
      <c r="A36" s="3"/>
      <c r="B36" s="68" t="s">
        <v>297</v>
      </c>
      <c r="C36" s="69">
        <f>SUM(C28:C35)</f>
        <v>0.39800000000000008</v>
      </c>
      <c r="D36" s="68">
        <f>SUM(D28:D35)</f>
        <v>946.76208159999999</v>
      </c>
      <c r="E36" s="3"/>
      <c r="F36" s="3"/>
      <c r="G36" s="3"/>
      <c r="H36" s="3"/>
      <c r="I36" s="3"/>
    </row>
    <row r="37" spans="1:9" ht="18" customHeight="1" thickBot="1" x14ac:dyDescent="0.3">
      <c r="A37" s="9"/>
      <c r="B37" s="9"/>
      <c r="C37" s="9"/>
      <c r="D37" s="9"/>
      <c r="E37" s="9"/>
      <c r="F37" s="9"/>
      <c r="G37" s="9"/>
      <c r="H37" s="9"/>
      <c r="I37" s="9"/>
    </row>
    <row r="38" spans="1:9" ht="18" customHeight="1" thickBot="1" x14ac:dyDescent="0.3">
      <c r="A38" s="7" t="s">
        <v>593</v>
      </c>
      <c r="B38" s="7" t="s">
        <v>594</v>
      </c>
      <c r="C38" s="7" t="s">
        <v>561</v>
      </c>
      <c r="D38" s="8"/>
      <c r="E38" s="8"/>
      <c r="F38" s="113"/>
      <c r="G38" s="108"/>
      <c r="H38" s="108"/>
      <c r="I38" s="109"/>
    </row>
    <row r="39" spans="1:9" ht="21.75" customHeight="1" thickBot="1" x14ac:dyDescent="0.3">
      <c r="A39" s="12" t="s">
        <v>595</v>
      </c>
      <c r="B39" s="12" t="s">
        <v>596</v>
      </c>
      <c r="C39" s="12">
        <f>IFERROR('L2 Param CCT'!$B$10*2*'L2 Param CCT'!$B$16-(C7*'L2 Param CCT'!$B$11),0)</f>
        <v>63.740000000000009</v>
      </c>
      <c r="D39" s="3"/>
      <c r="E39" s="3"/>
      <c r="F39" s="3"/>
      <c r="G39" s="3"/>
      <c r="H39" s="3"/>
      <c r="I39" s="3"/>
    </row>
    <row r="40" spans="1:9" ht="25.5" customHeight="1" thickBot="1" x14ac:dyDescent="0.3">
      <c r="A40" s="12" t="s">
        <v>597</v>
      </c>
      <c r="B40" s="12" t="s">
        <v>598</v>
      </c>
      <c r="C40" s="12">
        <f>'L2 Param CCT'!$B$9</f>
        <v>400</v>
      </c>
      <c r="D40" s="3"/>
      <c r="E40" s="3"/>
      <c r="F40" s="3"/>
      <c r="G40" s="3"/>
      <c r="H40" s="3"/>
      <c r="I40" s="3"/>
    </row>
    <row r="41" spans="1:9" ht="15.75" thickBot="1" x14ac:dyDescent="0.3">
      <c r="A41" s="12" t="s">
        <v>599</v>
      </c>
      <c r="B41" s="12" t="s">
        <v>600</v>
      </c>
      <c r="C41" s="12">
        <v>0</v>
      </c>
      <c r="D41" s="3"/>
      <c r="E41" s="3"/>
      <c r="F41" s="3"/>
      <c r="G41" s="3"/>
      <c r="H41" s="3"/>
      <c r="I41" s="3"/>
    </row>
    <row r="42" spans="1:9" ht="21.75" customHeight="1" thickBot="1" x14ac:dyDescent="0.3">
      <c r="A42" s="12" t="s">
        <v>601</v>
      </c>
      <c r="B42" s="12" t="s">
        <v>602</v>
      </c>
      <c r="C42" s="12">
        <f>'L2 Param CCT'!$B$13</f>
        <v>6.4</v>
      </c>
      <c r="D42" s="3"/>
      <c r="E42" s="3"/>
      <c r="F42" s="3"/>
      <c r="G42" s="3"/>
      <c r="H42" s="3"/>
      <c r="I42" s="3"/>
    </row>
    <row r="43" spans="1:9" ht="25.5" customHeight="1" thickBot="1" x14ac:dyDescent="0.3">
      <c r="A43" s="12" t="s">
        <v>603</v>
      </c>
      <c r="B43" s="12" t="s">
        <v>564</v>
      </c>
      <c r="C43" s="12">
        <v>0</v>
      </c>
      <c r="D43" s="3"/>
      <c r="E43" s="3"/>
      <c r="F43" s="3"/>
      <c r="G43" s="3"/>
      <c r="H43" s="3"/>
      <c r="I43" s="3"/>
    </row>
    <row r="44" spans="1:9" ht="15" customHeight="1" thickBot="1" x14ac:dyDescent="0.3">
      <c r="A44" s="12" t="s">
        <v>604</v>
      </c>
      <c r="B44" s="12" t="s">
        <v>605</v>
      </c>
      <c r="C44" s="12">
        <f>'L2 Param CCT'!$B$12</f>
        <v>14.66</v>
      </c>
      <c r="D44" s="3"/>
      <c r="E44" s="3"/>
      <c r="F44" s="3"/>
      <c r="G44" s="3"/>
      <c r="H44" s="3"/>
      <c r="I44" s="3"/>
    </row>
    <row r="45" spans="1:9" ht="25.5" customHeight="1" thickBot="1" x14ac:dyDescent="0.3">
      <c r="A45" s="12" t="s">
        <v>606</v>
      </c>
      <c r="B45" s="12" t="s">
        <v>607</v>
      </c>
      <c r="C45" s="12">
        <f>'L2 Param CCT'!$B$14</f>
        <v>130</v>
      </c>
      <c r="D45" s="3"/>
      <c r="E45" s="3"/>
      <c r="F45" s="3"/>
      <c r="G45" s="3"/>
      <c r="H45" s="3"/>
      <c r="I45" s="3"/>
    </row>
    <row r="46" spans="1:9" ht="15" customHeight="1" thickBot="1" x14ac:dyDescent="0.3">
      <c r="A46" s="12" t="s">
        <v>608</v>
      </c>
      <c r="B46" s="12" t="s">
        <v>609</v>
      </c>
      <c r="C46" s="12">
        <v>0</v>
      </c>
      <c r="D46" s="3"/>
      <c r="E46" s="3"/>
      <c r="F46" s="3"/>
      <c r="G46" s="3"/>
      <c r="H46" s="3"/>
      <c r="I46" s="3"/>
    </row>
    <row r="47" spans="1:9" ht="15" customHeight="1" thickBot="1" x14ac:dyDescent="0.3">
      <c r="A47" s="12" t="s">
        <v>610</v>
      </c>
      <c r="B47" s="12" t="s">
        <v>570</v>
      </c>
      <c r="C47" s="12">
        <v>0</v>
      </c>
      <c r="D47" s="3"/>
      <c r="E47" s="3"/>
      <c r="F47" s="3"/>
      <c r="G47" s="3"/>
      <c r="H47" s="3"/>
      <c r="I47" s="3"/>
    </row>
    <row r="48" spans="1:9" ht="15" customHeight="1" thickBot="1" x14ac:dyDescent="0.3">
      <c r="A48" s="6" t="s">
        <v>611</v>
      </c>
      <c r="B48" s="6" t="s">
        <v>612</v>
      </c>
      <c r="C48" s="68">
        <f>IFERROR(SUM(C39:C47),0)</f>
        <v>614.79999999999995</v>
      </c>
      <c r="D48" s="3"/>
      <c r="E48" s="3"/>
      <c r="F48" s="3"/>
      <c r="G48" s="3"/>
      <c r="H48" s="3"/>
      <c r="I48" s="3"/>
    </row>
    <row r="49" spans="1:9" ht="18" customHeight="1" thickBot="1" x14ac:dyDescent="0.3">
      <c r="A49" s="9"/>
      <c r="B49" s="9"/>
      <c r="C49" s="9"/>
      <c r="D49" s="9"/>
      <c r="E49" s="9"/>
      <c r="F49" s="9"/>
      <c r="G49" s="9"/>
      <c r="H49" s="9"/>
      <c r="I49" s="9"/>
    </row>
    <row r="50" spans="1:9" ht="18" customHeight="1" thickBot="1" x14ac:dyDescent="0.3">
      <c r="A50" s="114" t="s">
        <v>572</v>
      </c>
      <c r="B50" s="108"/>
      <c r="C50" s="109"/>
      <c r="D50" s="8"/>
      <c r="E50" s="8"/>
      <c r="F50" s="8"/>
      <c r="G50" s="8"/>
      <c r="H50" s="8"/>
      <c r="I50" s="8"/>
    </row>
    <row r="51" spans="1:9" ht="21.75" customHeight="1" thickBot="1" x14ac:dyDescent="0.3">
      <c r="A51" s="3"/>
      <c r="B51" s="12" t="s">
        <v>573</v>
      </c>
      <c r="C51" s="12">
        <f>C25</f>
        <v>403.59919999999994</v>
      </c>
      <c r="D51" s="3"/>
      <c r="E51" s="3"/>
      <c r="F51" s="3"/>
      <c r="G51" s="3"/>
      <c r="H51" s="3"/>
      <c r="I51" s="3"/>
    </row>
    <row r="52" spans="1:9" ht="21.75" customHeight="1" thickBot="1" x14ac:dyDescent="0.3">
      <c r="A52" s="3"/>
      <c r="B52" s="12" t="s">
        <v>581</v>
      </c>
      <c r="C52" s="12">
        <f>D36</f>
        <v>946.76208159999999</v>
      </c>
      <c r="D52" s="3"/>
      <c r="E52" s="3"/>
      <c r="F52" s="3"/>
      <c r="G52" s="3"/>
      <c r="H52" s="3"/>
      <c r="I52" s="3"/>
    </row>
    <row r="53" spans="1:9" ht="21.75" customHeight="1" thickBot="1" x14ac:dyDescent="0.3">
      <c r="A53" s="3"/>
      <c r="B53" s="12" t="s">
        <v>593</v>
      </c>
      <c r="C53" s="12">
        <f>C48</f>
        <v>614.79999999999995</v>
      </c>
      <c r="D53" s="3"/>
      <c r="E53" s="3"/>
      <c r="F53" s="3"/>
      <c r="G53" s="3"/>
      <c r="H53" s="3"/>
      <c r="I53" s="3"/>
    </row>
    <row r="54" spans="1:9" ht="18" customHeight="1" thickBot="1" x14ac:dyDescent="0.3">
      <c r="A54" s="24"/>
      <c r="B54" s="68" t="s">
        <v>297</v>
      </c>
      <c r="C54" s="68">
        <f>IFERROR(SUM(C51:C53),0)</f>
        <v>1965.1612815999999</v>
      </c>
      <c r="D54" s="24"/>
      <c r="E54" s="24"/>
      <c r="F54" s="24"/>
      <c r="G54" s="24"/>
      <c r="H54" s="24"/>
      <c r="I54" s="24"/>
    </row>
    <row r="55" spans="1:9" ht="18" customHeight="1" thickBot="1" x14ac:dyDescent="0.3">
      <c r="A55" s="9"/>
      <c r="B55" s="9"/>
      <c r="C55" s="9"/>
      <c r="D55" s="9"/>
      <c r="E55" s="9"/>
      <c r="F55" s="9"/>
      <c r="G55" s="9"/>
      <c r="H55" s="9"/>
      <c r="I55" s="9"/>
    </row>
    <row r="56" spans="1:9" ht="18" customHeight="1" thickBot="1" x14ac:dyDescent="0.3">
      <c r="A56" s="114" t="s">
        <v>613</v>
      </c>
      <c r="B56" s="108"/>
      <c r="C56" s="109"/>
      <c r="D56" s="8"/>
      <c r="E56" s="8"/>
      <c r="F56" s="8"/>
      <c r="G56" s="8"/>
      <c r="H56" s="8"/>
      <c r="I56" s="8"/>
    </row>
    <row r="57" spans="1:9" ht="18" customHeight="1" thickBot="1" x14ac:dyDescent="0.3">
      <c r="A57" s="3" t="s">
        <v>614</v>
      </c>
      <c r="B57" s="12" t="s">
        <v>615</v>
      </c>
      <c r="C57" s="3" t="s">
        <v>561</v>
      </c>
      <c r="D57" s="12" t="s">
        <v>137</v>
      </c>
      <c r="E57" s="3"/>
      <c r="F57" s="3"/>
      <c r="G57" s="3"/>
      <c r="H57" s="3"/>
      <c r="I57" s="3"/>
    </row>
    <row r="58" spans="1:9" ht="15.75" customHeight="1" thickBot="1" x14ac:dyDescent="0.3">
      <c r="A58" s="3" t="s">
        <v>595</v>
      </c>
      <c r="B58" s="12" t="s">
        <v>616</v>
      </c>
      <c r="C58" s="70">
        <f>C16*D58</f>
        <v>8.23</v>
      </c>
      <c r="D58" s="2">
        <f>((1/12)*0.05)</f>
        <v>4.1666666666666666E-3</v>
      </c>
      <c r="E58" s="3"/>
      <c r="F58" s="3"/>
      <c r="G58" s="3"/>
      <c r="H58" s="3"/>
      <c r="I58" s="3"/>
    </row>
    <row r="59" spans="1:9" ht="26.25" customHeight="1" thickBot="1" x14ac:dyDescent="0.3">
      <c r="A59" s="3" t="s">
        <v>597</v>
      </c>
      <c r="B59" s="12" t="s">
        <v>617</v>
      </c>
      <c r="C59" s="70">
        <f>C16*D59</f>
        <v>0.65839999999999999</v>
      </c>
      <c r="D59" s="2">
        <f>D58*8%</f>
        <v>3.3333333333333332E-4</v>
      </c>
      <c r="E59" s="3"/>
      <c r="F59" s="3"/>
      <c r="G59" s="3"/>
      <c r="H59" s="3"/>
      <c r="I59" s="3"/>
    </row>
    <row r="60" spans="1:9" ht="26.25" customHeight="1" thickBot="1" x14ac:dyDescent="0.3">
      <c r="A60" s="3" t="s">
        <v>599</v>
      </c>
      <c r="B60" s="12" t="s">
        <v>618</v>
      </c>
      <c r="C60" s="70">
        <f>C16*D60</f>
        <v>67.946879999999993</v>
      </c>
      <c r="D60" s="2">
        <f>0.08*0.4*0.9*(1+1/12+1/12+(1/3*1/12))</f>
        <v>3.4399999999999993E-2</v>
      </c>
      <c r="E60" s="12" t="s">
        <v>1188</v>
      </c>
      <c r="F60" s="3"/>
      <c r="G60" s="3"/>
      <c r="H60" s="3"/>
      <c r="I60" s="3"/>
    </row>
    <row r="61" spans="1:9" ht="15.75" customHeight="1" thickBot="1" x14ac:dyDescent="0.3">
      <c r="A61" s="3" t="s">
        <v>601</v>
      </c>
      <c r="B61" s="12" t="s">
        <v>619</v>
      </c>
      <c r="C61" s="70">
        <f>C16*D61</f>
        <v>38.31888</v>
      </c>
      <c r="D61" s="2">
        <v>1.9400000000000001E-2</v>
      </c>
      <c r="E61" s="3"/>
      <c r="F61" s="3"/>
      <c r="G61" s="3"/>
      <c r="H61" s="3"/>
      <c r="I61" s="3"/>
    </row>
    <row r="62" spans="1:9" ht="26.25" customHeight="1" thickBot="1" x14ac:dyDescent="0.3">
      <c r="A62" s="3" t="s">
        <v>603</v>
      </c>
      <c r="B62" s="12" t="s">
        <v>620</v>
      </c>
      <c r="C62" s="70">
        <f>C16*D62</f>
        <v>15.250914240000004</v>
      </c>
      <c r="D62" s="2">
        <f>C36*D61</f>
        <v>7.7212000000000018E-3</v>
      </c>
      <c r="E62" s="3"/>
      <c r="F62" s="3"/>
      <c r="G62" s="3"/>
      <c r="H62" s="3"/>
      <c r="I62" s="3"/>
    </row>
    <row r="63" spans="1:9" ht="26.25" customHeight="1" thickBot="1" x14ac:dyDescent="0.3">
      <c r="A63" s="3" t="s">
        <v>604</v>
      </c>
      <c r="B63" s="12" t="s">
        <v>621</v>
      </c>
      <c r="C63" s="70">
        <f>C16*D63</f>
        <v>1.2246239999999999</v>
      </c>
      <c r="D63" s="2">
        <v>6.2E-4</v>
      </c>
      <c r="E63" s="3"/>
      <c r="F63" s="3"/>
      <c r="G63" s="3"/>
      <c r="H63" s="3"/>
      <c r="I63" s="3"/>
    </row>
    <row r="64" spans="1:9" ht="21.75" customHeight="1" thickBot="1" x14ac:dyDescent="0.3">
      <c r="A64" s="3"/>
      <c r="B64" s="68" t="s">
        <v>297</v>
      </c>
      <c r="C64" s="68">
        <f>SUM(C58:C63)</f>
        <v>131.62969824000001</v>
      </c>
      <c r="D64" s="2">
        <f>SUM(D58:D63)</f>
        <v>6.6641199999999984E-2</v>
      </c>
      <c r="E64" s="3"/>
      <c r="F64" s="3"/>
      <c r="G64" s="3"/>
      <c r="H64" s="3"/>
      <c r="I64" s="3"/>
    </row>
    <row r="65" spans="1:9" ht="18" customHeight="1" x14ac:dyDescent="0.25">
      <c r="A65" s="9"/>
      <c r="B65" s="9"/>
      <c r="C65" s="9"/>
      <c r="D65" s="9"/>
      <c r="E65" s="9"/>
      <c r="F65" s="9"/>
      <c r="G65" s="9"/>
      <c r="H65" s="9"/>
      <c r="I65" s="9"/>
    </row>
    <row r="66" spans="1:9" ht="18" customHeight="1" thickBot="1" x14ac:dyDescent="0.3">
      <c r="A66" s="9"/>
      <c r="B66" s="9"/>
      <c r="C66" s="9"/>
      <c r="D66" s="9"/>
      <c r="E66" s="9"/>
      <c r="F66" s="9"/>
      <c r="G66" s="9"/>
      <c r="H66" s="9"/>
      <c r="I66" s="9"/>
    </row>
    <row r="67" spans="1:9" ht="18" customHeight="1" thickBot="1" x14ac:dyDescent="0.3">
      <c r="A67" s="114" t="s">
        <v>622</v>
      </c>
      <c r="B67" s="108"/>
      <c r="C67" s="109"/>
      <c r="D67" s="8"/>
      <c r="E67" s="8"/>
      <c r="F67" s="8"/>
      <c r="G67" s="8"/>
      <c r="H67" s="8"/>
      <c r="I67" s="8"/>
    </row>
    <row r="68" spans="1:9" ht="21.75" customHeight="1" thickBot="1" x14ac:dyDescent="0.3">
      <c r="A68" s="127" t="s">
        <v>623</v>
      </c>
      <c r="B68" s="108"/>
      <c r="C68" s="71" t="s">
        <v>561</v>
      </c>
      <c r="D68" s="72" t="s">
        <v>137</v>
      </c>
      <c r="E68" s="3"/>
      <c r="F68" s="3"/>
      <c r="G68" s="3"/>
      <c r="H68" s="3"/>
      <c r="I68" s="3"/>
    </row>
    <row r="69" spans="1:9" ht="25.5" customHeight="1" thickBot="1" x14ac:dyDescent="0.3">
      <c r="A69" s="3" t="s">
        <v>595</v>
      </c>
      <c r="B69" s="12" t="s">
        <v>624</v>
      </c>
      <c r="C69" s="12">
        <f>D69*C16</f>
        <v>33.633266666666664</v>
      </c>
      <c r="D69" s="2">
        <f>SUM(E22:E24)/12</f>
        <v>1.7027777777777777E-2</v>
      </c>
      <c r="E69" s="3"/>
      <c r="F69" s="3"/>
      <c r="G69" s="3"/>
      <c r="H69" s="3"/>
      <c r="I69" s="3"/>
    </row>
    <row r="70" spans="1:9" ht="26.25" customHeight="1" thickBot="1" x14ac:dyDescent="0.3">
      <c r="A70" s="3" t="s">
        <v>597</v>
      </c>
      <c r="B70" s="12" t="s">
        <v>625</v>
      </c>
      <c r="C70" s="12">
        <f>D70*C16</f>
        <v>16.196640000000002</v>
      </c>
      <c r="D70" s="2">
        <v>8.2000000000000007E-3</v>
      </c>
      <c r="E70" s="3"/>
      <c r="F70" s="3"/>
      <c r="G70" s="3"/>
      <c r="H70" s="3"/>
      <c r="I70" s="3"/>
    </row>
    <row r="71" spans="1:9" ht="26.25" customHeight="1" thickBot="1" x14ac:dyDescent="0.3">
      <c r="A71" s="3" t="s">
        <v>599</v>
      </c>
      <c r="B71" s="12" t="s">
        <v>626</v>
      </c>
      <c r="C71" s="12">
        <f>D71*C16</f>
        <v>0.39504</v>
      </c>
      <c r="D71" s="2">
        <v>2.0000000000000001E-4</v>
      </c>
      <c r="E71" s="3"/>
      <c r="F71" s="3"/>
      <c r="G71" s="3"/>
      <c r="H71" s="3"/>
      <c r="I71" s="3"/>
    </row>
    <row r="72" spans="1:9" ht="26.25" customHeight="1" thickBot="1" x14ac:dyDescent="0.3">
      <c r="A72" s="3" t="s">
        <v>601</v>
      </c>
      <c r="B72" s="12" t="s">
        <v>627</v>
      </c>
      <c r="C72" s="12">
        <f>D72*C16</f>
        <v>1.3826400000000001</v>
      </c>
      <c r="D72" s="2">
        <v>6.9999999999999999E-4</v>
      </c>
      <c r="E72" s="3"/>
      <c r="F72" s="3"/>
      <c r="G72" s="3"/>
      <c r="H72" s="3"/>
      <c r="I72" s="3"/>
    </row>
    <row r="73" spans="1:9" ht="26.25" customHeight="1" thickBot="1" x14ac:dyDescent="0.3">
      <c r="A73" s="3" t="s">
        <v>603</v>
      </c>
      <c r="B73" s="12" t="s">
        <v>628</v>
      </c>
      <c r="C73" s="12">
        <f>D73*C16</f>
        <v>3.9504000000000001</v>
      </c>
      <c r="D73" s="2">
        <v>2E-3</v>
      </c>
      <c r="E73" s="3"/>
      <c r="F73" s="3"/>
      <c r="G73" s="3"/>
      <c r="H73" s="3"/>
      <c r="I73" s="3"/>
    </row>
    <row r="74" spans="1:9" ht="26.25" customHeight="1" thickBot="1" x14ac:dyDescent="0.3">
      <c r="A74" s="3" t="s">
        <v>604</v>
      </c>
      <c r="B74" s="12" t="s">
        <v>629</v>
      </c>
      <c r="C74" s="12">
        <f>D74*C16</f>
        <v>0</v>
      </c>
      <c r="D74" s="2">
        <v>0</v>
      </c>
      <c r="E74" s="3"/>
      <c r="F74" s="3"/>
      <c r="G74" s="3"/>
      <c r="H74" s="3"/>
      <c r="I74" s="3"/>
    </row>
    <row r="75" spans="1:9" ht="26.25" customHeight="1" thickBot="1" x14ac:dyDescent="0.3">
      <c r="A75" s="3"/>
      <c r="B75" s="12" t="s">
        <v>1185</v>
      </c>
      <c r="C75" s="75">
        <f>SUM(C69:C74)</f>
        <v>55.557986666666672</v>
      </c>
      <c r="D75" s="76"/>
      <c r="E75" s="3"/>
      <c r="F75" s="3"/>
      <c r="G75" s="3"/>
      <c r="H75" s="3"/>
      <c r="I75" s="3"/>
    </row>
    <row r="76" spans="1:9" ht="26.25" customHeight="1" thickBot="1" x14ac:dyDescent="0.3">
      <c r="A76" s="3"/>
      <c r="B76" s="12" t="s">
        <v>1186</v>
      </c>
      <c r="C76" s="75">
        <f>D76*C16</f>
        <v>55.557986666666672</v>
      </c>
      <c r="D76" s="76">
        <f>SUM(D69:D75)</f>
        <v>2.8127777777777779E-2</v>
      </c>
      <c r="E76" s="3"/>
      <c r="F76" s="3"/>
      <c r="G76" s="3"/>
      <c r="H76" s="3"/>
      <c r="I76" s="3"/>
    </row>
    <row r="77" spans="1:9" ht="18" customHeight="1" thickBot="1" x14ac:dyDescent="0.3">
      <c r="A77" s="127" t="s">
        <v>630</v>
      </c>
      <c r="B77" s="128"/>
      <c r="C77" s="73" t="s">
        <v>561</v>
      </c>
      <c r="D77" s="71"/>
      <c r="E77" s="3"/>
      <c r="F77" s="3"/>
      <c r="G77" s="3"/>
      <c r="H77" s="3"/>
      <c r="I77" s="3"/>
    </row>
    <row r="78" spans="1:9" ht="26.25" customHeight="1" thickBot="1" x14ac:dyDescent="0.3">
      <c r="A78" s="3" t="s">
        <v>595</v>
      </c>
      <c r="B78" s="12" t="s">
        <v>631</v>
      </c>
      <c r="C78" s="12">
        <f>(C15/220)*C13*15</f>
        <v>0</v>
      </c>
      <c r="D78" s="2"/>
      <c r="E78" s="3"/>
      <c r="F78" s="3"/>
      <c r="G78" s="3"/>
      <c r="H78" s="3"/>
      <c r="I78" s="3"/>
    </row>
    <row r="79" spans="1:9" ht="21.75" customHeight="1" thickBot="1" x14ac:dyDescent="0.3">
      <c r="A79" s="3"/>
      <c r="B79" s="12" t="s">
        <v>632</v>
      </c>
      <c r="C79" s="12">
        <f>SUM(C75:C76)</f>
        <v>111.11597333333334</v>
      </c>
      <c r="D79" s="3"/>
      <c r="E79" s="3"/>
      <c r="F79" s="3"/>
      <c r="G79" s="3"/>
      <c r="H79" s="3"/>
      <c r="I79" s="3"/>
    </row>
    <row r="80" spans="1:9" ht="18" customHeight="1" x14ac:dyDescent="0.25">
      <c r="A80" s="9"/>
      <c r="B80" s="9"/>
      <c r="C80" s="9"/>
      <c r="D80" s="9"/>
      <c r="E80" s="9"/>
      <c r="F80" s="9"/>
      <c r="G80" s="9"/>
      <c r="H80" s="9"/>
      <c r="I80" s="9"/>
    </row>
    <row r="81" spans="1:9" ht="18" customHeight="1" x14ac:dyDescent="0.25">
      <c r="A81" s="9"/>
      <c r="B81" s="9"/>
      <c r="C81" s="9"/>
      <c r="D81" s="9"/>
      <c r="E81" s="9"/>
      <c r="F81" s="9"/>
      <c r="G81" s="9"/>
      <c r="H81" s="9"/>
      <c r="I81" s="9"/>
    </row>
    <row r="82" spans="1:9" ht="18" customHeight="1" x14ac:dyDescent="0.25">
      <c r="A82" s="114" t="s">
        <v>633</v>
      </c>
      <c r="B82" s="108"/>
      <c r="C82" s="109"/>
      <c r="D82" s="8"/>
      <c r="E82" s="8"/>
      <c r="F82" s="8"/>
      <c r="G82" s="8"/>
      <c r="H82" s="8"/>
      <c r="I82" s="8"/>
    </row>
    <row r="83" spans="1:9" ht="21.75" customHeight="1" thickBot="1" x14ac:dyDescent="0.3">
      <c r="A83" s="12" t="s">
        <v>634</v>
      </c>
      <c r="B83" s="12" t="s">
        <v>635</v>
      </c>
      <c r="C83" s="12" t="s">
        <v>561</v>
      </c>
      <c r="D83" s="3"/>
      <c r="E83" s="3"/>
      <c r="F83" s="3"/>
      <c r="G83" s="3"/>
      <c r="H83" s="3"/>
      <c r="I83" s="3"/>
    </row>
    <row r="84" spans="1:9" ht="15" customHeight="1" x14ac:dyDescent="0.25">
      <c r="A84" s="9"/>
      <c r="B84" s="85" t="s">
        <v>636</v>
      </c>
      <c r="C84" s="83">
        <v>94.54</v>
      </c>
      <c r="D84" s="9"/>
      <c r="E84" s="9"/>
      <c r="F84" s="9"/>
      <c r="G84" s="9"/>
      <c r="H84" s="9"/>
      <c r="I84" s="9"/>
    </row>
    <row r="85" spans="1:9" ht="15" customHeight="1" thickBot="1" x14ac:dyDescent="0.3">
      <c r="A85" s="9"/>
      <c r="B85" s="83" t="s">
        <v>637</v>
      </c>
      <c r="C85" s="83">
        <v>0</v>
      </c>
      <c r="D85" s="9"/>
      <c r="E85" s="9"/>
      <c r="F85" s="9"/>
      <c r="G85" s="9"/>
      <c r="H85" s="9"/>
      <c r="I85" s="9"/>
    </row>
    <row r="86" spans="1:9" ht="21.75" customHeight="1" thickBot="1" x14ac:dyDescent="0.3">
      <c r="A86" s="3"/>
      <c r="B86" s="68" t="s">
        <v>297</v>
      </c>
      <c r="C86" s="68">
        <f>C84+(C84*C85)</f>
        <v>94.54</v>
      </c>
      <c r="D86" s="3"/>
      <c r="E86" s="3"/>
      <c r="F86" s="3"/>
      <c r="G86" s="3"/>
      <c r="H86" s="3"/>
      <c r="I86" s="3"/>
    </row>
    <row r="87" spans="1:9" ht="18" customHeight="1" thickBot="1" x14ac:dyDescent="0.3">
      <c r="A87" s="9"/>
      <c r="B87" s="9"/>
      <c r="C87" s="9"/>
      <c r="D87" s="9"/>
      <c r="E87" s="9"/>
      <c r="F87" s="9"/>
      <c r="G87" s="9"/>
      <c r="H87" s="9"/>
      <c r="I87" s="9"/>
    </row>
    <row r="88" spans="1:9" ht="21.75" customHeight="1" thickBot="1" x14ac:dyDescent="0.3">
      <c r="A88" s="12" t="s">
        <v>638</v>
      </c>
      <c r="B88" s="12" t="s">
        <v>639</v>
      </c>
      <c r="C88" s="12" t="s">
        <v>561</v>
      </c>
      <c r="D88" s="3"/>
      <c r="E88" s="3"/>
      <c r="F88" s="3"/>
      <c r="G88" s="3"/>
      <c r="H88" s="3"/>
      <c r="I88" s="3"/>
    </row>
    <row r="89" spans="1:9" ht="18" customHeight="1" x14ac:dyDescent="0.25">
      <c r="A89" s="9"/>
      <c r="B89" s="85" t="s">
        <v>636</v>
      </c>
      <c r="C89" s="83">
        <v>1263.3900000000001</v>
      </c>
      <c r="D89" s="9"/>
      <c r="E89" s="9"/>
      <c r="F89" s="9"/>
      <c r="G89" s="9"/>
      <c r="H89" s="9"/>
      <c r="I89" s="9"/>
    </row>
    <row r="90" spans="1:9" ht="18" customHeight="1" thickBot="1" x14ac:dyDescent="0.3">
      <c r="A90" s="9"/>
      <c r="B90" s="83" t="s">
        <v>637</v>
      </c>
      <c r="C90" s="83">
        <v>0</v>
      </c>
      <c r="D90" s="9"/>
      <c r="E90" s="9"/>
      <c r="F90" s="9"/>
      <c r="G90" s="9"/>
      <c r="H90" s="9"/>
      <c r="I90" s="9"/>
    </row>
    <row r="91" spans="1:9" ht="38.25" customHeight="1" thickBot="1" x14ac:dyDescent="0.3">
      <c r="A91" s="3"/>
      <c r="B91" s="12" t="s">
        <v>640</v>
      </c>
      <c r="C91" s="12">
        <f>(C89+(C89*C90))*3.2%</f>
        <v>40.428480000000008</v>
      </c>
      <c r="D91" s="3"/>
      <c r="E91" s="3"/>
      <c r="F91" s="3"/>
      <c r="G91" s="3"/>
      <c r="H91" s="3"/>
      <c r="I91" s="3"/>
    </row>
    <row r="92" spans="1:9" ht="21.75" customHeight="1" thickBot="1" x14ac:dyDescent="0.3">
      <c r="A92" s="3"/>
      <c r="B92" s="12" t="s">
        <v>641</v>
      </c>
      <c r="C92" s="12">
        <f>(C89+(C89*C90))-C91</f>
        <v>1222.9615200000001</v>
      </c>
      <c r="D92" s="3"/>
      <c r="E92" s="3"/>
      <c r="F92" s="3"/>
      <c r="G92" s="3"/>
      <c r="H92" s="3"/>
      <c r="I92" s="3"/>
    </row>
    <row r="93" spans="1:9" ht="18" customHeight="1" thickBot="1" x14ac:dyDescent="0.3">
      <c r="A93" s="9"/>
      <c r="B93" s="9"/>
      <c r="C93" s="9"/>
      <c r="D93" s="9"/>
      <c r="E93" s="9"/>
      <c r="F93" s="9"/>
      <c r="G93" s="9"/>
      <c r="H93" s="9"/>
      <c r="I93" s="9"/>
    </row>
    <row r="94" spans="1:9" ht="18" customHeight="1" thickBot="1" x14ac:dyDescent="0.3">
      <c r="A94" s="114" t="s">
        <v>633</v>
      </c>
      <c r="B94" s="108"/>
      <c r="C94" s="109"/>
      <c r="D94" s="8"/>
      <c r="E94" s="8"/>
      <c r="F94" s="8"/>
      <c r="G94" s="8"/>
      <c r="H94" s="8"/>
      <c r="I94" s="8"/>
    </row>
    <row r="95" spans="1:9" ht="21.75" customHeight="1" thickBot="1" x14ac:dyDescent="0.3">
      <c r="A95" s="3"/>
      <c r="B95" s="12" t="s">
        <v>634</v>
      </c>
      <c r="C95" s="12">
        <f>C86</f>
        <v>94.54</v>
      </c>
      <c r="D95" s="3"/>
      <c r="E95" s="3"/>
      <c r="F95" s="3"/>
      <c r="G95" s="3"/>
      <c r="H95" s="3"/>
      <c r="I95" s="3"/>
    </row>
    <row r="96" spans="1:9" ht="21.75" customHeight="1" thickBot="1" x14ac:dyDescent="0.3">
      <c r="A96" s="3"/>
      <c r="B96" s="12" t="s">
        <v>638</v>
      </c>
      <c r="C96" s="12">
        <f>C92</f>
        <v>1222.9615200000001</v>
      </c>
      <c r="D96" s="3"/>
      <c r="E96" s="3"/>
      <c r="F96" s="3"/>
      <c r="G96" s="3"/>
      <c r="H96" s="3"/>
      <c r="I96" s="3"/>
    </row>
    <row r="97" spans="1:9" ht="21.75" customHeight="1" thickBot="1" x14ac:dyDescent="0.3">
      <c r="A97" s="3"/>
      <c r="B97" s="68" t="s">
        <v>297</v>
      </c>
      <c r="C97" s="68">
        <f>IFERROR(C95+C96,0)</f>
        <v>1317.50152</v>
      </c>
      <c r="D97" s="3"/>
      <c r="E97" s="3"/>
      <c r="F97" s="3"/>
      <c r="G97" s="3"/>
      <c r="H97" s="3"/>
      <c r="I97" s="3"/>
    </row>
    <row r="98" spans="1:9" ht="18" customHeight="1" x14ac:dyDescent="0.25">
      <c r="A98" s="9"/>
      <c r="B98" s="9"/>
      <c r="C98" s="9"/>
      <c r="D98" s="9"/>
      <c r="E98" s="9"/>
      <c r="F98" s="9"/>
      <c r="G98" s="9"/>
      <c r="H98" s="9"/>
      <c r="I98" s="9"/>
    </row>
    <row r="99" spans="1:9" ht="18" customHeight="1" x14ac:dyDescent="0.25">
      <c r="A99" s="9"/>
      <c r="B99" s="9"/>
      <c r="C99" s="9"/>
      <c r="D99" s="9"/>
      <c r="E99" s="9"/>
      <c r="F99" s="9"/>
      <c r="G99" s="9"/>
      <c r="H99" s="9"/>
      <c r="I99" s="9"/>
    </row>
    <row r="100" spans="1:9" ht="18" customHeight="1" thickBot="1" x14ac:dyDescent="0.3">
      <c r="A100" s="114" t="s">
        <v>642</v>
      </c>
      <c r="B100" s="108"/>
      <c r="C100" s="109"/>
      <c r="D100" s="8"/>
      <c r="E100" s="8"/>
      <c r="F100" s="8"/>
      <c r="G100" s="8"/>
      <c r="H100" s="8"/>
      <c r="I100" s="8"/>
    </row>
    <row r="101" spans="1:9" ht="25.5" customHeight="1" thickBot="1" x14ac:dyDescent="0.3">
      <c r="A101" s="3"/>
      <c r="B101" s="12" t="s">
        <v>643</v>
      </c>
      <c r="C101" s="12">
        <f>IFERROR(C16+C54+C64+C79+C97,0)</f>
        <v>5500.6084731733326</v>
      </c>
      <c r="D101" s="3"/>
      <c r="E101" s="125" t="s">
        <v>644</v>
      </c>
      <c r="F101" s="12" t="s">
        <v>645</v>
      </c>
      <c r="G101" s="129">
        <f>-1</f>
        <v>-1</v>
      </c>
      <c r="H101" s="3"/>
      <c r="I101" s="3"/>
    </row>
    <row r="102" spans="1:9" ht="21.75" customHeight="1" thickBot="1" x14ac:dyDescent="0.3">
      <c r="A102" s="3"/>
      <c r="B102" s="12" t="s">
        <v>646</v>
      </c>
      <c r="C102" s="2">
        <f>(1+F114)/(1-F109-F115)-100%</f>
        <v>0.30445795339412363</v>
      </c>
      <c r="D102" s="3"/>
      <c r="E102" s="126"/>
      <c r="F102" s="12" t="s">
        <v>647</v>
      </c>
      <c r="G102" s="126"/>
      <c r="H102" s="3"/>
      <c r="I102" s="3"/>
    </row>
    <row r="103" spans="1:9" ht="21.75" customHeight="1" thickBot="1" x14ac:dyDescent="0.3">
      <c r="A103" s="3"/>
      <c r="B103" s="68" t="s">
        <v>648</v>
      </c>
      <c r="C103" s="68">
        <f>IFERROR(C101*C102,0)</f>
        <v>1674.7039981647281</v>
      </c>
      <c r="D103" s="3"/>
      <c r="E103" s="3"/>
      <c r="F103" s="3"/>
      <c r="G103" s="3"/>
      <c r="H103" s="3"/>
      <c r="I103" s="3"/>
    </row>
    <row r="104" spans="1:9" ht="18" customHeight="1" thickBot="1" x14ac:dyDescent="0.3">
      <c r="A104" s="9"/>
      <c r="B104" s="9"/>
      <c r="C104" s="9"/>
      <c r="D104" s="9"/>
      <c r="E104" s="9"/>
      <c r="F104" s="9"/>
      <c r="G104" s="9"/>
      <c r="H104" s="9"/>
      <c r="I104" s="9"/>
    </row>
    <row r="105" spans="1:9" ht="18" customHeight="1" thickBot="1" x14ac:dyDescent="0.3">
      <c r="A105" s="9"/>
      <c r="B105" s="9"/>
      <c r="C105" s="9"/>
      <c r="D105" s="43"/>
      <c r="E105" s="1"/>
      <c r="F105" s="19"/>
      <c r="G105" s="13"/>
      <c r="H105" s="9"/>
      <c r="I105" s="9"/>
    </row>
    <row r="106" spans="1:9" ht="21.75" customHeight="1" thickBot="1" x14ac:dyDescent="0.3">
      <c r="A106" s="115" t="s">
        <v>649</v>
      </c>
      <c r="B106" s="109"/>
      <c r="C106" s="3"/>
      <c r="D106" s="13"/>
      <c r="E106" s="44"/>
      <c r="F106" s="13"/>
      <c r="G106" s="13"/>
      <c r="H106" s="3"/>
      <c r="I106" s="2"/>
    </row>
    <row r="107" spans="1:9" ht="18" customHeight="1" thickBot="1" x14ac:dyDescent="0.3">
      <c r="A107" s="9"/>
      <c r="B107" s="9"/>
      <c r="C107" s="9"/>
      <c r="D107" s="9"/>
      <c r="E107" s="9"/>
      <c r="F107" s="9"/>
      <c r="G107" s="9"/>
      <c r="H107" s="9"/>
      <c r="I107" s="35"/>
    </row>
    <row r="108" spans="1:9" ht="25.5" customHeight="1" thickBot="1" x14ac:dyDescent="0.3">
      <c r="A108" s="12" t="s">
        <v>650</v>
      </c>
      <c r="B108" s="12" t="s">
        <v>535</v>
      </c>
      <c r="C108" s="3"/>
      <c r="D108" s="3"/>
      <c r="E108" s="3"/>
      <c r="F108" s="3"/>
      <c r="G108" s="3"/>
      <c r="H108" s="3"/>
      <c r="I108" s="3"/>
    </row>
    <row r="109" spans="1:9" ht="21.75" customHeight="1" thickBot="1" x14ac:dyDescent="0.3">
      <c r="A109" s="12" t="s">
        <v>652</v>
      </c>
      <c r="B109" s="12">
        <f>IFERROR(C16,0)</f>
        <v>1975.2</v>
      </c>
      <c r="C109" s="3"/>
      <c r="D109" s="3"/>
      <c r="E109" s="80" t="s">
        <v>653</v>
      </c>
      <c r="F109" s="81">
        <f>SUM(F110:F112)</f>
        <v>0.14250000000000002</v>
      </c>
      <c r="G109" s="100" t="s">
        <v>561</v>
      </c>
      <c r="H109" s="3"/>
      <c r="I109" s="3"/>
    </row>
    <row r="110" spans="1:9" ht="21.75" customHeight="1" thickBot="1" x14ac:dyDescent="0.3">
      <c r="A110" s="12" t="s">
        <v>654</v>
      </c>
      <c r="B110" s="12">
        <f>IFERROR(C54,0)</f>
        <v>1965.1612815999999</v>
      </c>
      <c r="C110" s="3"/>
      <c r="D110" s="3"/>
      <c r="E110" s="80" t="s">
        <v>655</v>
      </c>
      <c r="F110" s="81">
        <v>0.05</v>
      </c>
      <c r="G110" s="103">
        <f>F110*C101</f>
        <v>275.03042365866662</v>
      </c>
      <c r="H110" s="3"/>
      <c r="I110" s="3"/>
    </row>
    <row r="111" spans="1:9" ht="21.75" customHeight="1" thickBot="1" x14ac:dyDescent="0.3">
      <c r="A111" s="12" t="s">
        <v>656</v>
      </c>
      <c r="B111" s="12">
        <f>IFERROR(C64,0)</f>
        <v>131.62969824000001</v>
      </c>
      <c r="C111" s="3"/>
      <c r="D111" s="3"/>
      <c r="E111" s="80" t="s">
        <v>657</v>
      </c>
      <c r="F111" s="81">
        <v>7.5999999999999998E-2</v>
      </c>
      <c r="G111" s="103">
        <f>F111*C101</f>
        <v>418.04624396117327</v>
      </c>
      <c r="H111" s="3"/>
      <c r="I111" s="3"/>
    </row>
    <row r="112" spans="1:9" ht="21.75" customHeight="1" thickBot="1" x14ac:dyDescent="0.3">
      <c r="A112" s="12" t="s">
        <v>658</v>
      </c>
      <c r="B112" s="12">
        <f>IFERROR(C79,0)</f>
        <v>111.11597333333334</v>
      </c>
      <c r="C112" s="3"/>
      <c r="D112" s="3"/>
      <c r="E112" s="80" t="s">
        <v>659</v>
      </c>
      <c r="F112" s="81">
        <v>1.6500000000000001E-2</v>
      </c>
      <c r="G112" s="103">
        <f>F112*C101</f>
        <v>90.760039807359988</v>
      </c>
      <c r="H112" s="3"/>
      <c r="I112" s="3"/>
    </row>
    <row r="113" spans="1:9" ht="21.75" customHeight="1" thickBot="1" x14ac:dyDescent="0.3">
      <c r="A113" s="12" t="s">
        <v>660</v>
      </c>
      <c r="B113" s="12">
        <f>IFERROR(C97,0)</f>
        <v>1317.50152</v>
      </c>
      <c r="C113" s="3"/>
      <c r="D113" s="3"/>
      <c r="E113" s="100"/>
      <c r="F113" s="81"/>
      <c r="G113" s="103"/>
      <c r="H113" s="3"/>
      <c r="I113" s="3"/>
    </row>
    <row r="114" spans="1:9" ht="21.75" customHeight="1" thickBot="1" x14ac:dyDescent="0.3">
      <c r="A114" s="12" t="s">
        <v>661</v>
      </c>
      <c r="B114" s="12">
        <f>IFERROR(C103,0)</f>
        <v>1674.7039981647281</v>
      </c>
      <c r="C114" s="3"/>
      <c r="D114" s="3"/>
      <c r="E114" s="80" t="s">
        <v>662</v>
      </c>
      <c r="F114" s="81">
        <v>0.03</v>
      </c>
      <c r="G114" s="103">
        <f>F114*C101</f>
        <v>165.01825419519997</v>
      </c>
      <c r="H114" s="3"/>
      <c r="I114" s="3"/>
    </row>
    <row r="115" spans="1:9" ht="18" customHeight="1" thickBot="1" x14ac:dyDescent="0.3">
      <c r="A115" s="68" t="s">
        <v>663</v>
      </c>
      <c r="B115" s="68">
        <f>IFERROR(SUM(B109:B114),0)</f>
        <v>7175.3124713380603</v>
      </c>
      <c r="C115" s="24"/>
      <c r="D115" s="24"/>
      <c r="E115" s="101" t="s">
        <v>664</v>
      </c>
      <c r="F115" s="102">
        <v>6.7900000000000002E-2</v>
      </c>
      <c r="G115" s="103">
        <f>F115*C101</f>
        <v>373.49131532846928</v>
      </c>
      <c r="H115" s="24"/>
      <c r="I115" s="24"/>
    </row>
    <row r="116" spans="1:9" ht="13.5" customHeight="1" x14ac:dyDescent="0.25">
      <c r="G116" s="31"/>
    </row>
  </sheetData>
  <autoFilter ref="A6:I115" xr:uid="{00000000-0009-0000-0000-000012000000}"/>
  <mergeCells count="13">
    <mergeCell ref="A19:C19"/>
    <mergeCell ref="A106:B106"/>
    <mergeCell ref="A82:C82"/>
    <mergeCell ref="A68:B68"/>
    <mergeCell ref="F38:I38"/>
    <mergeCell ref="A94:C94"/>
    <mergeCell ref="A50:C50"/>
    <mergeCell ref="G101:G102"/>
    <mergeCell ref="E101:E102"/>
    <mergeCell ref="A77:B77"/>
    <mergeCell ref="A56:C56"/>
    <mergeCell ref="A67:C67"/>
    <mergeCell ref="A100:C100"/>
  </mergeCells>
  <printOptions horizontalCentered="1"/>
  <pageMargins left="0.35" right="0.35" top="0.55000000000000004" bottom="0.55000000000000004" header="0.511811023622047" footer="0.511811023622047"/>
  <pageSetup paperSize="9" scale="73" fitToHeight="0" pageOrder="overThenDown" orientation="landscape" useFirstPageNumber="1" horizontalDpi="300" verticalDpi="300" r:id="rId1"/>
  <legacy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B1:U1048576"/>
  <sheetViews>
    <sheetView showGridLines="0" zoomScaleNormal="100" workbookViewId="0">
      <pane xSplit="1" ySplit="6" topLeftCell="B7" activePane="bottomRight" state="frozen"/>
      <selection pane="topRight" activeCell="B1" sqref="B1"/>
      <selection pane="bottomLeft" activeCell="A7" sqref="A7"/>
      <selection pane="bottomRight" activeCell="D7" sqref="D7"/>
    </sheetView>
  </sheetViews>
  <sheetFormatPr defaultColWidth="8.5703125" defaultRowHeight="15" x14ac:dyDescent="0.25"/>
  <cols>
    <col min="1" max="1" width="5" customWidth="1"/>
    <col min="2" max="2" width="8" customWidth="1"/>
    <col min="3" max="3" width="34" customWidth="1"/>
    <col min="4" max="4" width="15" style="94" customWidth="1"/>
    <col min="5" max="5" width="13" style="94" customWidth="1"/>
    <col min="6" max="6" width="23" style="94" customWidth="1"/>
    <col min="7" max="7" width="13" style="94" customWidth="1"/>
    <col min="8" max="8" width="23.7109375" style="94" customWidth="1"/>
    <col min="9" max="9" width="16.85546875" style="94" customWidth="1"/>
    <col min="10" max="10" width="29.85546875" style="94" customWidth="1"/>
    <col min="11" max="11" width="13.5703125" style="94" customWidth="1"/>
    <col min="12" max="12" width="8" style="94" customWidth="1"/>
    <col min="13" max="13" width="17.85546875" style="94" customWidth="1"/>
    <col min="14" max="14" width="16.7109375" style="94" customWidth="1"/>
    <col min="15" max="15" width="17.7109375" customWidth="1"/>
    <col min="16" max="16" width="6.140625" customWidth="1"/>
    <col min="17" max="17" width="37.5703125" customWidth="1"/>
    <col min="18" max="18" width="8.42578125" customWidth="1"/>
    <col min="19" max="19" width="10.5703125" customWidth="1"/>
    <col min="20" max="20" width="15" customWidth="1"/>
    <col min="21" max="21" width="18.42578125" customWidth="1"/>
  </cols>
  <sheetData>
    <row r="1" spans="2:21" ht="13.5" customHeight="1" x14ac:dyDescent="0.25"/>
    <row r="2" spans="2:21" ht="13.5" customHeight="1" x14ac:dyDescent="0.25"/>
    <row r="3" spans="2:21" ht="13.5" customHeight="1" x14ac:dyDescent="0.25"/>
    <row r="4" spans="2:21" ht="13.5" customHeight="1" x14ac:dyDescent="0.25"/>
    <row r="5" spans="2:21" ht="18" customHeight="1" x14ac:dyDescent="0.25">
      <c r="B5" s="33"/>
      <c r="C5" s="137" t="s">
        <v>960</v>
      </c>
      <c r="D5" s="119"/>
      <c r="E5" s="119"/>
      <c r="F5" s="119"/>
      <c r="G5" s="119"/>
      <c r="H5" s="119"/>
      <c r="I5" s="119"/>
      <c r="J5" s="119"/>
      <c r="K5" s="119"/>
      <c r="L5" s="119"/>
      <c r="M5" s="119"/>
      <c r="N5" s="138"/>
    </row>
    <row r="6" spans="2:21" ht="25.5" customHeight="1" x14ac:dyDescent="0.25">
      <c r="B6" s="3"/>
      <c r="C6" s="6" t="s">
        <v>650</v>
      </c>
      <c r="D6" s="68" t="s">
        <v>678</v>
      </c>
      <c r="E6" s="68" t="s">
        <v>652</v>
      </c>
      <c r="F6" s="68" t="s">
        <v>654</v>
      </c>
      <c r="G6" s="68" t="s">
        <v>656</v>
      </c>
      <c r="H6" s="33" t="s">
        <v>658</v>
      </c>
      <c r="I6" s="33" t="s">
        <v>660</v>
      </c>
      <c r="J6" s="68" t="s">
        <v>661</v>
      </c>
      <c r="K6" s="68" t="s">
        <v>679</v>
      </c>
      <c r="L6" s="33" t="s">
        <v>680</v>
      </c>
      <c r="M6" s="68" t="s">
        <v>681</v>
      </c>
      <c r="N6" s="68" t="s">
        <v>682</v>
      </c>
      <c r="P6" s="50"/>
      <c r="Q6" s="50"/>
      <c r="R6" s="50"/>
      <c r="S6" s="50"/>
      <c r="T6" s="50"/>
      <c r="U6" s="50"/>
    </row>
    <row r="7" spans="2:21" ht="25.5" customHeight="1" x14ac:dyDescent="0.25">
      <c r="B7" s="3" t="s">
        <v>332</v>
      </c>
      <c r="C7" s="12" t="s">
        <v>961</v>
      </c>
      <c r="D7" s="2">
        <f>IFERROR('L2 Param CCT'!$B$7,0)</f>
        <v>0.2</v>
      </c>
      <c r="E7" s="12">
        <f>IFERROR('L2 Calc Dedetizacao'!C16,0)</f>
        <v>1975.2</v>
      </c>
      <c r="F7" s="12">
        <f>IFERROR('L2 Calc Dedetizacao'!C54,0)</f>
        <v>1965.1612815999999</v>
      </c>
      <c r="G7" s="12">
        <f>IFERROR('L2 Calc Dedetizacao'!C64,0)</f>
        <v>131.62969824000001</v>
      </c>
      <c r="H7" s="22">
        <f>IFERROR('L2 Calc Dedetizacao'!C79,0)</f>
        <v>111.11597333333334</v>
      </c>
      <c r="I7" s="22">
        <f>IFERROR('L2 Calc Dedetizacao'!C97,0)</f>
        <v>1317.50152</v>
      </c>
      <c r="J7" s="12">
        <f>IFERROR('L2 Calc Dedetizacao'!C103,0)</f>
        <v>1674.7039981647281</v>
      </c>
      <c r="K7" s="12">
        <f>IFERROR('L2 Calc Dedetizacao'!B115,0)</f>
        <v>7175.3124713380603</v>
      </c>
      <c r="L7" s="22">
        <f>IFERROR('L2 Dim ETP'!$M$6,0)</f>
        <v>2</v>
      </c>
      <c r="M7" s="12">
        <f>IFERROR(K7*L7,0)</f>
        <v>14350.624942676121</v>
      </c>
      <c r="N7" s="12">
        <f>IFERROR(M7*12,0)</f>
        <v>172207.49931211345</v>
      </c>
    </row>
    <row r="8" spans="2:21" ht="18" customHeight="1" x14ac:dyDescent="0.25">
      <c r="B8" s="9"/>
      <c r="C8" s="9"/>
      <c r="D8" s="92"/>
      <c r="E8" s="92"/>
      <c r="F8" s="92"/>
      <c r="G8" s="92"/>
      <c r="H8" s="92"/>
      <c r="I8" s="92"/>
      <c r="J8" s="92"/>
      <c r="K8" s="92"/>
      <c r="L8" s="92"/>
      <c r="M8" s="92"/>
      <c r="N8" s="92"/>
    </row>
    <row r="9" spans="2:21" ht="25.5" customHeight="1" x14ac:dyDescent="0.25">
      <c r="B9" s="3"/>
      <c r="C9" s="12" t="s">
        <v>961</v>
      </c>
      <c r="D9" s="3">
        <f>IFERROR(L7,0)</f>
        <v>2</v>
      </c>
      <c r="E9" s="12">
        <f>IFERROR(K7,0)</f>
        <v>7175.3124713380603</v>
      </c>
      <c r="F9" s="12">
        <f>IFERROR(D9*E9,0)</f>
        <v>14350.624942676121</v>
      </c>
      <c r="G9" s="12">
        <f>IFERROR(F9*12,0)</f>
        <v>172207.49931211345</v>
      </c>
      <c r="H9" s="3"/>
      <c r="I9" s="3"/>
      <c r="J9" s="3"/>
      <c r="K9" s="3"/>
      <c r="L9" s="3"/>
      <c r="M9" s="3"/>
      <c r="N9" s="3"/>
    </row>
    <row r="10" spans="2:21" ht="18" customHeight="1" x14ac:dyDescent="0.25">
      <c r="B10" s="24"/>
      <c r="C10" s="6" t="s">
        <v>297</v>
      </c>
      <c r="D10" s="33">
        <f>IFERROR(SUM(D9:D9),0)</f>
        <v>2</v>
      </c>
      <c r="E10" s="68">
        <f>IFERROR(SUM(E9:E9),0)</f>
        <v>7175.3124713380603</v>
      </c>
      <c r="F10" s="68">
        <f>IFERROR(SUM(F9:F9),0)</f>
        <v>14350.624942676121</v>
      </c>
      <c r="G10" s="68">
        <f>IFERROR(SUM(G9:G9),0)</f>
        <v>172207.49931211345</v>
      </c>
      <c r="H10" s="105"/>
      <c r="I10" s="105"/>
      <c r="J10" s="105"/>
      <c r="K10" s="105"/>
      <c r="L10" s="105"/>
      <c r="M10" s="105"/>
      <c r="N10" s="105"/>
    </row>
    <row r="1048543" ht="12.75" customHeight="1" x14ac:dyDescent="0.25"/>
    <row r="1048544" ht="12.75" customHeight="1" x14ac:dyDescent="0.25"/>
    <row r="1048545" ht="12.75" customHeight="1" x14ac:dyDescent="0.25"/>
    <row r="1048546" ht="12.75" customHeight="1" x14ac:dyDescent="0.25"/>
    <row r="1048547" ht="12.75" customHeight="1" x14ac:dyDescent="0.25"/>
    <row r="1048548" ht="12.75" customHeight="1" x14ac:dyDescent="0.25"/>
    <row r="1048549" ht="12.75" customHeight="1" x14ac:dyDescent="0.25"/>
    <row r="1048550" ht="12.75" customHeight="1" x14ac:dyDescent="0.25"/>
    <row r="1048551" ht="12.75" customHeight="1" x14ac:dyDescent="0.25"/>
    <row r="1048552" ht="12.75" customHeight="1" x14ac:dyDescent="0.25"/>
    <row r="1048553" ht="12.75" customHeight="1" x14ac:dyDescent="0.25"/>
    <row r="1048554" ht="12.75" customHeight="1" x14ac:dyDescent="0.25"/>
    <row r="1048555" ht="12.75" customHeight="1" x14ac:dyDescent="0.25"/>
    <row r="1048556" ht="12.75" customHeight="1" x14ac:dyDescent="0.25"/>
    <row r="1048557" ht="12.75" customHeight="1" x14ac:dyDescent="0.25"/>
    <row r="1048558" ht="12.75" customHeight="1" x14ac:dyDescent="0.25"/>
    <row r="1048559" ht="12.75" customHeight="1" x14ac:dyDescent="0.25"/>
    <row r="1048560" ht="12.75" customHeight="1" x14ac:dyDescent="0.25"/>
    <row r="1048561" ht="12.75" customHeight="1" x14ac:dyDescent="0.25"/>
    <row r="1048562" ht="12.75" customHeight="1" x14ac:dyDescent="0.25"/>
    <row r="1048563" ht="12.75" customHeight="1" x14ac:dyDescent="0.25"/>
    <row r="1048564" ht="12.75" customHeight="1" x14ac:dyDescent="0.25"/>
    <row r="1048565" ht="12.75" customHeight="1" x14ac:dyDescent="0.25"/>
    <row r="1048566" ht="12.75" customHeight="1" x14ac:dyDescent="0.25"/>
    <row r="1048567" ht="12.75" customHeight="1" x14ac:dyDescent="0.25"/>
    <row r="1048568" ht="12.75" customHeight="1" x14ac:dyDescent="0.25"/>
    <row r="1048569" ht="12.75" customHeight="1" x14ac:dyDescent="0.25"/>
    <row r="1048570" ht="12.75" customHeight="1" x14ac:dyDescent="0.25"/>
    <row r="1048571" ht="12.75" customHeight="1" x14ac:dyDescent="0.25"/>
    <row r="1048572" ht="12.75" customHeight="1" x14ac:dyDescent="0.25"/>
    <row r="1048573" ht="12.75" customHeight="1" x14ac:dyDescent="0.25"/>
    <row r="1048574" ht="12.75" customHeight="1" x14ac:dyDescent="0.25"/>
    <row r="1048575" ht="12.75" customHeight="1" x14ac:dyDescent="0.25"/>
    <row r="1048576" ht="12.75" customHeight="1" x14ac:dyDescent="0.25"/>
  </sheetData>
  <autoFilter ref="B6:N10" xr:uid="{00000000-0009-0000-0000-000013000000}"/>
  <mergeCells count="1">
    <mergeCell ref="C5:N5"/>
  </mergeCells>
  <printOptions horizontalCentered="1"/>
  <pageMargins left="0.35" right="0.35" top="0.55000000000000004" bottom="0.55000000000000004" header="0.511811023622047" footer="0.511811023622047"/>
  <pageSetup paperSize="9" scale="60" fitToHeight="0" pageOrder="overThenDown" orientation="landscape" useFirstPageNumber="1" horizontalDpi="300" verticalDpi="300" r:id="rId1"/>
  <legacy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N63"/>
  <sheetViews>
    <sheetView showGridLines="0" zoomScaleNormal="100" workbookViewId="0">
      <pane ySplit="4" topLeftCell="A5" activePane="bottomLeft" state="frozen"/>
      <selection pane="bottomLeft"/>
    </sheetView>
  </sheetViews>
  <sheetFormatPr defaultColWidth="8.5703125" defaultRowHeight="15" x14ac:dyDescent="0.25"/>
  <cols>
    <col min="1" max="3" width="34" customWidth="1"/>
    <col min="4" max="4" width="20" customWidth="1"/>
    <col min="5" max="5" width="21" customWidth="1"/>
    <col min="6" max="6" width="18" customWidth="1"/>
    <col min="7" max="7" width="34" customWidth="1"/>
    <col min="8" max="8" width="13" customWidth="1"/>
    <col min="9" max="9" width="18" customWidth="1"/>
    <col min="10" max="10" width="29" customWidth="1"/>
    <col min="11" max="11" width="8" customWidth="1"/>
    <col min="12" max="12" width="32" customWidth="1"/>
    <col min="13" max="13" width="34" customWidth="1"/>
    <col min="14" max="14" width="8" customWidth="1"/>
  </cols>
  <sheetData>
    <row r="1" spans="1:14" ht="24" customHeight="1" x14ac:dyDescent="0.25">
      <c r="A1" s="107" t="s">
        <v>962</v>
      </c>
      <c r="B1" s="108"/>
      <c r="C1" s="108"/>
      <c r="D1" s="108"/>
      <c r="E1" s="108"/>
      <c r="F1" s="108"/>
      <c r="G1" s="108"/>
      <c r="H1" s="108"/>
      <c r="I1" s="108"/>
      <c r="J1" s="109"/>
      <c r="K1" s="11"/>
      <c r="L1" s="121" t="s">
        <v>963</v>
      </c>
      <c r="M1" s="108"/>
      <c r="N1" s="109"/>
    </row>
    <row r="2" spans="1:14" ht="24" customHeight="1" x14ac:dyDescent="0.25">
      <c r="A2" s="107" t="s">
        <v>964</v>
      </c>
      <c r="B2" s="108"/>
      <c r="C2" s="108"/>
      <c r="D2" s="108"/>
      <c r="E2" s="108"/>
      <c r="F2" s="108"/>
      <c r="G2" s="108"/>
      <c r="H2" s="108"/>
      <c r="I2" s="108"/>
      <c r="J2" s="109"/>
      <c r="K2" s="11"/>
      <c r="L2" s="11"/>
      <c r="M2" s="11"/>
      <c r="N2" s="11"/>
    </row>
    <row r="3" spans="1:14" ht="24" customHeight="1" x14ac:dyDescent="0.25">
      <c r="A3" s="107" t="s">
        <v>965</v>
      </c>
      <c r="B3" s="108"/>
      <c r="C3" s="108"/>
      <c r="D3" s="108"/>
      <c r="E3" s="108"/>
      <c r="F3" s="108"/>
      <c r="G3" s="108"/>
      <c r="H3" s="108"/>
      <c r="I3" s="108"/>
      <c r="J3" s="109"/>
      <c r="K3" s="11"/>
      <c r="L3" s="5" t="s">
        <v>6</v>
      </c>
      <c r="M3" s="4" t="s">
        <v>966</v>
      </c>
      <c r="N3" s="11"/>
    </row>
    <row r="4" spans="1:14" ht="21.75" customHeight="1" x14ac:dyDescent="0.25">
      <c r="A4" s="3"/>
      <c r="B4" s="3"/>
      <c r="C4" s="3"/>
      <c r="D4" s="3"/>
      <c r="E4" s="3"/>
      <c r="F4" s="3"/>
      <c r="G4" s="3"/>
      <c r="H4" s="3"/>
      <c r="I4" s="3"/>
      <c r="J4" s="3"/>
      <c r="K4" s="3"/>
      <c r="L4" s="12" t="s">
        <v>7</v>
      </c>
      <c r="M4" s="2" t="s">
        <v>961</v>
      </c>
      <c r="N4" s="3"/>
    </row>
    <row r="5" spans="1:14" ht="24" customHeight="1" x14ac:dyDescent="0.25">
      <c r="A5" s="107" t="s">
        <v>967</v>
      </c>
      <c r="B5" s="108"/>
      <c r="C5" s="108"/>
      <c r="D5" s="108"/>
      <c r="E5" s="108"/>
      <c r="F5" s="108"/>
      <c r="G5" s="108"/>
      <c r="H5" s="108"/>
      <c r="I5" s="108"/>
      <c r="J5" s="109"/>
      <c r="K5" s="11"/>
      <c r="L5" s="5" t="s">
        <v>968</v>
      </c>
      <c r="M5" s="4">
        <f>IFERROR('L2 Dim ETP'!F62,0)</f>
        <v>1.05</v>
      </c>
      <c r="N5" s="11"/>
    </row>
    <row r="6" spans="1:14" ht="21.75" customHeight="1" x14ac:dyDescent="0.25">
      <c r="A6" s="3" t="s">
        <v>702</v>
      </c>
      <c r="B6" s="3" t="s">
        <v>703</v>
      </c>
      <c r="C6" s="58" t="s">
        <v>969</v>
      </c>
      <c r="D6" s="58" t="s">
        <v>970</v>
      </c>
      <c r="E6" s="58" t="s">
        <v>971</v>
      </c>
      <c r="F6" s="12" t="s">
        <v>972</v>
      </c>
      <c r="G6" s="12" t="s">
        <v>973</v>
      </c>
      <c r="H6" s="58" t="s">
        <v>974</v>
      </c>
      <c r="I6" s="3" t="s">
        <v>975</v>
      </c>
      <c r="J6" s="3" t="s">
        <v>4</v>
      </c>
      <c r="K6" s="3"/>
      <c r="L6" s="12" t="s">
        <v>976</v>
      </c>
      <c r="M6" s="2">
        <f>IFERROR('L2 Dim ETP'!F63,0)</f>
        <v>2</v>
      </c>
      <c r="N6" s="3"/>
    </row>
    <row r="7" spans="1:14" ht="21.75" customHeight="1" x14ac:dyDescent="0.25">
      <c r="A7" s="3">
        <v>1</v>
      </c>
      <c r="B7" s="3" t="s">
        <v>733</v>
      </c>
      <c r="C7" s="58" t="s">
        <v>393</v>
      </c>
      <c r="D7" s="58" t="s">
        <v>393</v>
      </c>
      <c r="E7" s="58" t="s">
        <v>393</v>
      </c>
      <c r="F7" s="12" t="s">
        <v>736</v>
      </c>
      <c r="G7" s="12" t="s">
        <v>393</v>
      </c>
      <c r="H7" s="58">
        <v>4</v>
      </c>
      <c r="I7" s="3">
        <v>1.5</v>
      </c>
      <c r="J7" s="3" t="s">
        <v>977</v>
      </c>
      <c r="K7" s="3"/>
      <c r="L7" s="12" t="s">
        <v>978</v>
      </c>
      <c r="M7" s="2" t="s">
        <v>979</v>
      </c>
      <c r="N7" s="3"/>
    </row>
    <row r="8" spans="1:14" ht="21.75" customHeight="1" x14ac:dyDescent="0.25">
      <c r="A8" s="3">
        <v>2</v>
      </c>
      <c r="B8" s="3" t="s">
        <v>739</v>
      </c>
      <c r="C8" s="58" t="s">
        <v>393</v>
      </c>
      <c r="D8" s="58" t="s">
        <v>393</v>
      </c>
      <c r="E8" s="58" t="s">
        <v>393</v>
      </c>
      <c r="F8" s="12" t="s">
        <v>736</v>
      </c>
      <c r="G8" s="12" t="s">
        <v>393</v>
      </c>
      <c r="H8" s="58">
        <v>4</v>
      </c>
      <c r="I8" s="3">
        <v>1.5</v>
      </c>
      <c r="J8" s="3" t="s">
        <v>977</v>
      </c>
      <c r="K8" s="3"/>
      <c r="L8" s="3"/>
      <c r="M8" s="3"/>
      <c r="N8" s="3"/>
    </row>
    <row r="9" spans="1:14" ht="21.75" customHeight="1" x14ac:dyDescent="0.25">
      <c r="A9" s="3">
        <v>3</v>
      </c>
      <c r="B9" s="3" t="s">
        <v>506</v>
      </c>
      <c r="C9" s="58" t="s">
        <v>393</v>
      </c>
      <c r="D9" s="58" t="s">
        <v>393</v>
      </c>
      <c r="E9" s="58" t="s">
        <v>393</v>
      </c>
      <c r="F9" s="12" t="s">
        <v>736</v>
      </c>
      <c r="G9" s="12" t="s">
        <v>393</v>
      </c>
      <c r="H9" s="58">
        <v>4</v>
      </c>
      <c r="I9" s="3">
        <v>2</v>
      </c>
      <c r="J9" s="3" t="s">
        <v>980</v>
      </c>
      <c r="K9" s="3"/>
      <c r="L9" s="3"/>
      <c r="M9" s="3"/>
      <c r="N9" s="3"/>
    </row>
    <row r="10" spans="1:14" ht="21.75" customHeight="1" x14ac:dyDescent="0.25">
      <c r="A10" s="3">
        <v>4</v>
      </c>
      <c r="B10" s="3" t="s">
        <v>398</v>
      </c>
      <c r="C10" s="58" t="s">
        <v>393</v>
      </c>
      <c r="D10" s="58" t="s">
        <v>393</v>
      </c>
      <c r="E10" s="58" t="s">
        <v>393</v>
      </c>
      <c r="F10" s="12" t="s">
        <v>736</v>
      </c>
      <c r="G10" s="12" t="s">
        <v>736</v>
      </c>
      <c r="H10" s="58">
        <v>3</v>
      </c>
      <c r="I10" s="3">
        <v>2</v>
      </c>
      <c r="J10" s="3" t="s">
        <v>981</v>
      </c>
      <c r="K10" s="3"/>
      <c r="L10" s="3"/>
      <c r="M10" s="3"/>
      <c r="N10" s="3"/>
    </row>
    <row r="11" spans="1:14" ht="21.75" customHeight="1" x14ac:dyDescent="0.25">
      <c r="A11" s="3">
        <v>5</v>
      </c>
      <c r="B11" s="3" t="s">
        <v>744</v>
      </c>
      <c r="C11" s="58" t="s">
        <v>393</v>
      </c>
      <c r="D11" s="58" t="s">
        <v>393</v>
      </c>
      <c r="E11" s="58" t="s">
        <v>393</v>
      </c>
      <c r="F11" s="12" t="s">
        <v>736</v>
      </c>
      <c r="G11" s="12" t="s">
        <v>736</v>
      </c>
      <c r="H11" s="58">
        <v>3</v>
      </c>
      <c r="I11" s="3">
        <v>2</v>
      </c>
      <c r="J11" s="3" t="s">
        <v>981</v>
      </c>
      <c r="K11" s="3"/>
      <c r="L11" s="3"/>
      <c r="M11" s="3"/>
      <c r="N11" s="3"/>
    </row>
    <row r="12" spans="1:14" ht="21.75" customHeight="1" x14ac:dyDescent="0.25">
      <c r="A12" s="3">
        <v>6</v>
      </c>
      <c r="B12" s="3" t="s">
        <v>746</v>
      </c>
      <c r="C12" s="58" t="s">
        <v>393</v>
      </c>
      <c r="D12" s="58" t="s">
        <v>393</v>
      </c>
      <c r="E12" s="58" t="s">
        <v>393</v>
      </c>
      <c r="F12" s="12" t="s">
        <v>736</v>
      </c>
      <c r="G12" s="12" t="s">
        <v>393</v>
      </c>
      <c r="H12" s="58">
        <v>4</v>
      </c>
      <c r="I12" s="3">
        <v>1.5</v>
      </c>
      <c r="J12" s="3" t="s">
        <v>982</v>
      </c>
      <c r="K12" s="3"/>
      <c r="L12" s="3"/>
      <c r="M12" s="3"/>
      <c r="N12" s="3"/>
    </row>
    <row r="13" spans="1:14" ht="21.75" customHeight="1" x14ac:dyDescent="0.25">
      <c r="A13" s="3">
        <v>7</v>
      </c>
      <c r="B13" s="3" t="s">
        <v>748</v>
      </c>
      <c r="C13" s="58" t="s">
        <v>393</v>
      </c>
      <c r="D13" s="58" t="s">
        <v>393</v>
      </c>
      <c r="E13" s="58" t="s">
        <v>393</v>
      </c>
      <c r="F13" s="12" t="s">
        <v>736</v>
      </c>
      <c r="G13" s="12" t="s">
        <v>393</v>
      </c>
      <c r="H13" s="58">
        <v>4</v>
      </c>
      <c r="I13" s="3">
        <v>1.5</v>
      </c>
      <c r="J13" s="3" t="s">
        <v>982</v>
      </c>
      <c r="K13" s="3"/>
      <c r="L13" s="3"/>
      <c r="M13" s="3"/>
      <c r="N13" s="3"/>
    </row>
    <row r="14" spans="1:14" ht="21.75" customHeight="1" x14ac:dyDescent="0.25">
      <c r="A14" s="3">
        <v>8</v>
      </c>
      <c r="B14" s="3" t="s">
        <v>541</v>
      </c>
      <c r="C14" s="58" t="s">
        <v>393</v>
      </c>
      <c r="D14" s="58" t="s">
        <v>393</v>
      </c>
      <c r="E14" s="58" t="s">
        <v>393</v>
      </c>
      <c r="F14" s="12" t="s">
        <v>736</v>
      </c>
      <c r="G14" s="12" t="s">
        <v>393</v>
      </c>
      <c r="H14" s="58">
        <v>4</v>
      </c>
      <c r="I14" s="3">
        <v>2</v>
      </c>
      <c r="J14" s="3" t="s">
        <v>983</v>
      </c>
      <c r="K14" s="3"/>
      <c r="L14" s="3"/>
      <c r="M14" s="3"/>
      <c r="N14" s="3"/>
    </row>
    <row r="15" spans="1:14" ht="21.75" customHeight="1" x14ac:dyDescent="0.25">
      <c r="A15" s="3">
        <v>9</v>
      </c>
      <c r="B15" s="3" t="s">
        <v>751</v>
      </c>
      <c r="C15" s="58" t="s">
        <v>393</v>
      </c>
      <c r="D15" s="58" t="s">
        <v>393</v>
      </c>
      <c r="E15" s="58" t="s">
        <v>393</v>
      </c>
      <c r="F15" s="12" t="s">
        <v>736</v>
      </c>
      <c r="G15" s="12" t="s">
        <v>393</v>
      </c>
      <c r="H15" s="58">
        <v>4</v>
      </c>
      <c r="I15" s="3">
        <v>1.5</v>
      </c>
      <c r="J15" s="3" t="s">
        <v>982</v>
      </c>
      <c r="K15" s="3"/>
      <c r="L15" s="3"/>
      <c r="M15" s="3"/>
      <c r="N15" s="3"/>
    </row>
    <row r="16" spans="1:14" ht="21.75" customHeight="1" x14ac:dyDescent="0.25">
      <c r="A16" s="3">
        <v>10</v>
      </c>
      <c r="B16" s="3" t="s">
        <v>753</v>
      </c>
      <c r="C16" s="58" t="s">
        <v>393</v>
      </c>
      <c r="D16" s="58" t="s">
        <v>393</v>
      </c>
      <c r="E16" s="58" t="s">
        <v>393</v>
      </c>
      <c r="F16" s="12" t="s">
        <v>393</v>
      </c>
      <c r="G16" s="12" t="s">
        <v>393</v>
      </c>
      <c r="H16" s="58">
        <v>5</v>
      </c>
      <c r="I16" s="3">
        <v>3</v>
      </c>
      <c r="J16" s="3" t="s">
        <v>984</v>
      </c>
      <c r="K16" s="3"/>
      <c r="L16" s="3"/>
      <c r="M16" s="3"/>
      <c r="N16" s="3"/>
    </row>
    <row r="17" spans="1:14" ht="21.75" customHeight="1" x14ac:dyDescent="0.25">
      <c r="A17" s="3">
        <v>11</v>
      </c>
      <c r="B17" s="3" t="s">
        <v>755</v>
      </c>
      <c r="C17" s="58" t="s">
        <v>393</v>
      </c>
      <c r="D17" s="58" t="s">
        <v>393</v>
      </c>
      <c r="E17" s="58" t="s">
        <v>393</v>
      </c>
      <c r="F17" s="12" t="s">
        <v>393</v>
      </c>
      <c r="G17" s="12" t="s">
        <v>393</v>
      </c>
      <c r="H17" s="58">
        <v>5</v>
      </c>
      <c r="I17" s="3">
        <v>4</v>
      </c>
      <c r="J17" s="3" t="s">
        <v>985</v>
      </c>
      <c r="K17" s="3"/>
      <c r="L17" s="3"/>
      <c r="M17" s="3"/>
      <c r="N17" s="3"/>
    </row>
    <row r="18" spans="1:14" ht="21.75" customHeight="1" x14ac:dyDescent="0.25">
      <c r="A18" s="3">
        <v>12</v>
      </c>
      <c r="B18" s="3" t="s">
        <v>757</v>
      </c>
      <c r="C18" s="58" t="s">
        <v>393</v>
      </c>
      <c r="D18" s="58" t="s">
        <v>393</v>
      </c>
      <c r="E18" s="58" t="s">
        <v>393</v>
      </c>
      <c r="F18" s="12" t="s">
        <v>736</v>
      </c>
      <c r="G18" s="12" t="s">
        <v>393</v>
      </c>
      <c r="H18" s="58">
        <v>4</v>
      </c>
      <c r="I18" s="3">
        <v>1.5</v>
      </c>
      <c r="J18" s="3" t="s">
        <v>986</v>
      </c>
      <c r="K18" s="3"/>
      <c r="L18" s="3"/>
      <c r="M18" s="3"/>
      <c r="N18" s="3"/>
    </row>
    <row r="19" spans="1:14" ht="21.75" customHeight="1" x14ac:dyDescent="0.25">
      <c r="A19" s="3">
        <v>13</v>
      </c>
      <c r="B19" s="3" t="s">
        <v>759</v>
      </c>
      <c r="C19" s="58" t="s">
        <v>393</v>
      </c>
      <c r="D19" s="58" t="s">
        <v>393</v>
      </c>
      <c r="E19" s="58" t="s">
        <v>393</v>
      </c>
      <c r="F19" s="12" t="s">
        <v>736</v>
      </c>
      <c r="G19" s="12" t="s">
        <v>393</v>
      </c>
      <c r="H19" s="58">
        <v>4</v>
      </c>
      <c r="I19" s="3">
        <v>1.5</v>
      </c>
      <c r="J19" s="3" t="s">
        <v>987</v>
      </c>
      <c r="K19" s="3"/>
      <c r="L19" s="3"/>
      <c r="M19" s="3"/>
      <c r="N19" s="3"/>
    </row>
    <row r="20" spans="1:14" ht="21.75" customHeight="1" x14ac:dyDescent="0.25">
      <c r="A20" s="3">
        <v>14</v>
      </c>
      <c r="B20" s="3" t="s">
        <v>761</v>
      </c>
      <c r="C20" s="58" t="s">
        <v>393</v>
      </c>
      <c r="D20" s="58" t="s">
        <v>393</v>
      </c>
      <c r="E20" s="58" t="s">
        <v>393</v>
      </c>
      <c r="F20" s="12" t="s">
        <v>736</v>
      </c>
      <c r="G20" s="12" t="s">
        <v>393</v>
      </c>
      <c r="H20" s="58">
        <v>4</v>
      </c>
      <c r="I20" s="3">
        <v>2</v>
      </c>
      <c r="J20" s="3" t="s">
        <v>988</v>
      </c>
      <c r="K20" s="3"/>
      <c r="L20" s="3"/>
      <c r="M20" s="3"/>
      <c r="N20" s="3"/>
    </row>
    <row r="21" spans="1:14" ht="21.75" customHeight="1" x14ac:dyDescent="0.25">
      <c r="A21" s="3">
        <v>15</v>
      </c>
      <c r="B21" s="3" t="s">
        <v>763</v>
      </c>
      <c r="C21" s="58" t="s">
        <v>393</v>
      </c>
      <c r="D21" s="58" t="s">
        <v>393</v>
      </c>
      <c r="E21" s="58" t="s">
        <v>393</v>
      </c>
      <c r="F21" s="12" t="s">
        <v>736</v>
      </c>
      <c r="G21" s="12" t="s">
        <v>393</v>
      </c>
      <c r="H21" s="58">
        <v>4</v>
      </c>
      <c r="I21" s="3">
        <v>1.5</v>
      </c>
      <c r="J21" s="3" t="s">
        <v>982</v>
      </c>
      <c r="K21" s="3"/>
      <c r="L21" s="3"/>
      <c r="M21" s="3"/>
      <c r="N21" s="3"/>
    </row>
    <row r="22" spans="1:14" ht="21.75" customHeight="1" x14ac:dyDescent="0.25">
      <c r="A22" s="3">
        <v>16</v>
      </c>
      <c r="B22" s="3" t="s">
        <v>765</v>
      </c>
      <c r="C22" s="58" t="s">
        <v>393</v>
      </c>
      <c r="D22" s="58" t="s">
        <v>393</v>
      </c>
      <c r="E22" s="58" t="s">
        <v>393</v>
      </c>
      <c r="F22" s="12" t="s">
        <v>736</v>
      </c>
      <c r="G22" s="12" t="s">
        <v>393</v>
      </c>
      <c r="H22" s="58">
        <v>4</v>
      </c>
      <c r="I22" s="3">
        <v>1.5</v>
      </c>
      <c r="J22" s="3" t="s">
        <v>989</v>
      </c>
      <c r="K22" s="3"/>
      <c r="L22" s="3"/>
      <c r="M22" s="3"/>
      <c r="N22" s="3"/>
    </row>
    <row r="23" spans="1:14" ht="21.75" customHeight="1" x14ac:dyDescent="0.25">
      <c r="A23" s="3">
        <v>17</v>
      </c>
      <c r="B23" s="3" t="s">
        <v>767</v>
      </c>
      <c r="C23" s="58" t="s">
        <v>393</v>
      </c>
      <c r="D23" s="58" t="s">
        <v>393</v>
      </c>
      <c r="E23" s="58" t="s">
        <v>393</v>
      </c>
      <c r="F23" s="12" t="s">
        <v>736</v>
      </c>
      <c r="G23" s="12" t="s">
        <v>393</v>
      </c>
      <c r="H23" s="58">
        <v>4</v>
      </c>
      <c r="I23" s="3">
        <v>2</v>
      </c>
      <c r="J23" s="3" t="s">
        <v>983</v>
      </c>
      <c r="K23" s="3"/>
      <c r="L23" s="3"/>
      <c r="M23" s="3"/>
      <c r="N23" s="3"/>
    </row>
    <row r="24" spans="1:14" ht="21.75" customHeight="1" x14ac:dyDescent="0.25">
      <c r="A24" s="3">
        <v>18</v>
      </c>
      <c r="B24" s="3" t="s">
        <v>769</v>
      </c>
      <c r="C24" s="58" t="s">
        <v>393</v>
      </c>
      <c r="D24" s="58" t="s">
        <v>393</v>
      </c>
      <c r="E24" s="58" t="s">
        <v>393</v>
      </c>
      <c r="F24" s="12" t="s">
        <v>736</v>
      </c>
      <c r="G24" s="12" t="s">
        <v>393</v>
      </c>
      <c r="H24" s="58">
        <v>4</v>
      </c>
      <c r="I24" s="3">
        <v>1.5</v>
      </c>
      <c r="J24" s="3" t="s">
        <v>982</v>
      </c>
      <c r="K24" s="3"/>
      <c r="L24" s="3"/>
      <c r="M24" s="3"/>
      <c r="N24" s="3"/>
    </row>
    <row r="25" spans="1:14" ht="21.75" customHeight="1" x14ac:dyDescent="0.25">
      <c r="A25" s="3">
        <v>19</v>
      </c>
      <c r="B25" s="3" t="s">
        <v>771</v>
      </c>
      <c r="C25" s="58" t="s">
        <v>393</v>
      </c>
      <c r="D25" s="58" t="s">
        <v>393</v>
      </c>
      <c r="E25" s="58" t="s">
        <v>393</v>
      </c>
      <c r="F25" s="12" t="s">
        <v>736</v>
      </c>
      <c r="G25" s="12" t="s">
        <v>393</v>
      </c>
      <c r="H25" s="58">
        <v>4</v>
      </c>
      <c r="I25" s="3">
        <v>1.5</v>
      </c>
      <c r="J25" s="3" t="s">
        <v>982</v>
      </c>
      <c r="K25" s="3"/>
      <c r="L25" s="3"/>
      <c r="M25" s="3"/>
      <c r="N25" s="3"/>
    </row>
    <row r="26" spans="1:14" ht="21.75" customHeight="1" x14ac:dyDescent="0.25">
      <c r="A26" s="3">
        <v>20</v>
      </c>
      <c r="B26" s="3" t="s">
        <v>773</v>
      </c>
      <c r="C26" s="58" t="s">
        <v>393</v>
      </c>
      <c r="D26" s="58" t="s">
        <v>393</v>
      </c>
      <c r="E26" s="58" t="s">
        <v>393</v>
      </c>
      <c r="F26" s="12" t="s">
        <v>736</v>
      </c>
      <c r="G26" s="12" t="s">
        <v>393</v>
      </c>
      <c r="H26" s="58">
        <v>4</v>
      </c>
      <c r="I26" s="3">
        <v>1.5</v>
      </c>
      <c r="J26" s="3" t="s">
        <v>982</v>
      </c>
      <c r="K26" s="3"/>
      <c r="L26" s="3"/>
      <c r="M26" s="3"/>
      <c r="N26" s="3"/>
    </row>
    <row r="27" spans="1:14" ht="21.75" customHeight="1" x14ac:dyDescent="0.25">
      <c r="A27" s="3">
        <v>21</v>
      </c>
      <c r="B27" s="3" t="s">
        <v>775</v>
      </c>
      <c r="C27" s="58" t="s">
        <v>393</v>
      </c>
      <c r="D27" s="58" t="s">
        <v>393</v>
      </c>
      <c r="E27" s="58" t="s">
        <v>393</v>
      </c>
      <c r="F27" s="12" t="s">
        <v>736</v>
      </c>
      <c r="G27" s="12" t="s">
        <v>393</v>
      </c>
      <c r="H27" s="58">
        <v>4</v>
      </c>
      <c r="I27" s="3">
        <v>1.5</v>
      </c>
      <c r="J27" s="3" t="s">
        <v>982</v>
      </c>
      <c r="K27" s="3"/>
      <c r="L27" s="3"/>
      <c r="M27" s="3"/>
      <c r="N27" s="3"/>
    </row>
    <row r="28" spans="1:14" ht="21.75" customHeight="1" x14ac:dyDescent="0.25">
      <c r="A28" s="3">
        <v>22</v>
      </c>
      <c r="B28" s="3" t="s">
        <v>777</v>
      </c>
      <c r="C28" s="58" t="s">
        <v>393</v>
      </c>
      <c r="D28" s="58" t="s">
        <v>393</v>
      </c>
      <c r="E28" s="58" t="s">
        <v>393</v>
      </c>
      <c r="F28" s="12" t="s">
        <v>736</v>
      </c>
      <c r="G28" s="12" t="s">
        <v>393</v>
      </c>
      <c r="H28" s="58">
        <v>4</v>
      </c>
      <c r="I28" s="3">
        <v>2</v>
      </c>
      <c r="J28" s="3" t="s">
        <v>980</v>
      </c>
      <c r="K28" s="3"/>
      <c r="L28" s="3"/>
      <c r="M28" s="3"/>
      <c r="N28" s="3"/>
    </row>
    <row r="29" spans="1:14" ht="21.75" customHeight="1" x14ac:dyDescent="0.25">
      <c r="A29" s="3">
        <v>23</v>
      </c>
      <c r="B29" s="3" t="s">
        <v>779</v>
      </c>
      <c r="C29" s="58" t="s">
        <v>393</v>
      </c>
      <c r="D29" s="58" t="s">
        <v>393</v>
      </c>
      <c r="E29" s="58" t="s">
        <v>393</v>
      </c>
      <c r="F29" s="12" t="s">
        <v>736</v>
      </c>
      <c r="G29" s="12" t="s">
        <v>393</v>
      </c>
      <c r="H29" s="58">
        <v>4</v>
      </c>
      <c r="I29" s="3">
        <v>2</v>
      </c>
      <c r="J29" s="3" t="s">
        <v>980</v>
      </c>
      <c r="K29" s="3"/>
      <c r="L29" s="3"/>
      <c r="M29" s="3"/>
      <c r="N29" s="3"/>
    </row>
    <row r="30" spans="1:14" ht="21.75" customHeight="1" x14ac:dyDescent="0.25">
      <c r="A30" s="3">
        <v>24</v>
      </c>
      <c r="B30" s="3" t="s">
        <v>781</v>
      </c>
      <c r="C30" s="58" t="s">
        <v>393</v>
      </c>
      <c r="D30" s="58" t="s">
        <v>393</v>
      </c>
      <c r="E30" s="58" t="s">
        <v>393</v>
      </c>
      <c r="F30" s="12" t="s">
        <v>736</v>
      </c>
      <c r="G30" s="12" t="s">
        <v>393</v>
      </c>
      <c r="H30" s="58">
        <v>4</v>
      </c>
      <c r="I30" s="3">
        <v>1.5</v>
      </c>
      <c r="J30" s="3" t="s">
        <v>982</v>
      </c>
      <c r="K30" s="3"/>
      <c r="L30" s="3"/>
      <c r="M30" s="3"/>
      <c r="N30" s="3"/>
    </row>
    <row r="31" spans="1:14" ht="21.75" customHeight="1" x14ac:dyDescent="0.25">
      <c r="A31" s="3">
        <v>25</v>
      </c>
      <c r="B31" s="3" t="s">
        <v>783</v>
      </c>
      <c r="C31" s="58" t="s">
        <v>393</v>
      </c>
      <c r="D31" s="58" t="s">
        <v>393</v>
      </c>
      <c r="E31" s="58" t="s">
        <v>393</v>
      </c>
      <c r="F31" s="12" t="s">
        <v>736</v>
      </c>
      <c r="G31" s="12" t="s">
        <v>393</v>
      </c>
      <c r="H31" s="58">
        <v>4</v>
      </c>
      <c r="I31" s="3">
        <v>1.5</v>
      </c>
      <c r="J31" s="3" t="s">
        <v>982</v>
      </c>
      <c r="K31" s="3"/>
      <c r="L31" s="3"/>
      <c r="M31" s="3"/>
      <c r="N31" s="3"/>
    </row>
    <row r="32" spans="1:14" ht="21.75" customHeight="1" x14ac:dyDescent="0.25">
      <c r="A32" s="3">
        <v>26</v>
      </c>
      <c r="B32" s="3" t="s">
        <v>785</v>
      </c>
      <c r="C32" s="58" t="s">
        <v>393</v>
      </c>
      <c r="D32" s="58" t="s">
        <v>393</v>
      </c>
      <c r="E32" s="58" t="s">
        <v>393</v>
      </c>
      <c r="F32" s="12" t="s">
        <v>736</v>
      </c>
      <c r="G32" s="12" t="s">
        <v>393</v>
      </c>
      <c r="H32" s="58">
        <v>4</v>
      </c>
      <c r="I32" s="3">
        <v>2</v>
      </c>
      <c r="J32" s="3" t="s">
        <v>980</v>
      </c>
      <c r="K32" s="3"/>
      <c r="L32" s="3"/>
      <c r="M32" s="3"/>
      <c r="N32" s="3"/>
    </row>
    <row r="33" spans="1:14" ht="21.75" customHeight="1" x14ac:dyDescent="0.25">
      <c r="A33" s="3">
        <v>27</v>
      </c>
      <c r="B33" s="3" t="s">
        <v>787</v>
      </c>
      <c r="C33" s="58" t="s">
        <v>393</v>
      </c>
      <c r="D33" s="58" t="s">
        <v>393</v>
      </c>
      <c r="E33" s="58" t="s">
        <v>393</v>
      </c>
      <c r="F33" s="12" t="s">
        <v>736</v>
      </c>
      <c r="G33" s="12" t="s">
        <v>393</v>
      </c>
      <c r="H33" s="58">
        <v>4</v>
      </c>
      <c r="I33" s="3">
        <v>2</v>
      </c>
      <c r="J33" s="3" t="s">
        <v>980</v>
      </c>
      <c r="K33" s="3"/>
      <c r="L33" s="3"/>
      <c r="M33" s="3"/>
      <c r="N33" s="3"/>
    </row>
    <row r="34" spans="1:14" ht="21.75" customHeight="1" x14ac:dyDescent="0.25">
      <c r="A34" s="3">
        <v>28</v>
      </c>
      <c r="B34" s="3" t="s">
        <v>789</v>
      </c>
      <c r="C34" s="58" t="s">
        <v>393</v>
      </c>
      <c r="D34" s="58" t="s">
        <v>393</v>
      </c>
      <c r="E34" s="58" t="s">
        <v>393</v>
      </c>
      <c r="F34" s="12" t="s">
        <v>736</v>
      </c>
      <c r="G34" s="12" t="s">
        <v>393</v>
      </c>
      <c r="H34" s="58">
        <v>4</v>
      </c>
      <c r="I34" s="3">
        <v>1.5</v>
      </c>
      <c r="J34" s="3" t="s">
        <v>982</v>
      </c>
      <c r="K34" s="3"/>
      <c r="L34" s="3"/>
      <c r="M34" s="3"/>
      <c r="N34" s="3"/>
    </row>
    <row r="35" spans="1:14" ht="21.75" customHeight="1" x14ac:dyDescent="0.25">
      <c r="A35" s="3">
        <v>29</v>
      </c>
      <c r="B35" s="3" t="s">
        <v>490</v>
      </c>
      <c r="C35" s="58" t="s">
        <v>393</v>
      </c>
      <c r="D35" s="58" t="s">
        <v>393</v>
      </c>
      <c r="E35" s="58" t="s">
        <v>393</v>
      </c>
      <c r="F35" s="12" t="s">
        <v>736</v>
      </c>
      <c r="G35" s="12" t="s">
        <v>393</v>
      </c>
      <c r="H35" s="58">
        <v>4</v>
      </c>
      <c r="I35" s="3">
        <v>1.5</v>
      </c>
      <c r="J35" s="3" t="s">
        <v>982</v>
      </c>
      <c r="K35" s="3"/>
      <c r="L35" s="3"/>
      <c r="M35" s="3"/>
      <c r="N35" s="3"/>
    </row>
    <row r="36" spans="1:14" ht="21.75" customHeight="1" x14ac:dyDescent="0.25">
      <c r="A36" s="3">
        <v>30</v>
      </c>
      <c r="B36" s="3" t="s">
        <v>792</v>
      </c>
      <c r="C36" s="58" t="s">
        <v>393</v>
      </c>
      <c r="D36" s="58" t="s">
        <v>393</v>
      </c>
      <c r="E36" s="58" t="s">
        <v>393</v>
      </c>
      <c r="F36" s="12" t="s">
        <v>736</v>
      </c>
      <c r="G36" s="12" t="s">
        <v>736</v>
      </c>
      <c r="H36" s="58">
        <v>3</v>
      </c>
      <c r="I36" s="3">
        <v>1.5</v>
      </c>
      <c r="J36" s="3" t="s">
        <v>990</v>
      </c>
      <c r="K36" s="3"/>
      <c r="L36" s="3"/>
      <c r="M36" s="3"/>
      <c r="N36" s="3"/>
    </row>
    <row r="37" spans="1:14" ht="21.75" customHeight="1" x14ac:dyDescent="0.25">
      <c r="A37" s="3">
        <v>31</v>
      </c>
      <c r="B37" s="3" t="s">
        <v>793</v>
      </c>
      <c r="C37" s="58" t="s">
        <v>393</v>
      </c>
      <c r="D37" s="58" t="s">
        <v>393</v>
      </c>
      <c r="E37" s="58" t="s">
        <v>393</v>
      </c>
      <c r="F37" s="12" t="s">
        <v>736</v>
      </c>
      <c r="G37" s="12" t="s">
        <v>393</v>
      </c>
      <c r="H37" s="58">
        <v>4</v>
      </c>
      <c r="I37" s="3">
        <v>1.5</v>
      </c>
      <c r="J37" s="3" t="s">
        <v>982</v>
      </c>
      <c r="K37" s="3"/>
      <c r="L37" s="3"/>
      <c r="M37" s="3"/>
      <c r="N37" s="3"/>
    </row>
    <row r="38" spans="1:14" ht="21.75" customHeight="1" x14ac:dyDescent="0.25">
      <c r="A38" s="3">
        <v>32</v>
      </c>
      <c r="B38" s="3" t="s">
        <v>547</v>
      </c>
      <c r="C38" s="58" t="s">
        <v>393</v>
      </c>
      <c r="D38" s="58" t="s">
        <v>393</v>
      </c>
      <c r="E38" s="58" t="s">
        <v>393</v>
      </c>
      <c r="F38" s="12" t="s">
        <v>736</v>
      </c>
      <c r="G38" s="12" t="s">
        <v>393</v>
      </c>
      <c r="H38" s="58">
        <v>4</v>
      </c>
      <c r="I38" s="3">
        <v>2</v>
      </c>
      <c r="J38" s="3" t="s">
        <v>991</v>
      </c>
      <c r="K38" s="3"/>
      <c r="L38" s="3"/>
      <c r="M38" s="3"/>
      <c r="N38" s="3"/>
    </row>
    <row r="39" spans="1:14" ht="21.75" customHeight="1" x14ac:dyDescent="0.25">
      <c r="A39" s="3">
        <v>33</v>
      </c>
      <c r="B39" s="3" t="s">
        <v>797</v>
      </c>
      <c r="C39" s="58" t="s">
        <v>393</v>
      </c>
      <c r="D39" s="58" t="s">
        <v>393</v>
      </c>
      <c r="E39" s="58" t="s">
        <v>393</v>
      </c>
      <c r="F39" s="12" t="s">
        <v>736</v>
      </c>
      <c r="G39" s="12" t="s">
        <v>393</v>
      </c>
      <c r="H39" s="58">
        <v>4</v>
      </c>
      <c r="I39" s="3">
        <v>1.5</v>
      </c>
      <c r="J39" s="3" t="s">
        <v>982</v>
      </c>
      <c r="K39" s="3"/>
      <c r="L39" s="3"/>
      <c r="M39" s="3"/>
      <c r="N39" s="3"/>
    </row>
    <row r="40" spans="1:14" ht="21.75" customHeight="1" x14ac:dyDescent="0.25">
      <c r="A40" s="3">
        <v>34</v>
      </c>
      <c r="B40" s="3" t="s">
        <v>799</v>
      </c>
      <c r="C40" s="58" t="s">
        <v>393</v>
      </c>
      <c r="D40" s="58" t="s">
        <v>393</v>
      </c>
      <c r="E40" s="58" t="s">
        <v>393</v>
      </c>
      <c r="F40" s="12" t="s">
        <v>736</v>
      </c>
      <c r="G40" s="12" t="s">
        <v>393</v>
      </c>
      <c r="H40" s="58">
        <v>4</v>
      </c>
      <c r="I40" s="3">
        <v>1.5</v>
      </c>
      <c r="J40" s="3" t="s">
        <v>982</v>
      </c>
      <c r="K40" s="3"/>
      <c r="L40" s="3"/>
      <c r="M40" s="3"/>
      <c r="N40" s="3"/>
    </row>
    <row r="41" spans="1:14" ht="21.75" customHeight="1" x14ac:dyDescent="0.25">
      <c r="A41" s="3">
        <v>35</v>
      </c>
      <c r="B41" s="3" t="s">
        <v>801</v>
      </c>
      <c r="C41" s="58" t="s">
        <v>393</v>
      </c>
      <c r="D41" s="58" t="s">
        <v>393</v>
      </c>
      <c r="E41" s="58" t="s">
        <v>393</v>
      </c>
      <c r="F41" s="12" t="s">
        <v>736</v>
      </c>
      <c r="G41" s="12" t="s">
        <v>393</v>
      </c>
      <c r="H41" s="58">
        <v>4</v>
      </c>
      <c r="I41" s="3">
        <v>1.5</v>
      </c>
      <c r="J41" s="3" t="s">
        <v>982</v>
      </c>
      <c r="K41" s="3"/>
      <c r="L41" s="3"/>
      <c r="M41" s="3"/>
      <c r="N41" s="3"/>
    </row>
    <row r="42" spans="1:14" ht="21.75" customHeight="1" x14ac:dyDescent="0.25">
      <c r="A42" s="3">
        <v>36</v>
      </c>
      <c r="B42" s="3" t="s">
        <v>526</v>
      </c>
      <c r="C42" s="58" t="s">
        <v>393</v>
      </c>
      <c r="D42" s="58" t="s">
        <v>393</v>
      </c>
      <c r="E42" s="58" t="s">
        <v>393</v>
      </c>
      <c r="F42" s="12" t="s">
        <v>736</v>
      </c>
      <c r="G42" s="12" t="s">
        <v>393</v>
      </c>
      <c r="H42" s="58">
        <v>4</v>
      </c>
      <c r="I42" s="3">
        <v>3</v>
      </c>
      <c r="J42" s="3" t="s">
        <v>992</v>
      </c>
      <c r="K42" s="3"/>
      <c r="L42" s="3"/>
      <c r="M42" s="3"/>
      <c r="N42" s="3"/>
    </row>
    <row r="43" spans="1:14" ht="21.75" customHeight="1" x14ac:dyDescent="0.25">
      <c r="A43" s="3">
        <v>37</v>
      </c>
      <c r="B43" s="3" t="s">
        <v>804</v>
      </c>
      <c r="C43" s="58" t="s">
        <v>393</v>
      </c>
      <c r="D43" s="58" t="s">
        <v>393</v>
      </c>
      <c r="E43" s="58" t="s">
        <v>393</v>
      </c>
      <c r="F43" s="12" t="s">
        <v>736</v>
      </c>
      <c r="G43" s="12" t="s">
        <v>393</v>
      </c>
      <c r="H43" s="58">
        <v>4</v>
      </c>
      <c r="I43" s="3">
        <v>1.5</v>
      </c>
      <c r="J43" s="3" t="s">
        <v>990</v>
      </c>
      <c r="K43" s="3"/>
      <c r="L43" s="3"/>
      <c r="M43" s="3"/>
      <c r="N43" s="3"/>
    </row>
    <row r="44" spans="1:14" ht="21.75" customHeight="1" x14ac:dyDescent="0.25">
      <c r="A44" s="3">
        <v>38</v>
      </c>
      <c r="B44" s="3" t="s">
        <v>806</v>
      </c>
      <c r="C44" s="58" t="s">
        <v>393</v>
      </c>
      <c r="D44" s="58" t="s">
        <v>393</v>
      </c>
      <c r="E44" s="58" t="s">
        <v>393</v>
      </c>
      <c r="F44" s="12" t="s">
        <v>736</v>
      </c>
      <c r="G44" s="12" t="s">
        <v>393</v>
      </c>
      <c r="H44" s="58">
        <v>4</v>
      </c>
      <c r="I44" s="3">
        <v>2</v>
      </c>
      <c r="J44" s="3" t="s">
        <v>993</v>
      </c>
      <c r="K44" s="3"/>
      <c r="L44" s="3"/>
      <c r="M44" s="3"/>
      <c r="N44" s="3"/>
    </row>
    <row r="45" spans="1:14" ht="21.75" customHeight="1" x14ac:dyDescent="0.25">
      <c r="A45" s="3">
        <v>39</v>
      </c>
      <c r="B45" s="3" t="s">
        <v>808</v>
      </c>
      <c r="C45" s="58" t="s">
        <v>393</v>
      </c>
      <c r="D45" s="58" t="s">
        <v>393</v>
      </c>
      <c r="E45" s="58" t="s">
        <v>393</v>
      </c>
      <c r="F45" s="12" t="s">
        <v>736</v>
      </c>
      <c r="G45" s="12" t="s">
        <v>393</v>
      </c>
      <c r="H45" s="58">
        <v>4</v>
      </c>
      <c r="I45" s="3">
        <v>2</v>
      </c>
      <c r="J45" s="3" t="s">
        <v>994</v>
      </c>
      <c r="K45" s="3"/>
      <c r="L45" s="3"/>
      <c r="M45" s="3"/>
      <c r="N45" s="3"/>
    </row>
    <row r="46" spans="1:14" ht="21.75" customHeight="1" x14ac:dyDescent="0.25">
      <c r="A46" s="3">
        <v>40</v>
      </c>
      <c r="B46" s="3" t="s">
        <v>810</v>
      </c>
      <c r="C46" s="58" t="s">
        <v>393</v>
      </c>
      <c r="D46" s="58" t="s">
        <v>393</v>
      </c>
      <c r="E46" s="58" t="s">
        <v>393</v>
      </c>
      <c r="F46" s="12" t="s">
        <v>736</v>
      </c>
      <c r="G46" s="12" t="s">
        <v>393</v>
      </c>
      <c r="H46" s="58">
        <v>4</v>
      </c>
      <c r="I46" s="3">
        <v>1.5</v>
      </c>
      <c r="J46" s="3" t="s">
        <v>982</v>
      </c>
      <c r="K46" s="3"/>
      <c r="L46" s="3"/>
      <c r="M46" s="3"/>
      <c r="N46" s="3"/>
    </row>
    <row r="47" spans="1:14" ht="21.75" customHeight="1" x14ac:dyDescent="0.25">
      <c r="A47" s="3">
        <v>41</v>
      </c>
      <c r="B47" s="3" t="s">
        <v>812</v>
      </c>
      <c r="C47" s="58" t="s">
        <v>393</v>
      </c>
      <c r="D47" s="58" t="s">
        <v>393</v>
      </c>
      <c r="E47" s="58" t="s">
        <v>393</v>
      </c>
      <c r="F47" s="12" t="s">
        <v>736</v>
      </c>
      <c r="G47" s="12" t="s">
        <v>393</v>
      </c>
      <c r="H47" s="58">
        <v>4</v>
      </c>
      <c r="I47" s="3">
        <v>2</v>
      </c>
      <c r="J47" s="3" t="s">
        <v>995</v>
      </c>
      <c r="K47" s="3"/>
      <c r="L47" s="3"/>
      <c r="M47" s="3"/>
      <c r="N47" s="3"/>
    </row>
    <row r="48" spans="1:14" ht="21.75" customHeight="1" x14ac:dyDescent="0.25">
      <c r="A48" s="3">
        <v>42</v>
      </c>
      <c r="B48" s="3" t="s">
        <v>814</v>
      </c>
      <c r="C48" s="58" t="s">
        <v>393</v>
      </c>
      <c r="D48" s="58" t="s">
        <v>393</v>
      </c>
      <c r="E48" s="58" t="s">
        <v>393</v>
      </c>
      <c r="F48" s="12" t="s">
        <v>736</v>
      </c>
      <c r="G48" s="12" t="s">
        <v>393</v>
      </c>
      <c r="H48" s="58">
        <v>4</v>
      </c>
      <c r="I48" s="3">
        <v>1.5</v>
      </c>
      <c r="J48" s="3" t="s">
        <v>982</v>
      </c>
      <c r="K48" s="3"/>
      <c r="L48" s="3"/>
      <c r="M48" s="3"/>
      <c r="N48" s="3"/>
    </row>
    <row r="49" spans="1:14" ht="21.75" customHeight="1" x14ac:dyDescent="0.25">
      <c r="A49" s="3">
        <v>43</v>
      </c>
      <c r="B49" s="3" t="s">
        <v>816</v>
      </c>
      <c r="C49" s="58" t="s">
        <v>393</v>
      </c>
      <c r="D49" s="58" t="s">
        <v>393</v>
      </c>
      <c r="E49" s="58" t="s">
        <v>393</v>
      </c>
      <c r="F49" s="12" t="s">
        <v>736</v>
      </c>
      <c r="G49" s="12" t="s">
        <v>393</v>
      </c>
      <c r="H49" s="58">
        <v>4</v>
      </c>
      <c r="I49" s="3">
        <v>1.5</v>
      </c>
      <c r="J49" s="3" t="s">
        <v>982</v>
      </c>
      <c r="K49" s="3"/>
      <c r="L49" s="3"/>
      <c r="M49" s="3"/>
      <c r="N49" s="3"/>
    </row>
    <row r="50" spans="1:14" ht="21.75" customHeight="1" x14ac:dyDescent="0.25">
      <c r="A50" s="3">
        <v>44</v>
      </c>
      <c r="B50" s="3" t="s">
        <v>818</v>
      </c>
      <c r="C50" s="58" t="s">
        <v>393</v>
      </c>
      <c r="D50" s="58" t="s">
        <v>393</v>
      </c>
      <c r="E50" s="58" t="s">
        <v>393</v>
      </c>
      <c r="F50" s="12" t="s">
        <v>736</v>
      </c>
      <c r="G50" s="12" t="s">
        <v>393</v>
      </c>
      <c r="H50" s="58">
        <v>4</v>
      </c>
      <c r="I50" s="3">
        <v>1.5</v>
      </c>
      <c r="J50" s="3" t="s">
        <v>982</v>
      </c>
      <c r="K50" s="3"/>
      <c r="L50" s="3"/>
      <c r="M50" s="3"/>
      <c r="N50" s="3"/>
    </row>
    <row r="51" spans="1:14" ht="21.75" customHeight="1" x14ac:dyDescent="0.25">
      <c r="A51" s="3">
        <v>45</v>
      </c>
      <c r="B51" s="3" t="s">
        <v>820</v>
      </c>
      <c r="C51" s="58" t="s">
        <v>393</v>
      </c>
      <c r="D51" s="58" t="s">
        <v>393</v>
      </c>
      <c r="E51" s="58" t="s">
        <v>393</v>
      </c>
      <c r="F51" s="12" t="s">
        <v>736</v>
      </c>
      <c r="G51" s="12" t="s">
        <v>393</v>
      </c>
      <c r="H51" s="58">
        <v>4</v>
      </c>
      <c r="I51" s="3">
        <v>3</v>
      </c>
      <c r="J51" s="3" t="s">
        <v>996</v>
      </c>
      <c r="K51" s="3"/>
      <c r="L51" s="3"/>
      <c r="M51" s="3"/>
      <c r="N51" s="3"/>
    </row>
    <row r="52" spans="1:14" ht="21.75" customHeight="1" x14ac:dyDescent="0.25">
      <c r="A52" s="3">
        <v>46</v>
      </c>
      <c r="B52" s="3" t="s">
        <v>406</v>
      </c>
      <c r="C52" s="58" t="s">
        <v>393</v>
      </c>
      <c r="D52" s="58" t="s">
        <v>393</v>
      </c>
      <c r="E52" s="58" t="s">
        <v>393</v>
      </c>
      <c r="F52" s="12" t="s">
        <v>736</v>
      </c>
      <c r="G52" s="12" t="s">
        <v>393</v>
      </c>
      <c r="H52" s="58">
        <v>4</v>
      </c>
      <c r="I52" s="3">
        <v>2</v>
      </c>
      <c r="J52" s="3" t="s">
        <v>997</v>
      </c>
      <c r="K52" s="3"/>
      <c r="L52" s="3"/>
      <c r="M52" s="3"/>
      <c r="N52" s="3"/>
    </row>
    <row r="53" spans="1:14" ht="21.75" customHeight="1" x14ac:dyDescent="0.25">
      <c r="A53" s="3"/>
      <c r="B53" s="10" t="s">
        <v>998</v>
      </c>
      <c r="C53" s="3"/>
      <c r="D53" s="3"/>
      <c r="E53" s="3"/>
      <c r="F53" s="3"/>
      <c r="G53" s="3"/>
      <c r="H53" s="59">
        <v>183</v>
      </c>
      <c r="I53" s="3"/>
      <c r="J53" s="3"/>
      <c r="K53" s="3"/>
      <c r="L53" s="3"/>
      <c r="M53" s="3"/>
      <c r="N53" s="3"/>
    </row>
    <row r="54" spans="1:14" ht="18" customHeight="1" x14ac:dyDescent="0.25">
      <c r="A54" s="52"/>
      <c r="B54" s="52"/>
      <c r="C54" s="52"/>
      <c r="D54" s="52"/>
      <c r="E54" s="52"/>
      <c r="F54" s="52"/>
      <c r="G54" s="52"/>
      <c r="H54" s="52"/>
      <c r="I54" s="52"/>
      <c r="J54" s="52"/>
      <c r="K54" s="9"/>
      <c r="L54" s="9"/>
      <c r="M54" s="9"/>
      <c r="N54" s="9"/>
    </row>
    <row r="55" spans="1:14" ht="18" customHeight="1" x14ac:dyDescent="0.25">
      <c r="A55" s="113" t="s">
        <v>999</v>
      </c>
      <c r="B55" s="108"/>
      <c r="C55" s="108"/>
      <c r="D55" s="108"/>
      <c r="E55" s="108"/>
      <c r="F55" s="108"/>
      <c r="G55" s="108"/>
      <c r="H55" s="108"/>
      <c r="I55" s="108"/>
      <c r="J55" s="109"/>
      <c r="K55" s="8"/>
      <c r="L55" s="8"/>
      <c r="M55" s="8"/>
      <c r="N55" s="8"/>
    </row>
    <row r="56" spans="1:14" ht="21.75" customHeight="1" x14ac:dyDescent="0.25">
      <c r="A56" s="3" t="s">
        <v>702</v>
      </c>
      <c r="B56" s="3" t="s">
        <v>1000</v>
      </c>
      <c r="C56" s="58" t="s">
        <v>1001</v>
      </c>
      <c r="D56" s="58" t="s">
        <v>1002</v>
      </c>
      <c r="E56" s="58" t="s">
        <v>1003</v>
      </c>
      <c r="F56" s="12" t="s">
        <v>1004</v>
      </c>
      <c r="G56" s="12" t="s">
        <v>4</v>
      </c>
      <c r="H56" s="3"/>
      <c r="I56" s="3"/>
      <c r="J56" s="3"/>
      <c r="K56" s="3"/>
      <c r="L56" s="3"/>
      <c r="M56" s="3"/>
      <c r="N56" s="3"/>
    </row>
    <row r="57" spans="1:14" ht="18" customHeight="1" x14ac:dyDescent="0.25">
      <c r="A57" s="28">
        <v>1</v>
      </c>
      <c r="B57" s="20" t="s">
        <v>1005</v>
      </c>
      <c r="C57" s="60" t="s">
        <v>1006</v>
      </c>
      <c r="D57" s="61">
        <v>23</v>
      </c>
      <c r="E57" s="61">
        <v>65</v>
      </c>
      <c r="F57" s="19">
        <v>0.35</v>
      </c>
      <c r="G57" s="38" t="s">
        <v>1007</v>
      </c>
      <c r="H57" s="52"/>
      <c r="I57" s="52"/>
      <c r="J57" s="52"/>
      <c r="K57" s="9"/>
      <c r="L57" s="9"/>
      <c r="M57" s="9"/>
      <c r="N57" s="9"/>
    </row>
    <row r="58" spans="1:14" ht="18" customHeight="1" x14ac:dyDescent="0.25">
      <c r="A58" s="28">
        <v>2</v>
      </c>
      <c r="B58" s="17" t="s">
        <v>1008</v>
      </c>
      <c r="C58" s="60" t="s">
        <v>1009</v>
      </c>
      <c r="D58" s="61">
        <v>12</v>
      </c>
      <c r="E58" s="61">
        <v>132</v>
      </c>
      <c r="F58" s="19">
        <v>0.09</v>
      </c>
      <c r="G58" s="38" t="s">
        <v>1010</v>
      </c>
      <c r="H58" s="52"/>
      <c r="I58" s="52"/>
      <c r="J58" s="52"/>
      <c r="K58" s="9"/>
      <c r="L58" s="9"/>
      <c r="M58" s="9"/>
      <c r="N58" s="9"/>
    </row>
    <row r="59" spans="1:14" ht="18" customHeight="1" x14ac:dyDescent="0.25">
      <c r="A59" s="28">
        <v>3</v>
      </c>
      <c r="B59" s="20" t="s">
        <v>1011</v>
      </c>
      <c r="C59" s="60" t="s">
        <v>1012</v>
      </c>
      <c r="D59" s="61">
        <v>3</v>
      </c>
      <c r="E59" s="61">
        <v>22</v>
      </c>
      <c r="F59" s="19">
        <v>0.14000000000000001</v>
      </c>
      <c r="G59" s="23" t="s">
        <v>1013</v>
      </c>
      <c r="H59" s="52"/>
      <c r="I59" s="52"/>
      <c r="J59" s="52"/>
      <c r="K59" s="9"/>
      <c r="L59" s="9"/>
      <c r="M59" s="9"/>
      <c r="N59" s="9"/>
    </row>
    <row r="60" spans="1:14" ht="18" customHeight="1" x14ac:dyDescent="0.25">
      <c r="A60" s="28">
        <v>4</v>
      </c>
      <c r="B60" s="20" t="s">
        <v>1014</v>
      </c>
      <c r="C60" s="62" t="s">
        <v>1015</v>
      </c>
      <c r="D60" s="61">
        <v>6</v>
      </c>
      <c r="E60" s="61">
        <v>22</v>
      </c>
      <c r="F60" s="19">
        <v>0.27</v>
      </c>
      <c r="G60" s="38" t="s">
        <v>1016</v>
      </c>
      <c r="H60" s="52"/>
      <c r="I60" s="52"/>
      <c r="J60" s="52"/>
      <c r="K60" s="9"/>
      <c r="L60" s="9"/>
      <c r="M60" s="9"/>
      <c r="N60" s="9"/>
    </row>
    <row r="61" spans="1:14" ht="21.75" customHeight="1" x14ac:dyDescent="0.25">
      <c r="A61" s="3">
        <v>5</v>
      </c>
      <c r="B61" s="3" t="s">
        <v>1017</v>
      </c>
      <c r="C61" s="58" t="s">
        <v>1018</v>
      </c>
      <c r="D61" s="58" t="s">
        <v>736</v>
      </c>
      <c r="E61" s="58" t="s">
        <v>736</v>
      </c>
      <c r="F61" s="12">
        <v>0.2</v>
      </c>
      <c r="G61" s="12" t="s">
        <v>1019</v>
      </c>
      <c r="H61" s="3"/>
      <c r="I61" s="3"/>
      <c r="J61" s="3"/>
      <c r="K61" s="3"/>
      <c r="L61" s="3"/>
      <c r="M61" s="3"/>
      <c r="N61" s="3"/>
    </row>
    <row r="62" spans="1:14" ht="18" customHeight="1" x14ac:dyDescent="0.25">
      <c r="A62" s="8"/>
      <c r="B62" s="8" t="s">
        <v>1020</v>
      </c>
      <c r="C62" s="8"/>
      <c r="D62" s="8"/>
      <c r="E62" s="8"/>
      <c r="F62" s="7">
        <v>1.05</v>
      </c>
      <c r="G62" s="8"/>
      <c r="H62" s="8"/>
      <c r="I62" s="8"/>
      <c r="J62" s="8"/>
      <c r="K62" s="8"/>
      <c r="L62" s="8"/>
      <c r="M62" s="8"/>
      <c r="N62" s="8"/>
    </row>
    <row r="63" spans="1:14" ht="30" customHeight="1" x14ac:dyDescent="0.25">
      <c r="A63" s="113" t="s">
        <v>1021</v>
      </c>
      <c r="B63" s="108"/>
      <c r="C63" s="108"/>
      <c r="D63" s="108"/>
      <c r="E63" s="109"/>
      <c r="F63" s="114">
        <v>2</v>
      </c>
      <c r="G63" s="109"/>
      <c r="H63" s="8"/>
      <c r="I63" s="8"/>
      <c r="J63" s="8"/>
      <c r="K63" s="8"/>
      <c r="L63" s="8"/>
      <c r="M63" s="8"/>
      <c r="N63" s="8"/>
    </row>
  </sheetData>
  <autoFilter ref="A4:N63" xr:uid="{00000000-0009-0000-0000-000014000000}"/>
  <mergeCells count="8">
    <mergeCell ref="L1:N1"/>
    <mergeCell ref="A1:J1"/>
    <mergeCell ref="A5:J5"/>
    <mergeCell ref="F63:G63"/>
    <mergeCell ref="A3:J3"/>
    <mergeCell ref="A63:E63"/>
    <mergeCell ref="A55:J55"/>
    <mergeCell ref="A2:J2"/>
  </mergeCells>
  <printOptions horizontalCentered="1"/>
  <pageMargins left="0.35" right="0.35" top="0.55000000000000004" bottom="0.55000000000000004" header="0.511811023622047" footer="0.511811023622047"/>
  <pageSetup paperSize="9" fitToHeight="0" orientation="landscape" horizontalDpi="300" verticalDpi="30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H10"/>
  <sheetViews>
    <sheetView showGridLines="0" zoomScaleNormal="100" workbookViewId="0">
      <pane ySplit="4" topLeftCell="A5" activePane="bottomLeft" state="frozen"/>
      <selection pane="bottomLeft"/>
    </sheetView>
  </sheetViews>
  <sheetFormatPr defaultColWidth="8.5703125" defaultRowHeight="15" x14ac:dyDescent="0.25"/>
  <cols>
    <col min="1" max="2" width="34" customWidth="1"/>
    <col min="3" max="3" width="10" customWidth="1"/>
    <col min="4" max="4" width="34" customWidth="1"/>
    <col min="5" max="5" width="23" customWidth="1"/>
    <col min="6" max="6" width="20" customWidth="1"/>
    <col min="7" max="7" width="17" customWidth="1"/>
    <col min="8" max="8" width="34" customWidth="1"/>
  </cols>
  <sheetData>
    <row r="1" spans="1:8" ht="24" customHeight="1" x14ac:dyDescent="0.25">
      <c r="A1" s="11" t="s">
        <v>1022</v>
      </c>
      <c r="B1" s="11"/>
      <c r="C1" s="11"/>
      <c r="D1" s="11"/>
      <c r="E1" s="11"/>
      <c r="F1" s="11"/>
      <c r="G1" s="11"/>
      <c r="H1" s="11"/>
    </row>
    <row r="2" spans="1:8" ht="24" customHeight="1" x14ac:dyDescent="0.25">
      <c r="A2" s="11" t="s">
        <v>1023</v>
      </c>
      <c r="B2" s="11"/>
      <c r="C2" s="11"/>
      <c r="D2" s="11"/>
      <c r="E2" s="11"/>
      <c r="F2" s="11"/>
      <c r="G2" s="11"/>
      <c r="H2" s="11"/>
    </row>
    <row r="3" spans="1:8" ht="18" customHeight="1" x14ac:dyDescent="0.25">
      <c r="A3" s="52"/>
      <c r="B3" s="52"/>
      <c r="C3" s="52"/>
      <c r="D3" s="52"/>
      <c r="E3" s="52"/>
      <c r="F3" s="52"/>
      <c r="G3" s="52"/>
      <c r="H3" s="52"/>
    </row>
    <row r="4" spans="1:8" ht="21.75" customHeight="1" x14ac:dyDescent="0.25">
      <c r="A4" s="3" t="s">
        <v>6</v>
      </c>
      <c r="B4" s="3" t="s">
        <v>7</v>
      </c>
      <c r="C4" s="3" t="s">
        <v>1024</v>
      </c>
      <c r="D4" s="58" t="s">
        <v>1025</v>
      </c>
      <c r="E4" s="12" t="s">
        <v>1026</v>
      </c>
      <c r="F4" s="3" t="s">
        <v>1027</v>
      </c>
      <c r="G4" s="3" t="s">
        <v>726</v>
      </c>
      <c r="H4" s="12" t="s">
        <v>1028</v>
      </c>
    </row>
    <row r="5" spans="1:8" ht="21.75" customHeight="1" x14ac:dyDescent="0.25">
      <c r="A5" s="3" t="s">
        <v>966</v>
      </c>
      <c r="B5" s="3" t="s">
        <v>1029</v>
      </c>
      <c r="C5" s="3">
        <v>46</v>
      </c>
      <c r="D5" s="58" t="s">
        <v>1030</v>
      </c>
      <c r="E5" s="12" t="s">
        <v>1031</v>
      </c>
      <c r="F5" s="3">
        <v>1.05</v>
      </c>
      <c r="G5" s="3">
        <v>2</v>
      </c>
      <c r="H5" s="12" t="s">
        <v>1032</v>
      </c>
    </row>
    <row r="6" spans="1:8" ht="21.75" customHeight="1" x14ac:dyDescent="0.25">
      <c r="A6" s="3" t="s">
        <v>1033</v>
      </c>
      <c r="B6" s="3" t="s">
        <v>1034</v>
      </c>
      <c r="C6" s="3">
        <v>46</v>
      </c>
      <c r="D6" s="58" t="s">
        <v>1035</v>
      </c>
      <c r="E6" s="12" t="s">
        <v>1036</v>
      </c>
      <c r="F6" s="3">
        <v>0.47</v>
      </c>
      <c r="G6" s="3">
        <v>2</v>
      </c>
      <c r="H6" s="12" t="s">
        <v>1037</v>
      </c>
    </row>
    <row r="7" spans="1:8" ht="21.75" customHeight="1" x14ac:dyDescent="0.25">
      <c r="A7" s="10" t="s">
        <v>1038</v>
      </c>
      <c r="B7" s="10" t="s">
        <v>1039</v>
      </c>
      <c r="C7" s="14">
        <v>37</v>
      </c>
      <c r="D7" s="53" t="s">
        <v>1040</v>
      </c>
      <c r="E7" s="6" t="s">
        <v>1041</v>
      </c>
      <c r="F7" s="14">
        <v>1.53</v>
      </c>
      <c r="G7" s="14">
        <v>2</v>
      </c>
      <c r="H7" s="6" t="s">
        <v>1042</v>
      </c>
    </row>
    <row r="8" spans="1:8" ht="18" customHeight="1" x14ac:dyDescent="0.25">
      <c r="A8" s="24"/>
      <c r="B8" s="10" t="s">
        <v>1043</v>
      </c>
      <c r="C8" s="24"/>
      <c r="D8" s="24"/>
      <c r="E8" s="24"/>
      <c r="F8" s="24"/>
      <c r="G8" s="14">
        <v>6</v>
      </c>
      <c r="H8" s="24"/>
    </row>
    <row r="9" spans="1:8" ht="18" customHeight="1" x14ac:dyDescent="0.25">
      <c r="A9" s="52"/>
      <c r="B9" s="52"/>
      <c r="C9" s="52"/>
      <c r="D9" s="52"/>
      <c r="E9" s="52"/>
      <c r="F9" s="52"/>
      <c r="G9" s="52"/>
      <c r="H9" s="52"/>
    </row>
    <row r="10" spans="1:8" ht="30" customHeight="1" x14ac:dyDescent="0.25">
      <c r="A10" s="20" t="s">
        <v>1044</v>
      </c>
      <c r="B10" s="52"/>
      <c r="C10" s="52"/>
      <c r="D10" s="52"/>
      <c r="E10" s="52"/>
      <c r="F10" s="52"/>
      <c r="G10" s="52"/>
      <c r="H10" s="52"/>
    </row>
  </sheetData>
  <autoFilter ref="A4:H10" xr:uid="{00000000-0009-0000-0000-000015000000}"/>
  <printOptions horizontalCentered="1"/>
  <pageMargins left="0.35" right="0.35" top="0.55000000000000004" bottom="0.55000000000000004" header="0.511811023622047" footer="0.511811023622047"/>
  <pageSetup paperSize="9" fitToHeight="0" orientation="portrait" horizontalDpi="300" verticalDpi="30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F8"/>
  <sheetViews>
    <sheetView showGridLines="0" zoomScaleNormal="100" workbookViewId="0">
      <pane ySplit="3" topLeftCell="A4" activePane="bottomLeft" state="frozen"/>
      <selection pane="bottomLeft"/>
    </sheetView>
  </sheetViews>
  <sheetFormatPr defaultColWidth="8.5703125" defaultRowHeight="15" x14ac:dyDescent="0.25"/>
  <cols>
    <col min="1" max="1" width="34" customWidth="1"/>
    <col min="2" max="2" width="33" customWidth="1"/>
    <col min="3" max="3" width="23" customWidth="1"/>
    <col min="4" max="6" width="34" customWidth="1"/>
  </cols>
  <sheetData>
    <row r="1" spans="1:6" ht="24" customHeight="1" x14ac:dyDescent="0.25">
      <c r="A1" s="107" t="s">
        <v>1045</v>
      </c>
      <c r="B1" s="108"/>
      <c r="C1" s="108"/>
      <c r="D1" s="108"/>
      <c r="E1" s="108"/>
      <c r="F1" s="109"/>
    </row>
    <row r="2" spans="1:6" ht="18" customHeight="1" x14ac:dyDescent="0.25">
      <c r="A2" s="9"/>
      <c r="B2" s="9"/>
      <c r="C2" s="9"/>
      <c r="D2" s="9"/>
      <c r="E2" s="9"/>
      <c r="F2" s="9"/>
    </row>
    <row r="3" spans="1:6" ht="21.75" customHeight="1" x14ac:dyDescent="0.25">
      <c r="A3" s="3" t="s">
        <v>91</v>
      </c>
      <c r="B3" s="3" t="s">
        <v>1046</v>
      </c>
      <c r="C3" s="3" t="s">
        <v>1047</v>
      </c>
      <c r="D3" s="12" t="s">
        <v>1048</v>
      </c>
      <c r="E3" s="3" t="s">
        <v>1049</v>
      </c>
      <c r="F3" s="12" t="s">
        <v>1050</v>
      </c>
    </row>
    <row r="4" spans="1:6" ht="21.75" customHeight="1" x14ac:dyDescent="0.25">
      <c r="A4" s="3">
        <v>1</v>
      </c>
      <c r="B4" s="3" t="s">
        <v>36</v>
      </c>
      <c r="C4" s="3" t="s">
        <v>1051</v>
      </c>
      <c r="D4" s="12" t="s">
        <v>1052</v>
      </c>
      <c r="E4" s="3" t="s">
        <v>1053</v>
      </c>
      <c r="F4" s="12" t="s">
        <v>1054</v>
      </c>
    </row>
    <row r="5" spans="1:6" ht="21.75" customHeight="1" x14ac:dyDescent="0.25">
      <c r="A5" s="3">
        <v>2</v>
      </c>
      <c r="B5" s="3" t="s">
        <v>65</v>
      </c>
      <c r="C5" s="3" t="s">
        <v>1055</v>
      </c>
      <c r="D5" s="12" t="s">
        <v>1056</v>
      </c>
      <c r="E5" s="3" t="s">
        <v>1057</v>
      </c>
      <c r="F5" s="12" t="s">
        <v>1058</v>
      </c>
    </row>
    <row r="6" spans="1:6" ht="21.75" customHeight="1" x14ac:dyDescent="0.25">
      <c r="A6" s="3">
        <v>3</v>
      </c>
      <c r="B6" s="3" t="s">
        <v>67</v>
      </c>
      <c r="C6" s="3" t="s">
        <v>1059</v>
      </c>
      <c r="D6" s="12" t="s">
        <v>1060</v>
      </c>
      <c r="E6" s="3" t="s">
        <v>1061</v>
      </c>
      <c r="F6" s="12" t="s">
        <v>1062</v>
      </c>
    </row>
    <row r="7" spans="1:6" ht="21.75" customHeight="1" x14ac:dyDescent="0.25">
      <c r="A7" s="3">
        <v>4</v>
      </c>
      <c r="B7" s="3" t="s">
        <v>54</v>
      </c>
      <c r="C7" s="3" t="s">
        <v>1063</v>
      </c>
      <c r="D7" s="12" t="s">
        <v>1064</v>
      </c>
      <c r="E7" s="3" t="s">
        <v>1065</v>
      </c>
      <c r="F7" s="12" t="s">
        <v>1066</v>
      </c>
    </row>
    <row r="8" spans="1:6" ht="18" customHeight="1" x14ac:dyDescent="0.25">
      <c r="A8" s="28">
        <v>5</v>
      </c>
      <c r="B8" s="17" t="s">
        <v>61</v>
      </c>
      <c r="C8" s="17" t="s">
        <v>1067</v>
      </c>
      <c r="D8" s="38" t="s">
        <v>1068</v>
      </c>
      <c r="E8" s="20" t="s">
        <v>1069</v>
      </c>
      <c r="F8" s="38" t="s">
        <v>1070</v>
      </c>
    </row>
  </sheetData>
  <autoFilter ref="A3:F8" xr:uid="{00000000-0009-0000-0000-000016000000}"/>
  <mergeCells count="1">
    <mergeCell ref="A1:F1"/>
  </mergeCells>
  <printOptions horizontalCentered="1"/>
  <pageMargins left="0.35" right="0.35" top="0.55000000000000004" bottom="0.55000000000000004" header="0.511811023622047" footer="0.511811023622047"/>
  <pageSetup paperSize="9" fitToHeight="0" orientation="portrait" horizontalDpi="300" verticalDpi="30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F9"/>
  <sheetViews>
    <sheetView showGridLines="0" zoomScaleNormal="100" workbookViewId="0">
      <pane ySplit="4" topLeftCell="A5" activePane="bottomLeft" state="frozen"/>
      <selection pane="bottomLeft"/>
    </sheetView>
  </sheetViews>
  <sheetFormatPr defaultColWidth="8.5703125" defaultRowHeight="15" x14ac:dyDescent="0.25"/>
  <cols>
    <col min="1" max="1" width="34" customWidth="1"/>
    <col min="2" max="3" width="13" customWidth="1"/>
    <col min="4" max="4" width="24" customWidth="1"/>
    <col min="5" max="5" width="8" customWidth="1"/>
    <col min="6" max="6" width="33" customWidth="1"/>
  </cols>
  <sheetData>
    <row r="1" spans="1:6" ht="24" customHeight="1" x14ac:dyDescent="0.25">
      <c r="A1" s="121" t="s">
        <v>1071</v>
      </c>
      <c r="B1" s="108"/>
      <c r="C1" s="108"/>
      <c r="D1" s="108"/>
      <c r="E1" s="108"/>
      <c r="F1" s="109"/>
    </row>
    <row r="2" spans="1:6" ht="24" customHeight="1" x14ac:dyDescent="0.25">
      <c r="A2" s="121" t="s">
        <v>914</v>
      </c>
      <c r="B2" s="108"/>
      <c r="C2" s="108"/>
      <c r="D2" s="108"/>
      <c r="E2" s="108"/>
      <c r="F2" s="109"/>
    </row>
    <row r="3" spans="1:6" ht="18" customHeight="1" x14ac:dyDescent="0.25">
      <c r="A3" s="9"/>
      <c r="B3" s="9"/>
      <c r="C3" s="9"/>
      <c r="D3" s="9"/>
      <c r="E3" s="9"/>
      <c r="F3" s="9"/>
    </row>
    <row r="4" spans="1:6" ht="21.75" customHeight="1" x14ac:dyDescent="0.25">
      <c r="A4" s="12" t="s">
        <v>915</v>
      </c>
      <c r="B4" s="12" t="s">
        <v>122</v>
      </c>
      <c r="C4" s="12" t="s">
        <v>123</v>
      </c>
      <c r="D4" s="3" t="s">
        <v>916</v>
      </c>
      <c r="E4" s="3" t="s">
        <v>13</v>
      </c>
      <c r="F4" s="12" t="s">
        <v>4</v>
      </c>
    </row>
    <row r="5" spans="1:6" ht="21.75" customHeight="1" x14ac:dyDescent="0.25">
      <c r="A5" s="12" t="s">
        <v>917</v>
      </c>
      <c r="B5" s="12">
        <f>IFERROR('L3 Quadro Resumo'!K7,0)</f>
        <v>6110.1569998407531</v>
      </c>
      <c r="C5" s="12" t="s">
        <v>128</v>
      </c>
      <c r="D5" s="3" t="s">
        <v>918</v>
      </c>
      <c r="E5" s="3" t="str">
        <f>IF(B5&gt;0,"OK","Verificar")</f>
        <v>OK</v>
      </c>
      <c r="F5" s="12" t="s">
        <v>919</v>
      </c>
    </row>
    <row r="6" spans="1:6" ht="21.75" customHeight="1" x14ac:dyDescent="0.25">
      <c r="A6" s="12" t="s">
        <v>920</v>
      </c>
      <c r="B6" s="12">
        <f>IFERROR('L3 Quadro Resumo'!L7,0)</f>
        <v>2</v>
      </c>
      <c r="C6" s="12" t="s">
        <v>921</v>
      </c>
      <c r="D6" s="3" t="s">
        <v>922</v>
      </c>
      <c r="E6" s="3" t="str">
        <f>IF(B6&gt;0,"OK","Verificar")</f>
        <v>OK</v>
      </c>
      <c r="F6" s="12" t="s">
        <v>923</v>
      </c>
    </row>
    <row r="7" spans="1:6" ht="21.75" customHeight="1" x14ac:dyDescent="0.25">
      <c r="A7" s="6" t="s">
        <v>10</v>
      </c>
      <c r="B7" s="13">
        <f>IFERROR('L3 Quadro Resumo'!M7,0)</f>
        <v>12220.313999681506</v>
      </c>
      <c r="C7" s="6" t="s">
        <v>128</v>
      </c>
      <c r="D7" s="10" t="s">
        <v>924</v>
      </c>
      <c r="E7" s="14" t="str">
        <f>IF(B7&gt;0,"OK","Verificar")</f>
        <v>OK</v>
      </c>
      <c r="F7" s="6" t="s">
        <v>925</v>
      </c>
    </row>
    <row r="8" spans="1:6" ht="21.75" customHeight="1" x14ac:dyDescent="0.25">
      <c r="A8" s="6" t="s">
        <v>11</v>
      </c>
      <c r="B8" s="13">
        <f>IFERROR('L3 Quadro Resumo'!N7,0)</f>
        <v>146643.76799617807</v>
      </c>
      <c r="C8" s="6" t="s">
        <v>926</v>
      </c>
      <c r="D8" s="10" t="s">
        <v>927</v>
      </c>
      <c r="E8" s="14" t="str">
        <f>IF(B8&gt;0,"OK","Verificar")</f>
        <v>OK</v>
      </c>
      <c r="F8" s="6" t="s">
        <v>928</v>
      </c>
    </row>
    <row r="9" spans="1:6" ht="18" customHeight="1" x14ac:dyDescent="0.25">
      <c r="A9" s="23" t="s">
        <v>12</v>
      </c>
      <c r="B9" s="18">
        <f>IFERROR('L3 Quadro Resumo'!M7-'L3 Quadro Resumo'!F9,0)</f>
        <v>0</v>
      </c>
      <c r="C9" s="23" t="s">
        <v>128</v>
      </c>
      <c r="D9" s="17" t="s">
        <v>929</v>
      </c>
      <c r="E9" s="54" t="str">
        <f>IF(ABS(B9)&lt;0.01,"OK","Divergente")</f>
        <v>OK</v>
      </c>
      <c r="F9" s="38" t="s">
        <v>930</v>
      </c>
    </row>
  </sheetData>
  <autoFilter ref="A4:F9" xr:uid="{00000000-0009-0000-0000-000017000000}"/>
  <mergeCells count="2">
    <mergeCell ref="A2:F2"/>
    <mergeCell ref="A1:F1"/>
  </mergeCells>
  <printOptions horizontalCentered="1"/>
  <pageMargins left="0.35" right="0.35" top="0.55000000000000004" bottom="0.55000000000000004" header="0.511811023622047" footer="0.511811023622047"/>
  <pageSetup paperSize="9" fitToHeight="0" orientation="portrait" horizontalDpi="300" verticalDpi="30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A1:F17"/>
  <sheetViews>
    <sheetView showGridLines="0" zoomScaleNormal="100" workbookViewId="0">
      <pane ySplit="4" topLeftCell="A5" activePane="bottomLeft" state="frozen"/>
      <selection pane="bottomLeft" activeCell="D7" sqref="D7"/>
    </sheetView>
  </sheetViews>
  <sheetFormatPr defaultColWidth="8.5703125" defaultRowHeight="15" x14ac:dyDescent="0.25"/>
  <cols>
    <col min="1" max="1" width="34" customWidth="1"/>
    <col min="2" max="2" width="13" customWidth="1"/>
    <col min="3" max="3" width="24" customWidth="1"/>
    <col min="4" max="6" width="34" customWidth="1"/>
  </cols>
  <sheetData>
    <row r="1" spans="1:6" ht="49.5" customHeight="1" x14ac:dyDescent="0.25">
      <c r="A1" s="121" t="s">
        <v>1072</v>
      </c>
      <c r="B1" s="108"/>
      <c r="C1" s="108"/>
      <c r="D1" s="108"/>
      <c r="E1" s="108"/>
      <c r="F1" s="109"/>
    </row>
    <row r="2" spans="1:6" ht="24" customHeight="1" x14ac:dyDescent="0.25">
      <c r="A2" s="121" t="s">
        <v>932</v>
      </c>
      <c r="B2" s="108"/>
      <c r="C2" s="108"/>
      <c r="D2" s="108"/>
      <c r="E2" s="108"/>
      <c r="F2" s="109"/>
    </row>
    <row r="3" spans="1:6" ht="18" customHeight="1" x14ac:dyDescent="0.25">
      <c r="A3" s="9"/>
      <c r="B3" s="9"/>
      <c r="C3" s="9"/>
      <c r="D3" s="9"/>
      <c r="E3" s="9"/>
      <c r="F3" s="9"/>
    </row>
    <row r="4" spans="1:6" ht="21.75" customHeight="1" x14ac:dyDescent="0.25">
      <c r="A4" s="12" t="s">
        <v>121</v>
      </c>
      <c r="B4" s="12" t="s">
        <v>122</v>
      </c>
      <c r="C4" s="12" t="s">
        <v>123</v>
      </c>
      <c r="D4" s="12" t="s">
        <v>124</v>
      </c>
      <c r="E4" s="3" t="s">
        <v>933</v>
      </c>
      <c r="F4" s="12" t="s">
        <v>126</v>
      </c>
    </row>
    <row r="5" spans="1:6" ht="25.5" customHeight="1" x14ac:dyDescent="0.25">
      <c r="A5" s="12" t="s">
        <v>127</v>
      </c>
      <c r="B5" s="12">
        <v>1651</v>
      </c>
      <c r="C5" s="12" t="s">
        <v>128</v>
      </c>
      <c r="D5" s="12" t="s">
        <v>129</v>
      </c>
      <c r="E5" s="3" t="s">
        <v>934</v>
      </c>
      <c r="F5" s="12" t="s">
        <v>935</v>
      </c>
    </row>
    <row r="6" spans="1:6" ht="25.5" customHeight="1" x14ac:dyDescent="0.25">
      <c r="A6" s="12" t="s">
        <v>132</v>
      </c>
      <c r="B6" s="12">
        <v>1621</v>
      </c>
      <c r="C6" s="12" t="s">
        <v>128</v>
      </c>
      <c r="D6" s="12" t="s">
        <v>133</v>
      </c>
      <c r="E6" s="3" t="s">
        <v>936</v>
      </c>
      <c r="F6" s="12" t="s">
        <v>937</v>
      </c>
    </row>
    <row r="7" spans="1:6" ht="25.5" customHeight="1" x14ac:dyDescent="0.25">
      <c r="A7" s="12" t="s">
        <v>938</v>
      </c>
      <c r="B7" s="2">
        <v>0.2</v>
      </c>
      <c r="C7" s="12" t="s">
        <v>137</v>
      </c>
      <c r="D7" s="12" t="s">
        <v>939</v>
      </c>
      <c r="E7" s="3" t="s">
        <v>940</v>
      </c>
      <c r="F7" s="12" t="s">
        <v>941</v>
      </c>
    </row>
    <row r="8" spans="1:6" ht="25.5" customHeight="1" x14ac:dyDescent="0.25">
      <c r="A8" s="12" t="s">
        <v>136</v>
      </c>
      <c r="B8" s="2">
        <v>0.4</v>
      </c>
      <c r="C8" s="12" t="s">
        <v>137</v>
      </c>
      <c r="D8" s="12" t="s">
        <v>942</v>
      </c>
      <c r="E8" s="3" t="s">
        <v>936</v>
      </c>
      <c r="F8" s="12" t="s">
        <v>943</v>
      </c>
    </row>
    <row r="9" spans="1:6" ht="25.5" customHeight="1" x14ac:dyDescent="0.25">
      <c r="A9" s="12" t="s">
        <v>145</v>
      </c>
      <c r="B9" s="12">
        <v>400</v>
      </c>
      <c r="C9" s="12" t="s">
        <v>128</v>
      </c>
      <c r="D9" s="12" t="s">
        <v>146</v>
      </c>
      <c r="E9" s="3" t="s">
        <v>944</v>
      </c>
      <c r="F9" s="12" t="s">
        <v>945</v>
      </c>
    </row>
    <row r="10" spans="1:6" ht="25.5" customHeight="1" x14ac:dyDescent="0.25">
      <c r="A10" s="12" t="s">
        <v>149</v>
      </c>
      <c r="B10" s="12">
        <v>3.7</v>
      </c>
      <c r="C10" s="12" t="s">
        <v>150</v>
      </c>
      <c r="D10" s="12" t="s">
        <v>146</v>
      </c>
      <c r="E10" s="3" t="s">
        <v>946</v>
      </c>
      <c r="F10" s="12" t="s">
        <v>947</v>
      </c>
    </row>
    <row r="11" spans="1:6" ht="15" customHeight="1" x14ac:dyDescent="0.25">
      <c r="A11" s="12" t="s">
        <v>153</v>
      </c>
      <c r="B11" s="2">
        <v>0.06</v>
      </c>
      <c r="C11" s="12" t="s">
        <v>137</v>
      </c>
      <c r="D11" s="12" t="s">
        <v>154</v>
      </c>
      <c r="E11" s="3" t="s">
        <v>946</v>
      </c>
      <c r="F11" s="12" t="s">
        <v>948</v>
      </c>
    </row>
    <row r="12" spans="1:6" ht="15" customHeight="1" x14ac:dyDescent="0.25">
      <c r="A12" s="12" t="s">
        <v>157</v>
      </c>
      <c r="B12" s="12">
        <v>14.66</v>
      </c>
      <c r="C12" s="12" t="s">
        <v>158</v>
      </c>
      <c r="D12" s="12" t="s">
        <v>146</v>
      </c>
      <c r="E12" s="3" t="s">
        <v>949</v>
      </c>
      <c r="F12" s="12" t="s">
        <v>950</v>
      </c>
    </row>
    <row r="13" spans="1:6" ht="25.5" customHeight="1" x14ac:dyDescent="0.25">
      <c r="A13" s="12" t="s">
        <v>161</v>
      </c>
      <c r="B13" s="12">
        <v>6.4</v>
      </c>
      <c r="C13" s="12" t="s">
        <v>158</v>
      </c>
      <c r="D13" s="12" t="s">
        <v>146</v>
      </c>
      <c r="E13" s="3" t="s">
        <v>951</v>
      </c>
      <c r="F13" s="12" t="s">
        <v>952</v>
      </c>
    </row>
    <row r="14" spans="1:6" ht="38.25" customHeight="1" x14ac:dyDescent="0.25">
      <c r="A14" s="12" t="s">
        <v>164</v>
      </c>
      <c r="B14" s="12">
        <v>130</v>
      </c>
      <c r="C14" s="12" t="s">
        <v>128</v>
      </c>
      <c r="D14" s="12" t="s">
        <v>146</v>
      </c>
      <c r="E14" s="3" t="s">
        <v>953</v>
      </c>
      <c r="F14" s="12" t="s">
        <v>954</v>
      </c>
    </row>
    <row r="15" spans="1:6" ht="38.25" customHeight="1" x14ac:dyDescent="0.25">
      <c r="A15" s="12" t="s">
        <v>167</v>
      </c>
      <c r="B15" s="12">
        <v>112</v>
      </c>
      <c r="C15" s="12" t="s">
        <v>128</v>
      </c>
      <c r="D15" s="12" t="s">
        <v>168</v>
      </c>
      <c r="E15" s="3" t="s">
        <v>955</v>
      </c>
      <c r="F15" s="12" t="s">
        <v>956</v>
      </c>
    </row>
    <row r="16" spans="1:6" ht="25.5" customHeight="1" thickBot="1" x14ac:dyDescent="0.3">
      <c r="A16" s="12" t="s">
        <v>171</v>
      </c>
      <c r="B16" s="3">
        <v>22</v>
      </c>
      <c r="C16" s="12" t="s">
        <v>172</v>
      </c>
      <c r="D16" s="12" t="s">
        <v>957</v>
      </c>
      <c r="E16" s="3" t="s">
        <v>846</v>
      </c>
      <c r="F16" s="12" t="s">
        <v>958</v>
      </c>
    </row>
    <row r="17" spans="1:6" ht="18" customHeight="1" thickBot="1" x14ac:dyDescent="0.3">
      <c r="A17" s="12" t="s">
        <v>178</v>
      </c>
      <c r="B17" s="3">
        <v>220</v>
      </c>
      <c r="C17" s="12" t="s">
        <v>179</v>
      </c>
      <c r="D17" s="12" t="s">
        <v>180</v>
      </c>
      <c r="E17" s="3" t="s">
        <v>846</v>
      </c>
      <c r="F17" s="3" t="s">
        <v>1189</v>
      </c>
    </row>
  </sheetData>
  <autoFilter ref="A4:F17" xr:uid="{00000000-0009-0000-0000-000018000000}"/>
  <mergeCells count="2">
    <mergeCell ref="A2:F2"/>
    <mergeCell ref="A1:F1"/>
  </mergeCells>
  <printOptions horizontalCentered="1"/>
  <pageMargins left="0.35416666666666702" right="0.35416666666666702" top="0.55138888888888904" bottom="0.55138888888888904" header="0.511811023622047" footer="0.511811023622047"/>
  <pageSetup paperSize="9" scale="80" fitToHeight="0" orientation="landscape" horizontalDpi="300" verticalDpi="30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B1:AMJ1048576"/>
  <sheetViews>
    <sheetView showGridLines="0" zoomScaleNormal="100" workbookViewId="0">
      <pane xSplit="1" ySplit="4" topLeftCell="B5" activePane="bottomRight" state="frozen"/>
      <selection pane="topRight" activeCell="B1" sqref="B1"/>
      <selection pane="bottomLeft" activeCell="A5" sqref="A5"/>
      <selection pane="bottomRight"/>
    </sheetView>
  </sheetViews>
  <sheetFormatPr defaultColWidth="8.5703125" defaultRowHeight="15" x14ac:dyDescent="0.25"/>
  <cols>
    <col min="2" max="2" width="8" customWidth="1"/>
    <col min="3" max="3" width="34" customWidth="1"/>
    <col min="4" max="4" width="18" customWidth="1"/>
  </cols>
  <sheetData>
    <row r="1" spans="2:1024" ht="13.5" customHeight="1" x14ac:dyDescent="0.25"/>
    <row r="2" spans="2:1024" ht="13.5" customHeight="1" x14ac:dyDescent="0.25"/>
    <row r="3" spans="2:1024" ht="13.5" customHeight="1" x14ac:dyDescent="0.25"/>
    <row r="4" spans="2:1024" ht="21.75" customHeight="1" x14ac:dyDescent="0.25">
      <c r="B4" s="3"/>
      <c r="C4" s="2" t="s">
        <v>1073</v>
      </c>
      <c r="D4" s="12" t="s">
        <v>211</v>
      </c>
      <c r="AME4" s="31"/>
      <c r="AMF4" s="31"/>
      <c r="AMG4" s="31"/>
      <c r="AMH4" s="31"/>
      <c r="AMI4" s="31"/>
      <c r="AMJ4" s="31"/>
    </row>
    <row r="5" spans="2:1024" ht="30" customHeight="1" x14ac:dyDescent="0.25">
      <c r="B5" s="28">
        <v>8</v>
      </c>
      <c r="C5" s="29" t="s">
        <v>224</v>
      </c>
      <c r="D5" s="19">
        <v>4</v>
      </c>
    </row>
    <row r="6" spans="2:1024" ht="30" customHeight="1" x14ac:dyDescent="0.25">
      <c r="B6" s="28">
        <v>9</v>
      </c>
      <c r="C6" s="29" t="s">
        <v>225</v>
      </c>
      <c r="D6" s="19">
        <v>4</v>
      </c>
    </row>
    <row r="7" spans="2:1024" ht="30" customHeight="1" x14ac:dyDescent="0.25">
      <c r="B7" s="28">
        <v>11</v>
      </c>
      <c r="C7" s="29" t="s">
        <v>227</v>
      </c>
      <c r="D7" s="19">
        <v>4</v>
      </c>
    </row>
    <row r="8" spans="2:1024" ht="30" customHeight="1" x14ac:dyDescent="0.25">
      <c r="B8" s="28">
        <v>14</v>
      </c>
      <c r="C8" s="29" t="s">
        <v>230</v>
      </c>
      <c r="D8" s="19">
        <v>4</v>
      </c>
    </row>
    <row r="9" spans="2:1024" ht="18" customHeight="1" x14ac:dyDescent="0.25">
      <c r="B9" s="28">
        <v>16</v>
      </c>
      <c r="C9" s="30" t="s">
        <v>1074</v>
      </c>
      <c r="D9" s="19">
        <v>6</v>
      </c>
    </row>
    <row r="10" spans="2:1024" ht="18" customHeight="1" x14ac:dyDescent="0.25">
      <c r="B10" s="28">
        <v>18</v>
      </c>
      <c r="C10" s="30" t="s">
        <v>1075</v>
      </c>
      <c r="D10" s="19">
        <v>6</v>
      </c>
    </row>
    <row r="11" spans="2:1024" ht="18" customHeight="1" x14ac:dyDescent="0.25">
      <c r="B11" s="110" t="s">
        <v>297</v>
      </c>
      <c r="C11" s="108"/>
      <c r="D11" s="109"/>
    </row>
    <row r="12" spans="2:1024" ht="13.5" customHeight="1" x14ac:dyDescent="0.25">
      <c r="C12" s="56"/>
      <c r="D12" s="57"/>
    </row>
    <row r="13" spans="2:1024" ht="13.5" customHeight="1" x14ac:dyDescent="0.25"/>
    <row r="1048558" ht="12.75" customHeight="1" x14ac:dyDescent="0.25"/>
    <row r="1048559" ht="12.75" customHeight="1" x14ac:dyDescent="0.25"/>
    <row r="1048560" ht="12.75" customHeight="1" x14ac:dyDescent="0.25"/>
    <row r="1048561" ht="12.75" customHeight="1" x14ac:dyDescent="0.25"/>
    <row r="1048562" ht="12.75" customHeight="1" x14ac:dyDescent="0.25"/>
    <row r="1048563" ht="12.75" customHeight="1" x14ac:dyDescent="0.25"/>
    <row r="1048564" ht="12.75" customHeight="1" x14ac:dyDescent="0.25"/>
    <row r="1048565" ht="12.75" customHeight="1" x14ac:dyDescent="0.25"/>
    <row r="1048566" ht="12.75" customHeight="1" x14ac:dyDescent="0.25"/>
    <row r="1048567" ht="12.75" customHeight="1" x14ac:dyDescent="0.25"/>
    <row r="1048568" ht="12.75" customHeight="1" x14ac:dyDescent="0.25"/>
    <row r="1048569" ht="12.75" customHeight="1" x14ac:dyDescent="0.25"/>
    <row r="1048570" ht="12.75" customHeight="1" x14ac:dyDescent="0.25"/>
    <row r="1048571" ht="12.75" customHeight="1" x14ac:dyDescent="0.25"/>
    <row r="1048572" ht="12.75" customHeight="1" x14ac:dyDescent="0.25"/>
    <row r="1048573" ht="12.75" customHeight="1" x14ac:dyDescent="0.25"/>
    <row r="1048574" ht="12.75" customHeight="1" x14ac:dyDescent="0.25"/>
    <row r="1048575" ht="12.75" customHeight="1" x14ac:dyDescent="0.25"/>
    <row r="1048576" ht="12.75" customHeight="1" x14ac:dyDescent="0.25"/>
  </sheetData>
  <autoFilter ref="B4:D11" xr:uid="{00000000-0009-0000-0000-000019000000}"/>
  <mergeCells count="1">
    <mergeCell ref="B11:D11"/>
  </mergeCells>
  <printOptions horizontalCentered="1"/>
  <pageMargins left="0.35" right="0.35" top="0.55000000000000004" bottom="0.55000000000000004" header="0.511811023622047" footer="0.511811023622047"/>
  <pageSetup paperSize="9" fitToHeight="0" pageOrder="overThenDown" orientation="portrait" useFirstPageNumber="1" horizontalDpi="300" verticalDpi="300"/>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fitToPage="1"/>
  </sheetPr>
  <dimension ref="A1:I116"/>
  <sheetViews>
    <sheetView showGridLines="0" zoomScaleNormal="100" workbookViewId="0">
      <selection activeCell="E60" sqref="E60"/>
    </sheetView>
  </sheetViews>
  <sheetFormatPr defaultColWidth="8.5703125" defaultRowHeight="15" x14ac:dyDescent="0.25"/>
  <cols>
    <col min="1" max="2" width="34" customWidth="1"/>
    <col min="3" max="3" width="16" customWidth="1"/>
    <col min="4" max="4" width="13" customWidth="1"/>
    <col min="5" max="5" width="20" customWidth="1"/>
    <col min="6" max="6" width="34" customWidth="1"/>
    <col min="7" max="7" width="18" customWidth="1"/>
    <col min="8" max="8" width="8" customWidth="1"/>
    <col min="9" max="9" width="13" customWidth="1"/>
    <col min="10" max="10" width="15.85546875" customWidth="1"/>
    <col min="11" max="11" width="4.42578125" customWidth="1"/>
    <col min="12" max="12" width="43" customWidth="1"/>
    <col min="13" max="13" width="7.42578125" customWidth="1"/>
    <col min="14" max="15" width="12.42578125" customWidth="1"/>
    <col min="18" max="18" width="22.140625" customWidth="1"/>
    <col min="20" max="20" width="12.85546875" customWidth="1"/>
  </cols>
  <sheetData>
    <row r="1" spans="1:9" ht="15.75" customHeight="1" x14ac:dyDescent="0.25"/>
    <row r="2" spans="1:9" ht="24" customHeight="1" x14ac:dyDescent="0.25">
      <c r="A2" s="121" t="s">
        <v>1076</v>
      </c>
      <c r="B2" s="108"/>
      <c r="C2" s="108"/>
      <c r="D2" s="108"/>
      <c r="E2" s="108"/>
      <c r="F2" s="108"/>
      <c r="G2" s="108"/>
      <c r="H2" s="108"/>
      <c r="I2" s="109"/>
    </row>
    <row r="3" spans="1:9" ht="18" customHeight="1" x14ac:dyDescent="0.25">
      <c r="A3" s="9"/>
      <c r="B3" s="9"/>
      <c r="C3" s="9"/>
      <c r="D3" s="9"/>
      <c r="E3" s="9"/>
      <c r="F3" s="9"/>
      <c r="G3" s="9"/>
      <c r="H3" s="9"/>
      <c r="I3" s="9"/>
    </row>
    <row r="4" spans="1:9" ht="18" customHeight="1" x14ac:dyDescent="0.25">
      <c r="A4" s="9"/>
      <c r="B4" s="9"/>
      <c r="C4" s="9"/>
      <c r="D4" s="9"/>
      <c r="E4" s="9"/>
      <c r="F4" s="9"/>
      <c r="G4" s="9"/>
      <c r="H4" s="9"/>
      <c r="I4" s="9"/>
    </row>
    <row r="5" spans="1:9" ht="18" customHeight="1" x14ac:dyDescent="0.25">
      <c r="A5" s="9"/>
      <c r="B5" s="9"/>
      <c r="C5" s="9"/>
      <c r="D5" s="9"/>
      <c r="E5" s="9"/>
      <c r="F5" s="9"/>
      <c r="G5" s="9"/>
      <c r="H5" s="9"/>
      <c r="I5" s="9"/>
    </row>
    <row r="6" spans="1:9" ht="21.75" customHeight="1" thickBot="1" x14ac:dyDescent="0.3">
      <c r="A6" s="12" t="s">
        <v>559</v>
      </c>
      <c r="B6" s="12" t="s">
        <v>560</v>
      </c>
      <c r="C6" s="12" t="s">
        <v>561</v>
      </c>
      <c r="D6" s="12" t="s">
        <v>137</v>
      </c>
      <c r="E6" s="3"/>
      <c r="F6" s="12" t="s">
        <v>562</v>
      </c>
      <c r="G6" s="3"/>
      <c r="H6" s="3"/>
      <c r="I6" s="47"/>
    </row>
    <row r="7" spans="1:9" ht="21.75" customHeight="1" thickBot="1" x14ac:dyDescent="0.3">
      <c r="A7" s="3"/>
      <c r="B7" s="12" t="s">
        <v>563</v>
      </c>
      <c r="C7" s="12">
        <f>'L3 Param CCT'!$B$5</f>
        <v>1651</v>
      </c>
      <c r="D7" s="3"/>
      <c r="E7" s="3"/>
      <c r="F7" s="12">
        <f>'L3 Param CCT'!$B$6</f>
        <v>1621</v>
      </c>
      <c r="G7" s="3"/>
      <c r="H7" s="3"/>
      <c r="I7" s="47"/>
    </row>
    <row r="8" spans="1:9" ht="25.5" customHeight="1" x14ac:dyDescent="0.25">
      <c r="A8" s="9"/>
      <c r="B8" s="38" t="s">
        <v>564</v>
      </c>
      <c r="C8" s="83">
        <v>0</v>
      </c>
      <c r="D8" s="92"/>
      <c r="E8" s="9"/>
      <c r="F8" s="9"/>
      <c r="G8" s="9"/>
      <c r="H8" s="9"/>
      <c r="I8" s="9"/>
    </row>
    <row r="9" spans="1:9" ht="18" customHeight="1" thickBot="1" x14ac:dyDescent="0.3">
      <c r="A9" s="9"/>
      <c r="B9" s="23" t="s">
        <v>565</v>
      </c>
      <c r="C9" s="83">
        <v>0</v>
      </c>
      <c r="D9" s="96">
        <v>0</v>
      </c>
      <c r="E9" s="9"/>
      <c r="F9" s="9"/>
      <c r="G9" s="9"/>
      <c r="H9" s="9"/>
      <c r="I9" s="9"/>
    </row>
    <row r="10" spans="1:9" ht="21.75" customHeight="1" thickBot="1" x14ac:dyDescent="0.3">
      <c r="A10" s="3"/>
      <c r="B10" s="12" t="s">
        <v>566</v>
      </c>
      <c r="C10" s="12">
        <f>IFERROR(D10*F7,0)</f>
        <v>0</v>
      </c>
      <c r="D10" s="2">
        <v>0</v>
      </c>
      <c r="E10" s="3"/>
      <c r="F10" s="3"/>
      <c r="G10" s="3"/>
      <c r="H10" s="3"/>
      <c r="I10" s="3"/>
    </row>
    <row r="11" spans="1:9" ht="18" customHeight="1" x14ac:dyDescent="0.25">
      <c r="A11" s="9"/>
      <c r="B11" s="23" t="s">
        <v>141</v>
      </c>
      <c r="C11" s="83">
        <v>0</v>
      </c>
      <c r="D11" s="96">
        <v>0</v>
      </c>
      <c r="E11" s="9"/>
      <c r="F11" s="9"/>
      <c r="G11" s="9"/>
      <c r="H11" s="9"/>
      <c r="I11" s="9"/>
    </row>
    <row r="12" spans="1:9" ht="18" customHeight="1" x14ac:dyDescent="0.25">
      <c r="A12" s="9"/>
      <c r="B12" s="23" t="s">
        <v>567</v>
      </c>
      <c r="C12" s="83">
        <v>0</v>
      </c>
      <c r="D12" s="96">
        <v>0</v>
      </c>
      <c r="E12" s="9"/>
      <c r="F12" s="9"/>
      <c r="G12" s="9"/>
      <c r="H12" s="9"/>
      <c r="I12" s="9"/>
    </row>
    <row r="13" spans="1:9" ht="18" customHeight="1" x14ac:dyDescent="0.25">
      <c r="A13" s="9"/>
      <c r="B13" s="23" t="s">
        <v>568</v>
      </c>
      <c r="C13" s="83">
        <v>0</v>
      </c>
      <c r="D13" s="96">
        <v>0</v>
      </c>
      <c r="E13" s="9"/>
      <c r="F13" s="9"/>
      <c r="G13" s="9"/>
      <c r="H13" s="9"/>
      <c r="I13" s="9"/>
    </row>
    <row r="14" spans="1:9" ht="18" customHeight="1" x14ac:dyDescent="0.25">
      <c r="A14" s="9"/>
      <c r="B14" s="23" t="s">
        <v>569</v>
      </c>
      <c r="C14" s="83">
        <v>0</v>
      </c>
      <c r="D14" s="96">
        <v>0</v>
      </c>
      <c r="E14" s="9"/>
      <c r="F14" s="9"/>
      <c r="G14" s="9"/>
      <c r="H14" s="9"/>
      <c r="I14" s="9"/>
    </row>
    <row r="15" spans="1:9" ht="27" customHeight="1" thickBot="1" x14ac:dyDescent="0.3">
      <c r="A15" s="9"/>
      <c r="B15" s="63" t="s">
        <v>1077</v>
      </c>
      <c r="C15" s="83">
        <v>203.98</v>
      </c>
      <c r="D15" s="96">
        <v>0</v>
      </c>
      <c r="E15" s="9"/>
      <c r="F15" s="9"/>
      <c r="G15" s="9"/>
      <c r="H15" s="9"/>
      <c r="I15" s="9"/>
    </row>
    <row r="16" spans="1:9" ht="21.75" customHeight="1" thickBot="1" x14ac:dyDescent="0.3">
      <c r="A16" s="3"/>
      <c r="B16" s="6" t="s">
        <v>571</v>
      </c>
      <c r="C16" s="68">
        <f>IFERROR(SUM(C7:C15),0)</f>
        <v>1854.98</v>
      </c>
      <c r="D16" s="3"/>
      <c r="E16" s="3"/>
      <c r="F16" s="3"/>
      <c r="G16" s="3"/>
      <c r="H16" s="3"/>
      <c r="I16" s="3"/>
    </row>
    <row r="17" spans="1:9" ht="18" customHeight="1" x14ac:dyDescent="0.25">
      <c r="A17" s="9"/>
      <c r="B17" s="9"/>
      <c r="C17" s="9"/>
      <c r="D17" s="9"/>
      <c r="E17" s="9"/>
      <c r="F17" s="9"/>
      <c r="G17" s="9"/>
      <c r="H17" s="9"/>
      <c r="I17" s="9"/>
    </row>
    <row r="18" spans="1:9" ht="18" customHeight="1" x14ac:dyDescent="0.25">
      <c r="A18" s="9"/>
      <c r="B18" s="9"/>
      <c r="C18" s="9"/>
      <c r="D18" s="9"/>
      <c r="E18" s="9"/>
      <c r="F18" s="9"/>
      <c r="G18" s="9"/>
      <c r="H18" s="9"/>
      <c r="I18" s="9"/>
    </row>
    <row r="19" spans="1:9" ht="18" customHeight="1" x14ac:dyDescent="0.25">
      <c r="A19" s="114" t="s">
        <v>572</v>
      </c>
      <c r="B19" s="108"/>
      <c r="C19" s="109"/>
      <c r="D19" s="8"/>
      <c r="E19" s="8"/>
      <c r="F19" s="8"/>
      <c r="G19" s="8"/>
      <c r="H19" s="8"/>
      <c r="I19" s="8"/>
    </row>
    <row r="20" spans="1:9" ht="18" customHeight="1" x14ac:dyDescent="0.25">
      <c r="A20" s="9"/>
      <c r="B20" s="9"/>
      <c r="C20" s="9"/>
      <c r="D20" s="9"/>
      <c r="E20" s="9"/>
      <c r="F20" s="9"/>
      <c r="G20" s="9"/>
      <c r="H20" s="9"/>
      <c r="I20" s="9"/>
    </row>
    <row r="21" spans="1:9" ht="21.75" customHeight="1" thickBot="1" x14ac:dyDescent="0.3">
      <c r="A21" s="12" t="s">
        <v>573</v>
      </c>
      <c r="B21" s="12" t="s">
        <v>574</v>
      </c>
      <c r="C21" s="12" t="s">
        <v>561</v>
      </c>
      <c r="D21" s="3"/>
      <c r="E21" s="2" t="s">
        <v>137</v>
      </c>
      <c r="F21" s="12" t="s">
        <v>575</v>
      </c>
      <c r="G21" s="3"/>
      <c r="H21" s="3"/>
      <c r="I21" s="3"/>
    </row>
    <row r="22" spans="1:9" ht="21.75" customHeight="1" thickBot="1" x14ac:dyDescent="0.3">
      <c r="A22" s="3"/>
      <c r="B22" s="12" t="s">
        <v>576</v>
      </c>
      <c r="C22" s="12">
        <f>C16*E22</f>
        <v>154.58166666666662</v>
      </c>
      <c r="D22" s="3"/>
      <c r="E22" s="2">
        <v>8.3333333333333301E-2</v>
      </c>
      <c r="F22" s="12" t="s">
        <v>577</v>
      </c>
      <c r="G22" s="3"/>
      <c r="H22" s="3"/>
      <c r="I22" s="3"/>
    </row>
    <row r="23" spans="1:9" ht="21.75" customHeight="1" thickBot="1" x14ac:dyDescent="0.3">
      <c r="A23" s="3"/>
      <c r="B23" s="12" t="s">
        <v>578</v>
      </c>
      <c r="C23" s="12">
        <f>C16*E23</f>
        <v>168.33943500000001</v>
      </c>
      <c r="D23" s="3"/>
      <c r="E23" s="2">
        <v>9.0749999999999997E-2</v>
      </c>
      <c r="F23" s="12" t="s">
        <v>1188</v>
      </c>
      <c r="G23" s="3"/>
      <c r="H23" s="3"/>
      <c r="I23" s="3"/>
    </row>
    <row r="24" spans="1:9" ht="21.75" customHeight="1" thickBot="1" x14ac:dyDescent="0.3">
      <c r="A24" s="3"/>
      <c r="B24" s="12" t="s">
        <v>579</v>
      </c>
      <c r="C24" s="12">
        <f>C16*E24</f>
        <v>56.113144999999996</v>
      </c>
      <c r="D24" s="3"/>
      <c r="E24" s="2">
        <v>3.0249999999999999E-2</v>
      </c>
      <c r="F24" s="12" t="s">
        <v>1188</v>
      </c>
      <c r="G24" s="3"/>
      <c r="H24" s="3"/>
      <c r="I24" s="3"/>
    </row>
    <row r="25" spans="1:9" ht="21.75" customHeight="1" thickBot="1" x14ac:dyDescent="0.3">
      <c r="A25" s="3"/>
      <c r="B25" s="6" t="s">
        <v>580</v>
      </c>
      <c r="C25" s="68">
        <f>SUM(C22:C24)</f>
        <v>379.0342466666666</v>
      </c>
      <c r="D25" s="3"/>
      <c r="E25" s="3"/>
      <c r="F25" s="3"/>
      <c r="G25" s="3"/>
      <c r="H25" s="3"/>
      <c r="I25" s="3"/>
    </row>
    <row r="26" spans="1:9" ht="18" customHeight="1" thickBot="1" x14ac:dyDescent="0.3">
      <c r="A26" s="9"/>
      <c r="B26" s="9"/>
      <c r="C26" s="9"/>
      <c r="D26" s="9"/>
      <c r="E26" s="9"/>
      <c r="F26" s="9"/>
      <c r="G26" s="9"/>
      <c r="H26" s="9"/>
      <c r="I26" s="9"/>
    </row>
    <row r="27" spans="1:9" ht="21.75" customHeight="1" thickBot="1" x14ac:dyDescent="0.3">
      <c r="A27" s="12" t="s">
        <v>581</v>
      </c>
      <c r="B27" s="12" t="s">
        <v>582</v>
      </c>
      <c r="C27" s="12" t="s">
        <v>583</v>
      </c>
      <c r="D27" s="12" t="s">
        <v>561</v>
      </c>
      <c r="E27" s="3"/>
      <c r="F27" s="3"/>
      <c r="G27" s="3"/>
      <c r="H27" s="3"/>
      <c r="I27" s="3"/>
    </row>
    <row r="28" spans="1:9" ht="25.5" customHeight="1" thickBot="1" x14ac:dyDescent="0.3">
      <c r="A28" s="3"/>
      <c r="B28" s="80" t="s">
        <v>584</v>
      </c>
      <c r="C28" s="81">
        <v>0.2</v>
      </c>
      <c r="D28" s="12">
        <f>C28*(C16+C25)</f>
        <v>446.80284933333337</v>
      </c>
      <c r="E28" s="3"/>
      <c r="F28" s="12" t="s">
        <v>585</v>
      </c>
      <c r="G28" s="3"/>
      <c r="H28" s="3"/>
      <c r="I28" s="3"/>
    </row>
    <row r="29" spans="1:9" ht="21.75" customHeight="1" thickBot="1" x14ac:dyDescent="0.3">
      <c r="A29" s="3"/>
      <c r="B29" s="80" t="s">
        <v>586</v>
      </c>
      <c r="C29" s="81">
        <v>1.4999999999999999E-2</v>
      </c>
      <c r="D29" s="12">
        <f>C29*(C16+C25)</f>
        <v>33.510213700000001</v>
      </c>
      <c r="E29" s="3"/>
      <c r="F29" s="47"/>
      <c r="G29" s="3"/>
      <c r="H29" s="3"/>
      <c r="I29" s="3"/>
    </row>
    <row r="30" spans="1:9" ht="21.75" customHeight="1" thickBot="1" x14ac:dyDescent="0.3">
      <c r="A30" s="3"/>
      <c r="B30" s="80" t="s">
        <v>587</v>
      </c>
      <c r="C30" s="81">
        <v>0.01</v>
      </c>
      <c r="D30" s="12">
        <f>C30*(C16+C25)</f>
        <v>22.340142466666666</v>
      </c>
      <c r="E30" s="3"/>
      <c r="F30" s="3"/>
      <c r="G30" s="3"/>
      <c r="H30" s="3"/>
      <c r="I30" s="3"/>
    </row>
    <row r="31" spans="1:9" ht="21.75" customHeight="1" thickBot="1" x14ac:dyDescent="0.3">
      <c r="A31" s="3"/>
      <c r="B31" s="80" t="s">
        <v>588</v>
      </c>
      <c r="C31" s="81">
        <v>2E-3</v>
      </c>
      <c r="D31" s="12">
        <f>C31*(C16+C25)</f>
        <v>4.4680284933333336</v>
      </c>
      <c r="E31" s="3"/>
      <c r="F31" s="12"/>
      <c r="G31" s="12"/>
      <c r="H31" s="3"/>
      <c r="I31" s="3"/>
    </row>
    <row r="32" spans="1:9" ht="21.75" customHeight="1" thickBot="1" x14ac:dyDescent="0.3">
      <c r="A32" s="3"/>
      <c r="B32" s="80" t="s">
        <v>589</v>
      </c>
      <c r="C32" s="81">
        <v>2.5000000000000001E-2</v>
      </c>
      <c r="D32" s="12">
        <f>C32*(C16+C25)</f>
        <v>55.850356166666671</v>
      </c>
      <c r="E32" s="3"/>
      <c r="F32" s="12"/>
      <c r="G32" s="12"/>
      <c r="H32" s="3"/>
      <c r="I32" s="3"/>
    </row>
    <row r="33" spans="1:9" ht="21.75" customHeight="1" thickBot="1" x14ac:dyDescent="0.3">
      <c r="A33" s="3"/>
      <c r="B33" s="80" t="s">
        <v>590</v>
      </c>
      <c r="C33" s="81">
        <v>0.08</v>
      </c>
      <c r="D33" s="12">
        <f>C33*(C16+C25)</f>
        <v>178.72113973333333</v>
      </c>
      <c r="E33" s="3"/>
      <c r="F33" s="3"/>
      <c r="G33" s="3"/>
      <c r="H33" s="3"/>
      <c r="I33" s="3"/>
    </row>
    <row r="34" spans="1:9" ht="25.5" customHeight="1" thickBot="1" x14ac:dyDescent="0.3">
      <c r="A34" s="3"/>
      <c r="B34" s="80" t="s">
        <v>591</v>
      </c>
      <c r="C34" s="81">
        <v>0.06</v>
      </c>
      <c r="D34" s="12">
        <f>C34*(C16+C25)</f>
        <v>134.04085480000001</v>
      </c>
      <c r="E34" s="3"/>
      <c r="F34" s="3"/>
      <c r="G34" s="3"/>
      <c r="H34" s="3"/>
      <c r="I34" s="3"/>
    </row>
    <row r="35" spans="1:9" ht="21.75" customHeight="1" thickBot="1" x14ac:dyDescent="0.3">
      <c r="A35" s="3"/>
      <c r="B35" s="80" t="s">
        <v>592</v>
      </c>
      <c r="C35" s="81">
        <v>6.0000000000000001E-3</v>
      </c>
      <c r="D35" s="12">
        <f>C35*(C16+C25)</f>
        <v>13.404085480000001</v>
      </c>
      <c r="E35" s="3"/>
      <c r="F35" s="3"/>
      <c r="G35" s="3"/>
      <c r="H35" s="3"/>
      <c r="I35" s="3"/>
    </row>
    <row r="36" spans="1:9" ht="21.75" customHeight="1" thickBot="1" x14ac:dyDescent="0.3">
      <c r="A36" s="3"/>
      <c r="B36" s="101" t="s">
        <v>297</v>
      </c>
      <c r="C36" s="102">
        <f>SUM(C28:C35)</f>
        <v>0.39800000000000008</v>
      </c>
      <c r="D36" s="68">
        <f>SUM(D28:D35)</f>
        <v>889.1376701733335</v>
      </c>
      <c r="E36" s="3"/>
      <c r="F36" s="3"/>
      <c r="G36" s="3"/>
      <c r="H36" s="3"/>
      <c r="I36" s="3"/>
    </row>
    <row r="37" spans="1:9" ht="18" customHeight="1" thickBot="1" x14ac:dyDescent="0.3">
      <c r="A37" s="9"/>
      <c r="B37" s="9"/>
      <c r="C37" s="9"/>
      <c r="D37" s="9"/>
      <c r="E37" s="9"/>
      <c r="F37" s="9"/>
      <c r="G37" s="9"/>
      <c r="H37" s="9"/>
      <c r="I37" s="9"/>
    </row>
    <row r="38" spans="1:9" ht="18" customHeight="1" thickBot="1" x14ac:dyDescent="0.3">
      <c r="A38" s="7" t="s">
        <v>593</v>
      </c>
      <c r="B38" s="7" t="s">
        <v>594</v>
      </c>
      <c r="C38" s="7" t="s">
        <v>561</v>
      </c>
      <c r="D38" s="8"/>
      <c r="E38" s="8"/>
      <c r="F38" s="113"/>
      <c r="G38" s="108"/>
      <c r="H38" s="108"/>
      <c r="I38" s="109"/>
    </row>
    <row r="39" spans="1:9" ht="21.75" customHeight="1" thickBot="1" x14ac:dyDescent="0.3">
      <c r="A39" s="12" t="s">
        <v>595</v>
      </c>
      <c r="B39" s="12" t="s">
        <v>596</v>
      </c>
      <c r="C39" s="12">
        <f>IFERROR('L3 Param CCT'!$B$10*2*'L3 Param CCT'!$B$16-(C7*'L3 Param CCT'!$B$11),0)</f>
        <v>63.740000000000009</v>
      </c>
      <c r="D39" s="3"/>
      <c r="E39" s="3"/>
      <c r="F39" s="3"/>
      <c r="G39" s="3"/>
      <c r="H39" s="3"/>
      <c r="I39" s="3"/>
    </row>
    <row r="40" spans="1:9" ht="25.5" customHeight="1" thickBot="1" x14ac:dyDescent="0.3">
      <c r="A40" s="12" t="s">
        <v>597</v>
      </c>
      <c r="B40" s="12" t="s">
        <v>598</v>
      </c>
      <c r="C40" s="12">
        <f>'L3 Param CCT'!$B$9</f>
        <v>400</v>
      </c>
      <c r="D40" s="3"/>
      <c r="E40" s="3"/>
      <c r="F40" s="3"/>
      <c r="G40" s="3"/>
      <c r="H40" s="3"/>
      <c r="I40" s="3"/>
    </row>
    <row r="41" spans="1:9" ht="15" customHeight="1" thickBot="1" x14ac:dyDescent="0.3">
      <c r="A41" s="12" t="s">
        <v>599</v>
      </c>
      <c r="B41" s="12" t="s">
        <v>600</v>
      </c>
      <c r="C41" s="12">
        <v>0</v>
      </c>
      <c r="D41" s="3"/>
      <c r="E41" s="3"/>
      <c r="F41" s="3"/>
      <c r="G41" s="3"/>
      <c r="H41" s="3"/>
      <c r="I41" s="3"/>
    </row>
    <row r="42" spans="1:9" ht="25.5" customHeight="1" thickBot="1" x14ac:dyDescent="0.3">
      <c r="A42" s="12" t="s">
        <v>601</v>
      </c>
      <c r="B42" s="12" t="s">
        <v>602</v>
      </c>
      <c r="C42" s="12">
        <f>'L3 Param CCT'!$B$13</f>
        <v>6.4</v>
      </c>
      <c r="D42" s="3"/>
      <c r="E42" s="3"/>
      <c r="F42" s="3"/>
      <c r="G42" s="3"/>
      <c r="H42" s="3"/>
      <c r="I42" s="3"/>
    </row>
    <row r="43" spans="1:9" ht="25.5" customHeight="1" thickBot="1" x14ac:dyDescent="0.3">
      <c r="A43" s="12" t="s">
        <v>603</v>
      </c>
      <c r="B43" s="12" t="s">
        <v>564</v>
      </c>
      <c r="C43" s="12">
        <v>0</v>
      </c>
      <c r="D43" s="3"/>
      <c r="E43" s="3"/>
      <c r="F43" s="3"/>
      <c r="G43" s="3"/>
      <c r="H43" s="3"/>
      <c r="I43" s="3"/>
    </row>
    <row r="44" spans="1:9" ht="15" customHeight="1" thickBot="1" x14ac:dyDescent="0.3">
      <c r="A44" s="12" t="s">
        <v>604</v>
      </c>
      <c r="B44" s="12" t="s">
        <v>605</v>
      </c>
      <c r="C44" s="12">
        <f>'L3 Param CCT'!$B$12</f>
        <v>14.66</v>
      </c>
      <c r="D44" s="3"/>
      <c r="E44" s="3"/>
      <c r="F44" s="3"/>
      <c r="G44" s="3"/>
      <c r="H44" s="3"/>
      <c r="I44" s="3"/>
    </row>
    <row r="45" spans="1:9" ht="21.75" customHeight="1" thickBot="1" x14ac:dyDescent="0.3">
      <c r="A45" s="12" t="s">
        <v>606</v>
      </c>
      <c r="B45" s="12" t="s">
        <v>607</v>
      </c>
      <c r="C45" s="12">
        <f>'L3 Param CCT'!$B$14</f>
        <v>130</v>
      </c>
      <c r="D45" s="3"/>
      <c r="E45" s="3"/>
      <c r="F45" s="3"/>
      <c r="G45" s="3"/>
      <c r="H45" s="3"/>
      <c r="I45" s="3"/>
    </row>
    <row r="46" spans="1:9" ht="21.75" customHeight="1" thickBot="1" x14ac:dyDescent="0.3">
      <c r="A46" s="12" t="s">
        <v>608</v>
      </c>
      <c r="B46" s="12" t="s">
        <v>609</v>
      </c>
      <c r="C46" s="12">
        <v>0</v>
      </c>
      <c r="D46" s="3"/>
      <c r="E46" s="3"/>
      <c r="F46" s="3"/>
      <c r="G46" s="3"/>
      <c r="H46" s="3"/>
      <c r="I46" s="3"/>
    </row>
    <row r="47" spans="1:9" ht="21.75" customHeight="1" thickBot="1" x14ac:dyDescent="0.3">
      <c r="A47" s="12" t="s">
        <v>610</v>
      </c>
      <c r="B47" s="12" t="s">
        <v>570</v>
      </c>
      <c r="C47" s="12">
        <v>0</v>
      </c>
      <c r="D47" s="3"/>
      <c r="E47" s="3"/>
      <c r="F47" s="3"/>
      <c r="G47" s="3"/>
      <c r="H47" s="3"/>
      <c r="I47" s="3"/>
    </row>
    <row r="48" spans="1:9" ht="21.75" customHeight="1" thickBot="1" x14ac:dyDescent="0.3">
      <c r="A48" s="6" t="s">
        <v>611</v>
      </c>
      <c r="B48" s="68" t="s">
        <v>612</v>
      </c>
      <c r="C48" s="68">
        <f>IFERROR(SUM(C39:C47),0)</f>
        <v>614.79999999999995</v>
      </c>
      <c r="D48" s="3"/>
      <c r="E48" s="3"/>
      <c r="F48" s="3"/>
      <c r="G48" s="3"/>
      <c r="H48" s="3"/>
      <c r="I48" s="3"/>
    </row>
    <row r="49" spans="1:9" ht="18" customHeight="1" thickBot="1" x14ac:dyDescent="0.3">
      <c r="A49" s="9"/>
      <c r="B49" s="9"/>
      <c r="C49" s="9"/>
      <c r="D49" s="9"/>
      <c r="E49" s="9"/>
      <c r="F49" s="9"/>
      <c r="G49" s="9"/>
      <c r="H49" s="9"/>
      <c r="I49" s="9"/>
    </row>
    <row r="50" spans="1:9" ht="18" customHeight="1" thickBot="1" x14ac:dyDescent="0.3">
      <c r="A50" s="114" t="s">
        <v>572</v>
      </c>
      <c r="B50" s="108"/>
      <c r="C50" s="109"/>
      <c r="D50" s="8"/>
      <c r="E50" s="8"/>
      <c r="F50" s="8"/>
      <c r="G50" s="8"/>
      <c r="H50" s="8"/>
      <c r="I50" s="8"/>
    </row>
    <row r="51" spans="1:9" ht="21.75" customHeight="1" thickBot="1" x14ac:dyDescent="0.3">
      <c r="A51" s="3"/>
      <c r="B51" s="12" t="s">
        <v>573</v>
      </c>
      <c r="C51" s="12">
        <f>C25</f>
        <v>379.0342466666666</v>
      </c>
      <c r="D51" s="3"/>
      <c r="E51" s="3"/>
      <c r="F51" s="3"/>
      <c r="G51" s="3"/>
      <c r="H51" s="3"/>
      <c r="I51" s="3"/>
    </row>
    <row r="52" spans="1:9" ht="21.75" customHeight="1" thickBot="1" x14ac:dyDescent="0.3">
      <c r="A52" s="3"/>
      <c r="B52" s="12" t="s">
        <v>581</v>
      </c>
      <c r="C52" s="12">
        <f>D36</f>
        <v>889.1376701733335</v>
      </c>
      <c r="D52" s="3"/>
      <c r="E52" s="3"/>
      <c r="F52" s="3"/>
      <c r="G52" s="3"/>
      <c r="H52" s="3"/>
      <c r="I52" s="3"/>
    </row>
    <row r="53" spans="1:9" ht="21.75" customHeight="1" thickBot="1" x14ac:dyDescent="0.3">
      <c r="A53" s="3"/>
      <c r="B53" s="12" t="s">
        <v>593</v>
      </c>
      <c r="C53" s="12">
        <f>C48</f>
        <v>614.79999999999995</v>
      </c>
      <c r="D53" s="3"/>
      <c r="E53" s="3"/>
      <c r="F53" s="3"/>
      <c r="G53" s="3"/>
      <c r="H53" s="3"/>
      <c r="I53" s="3"/>
    </row>
    <row r="54" spans="1:9" ht="18" customHeight="1" thickBot="1" x14ac:dyDescent="0.3">
      <c r="A54" s="24"/>
      <c r="B54" s="68" t="s">
        <v>297</v>
      </c>
      <c r="C54" s="68">
        <f>IFERROR(SUM(C51:C53),0)</f>
        <v>1882.9719168399999</v>
      </c>
      <c r="D54" s="24"/>
      <c r="E54" s="24"/>
      <c r="F54" s="24"/>
      <c r="G54" s="24"/>
      <c r="H54" s="24"/>
      <c r="I54" s="24"/>
    </row>
    <row r="55" spans="1:9" ht="18" customHeight="1" thickBot="1" x14ac:dyDescent="0.3">
      <c r="A55" s="9"/>
      <c r="B55" s="9"/>
      <c r="C55" s="9"/>
      <c r="D55" s="9"/>
      <c r="E55" s="9"/>
      <c r="F55" s="9"/>
      <c r="G55" s="9"/>
      <c r="H55" s="9"/>
      <c r="I55" s="9"/>
    </row>
    <row r="56" spans="1:9" ht="18" customHeight="1" thickBot="1" x14ac:dyDescent="0.3">
      <c r="A56" s="114" t="s">
        <v>613</v>
      </c>
      <c r="B56" s="108"/>
      <c r="C56" s="109"/>
      <c r="D56" s="8"/>
      <c r="E56" s="8"/>
      <c r="F56" s="8"/>
      <c r="G56" s="8"/>
      <c r="H56" s="8"/>
      <c r="I56" s="8"/>
    </row>
    <row r="57" spans="1:9" ht="15.75" customHeight="1" thickBot="1" x14ac:dyDescent="0.3">
      <c r="A57" s="3" t="s">
        <v>614</v>
      </c>
      <c r="B57" s="82" t="s">
        <v>615</v>
      </c>
      <c r="C57" s="3" t="s">
        <v>561</v>
      </c>
      <c r="D57" s="12" t="s">
        <v>137</v>
      </c>
      <c r="E57" s="3"/>
      <c r="F57" s="3"/>
      <c r="G57" s="3"/>
      <c r="H57" s="12"/>
      <c r="I57" s="12"/>
    </row>
    <row r="58" spans="1:9" ht="15.75" customHeight="1" thickBot="1" x14ac:dyDescent="0.3">
      <c r="A58" s="3" t="s">
        <v>595</v>
      </c>
      <c r="B58" s="82" t="s">
        <v>616</v>
      </c>
      <c r="C58" s="70">
        <f>C16*D58</f>
        <v>7.7290833333333335</v>
      </c>
      <c r="D58" s="2">
        <f>((1/12)*0.05)</f>
        <v>4.1666666666666666E-3</v>
      </c>
      <c r="E58" s="3"/>
      <c r="F58" s="3"/>
      <c r="G58" s="3"/>
      <c r="H58" s="12"/>
      <c r="I58" s="12"/>
    </row>
    <row r="59" spans="1:9" ht="26.25" customHeight="1" thickBot="1" x14ac:dyDescent="0.3">
      <c r="A59" s="3" t="s">
        <v>597</v>
      </c>
      <c r="B59" s="82" t="s">
        <v>617</v>
      </c>
      <c r="C59" s="70">
        <f>C16*D59</f>
        <v>0.61832666666666669</v>
      </c>
      <c r="D59" s="2">
        <f>D58*8%</f>
        <v>3.3333333333333332E-4</v>
      </c>
      <c r="E59" s="3"/>
      <c r="F59" s="3"/>
      <c r="G59" s="3"/>
      <c r="H59" s="12"/>
      <c r="I59" s="12"/>
    </row>
    <row r="60" spans="1:9" ht="26.25" customHeight="1" thickBot="1" x14ac:dyDescent="0.3">
      <c r="A60" s="3" t="s">
        <v>599</v>
      </c>
      <c r="B60" s="82" t="s">
        <v>618</v>
      </c>
      <c r="C60" s="70">
        <f>C16*D60</f>
        <v>63.811311999999987</v>
      </c>
      <c r="D60" s="2">
        <f>0.08*0.4*0.9*(1+1/12+1/12+(1/3*1/12))</f>
        <v>3.4399999999999993E-2</v>
      </c>
      <c r="E60" s="12" t="s">
        <v>1188</v>
      </c>
      <c r="F60" s="3"/>
      <c r="G60" s="3"/>
      <c r="H60" s="12"/>
      <c r="I60" s="12"/>
    </row>
    <row r="61" spans="1:9" ht="15.75" customHeight="1" thickBot="1" x14ac:dyDescent="0.3">
      <c r="A61" s="3" t="s">
        <v>601</v>
      </c>
      <c r="B61" s="82" t="s">
        <v>619</v>
      </c>
      <c r="C61" s="70">
        <f>C16*D61</f>
        <v>35.986612000000001</v>
      </c>
      <c r="D61" s="2">
        <v>1.9400000000000001E-2</v>
      </c>
      <c r="E61" s="3"/>
      <c r="F61" s="3"/>
      <c r="G61" s="3"/>
      <c r="H61" s="3"/>
      <c r="I61" s="3"/>
    </row>
    <row r="62" spans="1:9" ht="25.5" customHeight="1" thickBot="1" x14ac:dyDescent="0.3">
      <c r="A62" s="3" t="s">
        <v>603</v>
      </c>
      <c r="B62" s="82" t="s">
        <v>620</v>
      </c>
      <c r="C62" s="70">
        <f>C16*D62</f>
        <v>14.322671576000003</v>
      </c>
      <c r="D62" s="2">
        <f>C36*D61</f>
        <v>7.7212000000000018E-3</v>
      </c>
      <c r="E62" s="3"/>
      <c r="F62" s="3"/>
      <c r="G62" s="3"/>
      <c r="H62" s="3"/>
      <c r="I62" s="3"/>
    </row>
    <row r="63" spans="1:9" ht="25.5" customHeight="1" thickBot="1" x14ac:dyDescent="0.3">
      <c r="A63" s="3" t="s">
        <v>604</v>
      </c>
      <c r="B63" s="82" t="s">
        <v>621</v>
      </c>
      <c r="C63" s="70">
        <f>C16*D63</f>
        <v>1.1500876</v>
      </c>
      <c r="D63" s="2">
        <v>6.2E-4</v>
      </c>
      <c r="E63" s="3"/>
      <c r="F63" s="3"/>
      <c r="G63" s="3"/>
      <c r="H63" s="3"/>
      <c r="I63" s="3"/>
    </row>
    <row r="64" spans="1:9" ht="21.75" customHeight="1" thickBot="1" x14ac:dyDescent="0.3">
      <c r="A64" s="3"/>
      <c r="B64" s="68" t="s">
        <v>297</v>
      </c>
      <c r="C64" s="68">
        <f>SUM(C58:C63)</f>
        <v>123.618093176</v>
      </c>
      <c r="D64" s="106">
        <f>SUM(D58:D63)</f>
        <v>6.6641199999999984E-2</v>
      </c>
      <c r="E64" s="3"/>
      <c r="F64" s="3"/>
      <c r="G64" s="3"/>
      <c r="H64" s="3"/>
      <c r="I64" s="3"/>
    </row>
    <row r="65" spans="1:9" ht="18" customHeight="1" x14ac:dyDescent="0.25">
      <c r="A65" s="9"/>
      <c r="B65" s="9"/>
      <c r="C65" s="9"/>
      <c r="D65" s="9"/>
      <c r="E65" s="9"/>
      <c r="F65" s="9"/>
      <c r="G65" s="9"/>
      <c r="H65" s="9"/>
      <c r="I65" s="9"/>
    </row>
    <row r="66" spans="1:9" ht="18" customHeight="1" thickBot="1" x14ac:dyDescent="0.3">
      <c r="A66" s="9"/>
      <c r="B66" s="9"/>
      <c r="C66" s="9"/>
      <c r="D66" s="9"/>
      <c r="E66" s="9"/>
      <c r="F66" s="9"/>
      <c r="G66" s="9"/>
      <c r="H66" s="9"/>
      <c r="I66" s="9"/>
    </row>
    <row r="67" spans="1:9" ht="18" customHeight="1" thickBot="1" x14ac:dyDescent="0.3">
      <c r="A67" s="114" t="s">
        <v>622</v>
      </c>
      <c r="B67" s="108"/>
      <c r="C67" s="109"/>
      <c r="D67" s="8"/>
      <c r="E67" s="8"/>
      <c r="F67" s="8"/>
      <c r="G67" s="8"/>
      <c r="H67" s="8"/>
      <c r="I67" s="8"/>
    </row>
    <row r="68" spans="1:9" ht="21.75" customHeight="1" thickBot="1" x14ac:dyDescent="0.3">
      <c r="A68" s="127" t="s">
        <v>623</v>
      </c>
      <c r="B68" s="108"/>
      <c r="C68" s="71" t="s">
        <v>561</v>
      </c>
      <c r="D68" s="72" t="s">
        <v>137</v>
      </c>
      <c r="E68" s="3"/>
      <c r="F68" s="3"/>
      <c r="G68" s="3"/>
      <c r="H68" s="3"/>
      <c r="I68" s="3"/>
    </row>
    <row r="69" spans="1:9" ht="25.5" customHeight="1" thickBot="1" x14ac:dyDescent="0.3">
      <c r="A69" s="3" t="s">
        <v>595</v>
      </c>
      <c r="B69" s="12" t="s">
        <v>624</v>
      </c>
      <c r="C69" s="12">
        <f>D69*C16</f>
        <v>31.586187222222222</v>
      </c>
      <c r="D69" s="2">
        <f>SUM(E22:E24)/12</f>
        <v>1.7027777777777777E-2</v>
      </c>
      <c r="E69" s="3"/>
      <c r="F69" s="3"/>
      <c r="G69" s="3"/>
      <c r="H69" s="3"/>
      <c r="I69" s="3"/>
    </row>
    <row r="70" spans="1:9" ht="26.25" customHeight="1" thickBot="1" x14ac:dyDescent="0.3">
      <c r="A70" s="3" t="s">
        <v>597</v>
      </c>
      <c r="B70" s="12" t="s">
        <v>625</v>
      </c>
      <c r="C70" s="12">
        <f>D70*C16</f>
        <v>15.210836000000002</v>
      </c>
      <c r="D70" s="2">
        <v>8.2000000000000007E-3</v>
      </c>
      <c r="E70" s="3"/>
      <c r="F70" s="3"/>
      <c r="G70" s="3"/>
      <c r="H70" s="3"/>
      <c r="I70" s="3"/>
    </row>
    <row r="71" spans="1:9" ht="26.25" customHeight="1" thickBot="1" x14ac:dyDescent="0.3">
      <c r="A71" s="3" t="s">
        <v>599</v>
      </c>
      <c r="B71" s="12" t="s">
        <v>626</v>
      </c>
      <c r="C71" s="12">
        <f>D71*C16</f>
        <v>0.37099600000000005</v>
      </c>
      <c r="D71" s="2">
        <v>2.0000000000000001E-4</v>
      </c>
      <c r="E71" s="3"/>
      <c r="F71" s="3"/>
      <c r="G71" s="3"/>
      <c r="H71" s="3"/>
      <c r="I71" s="3"/>
    </row>
    <row r="72" spans="1:9" ht="26.25" customHeight="1" thickBot="1" x14ac:dyDescent="0.3">
      <c r="A72" s="3" t="s">
        <v>601</v>
      </c>
      <c r="B72" s="12" t="s">
        <v>627</v>
      </c>
      <c r="C72" s="12">
        <f>D72*C16</f>
        <v>1.298486</v>
      </c>
      <c r="D72" s="2">
        <v>6.9999999999999999E-4</v>
      </c>
      <c r="E72" s="3"/>
      <c r="F72" s="3"/>
      <c r="G72" s="3"/>
      <c r="H72" s="3"/>
      <c r="I72" s="3"/>
    </row>
    <row r="73" spans="1:9" ht="26.25" customHeight="1" thickBot="1" x14ac:dyDescent="0.3">
      <c r="A73" s="3" t="s">
        <v>603</v>
      </c>
      <c r="B73" s="12" t="s">
        <v>628</v>
      </c>
      <c r="C73" s="12">
        <f>D73*C16</f>
        <v>3.7099600000000001</v>
      </c>
      <c r="D73" s="2">
        <v>2E-3</v>
      </c>
      <c r="E73" s="3"/>
      <c r="F73" s="3"/>
      <c r="G73" s="3"/>
      <c r="H73" s="3"/>
      <c r="I73" s="3"/>
    </row>
    <row r="74" spans="1:9" ht="26.25" customHeight="1" thickBot="1" x14ac:dyDescent="0.3">
      <c r="A74" s="3" t="s">
        <v>604</v>
      </c>
      <c r="B74" s="12" t="s">
        <v>629</v>
      </c>
      <c r="C74" s="12">
        <f>D74*C16</f>
        <v>0</v>
      </c>
      <c r="D74" s="2">
        <v>0</v>
      </c>
      <c r="E74" s="3"/>
      <c r="F74" s="3"/>
      <c r="G74" s="3"/>
      <c r="H74" s="3"/>
      <c r="I74" s="3"/>
    </row>
    <row r="75" spans="1:9" ht="26.25" customHeight="1" thickBot="1" x14ac:dyDescent="0.3">
      <c r="A75" s="3"/>
      <c r="B75" s="12" t="s">
        <v>1185</v>
      </c>
      <c r="C75" s="75">
        <f>SUM(C69:C74)</f>
        <v>52.17646522222222</v>
      </c>
      <c r="D75" s="76"/>
      <c r="E75" s="3"/>
      <c r="F75" s="3"/>
      <c r="G75" s="3"/>
      <c r="H75" s="3"/>
      <c r="I75" s="3"/>
    </row>
    <row r="76" spans="1:9" ht="26.25" customHeight="1" thickBot="1" x14ac:dyDescent="0.3">
      <c r="A76" s="3"/>
      <c r="B76" s="12" t="s">
        <v>1186</v>
      </c>
      <c r="C76" s="75">
        <f>D76*C16</f>
        <v>52.176465222222227</v>
      </c>
      <c r="D76" s="76">
        <f>SUM(D69:D75)</f>
        <v>2.8127777777777779E-2</v>
      </c>
      <c r="E76" s="3"/>
      <c r="F76" s="3"/>
      <c r="G76" s="3"/>
      <c r="H76" s="3"/>
      <c r="I76" s="3"/>
    </row>
    <row r="77" spans="1:9" ht="18" customHeight="1" thickBot="1" x14ac:dyDescent="0.3">
      <c r="A77" s="127" t="s">
        <v>630</v>
      </c>
      <c r="B77" s="108"/>
      <c r="C77" s="73" t="s">
        <v>561</v>
      </c>
      <c r="D77" s="71"/>
      <c r="E77" s="3"/>
      <c r="F77" s="3"/>
      <c r="G77" s="3"/>
      <c r="H77" s="3"/>
      <c r="I77" s="3"/>
    </row>
    <row r="78" spans="1:9" ht="26.25" customHeight="1" thickBot="1" x14ac:dyDescent="0.3">
      <c r="A78" s="3" t="s">
        <v>595</v>
      </c>
      <c r="B78" s="12" t="s">
        <v>631</v>
      </c>
      <c r="C78" s="12">
        <f>(C15/220)*C13*15</f>
        <v>0</v>
      </c>
      <c r="D78" s="2"/>
      <c r="E78" s="3"/>
      <c r="F78" s="3"/>
      <c r="G78" s="3"/>
      <c r="H78" s="3"/>
      <c r="I78" s="3"/>
    </row>
    <row r="79" spans="1:9" ht="21.75" customHeight="1" thickBot="1" x14ac:dyDescent="0.3">
      <c r="A79" s="3"/>
      <c r="B79" s="12" t="s">
        <v>632</v>
      </c>
      <c r="C79" s="12">
        <f>SUM(C75:C76)</f>
        <v>104.35293044444444</v>
      </c>
      <c r="D79" s="3"/>
      <c r="E79" s="3"/>
      <c r="F79" s="3"/>
      <c r="G79" s="3"/>
      <c r="H79" s="3"/>
      <c r="I79" s="3"/>
    </row>
    <row r="80" spans="1:9" ht="18" customHeight="1" x14ac:dyDescent="0.25">
      <c r="A80" s="9"/>
      <c r="B80" s="9"/>
      <c r="C80" s="9"/>
      <c r="D80" s="9"/>
      <c r="E80" s="9"/>
      <c r="F80" s="9"/>
      <c r="G80" s="9"/>
      <c r="H80" s="9"/>
      <c r="I80" s="9"/>
    </row>
    <row r="81" spans="1:9" ht="18" customHeight="1" x14ac:dyDescent="0.25">
      <c r="A81" s="9"/>
      <c r="B81" s="9"/>
      <c r="C81" s="9"/>
      <c r="D81" s="9"/>
      <c r="E81" s="9"/>
      <c r="F81" s="9"/>
      <c r="G81" s="9"/>
      <c r="H81" s="9"/>
      <c r="I81" s="9"/>
    </row>
    <row r="82" spans="1:9" ht="18" customHeight="1" thickBot="1" x14ac:dyDescent="0.3">
      <c r="A82" s="114" t="s">
        <v>633</v>
      </c>
      <c r="B82" s="108"/>
      <c r="C82" s="109"/>
      <c r="D82" s="8"/>
      <c r="E82" s="8"/>
      <c r="F82" s="8"/>
      <c r="G82" s="8"/>
      <c r="H82" s="8"/>
      <c r="I82" s="8"/>
    </row>
    <row r="83" spans="1:9" ht="21.75" customHeight="1" thickBot="1" x14ac:dyDescent="0.3">
      <c r="A83" s="12" t="s">
        <v>634</v>
      </c>
      <c r="B83" s="12" t="s">
        <v>635</v>
      </c>
      <c r="C83" s="12" t="s">
        <v>561</v>
      </c>
      <c r="D83" s="3"/>
      <c r="E83" s="3"/>
      <c r="F83" s="3"/>
      <c r="G83" s="3"/>
      <c r="H83" s="3"/>
      <c r="I83" s="3"/>
    </row>
    <row r="84" spans="1:9" ht="18" customHeight="1" x14ac:dyDescent="0.25">
      <c r="A84" s="9"/>
      <c r="B84" s="85" t="s">
        <v>636</v>
      </c>
      <c r="C84" s="83">
        <v>94.54</v>
      </c>
      <c r="D84" s="9"/>
      <c r="E84" s="9"/>
      <c r="F84" s="9"/>
      <c r="G84" s="9"/>
      <c r="H84" s="9"/>
      <c r="I84" s="9"/>
    </row>
    <row r="85" spans="1:9" ht="18" customHeight="1" thickBot="1" x14ac:dyDescent="0.3">
      <c r="A85" s="9"/>
      <c r="B85" s="83" t="s">
        <v>637</v>
      </c>
      <c r="C85" s="83">
        <v>0</v>
      </c>
      <c r="D85" s="9"/>
      <c r="E85" s="9"/>
      <c r="F85" s="9"/>
      <c r="G85" s="9"/>
      <c r="H85" s="9"/>
      <c r="I85" s="9"/>
    </row>
    <row r="86" spans="1:9" ht="21.75" customHeight="1" thickBot="1" x14ac:dyDescent="0.3">
      <c r="A86" s="3"/>
      <c r="B86" s="68" t="s">
        <v>297</v>
      </c>
      <c r="C86" s="68">
        <f>C84+(C84*C85)</f>
        <v>94.54</v>
      </c>
      <c r="D86" s="3"/>
      <c r="E86" s="3"/>
      <c r="F86" s="3"/>
      <c r="G86" s="3"/>
      <c r="H86" s="3"/>
      <c r="I86" s="3"/>
    </row>
    <row r="87" spans="1:9" ht="18" customHeight="1" thickBot="1" x14ac:dyDescent="0.3">
      <c r="A87" s="9"/>
      <c r="B87" s="9"/>
      <c r="C87" s="9"/>
      <c r="D87" s="9"/>
      <c r="E87" s="9"/>
      <c r="F87" s="9"/>
      <c r="G87" s="9"/>
      <c r="H87" s="9"/>
      <c r="I87" s="9"/>
    </row>
    <row r="88" spans="1:9" ht="21.75" customHeight="1" thickBot="1" x14ac:dyDescent="0.3">
      <c r="A88" s="12" t="s">
        <v>638</v>
      </c>
      <c r="B88" s="12" t="s">
        <v>639</v>
      </c>
      <c r="C88" s="12" t="s">
        <v>561</v>
      </c>
      <c r="D88" s="3"/>
      <c r="E88" s="3"/>
      <c r="F88" s="3"/>
      <c r="G88" s="3"/>
      <c r="H88" s="3"/>
      <c r="I88" s="3"/>
    </row>
    <row r="89" spans="1:9" ht="18" customHeight="1" x14ac:dyDescent="0.25">
      <c r="A89" s="9"/>
      <c r="B89" s="85" t="s">
        <v>636</v>
      </c>
      <c r="C89" s="83">
        <v>644.21</v>
      </c>
      <c r="D89" s="9"/>
      <c r="E89" s="9"/>
      <c r="F89" s="9"/>
      <c r="G89" s="9"/>
      <c r="H89" s="9"/>
      <c r="I89" s="9"/>
    </row>
    <row r="90" spans="1:9" ht="18" customHeight="1" thickBot="1" x14ac:dyDescent="0.3">
      <c r="A90" s="9"/>
      <c r="B90" s="83" t="s">
        <v>637</v>
      </c>
      <c r="C90" s="83">
        <v>0</v>
      </c>
      <c r="D90" s="9"/>
      <c r="E90" s="9"/>
      <c r="F90" s="9"/>
      <c r="G90" s="9"/>
      <c r="H90" s="9"/>
      <c r="I90" s="9"/>
    </row>
    <row r="91" spans="1:9" ht="38.25" customHeight="1" thickBot="1" x14ac:dyDescent="0.3">
      <c r="A91" s="3"/>
      <c r="B91" s="12" t="s">
        <v>640</v>
      </c>
      <c r="C91" s="12">
        <f>(C89+(C89*C90))*3.2%</f>
        <v>20.614720000000002</v>
      </c>
      <c r="D91" s="3"/>
      <c r="E91" s="3"/>
      <c r="F91" s="3"/>
      <c r="G91" s="3"/>
      <c r="H91" s="3"/>
      <c r="I91" s="3"/>
    </row>
    <row r="92" spans="1:9" ht="15" customHeight="1" thickBot="1" x14ac:dyDescent="0.3">
      <c r="A92" s="3"/>
      <c r="B92" s="12" t="s">
        <v>641</v>
      </c>
      <c r="C92" s="12">
        <f>(C89+(C89*C90))-C91</f>
        <v>623.59528</v>
      </c>
      <c r="D92" s="3"/>
      <c r="E92" s="3"/>
      <c r="F92" s="3"/>
      <c r="G92" s="3"/>
      <c r="H92" s="3"/>
      <c r="I92" s="3"/>
    </row>
    <row r="93" spans="1:9" ht="18" customHeight="1" thickBot="1" x14ac:dyDescent="0.3">
      <c r="A93" s="9"/>
      <c r="B93" s="9"/>
      <c r="C93" s="9"/>
      <c r="D93" s="9"/>
      <c r="E93" s="9"/>
      <c r="F93" s="9"/>
      <c r="G93" s="9"/>
      <c r="H93" s="9"/>
      <c r="I93" s="9"/>
    </row>
    <row r="94" spans="1:9" ht="18" customHeight="1" thickBot="1" x14ac:dyDescent="0.3">
      <c r="A94" s="114" t="s">
        <v>633</v>
      </c>
      <c r="B94" s="108"/>
      <c r="C94" s="109"/>
      <c r="D94" s="8"/>
      <c r="E94" s="8"/>
      <c r="F94" s="8"/>
      <c r="G94" s="8"/>
      <c r="H94" s="8"/>
      <c r="I94" s="8"/>
    </row>
    <row r="95" spans="1:9" ht="21.75" customHeight="1" thickBot="1" x14ac:dyDescent="0.3">
      <c r="A95" s="3"/>
      <c r="B95" s="12" t="s">
        <v>634</v>
      </c>
      <c r="C95" s="12">
        <f>C86</f>
        <v>94.54</v>
      </c>
      <c r="D95" s="3"/>
      <c r="E95" s="3"/>
      <c r="F95" s="3"/>
      <c r="G95" s="3"/>
      <c r="H95" s="3"/>
      <c r="I95" s="3"/>
    </row>
    <row r="96" spans="1:9" ht="21.75" customHeight="1" thickBot="1" x14ac:dyDescent="0.3">
      <c r="A96" s="3"/>
      <c r="B96" s="12" t="s">
        <v>638</v>
      </c>
      <c r="C96" s="12">
        <f>C92</f>
        <v>623.59528</v>
      </c>
      <c r="D96" s="3"/>
      <c r="E96" s="3"/>
      <c r="F96" s="3"/>
      <c r="G96" s="3"/>
      <c r="H96" s="3"/>
      <c r="I96" s="3"/>
    </row>
    <row r="97" spans="1:9" ht="21.75" customHeight="1" thickBot="1" x14ac:dyDescent="0.3">
      <c r="A97" s="3"/>
      <c r="B97" s="68" t="s">
        <v>297</v>
      </c>
      <c r="C97" s="68">
        <f>IFERROR(C95+C96,0)</f>
        <v>718.13527999999997</v>
      </c>
      <c r="D97" s="3"/>
      <c r="E97" s="3"/>
      <c r="F97" s="3"/>
      <c r="G97" s="3"/>
      <c r="H97" s="3"/>
      <c r="I97" s="3"/>
    </row>
    <row r="98" spans="1:9" ht="18" customHeight="1" x14ac:dyDescent="0.25">
      <c r="A98" s="9"/>
      <c r="B98" s="9"/>
      <c r="C98" s="9"/>
      <c r="D98" s="9"/>
      <c r="E98" s="9"/>
      <c r="F98" s="9"/>
      <c r="G98" s="9"/>
      <c r="H98" s="9"/>
      <c r="I98" s="9"/>
    </row>
    <row r="99" spans="1:9" ht="18" customHeight="1" x14ac:dyDescent="0.25">
      <c r="A99" s="9"/>
      <c r="B99" s="9"/>
      <c r="C99" s="9"/>
      <c r="D99" s="9"/>
      <c r="E99" s="9"/>
      <c r="F99" s="9"/>
      <c r="G99" s="9"/>
      <c r="H99" s="9"/>
      <c r="I99" s="9"/>
    </row>
    <row r="100" spans="1:9" ht="18" customHeight="1" thickBot="1" x14ac:dyDescent="0.3">
      <c r="A100" s="114" t="s">
        <v>642</v>
      </c>
      <c r="B100" s="108"/>
      <c r="C100" s="109"/>
      <c r="D100" s="8"/>
      <c r="E100" s="8"/>
      <c r="F100" s="8"/>
      <c r="G100" s="8"/>
      <c r="H100" s="8"/>
      <c r="I100" s="8"/>
    </row>
    <row r="101" spans="1:9" ht="25.5" customHeight="1" thickBot="1" x14ac:dyDescent="0.3">
      <c r="A101" s="3"/>
      <c r="B101" s="12" t="s">
        <v>643</v>
      </c>
      <c r="C101" s="12">
        <f>IFERROR(C16+C54+C64+C79+C97,0)</f>
        <v>4684.0582204604452</v>
      </c>
      <c r="D101" s="3"/>
      <c r="E101" s="125" t="s">
        <v>644</v>
      </c>
      <c r="F101" s="12" t="s">
        <v>645</v>
      </c>
      <c r="G101" s="129">
        <f>-1</f>
        <v>-1</v>
      </c>
      <c r="H101" s="3"/>
      <c r="I101" s="3"/>
    </row>
    <row r="102" spans="1:9" ht="21.75" customHeight="1" thickBot="1" x14ac:dyDescent="0.3">
      <c r="A102" s="3"/>
      <c r="B102" s="12" t="s">
        <v>646</v>
      </c>
      <c r="C102" s="2">
        <f>(1+F114)/(1-F109-F115)-100%</f>
        <v>0.30445795339412363</v>
      </c>
      <c r="D102" s="3"/>
      <c r="E102" s="126"/>
      <c r="F102" s="12" t="s">
        <v>647</v>
      </c>
      <c r="G102" s="126"/>
      <c r="H102" s="3"/>
      <c r="I102" s="3"/>
    </row>
    <row r="103" spans="1:9" ht="21.75" customHeight="1" thickBot="1" x14ac:dyDescent="0.3">
      <c r="A103" s="3"/>
      <c r="B103" s="68" t="s">
        <v>648</v>
      </c>
      <c r="C103" s="68">
        <f>IFERROR(C101*C102,0)</f>
        <v>1426.0987793803079</v>
      </c>
      <c r="D103" s="3"/>
      <c r="E103" s="3"/>
      <c r="F103" s="3"/>
      <c r="G103" s="3"/>
      <c r="H103" s="3"/>
      <c r="I103" s="3"/>
    </row>
    <row r="104" spans="1:9" ht="18" customHeight="1" x14ac:dyDescent="0.25">
      <c r="A104" s="9"/>
      <c r="B104" s="9"/>
      <c r="C104" s="9"/>
      <c r="D104" s="9"/>
      <c r="E104" s="9"/>
      <c r="F104" s="9"/>
      <c r="G104" s="9"/>
      <c r="H104" s="9"/>
      <c r="I104" s="9"/>
    </row>
    <row r="105" spans="1:9" ht="18" customHeight="1" x14ac:dyDescent="0.25">
      <c r="A105" s="9"/>
      <c r="B105" s="9"/>
      <c r="C105" s="9"/>
      <c r="D105" s="43"/>
      <c r="E105" s="1"/>
      <c r="F105" s="19"/>
      <c r="G105" s="139"/>
      <c r="H105" s="9"/>
      <c r="I105" s="9"/>
    </row>
    <row r="106" spans="1:9" ht="21.75" customHeight="1" x14ac:dyDescent="0.25">
      <c r="A106" s="115" t="s">
        <v>649</v>
      </c>
      <c r="B106" s="109"/>
      <c r="C106" s="3"/>
      <c r="D106" s="13"/>
      <c r="E106" s="44"/>
      <c r="F106" s="13"/>
      <c r="G106" s="140"/>
      <c r="H106" s="3"/>
      <c r="I106" s="2"/>
    </row>
    <row r="107" spans="1:9" ht="18" customHeight="1" x14ac:dyDescent="0.25">
      <c r="A107" s="9"/>
      <c r="B107" s="9"/>
      <c r="C107" s="9"/>
      <c r="D107" s="9"/>
      <c r="E107" s="9"/>
      <c r="F107" s="9"/>
      <c r="G107" s="9"/>
      <c r="H107" s="9"/>
      <c r="I107" s="35"/>
    </row>
    <row r="108" spans="1:9" ht="21.75" customHeight="1" thickBot="1" x14ac:dyDescent="0.3">
      <c r="A108" s="12" t="s">
        <v>650</v>
      </c>
      <c r="B108" s="12" t="s">
        <v>1078</v>
      </c>
      <c r="C108" s="3"/>
      <c r="D108" s="3"/>
      <c r="E108" s="3"/>
      <c r="F108" s="3"/>
      <c r="G108" s="3"/>
      <c r="H108" s="3"/>
      <c r="I108" s="3"/>
    </row>
    <row r="109" spans="1:9" ht="21.75" customHeight="1" thickBot="1" x14ac:dyDescent="0.3">
      <c r="A109" s="12" t="s">
        <v>652</v>
      </c>
      <c r="B109" s="12">
        <f>IFERROR(C16,0)</f>
        <v>1854.98</v>
      </c>
      <c r="C109" s="3"/>
      <c r="D109" s="3"/>
      <c r="E109" s="80" t="s">
        <v>653</v>
      </c>
      <c r="F109" s="81">
        <f>SUM(F110:F112)</f>
        <v>0.14250000000000002</v>
      </c>
      <c r="G109" s="100" t="s">
        <v>561</v>
      </c>
      <c r="H109" s="3"/>
      <c r="I109" s="3"/>
    </row>
    <row r="110" spans="1:9" ht="21.75" customHeight="1" thickBot="1" x14ac:dyDescent="0.3">
      <c r="A110" s="12" t="s">
        <v>654</v>
      </c>
      <c r="B110" s="12">
        <f>IFERROR(C54,0)</f>
        <v>1882.9719168399999</v>
      </c>
      <c r="C110" s="3"/>
      <c r="D110" s="3"/>
      <c r="E110" s="80" t="s">
        <v>655</v>
      </c>
      <c r="F110" s="81">
        <v>0.05</v>
      </c>
      <c r="G110" s="103">
        <f>F110*C101</f>
        <v>234.20291102302227</v>
      </c>
      <c r="H110" s="3"/>
      <c r="I110" s="3"/>
    </row>
    <row r="111" spans="1:9" ht="21.75" customHeight="1" thickBot="1" x14ac:dyDescent="0.3">
      <c r="A111" s="12" t="s">
        <v>656</v>
      </c>
      <c r="B111" s="12">
        <f>IFERROR(C64,0)</f>
        <v>123.618093176</v>
      </c>
      <c r="C111" s="3"/>
      <c r="D111" s="3"/>
      <c r="E111" s="80" t="s">
        <v>657</v>
      </c>
      <c r="F111" s="81">
        <v>7.5999999999999998E-2</v>
      </c>
      <c r="G111" s="103">
        <f>F111*C101</f>
        <v>355.98842475499384</v>
      </c>
      <c r="H111" s="3"/>
      <c r="I111" s="3"/>
    </row>
    <row r="112" spans="1:9" ht="21.75" customHeight="1" thickBot="1" x14ac:dyDescent="0.3">
      <c r="A112" s="12" t="s">
        <v>658</v>
      </c>
      <c r="B112" s="12">
        <f>IFERROR(C79,0)</f>
        <v>104.35293044444444</v>
      </c>
      <c r="C112" s="3"/>
      <c r="D112" s="3"/>
      <c r="E112" s="80" t="s">
        <v>659</v>
      </c>
      <c r="F112" s="81">
        <v>1.6500000000000001E-2</v>
      </c>
      <c r="G112" s="103">
        <f>F112*C101</f>
        <v>77.286960637597346</v>
      </c>
      <c r="H112" s="3"/>
      <c r="I112" s="3"/>
    </row>
    <row r="113" spans="1:9" ht="21.75" customHeight="1" thickBot="1" x14ac:dyDescent="0.3">
      <c r="A113" s="12" t="s">
        <v>660</v>
      </c>
      <c r="B113" s="12">
        <f>IFERROR(C97,0)</f>
        <v>718.13527999999997</v>
      </c>
      <c r="C113" s="3"/>
      <c r="D113" s="3"/>
      <c r="E113" s="100"/>
      <c r="F113" s="81"/>
      <c r="G113" s="103"/>
      <c r="H113" s="3"/>
      <c r="I113" s="3"/>
    </row>
    <row r="114" spans="1:9" ht="21.75" customHeight="1" thickBot="1" x14ac:dyDescent="0.3">
      <c r="A114" s="12" t="s">
        <v>661</v>
      </c>
      <c r="B114" s="12">
        <f>IFERROR(C103,0)</f>
        <v>1426.0987793803079</v>
      </c>
      <c r="C114" s="3"/>
      <c r="D114" s="3"/>
      <c r="E114" s="80" t="s">
        <v>662</v>
      </c>
      <c r="F114" s="81">
        <v>0.03</v>
      </c>
      <c r="G114" s="103">
        <f>F114*C101</f>
        <v>140.52174661381335</v>
      </c>
      <c r="H114" s="3"/>
      <c r="I114" s="3"/>
    </row>
    <row r="115" spans="1:9" ht="18" customHeight="1" thickBot="1" x14ac:dyDescent="0.3">
      <c r="A115" s="68" t="s">
        <v>663</v>
      </c>
      <c r="B115" s="68">
        <f>IFERROR(SUM(B109:B114),0)</f>
        <v>6110.1569998407531</v>
      </c>
      <c r="C115" s="24"/>
      <c r="D115" s="24"/>
      <c r="E115" s="101" t="s">
        <v>664</v>
      </c>
      <c r="F115" s="102">
        <v>6.7900000000000002E-2</v>
      </c>
      <c r="G115" s="103">
        <f>F115*C101</f>
        <v>318.04755316926423</v>
      </c>
      <c r="H115" s="24"/>
      <c r="I115" s="24"/>
    </row>
    <row r="116" spans="1:9" ht="13.5" customHeight="1" x14ac:dyDescent="0.25">
      <c r="G116" s="31"/>
    </row>
  </sheetData>
  <autoFilter ref="A6:I115" xr:uid="{00000000-0009-0000-0000-00001A000000}"/>
  <mergeCells count="15">
    <mergeCell ref="A100:C100"/>
    <mergeCell ref="A19:C19"/>
    <mergeCell ref="A2:I2"/>
    <mergeCell ref="A106:B106"/>
    <mergeCell ref="A82:C82"/>
    <mergeCell ref="G105:G106"/>
    <mergeCell ref="A68:B68"/>
    <mergeCell ref="G101:G102"/>
    <mergeCell ref="E101:E102"/>
    <mergeCell ref="A77:B77"/>
    <mergeCell ref="A56:C56"/>
    <mergeCell ref="A67:C67"/>
    <mergeCell ref="F38:I38"/>
    <mergeCell ref="A94:C94"/>
    <mergeCell ref="A50:C50"/>
  </mergeCells>
  <printOptions horizontalCentered="1"/>
  <pageMargins left="0.35" right="0.35" top="0.55000000000000004" bottom="0.55000000000000004" header="0.511811023622047" footer="0.511811023622047"/>
  <pageSetup paperSize="9" scale="73" fitToHeight="0" pageOrder="overThenDown" orientation="landscape" useFirstPageNumber="1" horizontalDpi="300" verticalDpi="300" r:id="rId1"/>
  <legacy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B1:U1048576"/>
  <sheetViews>
    <sheetView showGridLines="0" zoomScaleNormal="100" workbookViewId="0">
      <selection activeCell="D7" sqref="D7"/>
    </sheetView>
  </sheetViews>
  <sheetFormatPr defaultColWidth="8.5703125" defaultRowHeight="15" x14ac:dyDescent="0.25"/>
  <cols>
    <col min="1" max="1" width="5" customWidth="1"/>
    <col min="2" max="2" width="8" customWidth="1"/>
    <col min="3" max="3" width="30" customWidth="1"/>
    <col min="4" max="4" width="15" style="94" customWidth="1"/>
    <col min="5" max="5" width="13" style="94" customWidth="1"/>
    <col min="6" max="6" width="23" style="94" customWidth="1"/>
    <col min="7" max="7" width="13" style="94" customWidth="1"/>
    <col min="8" max="8" width="18.140625" style="94" customWidth="1"/>
    <col min="9" max="9" width="18" style="94" customWidth="1"/>
    <col min="10" max="10" width="34" style="94" customWidth="1"/>
    <col min="11" max="11" width="15" style="94" customWidth="1"/>
    <col min="12" max="12" width="8" style="94" customWidth="1"/>
    <col min="13" max="13" width="20" style="94" customWidth="1"/>
    <col min="14" max="14" width="19" style="94" customWidth="1"/>
    <col min="15" max="15" width="17.7109375" customWidth="1"/>
    <col min="16" max="16" width="6.140625" customWidth="1"/>
    <col min="17" max="17" width="37.5703125" customWidth="1"/>
    <col min="18" max="18" width="8.42578125" customWidth="1"/>
    <col min="19" max="19" width="10.5703125" customWidth="1"/>
    <col min="20" max="20" width="15" customWidth="1"/>
    <col min="21" max="21" width="18.42578125" customWidth="1"/>
  </cols>
  <sheetData>
    <row r="1" spans="2:21" ht="13.5" customHeight="1" x14ac:dyDescent="0.25"/>
    <row r="2" spans="2:21" ht="13.5" customHeight="1" x14ac:dyDescent="0.25"/>
    <row r="3" spans="2:21" ht="13.5" customHeight="1" x14ac:dyDescent="0.25"/>
    <row r="4" spans="2:21" ht="13.5" customHeight="1" x14ac:dyDescent="0.25"/>
    <row r="5" spans="2:21" ht="18" customHeight="1" x14ac:dyDescent="0.25">
      <c r="B5" s="141" t="s">
        <v>1079</v>
      </c>
      <c r="C5" s="119"/>
      <c r="D5" s="119"/>
      <c r="E5" s="119"/>
      <c r="F5" s="119"/>
      <c r="G5" s="119"/>
      <c r="H5" s="119"/>
      <c r="I5" s="119"/>
      <c r="J5" s="119"/>
      <c r="K5" s="119"/>
      <c r="L5" s="119"/>
      <c r="M5" s="119"/>
      <c r="N5" s="138"/>
    </row>
    <row r="6" spans="2:21" ht="26.25" customHeight="1" x14ac:dyDescent="0.25">
      <c r="B6" s="3"/>
      <c r="C6" s="6" t="s">
        <v>650</v>
      </c>
      <c r="D6" s="68" t="s">
        <v>678</v>
      </c>
      <c r="E6" s="68" t="s">
        <v>652</v>
      </c>
      <c r="F6" s="68" t="s">
        <v>654</v>
      </c>
      <c r="G6" s="68" t="s">
        <v>656</v>
      </c>
      <c r="H6" s="33" t="s">
        <v>658</v>
      </c>
      <c r="I6" s="33" t="s">
        <v>660</v>
      </c>
      <c r="J6" s="68" t="s">
        <v>661</v>
      </c>
      <c r="K6" s="68" t="s">
        <v>679</v>
      </c>
      <c r="L6" s="33" t="s">
        <v>680</v>
      </c>
      <c r="M6" s="68" t="s">
        <v>681</v>
      </c>
      <c r="N6" s="68" t="s">
        <v>682</v>
      </c>
      <c r="P6" s="50"/>
      <c r="Q6" s="50"/>
      <c r="R6" s="50"/>
      <c r="S6" s="50"/>
      <c r="T6" s="50"/>
      <c r="U6" s="50"/>
    </row>
    <row r="7" spans="2:21" ht="21.75" customHeight="1" x14ac:dyDescent="0.25">
      <c r="B7" s="3" t="s">
        <v>332</v>
      </c>
      <c r="C7" s="12" t="s">
        <v>1080</v>
      </c>
      <c r="D7" s="2">
        <v>0</v>
      </c>
      <c r="E7" s="12">
        <f>IFERROR('L3 Calc Reservatorios'!C16,0)</f>
        <v>1854.98</v>
      </c>
      <c r="F7" s="12">
        <f>IFERROR('L3 Calc Reservatorios'!C54,0)</f>
        <v>1882.9719168399999</v>
      </c>
      <c r="G7" s="12">
        <f>IFERROR('L3 Calc Reservatorios'!C64,0)</f>
        <v>123.618093176</v>
      </c>
      <c r="H7" s="22">
        <f>IFERROR('L3 Calc Reservatorios'!C79,0)</f>
        <v>104.35293044444444</v>
      </c>
      <c r="I7" s="22">
        <f>IFERROR('L3 Calc Reservatorios'!C97,0)</f>
        <v>718.13527999999997</v>
      </c>
      <c r="J7" s="12">
        <f>IFERROR('L3 Calc Reservatorios'!C103,0)</f>
        <v>1426.0987793803079</v>
      </c>
      <c r="K7" s="12">
        <f>IFERROR('L3 Calc Reservatorios'!B115,0)</f>
        <v>6110.1569998407531</v>
      </c>
      <c r="L7" s="22">
        <f>IFERROR('L3 Dim ETP'!$M$6,0)</f>
        <v>2</v>
      </c>
      <c r="M7" s="12">
        <f>IFERROR(K7*L7,0)</f>
        <v>12220.313999681506</v>
      </c>
      <c r="N7" s="12">
        <f>IFERROR(M7*12,0)</f>
        <v>146643.76799617807</v>
      </c>
    </row>
    <row r="8" spans="2:21" ht="18" customHeight="1" x14ac:dyDescent="0.25">
      <c r="B8" s="9"/>
      <c r="C8" s="9"/>
      <c r="D8" s="92"/>
      <c r="E8" s="92"/>
      <c r="F8" s="92"/>
      <c r="G8" s="92"/>
      <c r="H8" s="92"/>
      <c r="I8" s="92"/>
      <c r="J8" s="92"/>
      <c r="K8" s="92"/>
      <c r="L8" s="92"/>
      <c r="M8" s="92"/>
      <c r="N8" s="92"/>
    </row>
    <row r="9" spans="2:21" ht="21.75" customHeight="1" x14ac:dyDescent="0.25">
      <c r="B9" s="3"/>
      <c r="C9" s="12" t="s">
        <v>1080</v>
      </c>
      <c r="D9" s="3">
        <f>IFERROR(L7,0)</f>
        <v>2</v>
      </c>
      <c r="E9" s="12">
        <f>IFERROR(K7,0)</f>
        <v>6110.1569998407531</v>
      </c>
      <c r="F9" s="12">
        <f>IFERROR(D9*E9,0)</f>
        <v>12220.313999681506</v>
      </c>
      <c r="G9" s="12">
        <f>IFERROR(F9*12,0)</f>
        <v>146643.76799617807</v>
      </c>
      <c r="H9" s="3"/>
      <c r="I9" s="3"/>
      <c r="J9" s="3"/>
      <c r="K9" s="3"/>
      <c r="L9" s="3"/>
      <c r="M9" s="3"/>
      <c r="N9" s="3"/>
    </row>
    <row r="10" spans="2:21" ht="18" customHeight="1" x14ac:dyDescent="0.25">
      <c r="B10" s="24"/>
      <c r="C10" s="6" t="s">
        <v>297</v>
      </c>
      <c r="D10" s="33">
        <f>IFERROR(SUM(D9:D9),0)</f>
        <v>2</v>
      </c>
      <c r="E10" s="68">
        <f>IFERROR(SUM(E9:E9),0)</f>
        <v>6110.1569998407531</v>
      </c>
      <c r="F10" s="68">
        <f>IFERROR(SUM(F9:F9),0)</f>
        <v>12220.313999681506</v>
      </c>
      <c r="G10" s="68">
        <f>IFERROR(SUM(G9:G9),0)</f>
        <v>146643.76799617807</v>
      </c>
      <c r="H10" s="105"/>
      <c r="I10" s="105"/>
      <c r="J10" s="105"/>
      <c r="K10" s="105"/>
      <c r="L10" s="105"/>
      <c r="M10" s="105"/>
      <c r="N10" s="105"/>
    </row>
    <row r="1048543" ht="12.75" customHeight="1" x14ac:dyDescent="0.25"/>
    <row r="1048544" ht="12.75" customHeight="1" x14ac:dyDescent="0.25"/>
    <row r="1048545" ht="12.75" customHeight="1" x14ac:dyDescent="0.25"/>
    <row r="1048546" ht="12.75" customHeight="1" x14ac:dyDescent="0.25"/>
    <row r="1048547" ht="12.75" customHeight="1" x14ac:dyDescent="0.25"/>
    <row r="1048548" ht="12.75" customHeight="1" x14ac:dyDescent="0.25"/>
    <row r="1048549" ht="12.75" customHeight="1" x14ac:dyDescent="0.25"/>
    <row r="1048550" ht="12.75" customHeight="1" x14ac:dyDescent="0.25"/>
    <row r="1048551" ht="12.75" customHeight="1" x14ac:dyDescent="0.25"/>
    <row r="1048552" ht="12.75" customHeight="1" x14ac:dyDescent="0.25"/>
    <row r="1048553" ht="12.75" customHeight="1" x14ac:dyDescent="0.25"/>
    <row r="1048554" ht="12.75" customHeight="1" x14ac:dyDescent="0.25"/>
    <row r="1048555" ht="12.75" customHeight="1" x14ac:dyDescent="0.25"/>
    <row r="1048556" ht="12.75" customHeight="1" x14ac:dyDescent="0.25"/>
    <row r="1048557" ht="12.75" customHeight="1" x14ac:dyDescent="0.25"/>
    <row r="1048558" ht="12.75" customHeight="1" x14ac:dyDescent="0.25"/>
    <row r="1048559" ht="12.75" customHeight="1" x14ac:dyDescent="0.25"/>
    <row r="1048560" ht="12.75" customHeight="1" x14ac:dyDescent="0.25"/>
    <row r="1048561" ht="12.75" customHeight="1" x14ac:dyDescent="0.25"/>
    <row r="1048562" ht="12.75" customHeight="1" x14ac:dyDescent="0.25"/>
    <row r="1048563" ht="12.75" customHeight="1" x14ac:dyDescent="0.25"/>
    <row r="1048564" ht="12.75" customHeight="1" x14ac:dyDescent="0.25"/>
    <row r="1048565" ht="12.75" customHeight="1" x14ac:dyDescent="0.25"/>
    <row r="1048566" ht="12.75" customHeight="1" x14ac:dyDescent="0.25"/>
    <row r="1048567" ht="12.75" customHeight="1" x14ac:dyDescent="0.25"/>
    <row r="1048568" ht="12.75" customHeight="1" x14ac:dyDescent="0.25"/>
    <row r="1048569" ht="12.75" customHeight="1" x14ac:dyDescent="0.25"/>
    <row r="1048570" ht="12.75" customHeight="1" x14ac:dyDescent="0.25"/>
    <row r="1048571" ht="12.75" customHeight="1" x14ac:dyDescent="0.25"/>
    <row r="1048572" ht="12.75" customHeight="1" x14ac:dyDescent="0.25"/>
    <row r="1048573" ht="12.75" customHeight="1" x14ac:dyDescent="0.25"/>
    <row r="1048574" ht="12.75" customHeight="1" x14ac:dyDescent="0.25"/>
    <row r="1048575" ht="12.75" customHeight="1" x14ac:dyDescent="0.25"/>
    <row r="1048576" ht="12.75" customHeight="1" x14ac:dyDescent="0.25"/>
  </sheetData>
  <autoFilter ref="B6:N10" xr:uid="{00000000-0009-0000-0000-00001B000000}"/>
  <mergeCells count="1">
    <mergeCell ref="B5:N5"/>
  </mergeCells>
  <printOptions horizontalCentered="1"/>
  <pageMargins left="0.35" right="0.35" top="0.55000000000000004" bottom="0.55000000000000004" header="0.511811023622047" footer="0.511811023622047"/>
  <pageSetup paperSize="9" scale="59" fitToHeight="0" pageOrder="overThenDown" orientation="landscape" useFirstPageNumber="1" horizontalDpi="300" verticalDpi="300"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pageSetUpPr fitToPage="1"/>
  </sheetPr>
  <dimension ref="A1:N63"/>
  <sheetViews>
    <sheetView showGridLines="0" zoomScaleNormal="100" workbookViewId="0">
      <pane ySplit="4" topLeftCell="A5" activePane="bottomLeft" state="frozen"/>
      <selection pane="bottomLeft"/>
    </sheetView>
  </sheetViews>
  <sheetFormatPr defaultColWidth="8.5703125" defaultRowHeight="15" x14ac:dyDescent="0.25"/>
  <cols>
    <col min="1" max="3" width="34" customWidth="1"/>
    <col min="4" max="4" width="12" customWidth="1"/>
    <col min="5" max="5" width="11" customWidth="1"/>
    <col min="6" max="6" width="8" customWidth="1"/>
    <col min="7" max="7" width="14" customWidth="1"/>
    <col min="8" max="8" width="34" customWidth="1"/>
    <col min="9" max="9" width="12" customWidth="1"/>
    <col min="10" max="10" width="31" customWidth="1"/>
    <col min="11" max="11" width="8" customWidth="1"/>
    <col min="12" max="12" width="32" customWidth="1"/>
    <col min="13" max="13" width="34" customWidth="1"/>
    <col min="14" max="14" width="8" customWidth="1"/>
  </cols>
  <sheetData>
    <row r="1" spans="1:14" ht="24" customHeight="1" x14ac:dyDescent="0.25">
      <c r="A1" s="142" t="s">
        <v>1081</v>
      </c>
      <c r="B1" s="108"/>
      <c r="C1" s="108"/>
      <c r="D1" s="108"/>
      <c r="E1" s="108"/>
      <c r="F1" s="108"/>
      <c r="G1" s="108"/>
      <c r="H1" s="108"/>
      <c r="I1" s="108"/>
      <c r="J1" s="109"/>
      <c r="K1" s="11"/>
      <c r="L1" s="121" t="s">
        <v>963</v>
      </c>
      <c r="M1" s="108"/>
      <c r="N1" s="109"/>
    </row>
    <row r="2" spans="1:14" ht="24" customHeight="1" x14ac:dyDescent="0.25">
      <c r="A2" s="142" t="s">
        <v>1082</v>
      </c>
      <c r="B2" s="108"/>
      <c r="C2" s="108"/>
      <c r="D2" s="108"/>
      <c r="E2" s="108"/>
      <c r="F2" s="108"/>
      <c r="G2" s="108"/>
      <c r="H2" s="108"/>
      <c r="I2" s="108"/>
      <c r="J2" s="109"/>
      <c r="K2" s="11"/>
      <c r="L2" s="11"/>
      <c r="M2" s="11"/>
      <c r="N2" s="11"/>
    </row>
    <row r="3" spans="1:14" ht="24" customHeight="1" x14ac:dyDescent="0.25">
      <c r="A3" s="142" t="s">
        <v>1083</v>
      </c>
      <c r="B3" s="108"/>
      <c r="C3" s="108"/>
      <c r="D3" s="108"/>
      <c r="E3" s="108"/>
      <c r="F3" s="108"/>
      <c r="G3" s="108"/>
      <c r="H3" s="108"/>
      <c r="I3" s="108"/>
      <c r="J3" s="109"/>
      <c r="K3" s="11"/>
      <c r="L3" s="5" t="s">
        <v>6</v>
      </c>
      <c r="M3" s="4" t="s">
        <v>1033</v>
      </c>
      <c r="N3" s="11"/>
    </row>
    <row r="4" spans="1:14" ht="21.75" customHeight="1" x14ac:dyDescent="0.25">
      <c r="A4" s="3"/>
      <c r="B4" s="3"/>
      <c r="C4" s="3"/>
      <c r="D4" s="3"/>
      <c r="E4" s="3"/>
      <c r="F4" s="3"/>
      <c r="G4" s="3"/>
      <c r="H4" s="3"/>
      <c r="I4" s="3"/>
      <c r="J4" s="3"/>
      <c r="K4" s="3"/>
      <c r="L4" s="12" t="s">
        <v>7</v>
      </c>
      <c r="M4" s="2" t="s">
        <v>1080</v>
      </c>
      <c r="N4" s="3"/>
    </row>
    <row r="5" spans="1:14" ht="18" customHeight="1" x14ac:dyDescent="0.25">
      <c r="A5" s="143" t="s">
        <v>1084</v>
      </c>
      <c r="B5" s="108"/>
      <c r="C5" s="108"/>
      <c r="D5" s="108"/>
      <c r="E5" s="108"/>
      <c r="F5" s="108"/>
      <c r="G5" s="108"/>
      <c r="H5" s="108"/>
      <c r="I5" s="108"/>
      <c r="J5" s="109"/>
      <c r="K5" s="8"/>
      <c r="L5" s="7" t="s">
        <v>968</v>
      </c>
      <c r="M5" s="32">
        <f>IFERROR('L3 Dim ETP'!G62,0)</f>
        <v>0.47</v>
      </c>
      <c r="N5" s="8"/>
    </row>
    <row r="6" spans="1:14" ht="21.75" customHeight="1" x14ac:dyDescent="0.25">
      <c r="A6" s="58" t="s">
        <v>702</v>
      </c>
      <c r="B6" s="3" t="s">
        <v>123</v>
      </c>
      <c r="C6" s="3" t="s">
        <v>1085</v>
      </c>
      <c r="D6" s="3" t="s">
        <v>1086</v>
      </c>
      <c r="E6" s="3" t="s">
        <v>377</v>
      </c>
      <c r="F6" s="3" t="s">
        <v>1087</v>
      </c>
      <c r="G6" s="3" t="s">
        <v>1088</v>
      </c>
      <c r="H6" s="3" t="s">
        <v>1089</v>
      </c>
      <c r="I6" s="58" t="s">
        <v>1090</v>
      </c>
      <c r="J6" s="3" t="s">
        <v>4</v>
      </c>
      <c r="K6" s="3"/>
      <c r="L6" s="12" t="s">
        <v>976</v>
      </c>
      <c r="M6" s="2">
        <f>IFERROR('L3 Dim ETP'!G63,0)</f>
        <v>2</v>
      </c>
      <c r="N6" s="3"/>
    </row>
    <row r="7" spans="1:14" ht="21.75" customHeight="1" x14ac:dyDescent="0.25">
      <c r="A7" s="58">
        <v>1</v>
      </c>
      <c r="B7" s="3" t="s">
        <v>733</v>
      </c>
      <c r="C7" s="3">
        <v>2</v>
      </c>
      <c r="D7" s="3">
        <v>4000</v>
      </c>
      <c r="E7" s="3" t="s">
        <v>736</v>
      </c>
      <c r="F7" s="3" t="s">
        <v>393</v>
      </c>
      <c r="G7" s="3" t="s">
        <v>736</v>
      </c>
      <c r="H7" s="3" t="s">
        <v>736</v>
      </c>
      <c r="I7" s="58">
        <v>3</v>
      </c>
      <c r="J7" s="3" t="s">
        <v>1091</v>
      </c>
      <c r="K7" s="3"/>
      <c r="L7" s="12" t="s">
        <v>978</v>
      </c>
      <c r="M7" s="2" t="s">
        <v>1092</v>
      </c>
      <c r="N7" s="3"/>
    </row>
    <row r="8" spans="1:14" ht="21.75" customHeight="1" x14ac:dyDescent="0.25">
      <c r="A8" s="58">
        <v>2</v>
      </c>
      <c r="B8" s="3" t="s">
        <v>739</v>
      </c>
      <c r="C8" s="3">
        <v>2</v>
      </c>
      <c r="D8" s="3">
        <v>4000</v>
      </c>
      <c r="E8" s="3" t="s">
        <v>736</v>
      </c>
      <c r="F8" s="3" t="s">
        <v>393</v>
      </c>
      <c r="G8" s="3" t="s">
        <v>736</v>
      </c>
      <c r="H8" s="3" t="s">
        <v>736</v>
      </c>
      <c r="I8" s="58">
        <v>3</v>
      </c>
      <c r="J8" s="3" t="s">
        <v>1091</v>
      </c>
      <c r="K8" s="3"/>
      <c r="L8" s="3"/>
      <c r="M8" s="3"/>
      <c r="N8" s="3"/>
    </row>
    <row r="9" spans="1:14" ht="21.75" customHeight="1" x14ac:dyDescent="0.25">
      <c r="A9" s="58">
        <v>3</v>
      </c>
      <c r="B9" s="3" t="s">
        <v>506</v>
      </c>
      <c r="C9" s="3">
        <v>2</v>
      </c>
      <c r="D9" s="3">
        <v>5000</v>
      </c>
      <c r="E9" s="3" t="s">
        <v>736</v>
      </c>
      <c r="F9" s="3" t="s">
        <v>393</v>
      </c>
      <c r="G9" s="3" t="s">
        <v>393</v>
      </c>
      <c r="H9" s="3" t="s">
        <v>736</v>
      </c>
      <c r="I9" s="58">
        <v>4</v>
      </c>
      <c r="J9" s="3" t="s">
        <v>1093</v>
      </c>
      <c r="K9" s="3"/>
      <c r="L9" s="3"/>
      <c r="M9" s="3"/>
      <c r="N9" s="3"/>
    </row>
    <row r="10" spans="1:14" ht="21.75" customHeight="1" x14ac:dyDescent="0.25">
      <c r="A10" s="58">
        <v>4</v>
      </c>
      <c r="B10" s="3" t="s">
        <v>398</v>
      </c>
      <c r="C10" s="3">
        <v>4</v>
      </c>
      <c r="D10" s="3">
        <v>10000</v>
      </c>
      <c r="E10" s="3" t="s">
        <v>736</v>
      </c>
      <c r="F10" s="3" t="s">
        <v>736</v>
      </c>
      <c r="G10" s="3" t="s">
        <v>393</v>
      </c>
      <c r="H10" s="3" t="s">
        <v>393</v>
      </c>
      <c r="I10" s="58">
        <v>3</v>
      </c>
      <c r="J10" s="3" t="s">
        <v>1094</v>
      </c>
      <c r="K10" s="3"/>
      <c r="L10" s="3"/>
      <c r="M10" s="3"/>
      <c r="N10" s="3"/>
    </row>
    <row r="11" spans="1:14" ht="21.75" customHeight="1" x14ac:dyDescent="0.25">
      <c r="A11" s="58">
        <v>5</v>
      </c>
      <c r="B11" s="3" t="s">
        <v>744</v>
      </c>
      <c r="C11" s="3">
        <v>2</v>
      </c>
      <c r="D11" s="3">
        <v>5000</v>
      </c>
      <c r="E11" s="3" t="s">
        <v>736</v>
      </c>
      <c r="F11" s="3" t="s">
        <v>736</v>
      </c>
      <c r="G11" s="3" t="s">
        <v>393</v>
      </c>
      <c r="H11" s="3" t="s">
        <v>736</v>
      </c>
      <c r="I11" s="58">
        <v>3</v>
      </c>
      <c r="J11" s="3" t="s">
        <v>1095</v>
      </c>
      <c r="K11" s="3"/>
      <c r="L11" s="3"/>
      <c r="M11" s="3"/>
      <c r="N11" s="3"/>
    </row>
    <row r="12" spans="1:14" ht="21.75" customHeight="1" x14ac:dyDescent="0.25">
      <c r="A12" s="58">
        <v>6</v>
      </c>
      <c r="B12" s="3" t="s">
        <v>746</v>
      </c>
      <c r="C12" s="3">
        <v>2</v>
      </c>
      <c r="D12" s="3">
        <v>4000</v>
      </c>
      <c r="E12" s="3" t="s">
        <v>736</v>
      </c>
      <c r="F12" s="3" t="s">
        <v>393</v>
      </c>
      <c r="G12" s="3" t="s">
        <v>736</v>
      </c>
      <c r="H12" s="3" t="s">
        <v>736</v>
      </c>
      <c r="I12" s="58">
        <v>3</v>
      </c>
      <c r="J12" s="3" t="s">
        <v>982</v>
      </c>
      <c r="K12" s="3"/>
      <c r="L12" s="3"/>
      <c r="M12" s="3"/>
      <c r="N12" s="3"/>
    </row>
    <row r="13" spans="1:14" ht="21.75" customHeight="1" x14ac:dyDescent="0.25">
      <c r="A13" s="58">
        <v>7</v>
      </c>
      <c r="B13" s="3" t="s">
        <v>748</v>
      </c>
      <c r="C13" s="3">
        <v>2</v>
      </c>
      <c r="D13" s="3">
        <v>5000</v>
      </c>
      <c r="E13" s="3" t="s">
        <v>736</v>
      </c>
      <c r="F13" s="3" t="s">
        <v>393</v>
      </c>
      <c r="G13" s="3" t="s">
        <v>393</v>
      </c>
      <c r="H13" s="3" t="s">
        <v>736</v>
      </c>
      <c r="I13" s="58">
        <v>4</v>
      </c>
      <c r="J13" s="3" t="s">
        <v>1096</v>
      </c>
      <c r="K13" s="3"/>
      <c r="L13" s="3"/>
      <c r="M13" s="3"/>
      <c r="N13" s="3"/>
    </row>
    <row r="14" spans="1:14" ht="21.75" customHeight="1" x14ac:dyDescent="0.25">
      <c r="A14" s="58">
        <v>8</v>
      </c>
      <c r="B14" s="3" t="s">
        <v>541</v>
      </c>
      <c r="C14" s="3">
        <v>3</v>
      </c>
      <c r="D14" s="3">
        <v>6000</v>
      </c>
      <c r="E14" s="3" t="s">
        <v>736</v>
      </c>
      <c r="F14" s="3" t="s">
        <v>393</v>
      </c>
      <c r="G14" s="3" t="s">
        <v>393</v>
      </c>
      <c r="H14" s="3" t="s">
        <v>736</v>
      </c>
      <c r="I14" s="58">
        <v>4</v>
      </c>
      <c r="J14" s="3" t="s">
        <v>1096</v>
      </c>
      <c r="K14" s="3"/>
      <c r="L14" s="3"/>
      <c r="M14" s="3"/>
      <c r="N14" s="3"/>
    </row>
    <row r="15" spans="1:14" ht="21.75" customHeight="1" x14ac:dyDescent="0.25">
      <c r="A15" s="58">
        <v>9</v>
      </c>
      <c r="B15" s="3" t="s">
        <v>751</v>
      </c>
      <c r="C15" s="3">
        <v>2</v>
      </c>
      <c r="D15" s="3">
        <v>4000</v>
      </c>
      <c r="E15" s="3" t="s">
        <v>736</v>
      </c>
      <c r="F15" s="3" t="s">
        <v>393</v>
      </c>
      <c r="G15" s="3" t="s">
        <v>736</v>
      </c>
      <c r="H15" s="3" t="s">
        <v>736</v>
      </c>
      <c r="I15" s="58">
        <v>3</v>
      </c>
      <c r="J15" s="3" t="s">
        <v>982</v>
      </c>
      <c r="K15" s="3"/>
      <c r="L15" s="3"/>
      <c r="M15" s="3"/>
      <c r="N15" s="3"/>
    </row>
    <row r="16" spans="1:14" ht="21.75" customHeight="1" x14ac:dyDescent="0.25">
      <c r="A16" s="58">
        <v>10</v>
      </c>
      <c r="B16" s="3" t="s">
        <v>753</v>
      </c>
      <c r="C16" s="3">
        <v>2</v>
      </c>
      <c r="D16" s="3">
        <v>4000</v>
      </c>
      <c r="E16" s="3" t="s">
        <v>393</v>
      </c>
      <c r="F16" s="3" t="s">
        <v>393</v>
      </c>
      <c r="G16" s="3" t="s">
        <v>393</v>
      </c>
      <c r="H16" s="3" t="s">
        <v>736</v>
      </c>
      <c r="I16" s="58">
        <v>6</v>
      </c>
      <c r="J16" s="3" t="s">
        <v>1097</v>
      </c>
      <c r="K16" s="3"/>
      <c r="L16" s="3"/>
      <c r="M16" s="3"/>
      <c r="N16" s="3"/>
    </row>
    <row r="17" spans="1:14" ht="21.75" customHeight="1" x14ac:dyDescent="0.25">
      <c r="A17" s="58">
        <v>11</v>
      </c>
      <c r="B17" s="3" t="s">
        <v>755</v>
      </c>
      <c r="C17" s="3">
        <v>4</v>
      </c>
      <c r="D17" s="3">
        <v>12000</v>
      </c>
      <c r="E17" s="3" t="s">
        <v>393</v>
      </c>
      <c r="F17" s="3" t="s">
        <v>393</v>
      </c>
      <c r="G17" s="3" t="s">
        <v>393</v>
      </c>
      <c r="H17" s="3" t="s">
        <v>736</v>
      </c>
      <c r="I17" s="58">
        <v>7</v>
      </c>
      <c r="J17" s="3" t="s">
        <v>1098</v>
      </c>
      <c r="K17" s="3"/>
      <c r="L17" s="3"/>
      <c r="M17" s="3"/>
      <c r="N17" s="3"/>
    </row>
    <row r="18" spans="1:14" ht="21.75" customHeight="1" x14ac:dyDescent="0.25">
      <c r="A18" s="58">
        <v>12</v>
      </c>
      <c r="B18" s="3" t="s">
        <v>757</v>
      </c>
      <c r="C18" s="3">
        <v>2</v>
      </c>
      <c r="D18" s="3">
        <v>5000</v>
      </c>
      <c r="E18" s="3" t="s">
        <v>736</v>
      </c>
      <c r="F18" s="3" t="s">
        <v>393</v>
      </c>
      <c r="G18" s="3" t="s">
        <v>393</v>
      </c>
      <c r="H18" s="3" t="s">
        <v>736</v>
      </c>
      <c r="I18" s="58">
        <v>4</v>
      </c>
      <c r="J18" s="3" t="s">
        <v>1099</v>
      </c>
      <c r="K18" s="3"/>
      <c r="L18" s="3"/>
      <c r="M18" s="3"/>
      <c r="N18" s="3"/>
    </row>
    <row r="19" spans="1:14" ht="21.75" customHeight="1" x14ac:dyDescent="0.25">
      <c r="A19" s="58">
        <v>13</v>
      </c>
      <c r="B19" s="3" t="s">
        <v>759</v>
      </c>
      <c r="C19" s="3">
        <v>2</v>
      </c>
      <c r="D19" s="3">
        <v>4000</v>
      </c>
      <c r="E19" s="3" t="s">
        <v>736</v>
      </c>
      <c r="F19" s="3" t="s">
        <v>393</v>
      </c>
      <c r="G19" s="3" t="s">
        <v>736</v>
      </c>
      <c r="H19" s="3" t="s">
        <v>736</v>
      </c>
      <c r="I19" s="58">
        <v>3</v>
      </c>
      <c r="J19" s="3" t="s">
        <v>982</v>
      </c>
      <c r="K19" s="3"/>
      <c r="L19" s="3"/>
      <c r="M19" s="3"/>
      <c r="N19" s="3"/>
    </row>
    <row r="20" spans="1:14" ht="21.75" customHeight="1" x14ac:dyDescent="0.25">
      <c r="A20" s="58">
        <v>14</v>
      </c>
      <c r="B20" s="3" t="s">
        <v>761</v>
      </c>
      <c r="C20" s="3">
        <v>4</v>
      </c>
      <c r="D20" s="3">
        <v>10000</v>
      </c>
      <c r="E20" s="3" t="s">
        <v>736</v>
      </c>
      <c r="F20" s="3" t="s">
        <v>393</v>
      </c>
      <c r="G20" s="3" t="s">
        <v>393</v>
      </c>
      <c r="H20" s="3" t="s">
        <v>393</v>
      </c>
      <c r="I20" s="58">
        <v>5</v>
      </c>
      <c r="J20" s="3" t="s">
        <v>1100</v>
      </c>
      <c r="K20" s="3"/>
      <c r="L20" s="3"/>
      <c r="M20" s="3"/>
      <c r="N20" s="3"/>
    </row>
    <row r="21" spans="1:14" ht="21.75" customHeight="1" x14ac:dyDescent="0.25">
      <c r="A21" s="58">
        <v>15</v>
      </c>
      <c r="B21" s="3" t="s">
        <v>763</v>
      </c>
      <c r="C21" s="3">
        <v>2</v>
      </c>
      <c r="D21" s="3">
        <v>5000</v>
      </c>
      <c r="E21" s="3" t="s">
        <v>736</v>
      </c>
      <c r="F21" s="3" t="s">
        <v>393</v>
      </c>
      <c r="G21" s="3" t="s">
        <v>736</v>
      </c>
      <c r="H21" s="3" t="s">
        <v>736</v>
      </c>
      <c r="I21" s="58">
        <v>3</v>
      </c>
      <c r="J21" s="3" t="s">
        <v>982</v>
      </c>
      <c r="K21" s="3"/>
      <c r="L21" s="3"/>
      <c r="M21" s="3"/>
      <c r="N21" s="3"/>
    </row>
    <row r="22" spans="1:14" ht="21.75" customHeight="1" x14ac:dyDescent="0.25">
      <c r="A22" s="58">
        <v>16</v>
      </c>
      <c r="B22" s="3" t="s">
        <v>765</v>
      </c>
      <c r="C22" s="3">
        <v>2</v>
      </c>
      <c r="D22" s="3">
        <v>4000</v>
      </c>
      <c r="E22" s="3" t="s">
        <v>736</v>
      </c>
      <c r="F22" s="3" t="s">
        <v>393</v>
      </c>
      <c r="G22" s="3" t="s">
        <v>393</v>
      </c>
      <c r="H22" s="3" t="s">
        <v>736</v>
      </c>
      <c r="I22" s="58">
        <v>4</v>
      </c>
      <c r="J22" s="3" t="s">
        <v>1101</v>
      </c>
      <c r="K22" s="3"/>
      <c r="L22" s="3"/>
      <c r="M22" s="3"/>
      <c r="N22" s="3"/>
    </row>
    <row r="23" spans="1:14" ht="21.75" customHeight="1" x14ac:dyDescent="0.25">
      <c r="A23" s="58">
        <v>17</v>
      </c>
      <c r="B23" s="3" t="s">
        <v>767</v>
      </c>
      <c r="C23" s="3">
        <v>3</v>
      </c>
      <c r="D23" s="3">
        <v>6000</v>
      </c>
      <c r="E23" s="3" t="s">
        <v>736</v>
      </c>
      <c r="F23" s="3" t="s">
        <v>393</v>
      </c>
      <c r="G23" s="3" t="s">
        <v>393</v>
      </c>
      <c r="H23" s="3" t="s">
        <v>736</v>
      </c>
      <c r="I23" s="58">
        <v>4</v>
      </c>
      <c r="J23" s="3" t="s">
        <v>1096</v>
      </c>
      <c r="K23" s="3"/>
      <c r="L23" s="3"/>
      <c r="M23" s="3"/>
      <c r="N23" s="3"/>
    </row>
    <row r="24" spans="1:14" ht="21.75" customHeight="1" x14ac:dyDescent="0.25">
      <c r="A24" s="58">
        <v>18</v>
      </c>
      <c r="B24" s="3" t="s">
        <v>769</v>
      </c>
      <c r="C24" s="3">
        <v>2</v>
      </c>
      <c r="D24" s="3">
        <v>4000</v>
      </c>
      <c r="E24" s="3" t="s">
        <v>736</v>
      </c>
      <c r="F24" s="3" t="s">
        <v>393</v>
      </c>
      <c r="G24" s="3" t="s">
        <v>736</v>
      </c>
      <c r="H24" s="3" t="s">
        <v>736</v>
      </c>
      <c r="I24" s="58">
        <v>3</v>
      </c>
      <c r="J24" s="3" t="s">
        <v>982</v>
      </c>
      <c r="K24" s="3"/>
      <c r="L24" s="3"/>
      <c r="M24" s="3"/>
      <c r="N24" s="3"/>
    </row>
    <row r="25" spans="1:14" ht="21.75" customHeight="1" x14ac:dyDescent="0.25">
      <c r="A25" s="58">
        <v>19</v>
      </c>
      <c r="B25" s="3" t="s">
        <v>771</v>
      </c>
      <c r="C25" s="3">
        <v>2</v>
      </c>
      <c r="D25" s="3">
        <v>4000</v>
      </c>
      <c r="E25" s="3" t="s">
        <v>736</v>
      </c>
      <c r="F25" s="3" t="s">
        <v>393</v>
      </c>
      <c r="G25" s="3" t="s">
        <v>736</v>
      </c>
      <c r="H25" s="3" t="s">
        <v>736</v>
      </c>
      <c r="I25" s="58">
        <v>3</v>
      </c>
      <c r="J25" s="3" t="s">
        <v>982</v>
      </c>
      <c r="K25" s="3"/>
      <c r="L25" s="3"/>
      <c r="M25" s="3"/>
      <c r="N25" s="3"/>
    </row>
    <row r="26" spans="1:14" ht="21.75" customHeight="1" x14ac:dyDescent="0.25">
      <c r="A26" s="58">
        <v>20</v>
      </c>
      <c r="B26" s="3" t="s">
        <v>773</v>
      </c>
      <c r="C26" s="3">
        <v>2</v>
      </c>
      <c r="D26" s="3">
        <v>4000</v>
      </c>
      <c r="E26" s="3" t="s">
        <v>736</v>
      </c>
      <c r="F26" s="3" t="s">
        <v>393</v>
      </c>
      <c r="G26" s="3" t="s">
        <v>736</v>
      </c>
      <c r="H26" s="3" t="s">
        <v>736</v>
      </c>
      <c r="I26" s="58">
        <v>3</v>
      </c>
      <c r="J26" s="3" t="s">
        <v>982</v>
      </c>
      <c r="K26" s="3"/>
      <c r="L26" s="3"/>
      <c r="M26" s="3"/>
      <c r="N26" s="3"/>
    </row>
    <row r="27" spans="1:14" ht="21.75" customHeight="1" x14ac:dyDescent="0.25">
      <c r="A27" s="58">
        <v>21</v>
      </c>
      <c r="B27" s="3" t="s">
        <v>775</v>
      </c>
      <c r="C27" s="3">
        <v>2</v>
      </c>
      <c r="D27" s="3">
        <v>4000</v>
      </c>
      <c r="E27" s="3" t="s">
        <v>736</v>
      </c>
      <c r="F27" s="3" t="s">
        <v>393</v>
      </c>
      <c r="G27" s="3" t="s">
        <v>736</v>
      </c>
      <c r="H27" s="3" t="s">
        <v>736</v>
      </c>
      <c r="I27" s="58">
        <v>3</v>
      </c>
      <c r="J27" s="3" t="s">
        <v>982</v>
      </c>
      <c r="K27" s="3"/>
      <c r="L27" s="3"/>
      <c r="M27" s="3"/>
      <c r="N27" s="3"/>
    </row>
    <row r="28" spans="1:14" ht="21.75" customHeight="1" x14ac:dyDescent="0.25">
      <c r="A28" s="58">
        <v>22</v>
      </c>
      <c r="B28" s="3" t="s">
        <v>777</v>
      </c>
      <c r="C28" s="3">
        <v>1</v>
      </c>
      <c r="D28" s="3">
        <v>2000</v>
      </c>
      <c r="E28" s="3" t="s">
        <v>736</v>
      </c>
      <c r="F28" s="3" t="s">
        <v>393</v>
      </c>
      <c r="G28" s="3" t="s">
        <v>736</v>
      </c>
      <c r="H28" s="3" t="s">
        <v>736</v>
      </c>
      <c r="I28" s="58">
        <v>3</v>
      </c>
      <c r="J28" s="3" t="s">
        <v>1102</v>
      </c>
      <c r="K28" s="3"/>
      <c r="L28" s="3"/>
      <c r="M28" s="3"/>
      <c r="N28" s="3"/>
    </row>
    <row r="29" spans="1:14" ht="21.75" customHeight="1" x14ac:dyDescent="0.25">
      <c r="A29" s="58">
        <v>23</v>
      </c>
      <c r="B29" s="3" t="s">
        <v>779</v>
      </c>
      <c r="C29" s="3">
        <v>1</v>
      </c>
      <c r="D29" s="3">
        <v>2000</v>
      </c>
      <c r="E29" s="3" t="s">
        <v>736</v>
      </c>
      <c r="F29" s="3" t="s">
        <v>393</v>
      </c>
      <c r="G29" s="3" t="s">
        <v>736</v>
      </c>
      <c r="H29" s="3" t="s">
        <v>736</v>
      </c>
      <c r="I29" s="58">
        <v>3</v>
      </c>
      <c r="J29" s="3" t="s">
        <v>1102</v>
      </c>
      <c r="K29" s="3"/>
      <c r="L29" s="3"/>
      <c r="M29" s="3"/>
      <c r="N29" s="3"/>
    </row>
    <row r="30" spans="1:14" ht="21.75" customHeight="1" x14ac:dyDescent="0.25">
      <c r="A30" s="58">
        <v>24</v>
      </c>
      <c r="B30" s="3" t="s">
        <v>781</v>
      </c>
      <c r="C30" s="3">
        <v>2</v>
      </c>
      <c r="D30" s="3">
        <v>4000</v>
      </c>
      <c r="E30" s="3" t="s">
        <v>736</v>
      </c>
      <c r="F30" s="3" t="s">
        <v>393</v>
      </c>
      <c r="G30" s="3" t="s">
        <v>393</v>
      </c>
      <c r="H30" s="3" t="s">
        <v>736</v>
      </c>
      <c r="I30" s="58">
        <v>4</v>
      </c>
      <c r="J30" s="3" t="s">
        <v>1096</v>
      </c>
      <c r="K30" s="3"/>
      <c r="L30" s="3"/>
      <c r="M30" s="3"/>
      <c r="N30" s="3"/>
    </row>
    <row r="31" spans="1:14" ht="21.75" customHeight="1" x14ac:dyDescent="0.25">
      <c r="A31" s="58">
        <v>25</v>
      </c>
      <c r="B31" s="3" t="s">
        <v>783</v>
      </c>
      <c r="C31" s="3">
        <v>2</v>
      </c>
      <c r="D31" s="3">
        <v>4000</v>
      </c>
      <c r="E31" s="3" t="s">
        <v>736</v>
      </c>
      <c r="F31" s="3" t="s">
        <v>393</v>
      </c>
      <c r="G31" s="3" t="s">
        <v>393</v>
      </c>
      <c r="H31" s="3" t="s">
        <v>736</v>
      </c>
      <c r="I31" s="58">
        <v>4</v>
      </c>
      <c r="J31" s="3" t="s">
        <v>1096</v>
      </c>
      <c r="K31" s="3"/>
      <c r="L31" s="3"/>
      <c r="M31" s="3"/>
      <c r="N31" s="3"/>
    </row>
    <row r="32" spans="1:14" ht="21.75" customHeight="1" x14ac:dyDescent="0.25">
      <c r="A32" s="58">
        <v>26</v>
      </c>
      <c r="B32" s="3" t="s">
        <v>785</v>
      </c>
      <c r="C32" s="3">
        <v>2</v>
      </c>
      <c r="D32" s="3">
        <v>5000</v>
      </c>
      <c r="E32" s="3" t="s">
        <v>736</v>
      </c>
      <c r="F32" s="3" t="s">
        <v>393</v>
      </c>
      <c r="G32" s="3" t="s">
        <v>393</v>
      </c>
      <c r="H32" s="3" t="s">
        <v>736</v>
      </c>
      <c r="I32" s="58">
        <v>4</v>
      </c>
      <c r="J32" s="3" t="s">
        <v>1103</v>
      </c>
      <c r="K32" s="3"/>
      <c r="L32" s="3"/>
      <c r="M32" s="3"/>
      <c r="N32" s="3"/>
    </row>
    <row r="33" spans="1:14" ht="21.75" customHeight="1" x14ac:dyDescent="0.25">
      <c r="A33" s="58">
        <v>27</v>
      </c>
      <c r="B33" s="3" t="s">
        <v>787</v>
      </c>
      <c r="C33" s="3">
        <v>1</v>
      </c>
      <c r="D33" s="3">
        <v>2000</v>
      </c>
      <c r="E33" s="3" t="s">
        <v>736</v>
      </c>
      <c r="F33" s="3" t="s">
        <v>393</v>
      </c>
      <c r="G33" s="3" t="s">
        <v>736</v>
      </c>
      <c r="H33" s="3" t="s">
        <v>736</v>
      </c>
      <c r="I33" s="58">
        <v>3</v>
      </c>
      <c r="J33" s="3" t="s">
        <v>1104</v>
      </c>
      <c r="K33" s="3"/>
      <c r="L33" s="3"/>
      <c r="M33" s="3"/>
      <c r="N33" s="3"/>
    </row>
    <row r="34" spans="1:14" ht="21.75" customHeight="1" x14ac:dyDescent="0.25">
      <c r="A34" s="58">
        <v>28</v>
      </c>
      <c r="B34" s="3" t="s">
        <v>789</v>
      </c>
      <c r="C34" s="3">
        <v>2</v>
      </c>
      <c r="D34" s="3">
        <v>5000</v>
      </c>
      <c r="E34" s="3" t="s">
        <v>736</v>
      </c>
      <c r="F34" s="3" t="s">
        <v>393</v>
      </c>
      <c r="G34" s="3" t="s">
        <v>393</v>
      </c>
      <c r="H34" s="3" t="s">
        <v>736</v>
      </c>
      <c r="I34" s="58">
        <v>4</v>
      </c>
      <c r="J34" s="3" t="s">
        <v>1096</v>
      </c>
      <c r="K34" s="3"/>
      <c r="L34" s="3"/>
      <c r="M34" s="3"/>
      <c r="N34" s="3"/>
    </row>
    <row r="35" spans="1:14" ht="21.75" customHeight="1" x14ac:dyDescent="0.25">
      <c r="A35" s="58">
        <v>29</v>
      </c>
      <c r="B35" s="3" t="s">
        <v>490</v>
      </c>
      <c r="C35" s="3">
        <v>2</v>
      </c>
      <c r="D35" s="3">
        <v>4000</v>
      </c>
      <c r="E35" s="3" t="s">
        <v>736</v>
      </c>
      <c r="F35" s="3" t="s">
        <v>393</v>
      </c>
      <c r="G35" s="3" t="s">
        <v>736</v>
      </c>
      <c r="H35" s="3" t="s">
        <v>736</v>
      </c>
      <c r="I35" s="58">
        <v>3</v>
      </c>
      <c r="J35" s="3" t="s">
        <v>982</v>
      </c>
      <c r="K35" s="3"/>
      <c r="L35" s="3"/>
      <c r="M35" s="3"/>
      <c r="N35" s="3"/>
    </row>
    <row r="36" spans="1:14" ht="21.75" customHeight="1" x14ac:dyDescent="0.25">
      <c r="A36" s="58">
        <v>30</v>
      </c>
      <c r="B36" s="3" t="s">
        <v>792</v>
      </c>
      <c r="C36" s="3">
        <v>2</v>
      </c>
      <c r="D36" s="3">
        <v>5000</v>
      </c>
      <c r="E36" s="3" t="s">
        <v>736</v>
      </c>
      <c r="F36" s="3" t="s">
        <v>736</v>
      </c>
      <c r="G36" s="3" t="s">
        <v>393</v>
      </c>
      <c r="H36" s="3" t="s">
        <v>393</v>
      </c>
      <c r="I36" s="58">
        <v>3</v>
      </c>
      <c r="J36" s="3" t="s">
        <v>1105</v>
      </c>
      <c r="K36" s="3"/>
      <c r="L36" s="3"/>
      <c r="M36" s="3"/>
      <c r="N36" s="3"/>
    </row>
    <row r="37" spans="1:14" ht="21.75" customHeight="1" x14ac:dyDescent="0.25">
      <c r="A37" s="58">
        <v>31</v>
      </c>
      <c r="B37" s="3" t="s">
        <v>793</v>
      </c>
      <c r="C37" s="3">
        <v>2</v>
      </c>
      <c r="D37" s="3">
        <v>4000</v>
      </c>
      <c r="E37" s="3" t="s">
        <v>736</v>
      </c>
      <c r="F37" s="3" t="s">
        <v>393</v>
      </c>
      <c r="G37" s="3" t="s">
        <v>393</v>
      </c>
      <c r="H37" s="3" t="s">
        <v>736</v>
      </c>
      <c r="I37" s="58">
        <v>4</v>
      </c>
      <c r="J37" s="3" t="s">
        <v>1096</v>
      </c>
      <c r="K37" s="3"/>
      <c r="L37" s="3"/>
      <c r="M37" s="3"/>
      <c r="N37" s="3"/>
    </row>
    <row r="38" spans="1:14" ht="21.75" customHeight="1" x14ac:dyDescent="0.25">
      <c r="A38" s="58">
        <v>32</v>
      </c>
      <c r="B38" s="3" t="s">
        <v>547</v>
      </c>
      <c r="C38" s="3">
        <v>2</v>
      </c>
      <c r="D38" s="3">
        <v>5000</v>
      </c>
      <c r="E38" s="3" t="s">
        <v>736</v>
      </c>
      <c r="F38" s="3" t="s">
        <v>393</v>
      </c>
      <c r="G38" s="3" t="s">
        <v>393</v>
      </c>
      <c r="H38" s="3" t="s">
        <v>393</v>
      </c>
      <c r="I38" s="58">
        <v>5</v>
      </c>
      <c r="J38" s="3" t="s">
        <v>1106</v>
      </c>
      <c r="K38" s="3"/>
      <c r="L38" s="3"/>
      <c r="M38" s="3"/>
      <c r="N38" s="3"/>
    </row>
    <row r="39" spans="1:14" ht="21.75" customHeight="1" x14ac:dyDescent="0.25">
      <c r="A39" s="58">
        <v>33</v>
      </c>
      <c r="B39" s="3" t="s">
        <v>797</v>
      </c>
      <c r="C39" s="3">
        <v>3</v>
      </c>
      <c r="D39" s="3">
        <v>7000</v>
      </c>
      <c r="E39" s="3" t="s">
        <v>736</v>
      </c>
      <c r="F39" s="3" t="s">
        <v>393</v>
      </c>
      <c r="G39" s="3" t="s">
        <v>393</v>
      </c>
      <c r="H39" s="3" t="s">
        <v>736</v>
      </c>
      <c r="I39" s="58">
        <v>4</v>
      </c>
      <c r="J39" s="3" t="s">
        <v>1107</v>
      </c>
      <c r="K39" s="3"/>
      <c r="L39" s="3"/>
      <c r="M39" s="3"/>
      <c r="N39" s="3"/>
    </row>
    <row r="40" spans="1:14" ht="21.75" customHeight="1" x14ac:dyDescent="0.25">
      <c r="A40" s="58">
        <v>34</v>
      </c>
      <c r="B40" s="3" t="s">
        <v>799</v>
      </c>
      <c r="C40" s="3">
        <v>2</v>
      </c>
      <c r="D40" s="3">
        <v>4000</v>
      </c>
      <c r="E40" s="3" t="s">
        <v>736</v>
      </c>
      <c r="F40" s="3" t="s">
        <v>393</v>
      </c>
      <c r="G40" s="3" t="s">
        <v>393</v>
      </c>
      <c r="H40" s="3" t="s">
        <v>736</v>
      </c>
      <c r="I40" s="58">
        <v>4</v>
      </c>
      <c r="J40" s="3" t="s">
        <v>1096</v>
      </c>
      <c r="K40" s="3"/>
      <c r="L40" s="3"/>
      <c r="M40" s="3"/>
      <c r="N40" s="3"/>
    </row>
    <row r="41" spans="1:14" ht="21.75" customHeight="1" x14ac:dyDescent="0.25">
      <c r="A41" s="58">
        <v>35</v>
      </c>
      <c r="B41" s="3" t="s">
        <v>801</v>
      </c>
      <c r="C41" s="3">
        <v>2</v>
      </c>
      <c r="D41" s="3">
        <v>4000</v>
      </c>
      <c r="E41" s="3" t="s">
        <v>736</v>
      </c>
      <c r="F41" s="3" t="s">
        <v>393</v>
      </c>
      <c r="G41" s="3" t="s">
        <v>736</v>
      </c>
      <c r="H41" s="3" t="s">
        <v>736</v>
      </c>
      <c r="I41" s="58">
        <v>3</v>
      </c>
      <c r="J41" s="3" t="s">
        <v>982</v>
      </c>
      <c r="K41" s="3"/>
      <c r="L41" s="3"/>
      <c r="M41" s="3"/>
      <c r="N41" s="3"/>
    </row>
    <row r="42" spans="1:14" ht="21.75" customHeight="1" x14ac:dyDescent="0.25">
      <c r="A42" s="58">
        <v>36</v>
      </c>
      <c r="B42" s="3" t="s">
        <v>526</v>
      </c>
      <c r="C42" s="3">
        <v>6</v>
      </c>
      <c r="D42" s="3">
        <v>15000</v>
      </c>
      <c r="E42" s="3" t="s">
        <v>736</v>
      </c>
      <c r="F42" s="3" t="s">
        <v>393</v>
      </c>
      <c r="G42" s="3" t="s">
        <v>393</v>
      </c>
      <c r="H42" s="3" t="s">
        <v>393</v>
      </c>
      <c r="I42" s="58">
        <v>6</v>
      </c>
      <c r="J42" s="3" t="s">
        <v>1108</v>
      </c>
      <c r="K42" s="3"/>
      <c r="L42" s="3"/>
      <c r="M42" s="3"/>
      <c r="N42" s="3"/>
    </row>
    <row r="43" spans="1:14" ht="21.75" customHeight="1" x14ac:dyDescent="0.25">
      <c r="A43" s="58">
        <v>37</v>
      </c>
      <c r="B43" s="3" t="s">
        <v>804</v>
      </c>
      <c r="C43" s="3">
        <v>2</v>
      </c>
      <c r="D43" s="3">
        <v>4000</v>
      </c>
      <c r="E43" s="3" t="s">
        <v>736</v>
      </c>
      <c r="F43" s="3" t="s">
        <v>393</v>
      </c>
      <c r="G43" s="3" t="s">
        <v>736</v>
      </c>
      <c r="H43" s="3" t="s">
        <v>736</v>
      </c>
      <c r="I43" s="58">
        <v>3</v>
      </c>
      <c r="J43" s="3" t="s">
        <v>990</v>
      </c>
      <c r="K43" s="3"/>
      <c r="L43" s="3"/>
      <c r="M43" s="3"/>
      <c r="N43" s="3"/>
    </row>
    <row r="44" spans="1:14" ht="21.75" customHeight="1" x14ac:dyDescent="0.25">
      <c r="A44" s="58">
        <v>38</v>
      </c>
      <c r="B44" s="3" t="s">
        <v>806</v>
      </c>
      <c r="C44" s="3">
        <v>2</v>
      </c>
      <c r="D44" s="3">
        <v>5000</v>
      </c>
      <c r="E44" s="3" t="s">
        <v>736</v>
      </c>
      <c r="F44" s="3" t="s">
        <v>393</v>
      </c>
      <c r="G44" s="3" t="s">
        <v>393</v>
      </c>
      <c r="H44" s="3" t="s">
        <v>736</v>
      </c>
      <c r="I44" s="58">
        <v>4</v>
      </c>
      <c r="J44" s="3" t="s">
        <v>1109</v>
      </c>
      <c r="K44" s="3"/>
      <c r="L44" s="3"/>
      <c r="M44" s="3"/>
      <c r="N44" s="3"/>
    </row>
    <row r="45" spans="1:14" ht="21.75" customHeight="1" x14ac:dyDescent="0.25">
      <c r="A45" s="58">
        <v>39</v>
      </c>
      <c r="B45" s="3" t="s">
        <v>808</v>
      </c>
      <c r="C45" s="3">
        <v>3</v>
      </c>
      <c r="D45" s="3">
        <v>6000</v>
      </c>
      <c r="E45" s="3" t="s">
        <v>736</v>
      </c>
      <c r="F45" s="3" t="s">
        <v>393</v>
      </c>
      <c r="G45" s="3" t="s">
        <v>393</v>
      </c>
      <c r="H45" s="3" t="s">
        <v>736</v>
      </c>
      <c r="I45" s="58">
        <v>4</v>
      </c>
      <c r="J45" s="3" t="s">
        <v>1110</v>
      </c>
      <c r="K45" s="3"/>
      <c r="L45" s="3"/>
      <c r="M45" s="3"/>
      <c r="N45" s="3"/>
    </row>
    <row r="46" spans="1:14" ht="21.75" customHeight="1" x14ac:dyDescent="0.25">
      <c r="A46" s="58">
        <v>40</v>
      </c>
      <c r="B46" s="3" t="s">
        <v>810</v>
      </c>
      <c r="C46" s="3">
        <v>2</v>
      </c>
      <c r="D46" s="3">
        <v>4000</v>
      </c>
      <c r="E46" s="3" t="s">
        <v>736</v>
      </c>
      <c r="F46" s="3" t="s">
        <v>393</v>
      </c>
      <c r="G46" s="3" t="s">
        <v>393</v>
      </c>
      <c r="H46" s="3" t="s">
        <v>736</v>
      </c>
      <c r="I46" s="58">
        <v>4</v>
      </c>
      <c r="J46" s="3" t="s">
        <v>1096</v>
      </c>
      <c r="K46" s="3"/>
      <c r="L46" s="3"/>
      <c r="M46" s="3"/>
      <c r="N46" s="3"/>
    </row>
    <row r="47" spans="1:14" ht="21.75" customHeight="1" x14ac:dyDescent="0.25">
      <c r="A47" s="58">
        <v>41</v>
      </c>
      <c r="B47" s="3" t="s">
        <v>812</v>
      </c>
      <c r="C47" s="3">
        <v>3</v>
      </c>
      <c r="D47" s="3">
        <v>7000</v>
      </c>
      <c r="E47" s="3" t="s">
        <v>736</v>
      </c>
      <c r="F47" s="3" t="s">
        <v>393</v>
      </c>
      <c r="G47" s="3" t="s">
        <v>393</v>
      </c>
      <c r="H47" s="3" t="s">
        <v>736</v>
      </c>
      <c r="I47" s="58">
        <v>4</v>
      </c>
      <c r="J47" s="3" t="s">
        <v>1111</v>
      </c>
      <c r="K47" s="3"/>
      <c r="L47" s="3"/>
      <c r="M47" s="3"/>
      <c r="N47" s="3"/>
    </row>
    <row r="48" spans="1:14" ht="21.75" customHeight="1" x14ac:dyDescent="0.25">
      <c r="A48" s="58">
        <v>42</v>
      </c>
      <c r="B48" s="3" t="s">
        <v>814</v>
      </c>
      <c r="C48" s="3">
        <v>1</v>
      </c>
      <c r="D48" s="3">
        <v>2000</v>
      </c>
      <c r="E48" s="3" t="s">
        <v>736</v>
      </c>
      <c r="F48" s="3" t="s">
        <v>393</v>
      </c>
      <c r="G48" s="3" t="s">
        <v>736</v>
      </c>
      <c r="H48" s="3" t="s">
        <v>736</v>
      </c>
      <c r="I48" s="58">
        <v>3</v>
      </c>
      <c r="J48" s="3" t="s">
        <v>1112</v>
      </c>
      <c r="K48" s="3"/>
      <c r="L48" s="3"/>
      <c r="M48" s="3"/>
      <c r="N48" s="3"/>
    </row>
    <row r="49" spans="1:14" ht="21.75" customHeight="1" x14ac:dyDescent="0.25">
      <c r="A49" s="58">
        <v>43</v>
      </c>
      <c r="B49" s="3" t="s">
        <v>816</v>
      </c>
      <c r="C49" s="3">
        <v>2</v>
      </c>
      <c r="D49" s="3">
        <v>4000</v>
      </c>
      <c r="E49" s="3" t="s">
        <v>736</v>
      </c>
      <c r="F49" s="3" t="s">
        <v>393</v>
      </c>
      <c r="G49" s="3" t="s">
        <v>736</v>
      </c>
      <c r="H49" s="3" t="s">
        <v>736</v>
      </c>
      <c r="I49" s="58">
        <v>3</v>
      </c>
      <c r="J49" s="3" t="s">
        <v>982</v>
      </c>
      <c r="K49" s="3"/>
      <c r="L49" s="3"/>
      <c r="M49" s="3"/>
      <c r="N49" s="3"/>
    </row>
    <row r="50" spans="1:14" ht="21.75" customHeight="1" x14ac:dyDescent="0.25">
      <c r="A50" s="58">
        <v>44</v>
      </c>
      <c r="B50" s="3" t="s">
        <v>818</v>
      </c>
      <c r="C50" s="3">
        <v>2</v>
      </c>
      <c r="D50" s="3">
        <v>4000</v>
      </c>
      <c r="E50" s="3" t="s">
        <v>736</v>
      </c>
      <c r="F50" s="3" t="s">
        <v>393</v>
      </c>
      <c r="G50" s="3" t="s">
        <v>393</v>
      </c>
      <c r="H50" s="3" t="s">
        <v>736</v>
      </c>
      <c r="I50" s="58">
        <v>4</v>
      </c>
      <c r="J50" s="3" t="s">
        <v>1096</v>
      </c>
      <c r="K50" s="3"/>
      <c r="L50" s="3"/>
      <c r="M50" s="3"/>
      <c r="N50" s="3"/>
    </row>
    <row r="51" spans="1:14" ht="21.75" customHeight="1" x14ac:dyDescent="0.25">
      <c r="A51" s="58">
        <v>45</v>
      </c>
      <c r="B51" s="3" t="s">
        <v>820</v>
      </c>
      <c r="C51" s="3">
        <v>6</v>
      </c>
      <c r="D51" s="3">
        <v>15000</v>
      </c>
      <c r="E51" s="3" t="s">
        <v>736</v>
      </c>
      <c r="F51" s="3" t="s">
        <v>393</v>
      </c>
      <c r="G51" s="3" t="s">
        <v>393</v>
      </c>
      <c r="H51" s="3" t="s">
        <v>393</v>
      </c>
      <c r="I51" s="58">
        <v>6</v>
      </c>
      <c r="J51" s="3" t="s">
        <v>1108</v>
      </c>
      <c r="K51" s="3"/>
      <c r="L51" s="3"/>
      <c r="M51" s="3"/>
      <c r="N51" s="3"/>
    </row>
    <row r="52" spans="1:14" ht="21.75" customHeight="1" x14ac:dyDescent="0.25">
      <c r="A52" s="58">
        <v>46</v>
      </c>
      <c r="B52" s="3" t="s">
        <v>406</v>
      </c>
      <c r="C52" s="3">
        <v>3</v>
      </c>
      <c r="D52" s="3">
        <v>7000</v>
      </c>
      <c r="E52" s="3" t="s">
        <v>736</v>
      </c>
      <c r="F52" s="3" t="s">
        <v>393</v>
      </c>
      <c r="G52" s="3" t="s">
        <v>393</v>
      </c>
      <c r="H52" s="3" t="s">
        <v>736</v>
      </c>
      <c r="I52" s="58">
        <v>4</v>
      </c>
      <c r="J52" s="3" t="s">
        <v>1109</v>
      </c>
      <c r="K52" s="3"/>
      <c r="L52" s="3"/>
      <c r="M52" s="3"/>
      <c r="N52" s="3"/>
    </row>
    <row r="53" spans="1:14" ht="21.75" customHeight="1" x14ac:dyDescent="0.25">
      <c r="A53" s="3"/>
      <c r="B53" s="10" t="s">
        <v>998</v>
      </c>
      <c r="C53" s="14">
        <v>108</v>
      </c>
      <c r="D53" s="14">
        <v>243000</v>
      </c>
      <c r="E53" s="3"/>
      <c r="F53" s="3"/>
      <c r="G53" s="3"/>
      <c r="H53" s="3"/>
      <c r="I53" s="59">
        <v>174</v>
      </c>
      <c r="J53" s="3"/>
      <c r="K53" s="3"/>
      <c r="L53" s="3"/>
      <c r="M53" s="3"/>
      <c r="N53" s="3"/>
    </row>
    <row r="54" spans="1:14" ht="18" customHeight="1" x14ac:dyDescent="0.25">
      <c r="A54" s="52"/>
      <c r="B54" s="52"/>
      <c r="C54" s="52"/>
      <c r="D54" s="52"/>
      <c r="E54" s="52"/>
      <c r="F54" s="52"/>
      <c r="G54" s="52"/>
      <c r="H54" s="52"/>
      <c r="I54" s="52"/>
      <c r="J54" s="52"/>
      <c r="K54" s="9"/>
      <c r="L54" s="9"/>
      <c r="M54" s="9"/>
      <c r="N54" s="9"/>
    </row>
    <row r="55" spans="1:14" ht="18" customHeight="1" x14ac:dyDescent="0.25">
      <c r="A55" s="143" t="s">
        <v>999</v>
      </c>
      <c r="B55" s="108"/>
      <c r="C55" s="108"/>
      <c r="D55" s="108"/>
      <c r="E55" s="108"/>
      <c r="F55" s="108"/>
      <c r="G55" s="108"/>
      <c r="H55" s="108"/>
      <c r="I55" s="108"/>
      <c r="J55" s="109"/>
      <c r="K55" s="8"/>
      <c r="L55" s="8"/>
      <c r="M55" s="8"/>
      <c r="N55" s="8"/>
    </row>
    <row r="56" spans="1:14" ht="21.75" customHeight="1" x14ac:dyDescent="0.25">
      <c r="A56" s="58" t="s">
        <v>702</v>
      </c>
      <c r="B56" s="3" t="s">
        <v>1000</v>
      </c>
      <c r="C56" s="3" t="s">
        <v>1001</v>
      </c>
      <c r="D56" s="3" t="s">
        <v>1113</v>
      </c>
      <c r="E56" s="3" t="s">
        <v>1114</v>
      </c>
      <c r="F56" s="3" t="s">
        <v>1115</v>
      </c>
      <c r="G56" s="3" t="s">
        <v>1004</v>
      </c>
      <c r="H56" s="3" t="s">
        <v>4</v>
      </c>
      <c r="I56" s="3"/>
      <c r="J56" s="3"/>
      <c r="K56" s="3"/>
      <c r="L56" s="3"/>
      <c r="M56" s="3"/>
      <c r="N56" s="3"/>
    </row>
    <row r="57" spans="1:14" ht="18" customHeight="1" x14ac:dyDescent="0.25">
      <c r="A57" s="61">
        <v>1</v>
      </c>
      <c r="B57" s="20" t="s">
        <v>1116</v>
      </c>
      <c r="C57" s="20" t="s">
        <v>1117</v>
      </c>
      <c r="D57" s="28">
        <v>7.7</v>
      </c>
      <c r="E57" s="28">
        <v>3.5</v>
      </c>
      <c r="F57" s="28">
        <v>26.8</v>
      </c>
      <c r="G57" s="28">
        <v>0.12</v>
      </c>
      <c r="H57" s="20" t="s">
        <v>1118</v>
      </c>
      <c r="I57" s="52"/>
      <c r="J57" s="52"/>
      <c r="K57" s="9"/>
      <c r="L57" s="9"/>
      <c r="M57" s="9"/>
      <c r="N57" s="9"/>
    </row>
    <row r="58" spans="1:14" ht="18" customHeight="1" x14ac:dyDescent="0.25">
      <c r="A58" s="61">
        <v>2</v>
      </c>
      <c r="B58" s="20" t="s">
        <v>1119</v>
      </c>
      <c r="C58" s="20" t="s">
        <v>1120</v>
      </c>
      <c r="D58" s="28">
        <v>3</v>
      </c>
      <c r="E58" s="28">
        <v>4</v>
      </c>
      <c r="F58" s="28">
        <v>12</v>
      </c>
      <c r="G58" s="28">
        <v>0.05</v>
      </c>
      <c r="H58" s="20" t="s">
        <v>1121</v>
      </c>
      <c r="I58" s="52"/>
      <c r="J58" s="52"/>
      <c r="K58" s="9"/>
      <c r="L58" s="9"/>
      <c r="M58" s="9"/>
      <c r="N58" s="9"/>
    </row>
    <row r="59" spans="1:14" ht="18" customHeight="1" x14ac:dyDescent="0.25">
      <c r="A59" s="61">
        <v>3</v>
      </c>
      <c r="B59" s="20" t="s">
        <v>1122</v>
      </c>
      <c r="C59" s="20" t="s">
        <v>1123</v>
      </c>
      <c r="D59" s="28">
        <v>43</v>
      </c>
      <c r="E59" s="28">
        <v>0.5</v>
      </c>
      <c r="F59" s="28">
        <v>21.5</v>
      </c>
      <c r="G59" s="28">
        <v>0.1</v>
      </c>
      <c r="H59" s="17" t="s">
        <v>1124</v>
      </c>
      <c r="I59" s="52"/>
      <c r="J59" s="52"/>
      <c r="K59" s="9"/>
      <c r="L59" s="9"/>
      <c r="M59" s="9"/>
      <c r="N59" s="9"/>
    </row>
    <row r="60" spans="1:14" ht="18" customHeight="1" x14ac:dyDescent="0.25">
      <c r="A60" s="61">
        <v>4</v>
      </c>
      <c r="B60" s="20" t="s">
        <v>1125</v>
      </c>
      <c r="C60" s="20" t="s">
        <v>1126</v>
      </c>
      <c r="D60" s="28">
        <v>5</v>
      </c>
      <c r="E60" s="28">
        <v>2</v>
      </c>
      <c r="F60" s="28">
        <v>10</v>
      </c>
      <c r="G60" s="28">
        <v>0.05</v>
      </c>
      <c r="H60" s="20" t="s">
        <v>1127</v>
      </c>
      <c r="I60" s="52"/>
      <c r="J60" s="52"/>
      <c r="K60" s="9"/>
      <c r="L60" s="9"/>
      <c r="M60" s="9"/>
      <c r="N60" s="9"/>
    </row>
    <row r="61" spans="1:14" ht="21.75" customHeight="1" x14ac:dyDescent="0.25">
      <c r="A61" s="59">
        <v>5</v>
      </c>
      <c r="B61" s="10" t="s">
        <v>1128</v>
      </c>
      <c r="C61" s="10" t="s">
        <v>1129</v>
      </c>
      <c r="D61" s="10" t="s">
        <v>736</v>
      </c>
      <c r="E61" s="10" t="s">
        <v>736</v>
      </c>
      <c r="F61" s="14">
        <v>10.6</v>
      </c>
      <c r="G61" s="14">
        <v>0.15</v>
      </c>
      <c r="H61" s="10" t="s">
        <v>1130</v>
      </c>
      <c r="I61" s="3"/>
      <c r="J61" s="3"/>
      <c r="K61" s="3"/>
      <c r="L61" s="3"/>
      <c r="M61" s="3"/>
      <c r="N61" s="3"/>
    </row>
    <row r="62" spans="1:14" ht="18" customHeight="1" x14ac:dyDescent="0.25">
      <c r="A62" s="8"/>
      <c r="B62" s="8" t="s">
        <v>1020</v>
      </c>
      <c r="C62" s="8"/>
      <c r="D62" s="8"/>
      <c r="E62" s="8"/>
      <c r="F62" s="8"/>
      <c r="G62" s="8">
        <v>0.47</v>
      </c>
      <c r="H62" s="8"/>
      <c r="I62" s="8"/>
      <c r="J62" s="8"/>
      <c r="K62" s="8"/>
      <c r="L62" s="8"/>
      <c r="M62" s="8"/>
      <c r="N62" s="8"/>
    </row>
    <row r="63" spans="1:14" ht="30" customHeight="1" x14ac:dyDescent="0.25">
      <c r="A63" s="143" t="s">
        <v>1131</v>
      </c>
      <c r="B63" s="108"/>
      <c r="C63" s="108"/>
      <c r="D63" s="108"/>
      <c r="E63" s="108"/>
      <c r="F63" s="109"/>
      <c r="G63" s="113">
        <v>2</v>
      </c>
      <c r="H63" s="109"/>
      <c r="I63" s="8"/>
      <c r="J63" s="8"/>
      <c r="K63" s="8"/>
      <c r="L63" s="8"/>
      <c r="M63" s="8"/>
      <c r="N63" s="8"/>
    </row>
  </sheetData>
  <autoFilter ref="A4:N63" xr:uid="{00000000-0009-0000-0000-00001C000000}"/>
  <mergeCells count="8">
    <mergeCell ref="L1:N1"/>
    <mergeCell ref="A1:J1"/>
    <mergeCell ref="A63:F63"/>
    <mergeCell ref="A5:J5"/>
    <mergeCell ref="G63:H63"/>
    <mergeCell ref="A3:J3"/>
    <mergeCell ref="A55:J55"/>
    <mergeCell ref="A2:J2"/>
  </mergeCells>
  <printOptions horizontalCentered="1"/>
  <pageMargins left="0.35" right="0.35" top="0.55000000000000004" bottom="0.55000000000000004" header="0.511811023622047" footer="0.511811023622047"/>
  <pageSetup paperSize="9" fitToHeight="0" orientation="landscape" horizontalDpi="300" verticalDpi="30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pageSetUpPr fitToPage="1"/>
  </sheetPr>
  <dimension ref="A1:H10"/>
  <sheetViews>
    <sheetView showGridLines="0" zoomScaleNormal="100" workbookViewId="0">
      <pane ySplit="4" topLeftCell="A5" activePane="bottomLeft" state="frozen"/>
      <selection pane="bottomLeft"/>
    </sheetView>
  </sheetViews>
  <sheetFormatPr defaultColWidth="8.5703125" defaultRowHeight="15" x14ac:dyDescent="0.25"/>
  <cols>
    <col min="1" max="2" width="34" customWidth="1"/>
    <col min="3" max="3" width="10" customWidth="1"/>
    <col min="4" max="4" width="34" customWidth="1"/>
    <col min="5" max="5" width="23" customWidth="1"/>
    <col min="6" max="6" width="20" customWidth="1"/>
    <col min="7" max="7" width="17" customWidth="1"/>
    <col min="8" max="8" width="34" customWidth="1"/>
  </cols>
  <sheetData>
    <row r="1" spans="1:8" ht="24" customHeight="1" x14ac:dyDescent="0.25">
      <c r="A1" s="11" t="s">
        <v>1022</v>
      </c>
      <c r="B1" s="11"/>
      <c r="C1" s="11"/>
      <c r="D1" s="11"/>
      <c r="E1" s="11"/>
      <c r="F1" s="11"/>
      <c r="G1" s="11"/>
      <c r="H1" s="11"/>
    </row>
    <row r="2" spans="1:8" ht="24" customHeight="1" x14ac:dyDescent="0.25">
      <c r="A2" s="11" t="s">
        <v>1023</v>
      </c>
      <c r="B2" s="11"/>
      <c r="C2" s="11"/>
      <c r="D2" s="11"/>
      <c r="E2" s="11"/>
      <c r="F2" s="11"/>
      <c r="G2" s="11"/>
      <c r="H2" s="11"/>
    </row>
    <row r="3" spans="1:8" ht="18" customHeight="1" x14ac:dyDescent="0.25">
      <c r="A3" s="52"/>
      <c r="B3" s="52"/>
      <c r="C3" s="52"/>
      <c r="D3" s="52"/>
      <c r="E3" s="52"/>
      <c r="F3" s="52"/>
      <c r="G3" s="52"/>
      <c r="H3" s="52"/>
    </row>
    <row r="4" spans="1:8" ht="21.75" customHeight="1" x14ac:dyDescent="0.25">
      <c r="A4" s="3" t="s">
        <v>6</v>
      </c>
      <c r="B4" s="3" t="s">
        <v>7</v>
      </c>
      <c r="C4" s="3" t="s">
        <v>1024</v>
      </c>
      <c r="D4" s="58" t="s">
        <v>1025</v>
      </c>
      <c r="E4" s="12" t="s">
        <v>1026</v>
      </c>
      <c r="F4" s="3" t="s">
        <v>1027</v>
      </c>
      <c r="G4" s="3" t="s">
        <v>726</v>
      </c>
      <c r="H4" s="12" t="s">
        <v>1028</v>
      </c>
    </row>
    <row r="5" spans="1:8" ht="21.75" customHeight="1" x14ac:dyDescent="0.25">
      <c r="A5" s="3" t="s">
        <v>966</v>
      </c>
      <c r="B5" s="3" t="s">
        <v>1029</v>
      </c>
      <c r="C5" s="3">
        <v>46</v>
      </c>
      <c r="D5" s="58" t="s">
        <v>1030</v>
      </c>
      <c r="E5" s="12" t="s">
        <v>1031</v>
      </c>
      <c r="F5" s="3">
        <v>1.05</v>
      </c>
      <c r="G5" s="3">
        <v>2</v>
      </c>
      <c r="H5" s="12" t="s">
        <v>1032</v>
      </c>
    </row>
    <row r="6" spans="1:8" ht="21.75" customHeight="1" x14ac:dyDescent="0.25">
      <c r="A6" s="3" t="s">
        <v>1033</v>
      </c>
      <c r="B6" s="3" t="s">
        <v>1034</v>
      </c>
      <c r="C6" s="3">
        <v>46</v>
      </c>
      <c r="D6" s="58" t="s">
        <v>1035</v>
      </c>
      <c r="E6" s="12" t="s">
        <v>1036</v>
      </c>
      <c r="F6" s="3">
        <v>0.47</v>
      </c>
      <c r="G6" s="3">
        <v>2</v>
      </c>
      <c r="H6" s="12" t="s">
        <v>1037</v>
      </c>
    </row>
    <row r="7" spans="1:8" ht="21.75" customHeight="1" x14ac:dyDescent="0.25">
      <c r="A7" s="10" t="s">
        <v>1038</v>
      </c>
      <c r="B7" s="10" t="s">
        <v>1039</v>
      </c>
      <c r="C7" s="14">
        <v>37</v>
      </c>
      <c r="D7" s="53" t="s">
        <v>1040</v>
      </c>
      <c r="E7" s="6" t="s">
        <v>1041</v>
      </c>
      <c r="F7" s="14">
        <v>1.53</v>
      </c>
      <c r="G7" s="14">
        <v>2</v>
      </c>
      <c r="H7" s="6" t="s">
        <v>1042</v>
      </c>
    </row>
    <row r="8" spans="1:8" ht="18" customHeight="1" x14ac:dyDescent="0.25">
      <c r="A8" s="24"/>
      <c r="B8" s="10" t="s">
        <v>1043</v>
      </c>
      <c r="C8" s="24"/>
      <c r="D8" s="24"/>
      <c r="E8" s="24"/>
      <c r="F8" s="24"/>
      <c r="G8" s="14">
        <v>6</v>
      </c>
      <c r="H8" s="24"/>
    </row>
    <row r="9" spans="1:8" ht="18" customHeight="1" x14ac:dyDescent="0.25">
      <c r="A9" s="52"/>
      <c r="B9" s="52"/>
      <c r="C9" s="52"/>
      <c r="D9" s="52"/>
      <c r="E9" s="52"/>
      <c r="F9" s="52"/>
      <c r="G9" s="52"/>
      <c r="H9" s="52"/>
    </row>
    <row r="10" spans="1:8" ht="30" customHeight="1" x14ac:dyDescent="0.25">
      <c r="A10" s="20" t="s">
        <v>1044</v>
      </c>
      <c r="B10" s="52"/>
      <c r="C10" s="52"/>
      <c r="D10" s="52"/>
      <c r="E10" s="52"/>
      <c r="F10" s="52"/>
      <c r="G10" s="52"/>
      <c r="H10" s="52"/>
    </row>
  </sheetData>
  <autoFilter ref="A4:H10" xr:uid="{00000000-0009-0000-0000-00001D000000}"/>
  <printOptions horizontalCentered="1"/>
  <pageMargins left="0.35" right="0.35" top="0.55000000000000004" bottom="0.55000000000000004" header="0.511811023622047" footer="0.511811023622047"/>
  <pageSetup paperSize="9" fitToHeight="0" orientation="portrait" horizontalDpi="300" verticalDpi="30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pageSetUpPr fitToPage="1"/>
  </sheetPr>
  <dimension ref="A1:F8"/>
  <sheetViews>
    <sheetView showGridLines="0" zoomScaleNormal="100" workbookViewId="0">
      <pane ySplit="3" topLeftCell="A4" activePane="bottomLeft" state="frozen"/>
      <selection pane="bottomLeft"/>
    </sheetView>
  </sheetViews>
  <sheetFormatPr defaultColWidth="8.5703125" defaultRowHeight="15" x14ac:dyDescent="0.25"/>
  <cols>
    <col min="1" max="1" width="34" customWidth="1"/>
    <col min="2" max="2" width="33" customWidth="1"/>
    <col min="3" max="3" width="23" customWidth="1"/>
    <col min="4" max="6" width="34" customWidth="1"/>
  </cols>
  <sheetData>
    <row r="1" spans="1:6" ht="24" customHeight="1" x14ac:dyDescent="0.25">
      <c r="A1" s="107" t="s">
        <v>1045</v>
      </c>
      <c r="B1" s="108"/>
      <c r="C1" s="108"/>
      <c r="D1" s="108"/>
      <c r="E1" s="108"/>
      <c r="F1" s="109"/>
    </row>
    <row r="2" spans="1:6" ht="18" customHeight="1" x14ac:dyDescent="0.25">
      <c r="A2" s="9"/>
      <c r="B2" s="9"/>
      <c r="C2" s="9"/>
      <c r="D2" s="9"/>
      <c r="E2" s="9"/>
      <c r="F2" s="9"/>
    </row>
    <row r="3" spans="1:6" ht="21.75" customHeight="1" x14ac:dyDescent="0.25">
      <c r="A3" s="3" t="s">
        <v>91</v>
      </c>
      <c r="B3" s="3" t="s">
        <v>1046</v>
      </c>
      <c r="C3" s="3" t="s">
        <v>1047</v>
      </c>
      <c r="D3" s="12" t="s">
        <v>1048</v>
      </c>
      <c r="E3" s="3" t="s">
        <v>1049</v>
      </c>
      <c r="F3" s="12" t="s">
        <v>1050</v>
      </c>
    </row>
    <row r="4" spans="1:6" ht="21.75" customHeight="1" x14ac:dyDescent="0.25">
      <c r="A4" s="3">
        <v>1</v>
      </c>
      <c r="B4" s="3" t="s">
        <v>36</v>
      </c>
      <c r="C4" s="3" t="s">
        <v>1051</v>
      </c>
      <c r="D4" s="12" t="s">
        <v>1052</v>
      </c>
      <c r="E4" s="3" t="s">
        <v>1053</v>
      </c>
      <c r="F4" s="12" t="s">
        <v>1054</v>
      </c>
    </row>
    <row r="5" spans="1:6" ht="21.75" customHeight="1" x14ac:dyDescent="0.25">
      <c r="A5" s="3">
        <v>2</v>
      </c>
      <c r="B5" s="3" t="s">
        <v>75</v>
      </c>
      <c r="C5" s="3" t="s">
        <v>1055</v>
      </c>
      <c r="D5" s="12" t="s">
        <v>1056</v>
      </c>
      <c r="E5" s="3" t="s">
        <v>1057</v>
      </c>
      <c r="F5" s="12" t="s">
        <v>1058</v>
      </c>
    </row>
    <row r="6" spans="1:6" ht="21.75" customHeight="1" x14ac:dyDescent="0.25">
      <c r="A6" s="3">
        <v>3</v>
      </c>
      <c r="B6" s="3" t="s">
        <v>67</v>
      </c>
      <c r="C6" s="3" t="s">
        <v>1059</v>
      </c>
      <c r="D6" s="12" t="s">
        <v>1060</v>
      </c>
      <c r="E6" s="3" t="s">
        <v>1061</v>
      </c>
      <c r="F6" s="12" t="s">
        <v>1132</v>
      </c>
    </row>
    <row r="7" spans="1:6" ht="21.75" customHeight="1" x14ac:dyDescent="0.25">
      <c r="A7" s="3">
        <v>4</v>
      </c>
      <c r="B7" s="3" t="s">
        <v>54</v>
      </c>
      <c r="C7" s="3" t="s">
        <v>1063</v>
      </c>
      <c r="D7" s="12" t="s">
        <v>1064</v>
      </c>
      <c r="E7" s="3" t="s">
        <v>1065</v>
      </c>
      <c r="F7" s="12" t="s">
        <v>1066</v>
      </c>
    </row>
    <row r="8" spans="1:6" ht="18" customHeight="1" x14ac:dyDescent="0.25">
      <c r="A8" s="28">
        <v>5</v>
      </c>
      <c r="B8" s="17" t="s">
        <v>61</v>
      </c>
      <c r="C8" s="17" t="s">
        <v>1067</v>
      </c>
      <c r="D8" s="38" t="s">
        <v>1068</v>
      </c>
      <c r="E8" s="20" t="s">
        <v>1069</v>
      </c>
      <c r="F8" s="38" t="s">
        <v>1070</v>
      </c>
    </row>
  </sheetData>
  <autoFilter ref="A3:F8" xr:uid="{00000000-0009-0000-0000-00001E000000}"/>
  <mergeCells count="1">
    <mergeCell ref="A1:F1"/>
  </mergeCells>
  <printOptions horizontalCentered="1"/>
  <pageMargins left="0.35" right="0.35" top="0.55000000000000004" bottom="0.55000000000000004" header="0.511811023622047" footer="0.511811023622047"/>
  <pageSetup paperSize="9" fitToHeight="0" orientation="portrait" horizontalDpi="300" verticalDpi="30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pageSetUpPr fitToPage="1"/>
  </sheetPr>
  <dimension ref="A1:F9"/>
  <sheetViews>
    <sheetView showGridLines="0" zoomScaleNormal="100" workbookViewId="0">
      <pane ySplit="4" topLeftCell="A5" activePane="bottomLeft" state="frozen"/>
      <selection pane="bottomLeft"/>
    </sheetView>
  </sheetViews>
  <sheetFormatPr defaultColWidth="8.5703125" defaultRowHeight="15" x14ac:dyDescent="0.25"/>
  <cols>
    <col min="1" max="1" width="34" customWidth="1"/>
    <col min="2" max="3" width="13" customWidth="1"/>
    <col min="4" max="4" width="24" customWidth="1"/>
    <col min="5" max="5" width="8" customWidth="1"/>
    <col min="6" max="6" width="33" customWidth="1"/>
  </cols>
  <sheetData>
    <row r="1" spans="1:6" ht="24" customHeight="1" x14ac:dyDescent="0.25">
      <c r="A1" s="121" t="s">
        <v>1133</v>
      </c>
      <c r="B1" s="108"/>
      <c r="C1" s="108"/>
      <c r="D1" s="108"/>
      <c r="E1" s="108"/>
      <c r="F1" s="109"/>
    </row>
    <row r="2" spans="1:6" ht="24" customHeight="1" x14ac:dyDescent="0.25">
      <c r="A2" s="121" t="s">
        <v>914</v>
      </c>
      <c r="B2" s="108"/>
      <c r="C2" s="108"/>
      <c r="D2" s="108"/>
      <c r="E2" s="108"/>
      <c r="F2" s="109"/>
    </row>
    <row r="3" spans="1:6" ht="18" customHeight="1" x14ac:dyDescent="0.25">
      <c r="A3" s="9"/>
      <c r="B3" s="9"/>
      <c r="C3" s="9"/>
      <c r="D3" s="9"/>
      <c r="E3" s="9"/>
      <c r="F3" s="9"/>
    </row>
    <row r="4" spans="1:6" ht="21.75" customHeight="1" x14ac:dyDescent="0.25">
      <c r="A4" s="12" t="s">
        <v>915</v>
      </c>
      <c r="B4" s="12" t="s">
        <v>122</v>
      </c>
      <c r="C4" s="12" t="s">
        <v>123</v>
      </c>
      <c r="D4" s="3" t="s">
        <v>916</v>
      </c>
      <c r="E4" s="3" t="s">
        <v>13</v>
      </c>
      <c r="F4" s="12" t="s">
        <v>4</v>
      </c>
    </row>
    <row r="5" spans="1:6" ht="21.75" customHeight="1" x14ac:dyDescent="0.25">
      <c r="A5" s="12" t="s">
        <v>917</v>
      </c>
      <c r="B5" s="12">
        <f>IFERROR('L4 Quadro Resumo'!K7,0)</f>
        <v>6153.099254339525</v>
      </c>
      <c r="C5" s="12" t="s">
        <v>128</v>
      </c>
      <c r="D5" s="3" t="s">
        <v>918</v>
      </c>
      <c r="E5" s="3" t="str">
        <f>IF(B5&gt;0,"OK","Verificar")</f>
        <v>OK</v>
      </c>
      <c r="F5" s="12" t="s">
        <v>919</v>
      </c>
    </row>
    <row r="6" spans="1:6" ht="21.75" customHeight="1" x14ac:dyDescent="0.25">
      <c r="A6" s="12" t="s">
        <v>920</v>
      </c>
      <c r="B6" s="12">
        <f>IFERROR('L4 Quadro Resumo'!L7,0)</f>
        <v>2</v>
      </c>
      <c r="C6" s="12" t="s">
        <v>921</v>
      </c>
      <c r="D6" s="3" t="s">
        <v>922</v>
      </c>
      <c r="E6" s="3" t="str">
        <f>IF(B6&gt;0,"OK","Verificar")</f>
        <v>OK</v>
      </c>
      <c r="F6" s="12" t="s">
        <v>923</v>
      </c>
    </row>
    <row r="7" spans="1:6" ht="21.75" customHeight="1" x14ac:dyDescent="0.25">
      <c r="A7" s="6" t="s">
        <v>10</v>
      </c>
      <c r="B7" s="13">
        <f>IFERROR('L4 Quadro Resumo'!M7,0)</f>
        <v>12306.19850867905</v>
      </c>
      <c r="C7" s="6" t="s">
        <v>128</v>
      </c>
      <c r="D7" s="10" t="s">
        <v>924</v>
      </c>
      <c r="E7" s="14" t="str">
        <f>IF(B7&gt;0,"OK","Verificar")</f>
        <v>OK</v>
      </c>
      <c r="F7" s="6" t="s">
        <v>925</v>
      </c>
    </row>
    <row r="8" spans="1:6" ht="21.75" customHeight="1" x14ac:dyDescent="0.25">
      <c r="A8" s="6" t="s">
        <v>11</v>
      </c>
      <c r="B8" s="13">
        <f>IFERROR('L4 Quadro Resumo'!N7,0)</f>
        <v>147674.38210414859</v>
      </c>
      <c r="C8" s="6" t="s">
        <v>926</v>
      </c>
      <c r="D8" s="10" t="s">
        <v>927</v>
      </c>
      <c r="E8" s="14" t="str">
        <f>IF(B8&gt;0,"OK","Verificar")</f>
        <v>OK</v>
      </c>
      <c r="F8" s="6" t="s">
        <v>928</v>
      </c>
    </row>
    <row r="9" spans="1:6" ht="18" customHeight="1" x14ac:dyDescent="0.25">
      <c r="A9" s="23" t="s">
        <v>12</v>
      </c>
      <c r="B9" s="18">
        <f>IFERROR('L4 Quadro Resumo'!M7-'L4 Quadro Resumo'!F9,0)</f>
        <v>0</v>
      </c>
      <c r="C9" s="23" t="s">
        <v>128</v>
      </c>
      <c r="D9" s="17" t="s">
        <v>929</v>
      </c>
      <c r="E9" s="54" t="str">
        <f>IF(ABS(B9)&lt;0.01,"OK","Divergente")</f>
        <v>OK</v>
      </c>
      <c r="F9" s="38" t="s">
        <v>930</v>
      </c>
    </row>
  </sheetData>
  <autoFilter ref="A4:F9" xr:uid="{00000000-0009-0000-0000-00001F000000}"/>
  <mergeCells count="2">
    <mergeCell ref="A2:F2"/>
    <mergeCell ref="A1:F1"/>
  </mergeCells>
  <printOptions horizontalCentered="1"/>
  <pageMargins left="0.35" right="0.35" top="0.55000000000000004" bottom="0.55000000000000004" header="0.511811023622047" footer="0.511811023622047"/>
  <pageSetup paperSize="9" fitToHeight="0" orientation="portrait" horizontalDpi="300" verticalDpi="30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pageSetUpPr fitToPage="1"/>
  </sheetPr>
  <dimension ref="A1:F17"/>
  <sheetViews>
    <sheetView showGridLines="0" zoomScaleNormal="100" workbookViewId="0">
      <selection activeCell="D9" sqref="D9"/>
    </sheetView>
  </sheetViews>
  <sheetFormatPr defaultColWidth="8.5703125" defaultRowHeight="15" x14ac:dyDescent="0.25"/>
  <cols>
    <col min="1" max="1" width="34" customWidth="1"/>
    <col min="2" max="2" width="13" customWidth="1"/>
    <col min="3" max="3" width="24" customWidth="1"/>
    <col min="4" max="6" width="34" customWidth="1"/>
  </cols>
  <sheetData>
    <row r="1" spans="1:6" ht="24" customHeight="1" x14ac:dyDescent="0.25">
      <c r="A1" s="144" t="s">
        <v>1134</v>
      </c>
      <c r="B1" s="108"/>
      <c r="C1" s="108"/>
      <c r="D1" s="108"/>
      <c r="E1" s="108"/>
      <c r="F1" s="109"/>
    </row>
    <row r="2" spans="1:6" ht="24" customHeight="1" x14ac:dyDescent="0.25">
      <c r="A2" s="121" t="s">
        <v>932</v>
      </c>
      <c r="B2" s="108"/>
      <c r="C2" s="108"/>
      <c r="D2" s="108"/>
      <c r="E2" s="108"/>
      <c r="F2" s="109"/>
    </row>
    <row r="3" spans="1:6" ht="18" customHeight="1" x14ac:dyDescent="0.25">
      <c r="A3" s="9"/>
      <c r="B3" s="9"/>
      <c r="C3" s="9"/>
      <c r="D3" s="9"/>
      <c r="E3" s="9"/>
      <c r="F3" s="9"/>
    </row>
    <row r="4" spans="1:6" ht="21.75" customHeight="1" x14ac:dyDescent="0.25">
      <c r="A4" s="12" t="s">
        <v>121</v>
      </c>
      <c r="B4" s="12" t="s">
        <v>122</v>
      </c>
      <c r="C4" s="12" t="s">
        <v>123</v>
      </c>
      <c r="D4" s="12" t="s">
        <v>124</v>
      </c>
      <c r="E4" s="3" t="s">
        <v>933</v>
      </c>
      <c r="F4" s="12" t="s">
        <v>126</v>
      </c>
    </row>
    <row r="5" spans="1:6" ht="25.5" customHeight="1" x14ac:dyDescent="0.25">
      <c r="A5" s="12" t="s">
        <v>127</v>
      </c>
      <c r="B5" s="12">
        <v>1651</v>
      </c>
      <c r="C5" s="12" t="s">
        <v>128</v>
      </c>
      <c r="D5" s="12" t="s">
        <v>129</v>
      </c>
      <c r="E5" s="3" t="s">
        <v>934</v>
      </c>
      <c r="F5" s="12" t="s">
        <v>935</v>
      </c>
    </row>
    <row r="6" spans="1:6" ht="25.5" customHeight="1" x14ac:dyDescent="0.25">
      <c r="A6" s="12" t="s">
        <v>132</v>
      </c>
      <c r="B6" s="12">
        <v>1621</v>
      </c>
      <c r="C6" s="12" t="s">
        <v>128</v>
      </c>
      <c r="D6" s="12" t="s">
        <v>133</v>
      </c>
      <c r="E6" s="3" t="s">
        <v>936</v>
      </c>
      <c r="F6" s="12" t="s">
        <v>937</v>
      </c>
    </row>
    <row r="7" spans="1:6" ht="25.5" customHeight="1" x14ac:dyDescent="0.25">
      <c r="A7" s="12" t="s">
        <v>938</v>
      </c>
      <c r="B7" s="2">
        <v>0.2</v>
      </c>
      <c r="C7" s="12" t="s">
        <v>137</v>
      </c>
      <c r="D7" s="12" t="s">
        <v>939</v>
      </c>
      <c r="E7" s="3" t="s">
        <v>940</v>
      </c>
      <c r="F7" s="12" t="s">
        <v>941</v>
      </c>
    </row>
    <row r="8" spans="1:6" ht="25.5" customHeight="1" x14ac:dyDescent="0.25">
      <c r="A8" s="12" t="s">
        <v>136</v>
      </c>
      <c r="B8" s="2">
        <v>0.4</v>
      </c>
      <c r="C8" s="12" t="s">
        <v>137</v>
      </c>
      <c r="D8" s="12" t="s">
        <v>942</v>
      </c>
      <c r="E8" s="3" t="s">
        <v>936</v>
      </c>
      <c r="F8" s="12" t="s">
        <v>943</v>
      </c>
    </row>
    <row r="9" spans="1:6" ht="25.5" customHeight="1" x14ac:dyDescent="0.25">
      <c r="A9" s="12" t="s">
        <v>145</v>
      </c>
      <c r="B9" s="12">
        <v>400</v>
      </c>
      <c r="C9" s="12" t="s">
        <v>128</v>
      </c>
      <c r="D9" s="12" t="s">
        <v>146</v>
      </c>
      <c r="E9" s="3" t="s">
        <v>944</v>
      </c>
      <c r="F9" s="12" t="s">
        <v>945</v>
      </c>
    </row>
    <row r="10" spans="1:6" ht="25.5" customHeight="1" x14ac:dyDescent="0.25">
      <c r="A10" s="12" t="s">
        <v>149</v>
      </c>
      <c r="B10" s="12">
        <v>3.7</v>
      </c>
      <c r="C10" s="12" t="s">
        <v>150</v>
      </c>
      <c r="D10" s="12" t="s">
        <v>146</v>
      </c>
      <c r="E10" s="3" t="s">
        <v>946</v>
      </c>
      <c r="F10" s="12" t="s">
        <v>947</v>
      </c>
    </row>
    <row r="11" spans="1:6" ht="15" customHeight="1" x14ac:dyDescent="0.25">
      <c r="A11" s="12" t="s">
        <v>153</v>
      </c>
      <c r="B11" s="2">
        <v>0.06</v>
      </c>
      <c r="C11" s="12" t="s">
        <v>137</v>
      </c>
      <c r="D11" s="12" t="s">
        <v>154</v>
      </c>
      <c r="E11" s="3" t="s">
        <v>946</v>
      </c>
      <c r="F11" s="12" t="s">
        <v>948</v>
      </c>
    </row>
    <row r="12" spans="1:6" ht="15" customHeight="1" x14ac:dyDescent="0.25">
      <c r="A12" s="12" t="s">
        <v>157</v>
      </c>
      <c r="B12" s="12">
        <v>14.66</v>
      </c>
      <c r="C12" s="12" t="s">
        <v>158</v>
      </c>
      <c r="D12" s="12" t="s">
        <v>146</v>
      </c>
      <c r="E12" s="3" t="s">
        <v>949</v>
      </c>
      <c r="F12" s="12" t="s">
        <v>950</v>
      </c>
    </row>
    <row r="13" spans="1:6" ht="25.5" customHeight="1" x14ac:dyDescent="0.25">
      <c r="A13" s="12" t="s">
        <v>161</v>
      </c>
      <c r="B13" s="12">
        <v>6.4</v>
      </c>
      <c r="C13" s="12" t="s">
        <v>158</v>
      </c>
      <c r="D13" s="12" t="s">
        <v>146</v>
      </c>
      <c r="E13" s="3" t="s">
        <v>951</v>
      </c>
      <c r="F13" s="12" t="s">
        <v>952</v>
      </c>
    </row>
    <row r="14" spans="1:6" ht="38.25" customHeight="1" x14ac:dyDescent="0.25">
      <c r="A14" s="12" t="s">
        <v>164</v>
      </c>
      <c r="B14" s="12">
        <v>130</v>
      </c>
      <c r="C14" s="12" t="s">
        <v>128</v>
      </c>
      <c r="D14" s="12" t="s">
        <v>146</v>
      </c>
      <c r="E14" s="3" t="s">
        <v>953</v>
      </c>
      <c r="F14" s="12" t="s">
        <v>954</v>
      </c>
    </row>
    <row r="15" spans="1:6" ht="38.25" customHeight="1" x14ac:dyDescent="0.25">
      <c r="A15" s="12" t="s">
        <v>167</v>
      </c>
      <c r="B15" s="12">
        <v>112</v>
      </c>
      <c r="C15" s="12" t="s">
        <v>128</v>
      </c>
      <c r="D15" s="12" t="s">
        <v>168</v>
      </c>
      <c r="E15" s="3" t="s">
        <v>955</v>
      </c>
      <c r="F15" s="12" t="s">
        <v>956</v>
      </c>
    </row>
    <row r="16" spans="1:6" ht="25.5" customHeight="1" thickBot="1" x14ac:dyDescent="0.3">
      <c r="A16" s="12" t="s">
        <v>171</v>
      </c>
      <c r="B16" s="3">
        <v>22</v>
      </c>
      <c r="C16" s="12" t="s">
        <v>172</v>
      </c>
      <c r="D16" s="12" t="s">
        <v>957</v>
      </c>
      <c r="E16" s="3" t="s">
        <v>846</v>
      </c>
      <c r="F16" s="12" t="s">
        <v>958</v>
      </c>
    </row>
    <row r="17" spans="1:6" ht="18" customHeight="1" thickBot="1" x14ac:dyDescent="0.3">
      <c r="A17" s="12" t="s">
        <v>178</v>
      </c>
      <c r="B17" s="3">
        <v>220</v>
      </c>
      <c r="C17" s="12" t="s">
        <v>179</v>
      </c>
      <c r="D17" s="12" t="s">
        <v>180</v>
      </c>
      <c r="E17" s="3" t="s">
        <v>846</v>
      </c>
      <c r="F17" s="3" t="s">
        <v>1189</v>
      </c>
    </row>
  </sheetData>
  <autoFilter ref="A4:F17" xr:uid="{00000000-0009-0000-0000-000020000000}"/>
  <mergeCells count="2">
    <mergeCell ref="A2:F2"/>
    <mergeCell ref="A1:F1"/>
  </mergeCells>
  <printOptions horizontalCentered="1"/>
  <pageMargins left="0.35416666666666702" right="0.35416666666666702" top="0.55138888888888904" bottom="0.55138888888888904" header="0.511811023622047" footer="0.511811023622047"/>
  <pageSetup paperSize="9" scale="80" fitToHeight="0" orientation="landscape" horizontalDpi="300" verticalDpi="30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pageSetUpPr fitToPage="1"/>
  </sheetPr>
  <dimension ref="B1:AMJ1048576"/>
  <sheetViews>
    <sheetView showGridLines="0" zoomScaleNormal="100" workbookViewId="0">
      <pane xSplit="1" ySplit="4" topLeftCell="B5" activePane="bottomRight" state="frozen"/>
      <selection pane="topRight" activeCell="B1" sqref="B1"/>
      <selection pane="bottomLeft" activeCell="A5" sqref="A5"/>
      <selection pane="bottomRight"/>
    </sheetView>
  </sheetViews>
  <sheetFormatPr defaultColWidth="8.5703125" defaultRowHeight="15" x14ac:dyDescent="0.25"/>
  <cols>
    <col min="2" max="2" width="8" customWidth="1"/>
    <col min="3" max="3" width="34" customWidth="1"/>
    <col min="4" max="4" width="18" customWidth="1"/>
  </cols>
  <sheetData>
    <row r="1" spans="2:1024" ht="13.5" customHeight="1" x14ac:dyDescent="0.25"/>
    <row r="2" spans="2:1024" ht="13.5" customHeight="1" x14ac:dyDescent="0.25"/>
    <row r="3" spans="2:1024" ht="13.5" customHeight="1" x14ac:dyDescent="0.25"/>
    <row r="4" spans="2:1024" ht="21.75" customHeight="1" x14ac:dyDescent="0.25">
      <c r="B4" s="3"/>
      <c r="C4" s="2" t="s">
        <v>1073</v>
      </c>
      <c r="D4" s="12" t="s">
        <v>211</v>
      </c>
      <c r="AME4" s="31"/>
      <c r="AMF4" s="31"/>
      <c r="AMG4" s="31"/>
      <c r="AMH4" s="31"/>
      <c r="AMI4" s="31"/>
      <c r="AMJ4" s="31"/>
    </row>
    <row r="5" spans="2:1024" ht="30" customHeight="1" x14ac:dyDescent="0.25">
      <c r="B5" s="28">
        <v>8</v>
      </c>
      <c r="C5" s="29" t="s">
        <v>224</v>
      </c>
      <c r="D5" s="19">
        <v>4</v>
      </c>
    </row>
    <row r="6" spans="2:1024" ht="30" customHeight="1" x14ac:dyDescent="0.25">
      <c r="B6" s="28">
        <v>9</v>
      </c>
      <c r="C6" s="29" t="s">
        <v>225</v>
      </c>
      <c r="D6" s="19">
        <v>4</v>
      </c>
    </row>
    <row r="7" spans="2:1024" ht="30" customHeight="1" x14ac:dyDescent="0.25">
      <c r="B7" s="28">
        <v>11</v>
      </c>
      <c r="C7" s="29" t="s">
        <v>227</v>
      </c>
      <c r="D7" s="19">
        <v>4</v>
      </c>
    </row>
    <row r="8" spans="2:1024" ht="30" customHeight="1" x14ac:dyDescent="0.25">
      <c r="B8" s="28">
        <v>14</v>
      </c>
      <c r="C8" s="29" t="s">
        <v>230</v>
      </c>
      <c r="D8" s="19">
        <v>4</v>
      </c>
    </row>
    <row r="9" spans="2:1024" ht="18" customHeight="1" x14ac:dyDescent="0.25">
      <c r="B9" s="28">
        <v>16</v>
      </c>
      <c r="C9" s="30" t="s">
        <v>1074</v>
      </c>
      <c r="D9" s="19">
        <v>6</v>
      </c>
    </row>
    <row r="10" spans="2:1024" ht="18" customHeight="1" x14ac:dyDescent="0.25">
      <c r="B10" s="28">
        <v>18</v>
      </c>
      <c r="C10" s="30" t="s">
        <v>1075</v>
      </c>
      <c r="D10" s="19">
        <v>6</v>
      </c>
    </row>
    <row r="11" spans="2:1024" ht="18" customHeight="1" x14ac:dyDescent="0.25">
      <c r="B11" s="110" t="s">
        <v>297</v>
      </c>
      <c r="C11" s="108"/>
      <c r="D11" s="109"/>
    </row>
    <row r="12" spans="2:1024" ht="13.5" customHeight="1" x14ac:dyDescent="0.25">
      <c r="C12" s="56"/>
      <c r="D12" s="57"/>
    </row>
    <row r="13" spans="2:1024" ht="13.5" customHeight="1" x14ac:dyDescent="0.25"/>
    <row r="1048558" ht="12.75" customHeight="1" x14ac:dyDescent="0.25"/>
    <row r="1048559" ht="12.75" customHeight="1" x14ac:dyDescent="0.25"/>
    <row r="1048560" ht="12.75" customHeight="1" x14ac:dyDescent="0.25"/>
    <row r="1048561" ht="12.75" customHeight="1" x14ac:dyDescent="0.25"/>
    <row r="1048562" ht="12.75" customHeight="1" x14ac:dyDescent="0.25"/>
    <row r="1048563" ht="12.75" customHeight="1" x14ac:dyDescent="0.25"/>
    <row r="1048564" ht="12.75" customHeight="1" x14ac:dyDescent="0.25"/>
    <row r="1048565" ht="12.75" customHeight="1" x14ac:dyDescent="0.25"/>
    <row r="1048566" ht="12.75" customHeight="1" x14ac:dyDescent="0.25"/>
    <row r="1048567" ht="12.75" customHeight="1" x14ac:dyDescent="0.25"/>
    <row r="1048568" ht="12.75" customHeight="1" x14ac:dyDescent="0.25"/>
    <row r="1048569" ht="12.75" customHeight="1" x14ac:dyDescent="0.25"/>
    <row r="1048570" ht="12.75" customHeight="1" x14ac:dyDescent="0.25"/>
    <row r="1048571" ht="12.75" customHeight="1" x14ac:dyDescent="0.25"/>
    <row r="1048572" ht="12.75" customHeight="1" x14ac:dyDescent="0.25"/>
    <row r="1048573" ht="12.75" customHeight="1" x14ac:dyDescent="0.25"/>
    <row r="1048574" ht="12.75" customHeight="1" x14ac:dyDescent="0.25"/>
    <row r="1048575" ht="12.75" customHeight="1" x14ac:dyDescent="0.25"/>
    <row r="1048576" ht="12.75" customHeight="1" x14ac:dyDescent="0.25"/>
  </sheetData>
  <autoFilter ref="B4:D11" xr:uid="{00000000-0009-0000-0000-000021000000}"/>
  <mergeCells count="1">
    <mergeCell ref="B11:D11"/>
  </mergeCells>
  <printOptions horizontalCentered="1"/>
  <pageMargins left="0.35" right="0.35" top="0.55000000000000004" bottom="0.55000000000000004" header="0.511811023622047" footer="0.511811023622047"/>
  <pageSetup paperSize="9" fitToHeight="0" pageOrder="overThenDown" orientation="portrait" useFirstPageNumber="1" horizontalDpi="300" verticalDpi="30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pageSetUpPr fitToPage="1"/>
  </sheetPr>
  <dimension ref="A1:I116"/>
  <sheetViews>
    <sheetView showGridLines="0" topLeftCell="A52" zoomScaleNormal="100" workbookViewId="0">
      <selection activeCell="E59" sqref="E59"/>
    </sheetView>
  </sheetViews>
  <sheetFormatPr defaultColWidth="8.5703125" defaultRowHeight="15" x14ac:dyDescent="0.25"/>
  <cols>
    <col min="1" max="2" width="34" customWidth="1"/>
    <col min="3" max="3" width="16" customWidth="1"/>
    <col min="4" max="4" width="13" customWidth="1"/>
    <col min="5" max="5" width="20" customWidth="1"/>
    <col min="6" max="6" width="34" customWidth="1"/>
    <col min="7" max="7" width="18" customWidth="1"/>
    <col min="8" max="8" width="8" customWidth="1"/>
    <col min="9" max="9" width="13" customWidth="1"/>
    <col min="10" max="10" width="15.85546875" customWidth="1"/>
    <col min="11" max="11" width="4.42578125" customWidth="1"/>
    <col min="12" max="12" width="43" customWidth="1"/>
    <col min="13" max="13" width="7.42578125" customWidth="1"/>
    <col min="14" max="15" width="12.42578125" customWidth="1"/>
    <col min="18" max="18" width="22.140625" customWidth="1"/>
    <col min="20" max="20" width="12.85546875" customWidth="1"/>
  </cols>
  <sheetData>
    <row r="1" spans="1:9" ht="15.75" customHeight="1" x14ac:dyDescent="0.25"/>
    <row r="2" spans="1:9" ht="24" customHeight="1" x14ac:dyDescent="0.25">
      <c r="A2" s="121" t="s">
        <v>1135</v>
      </c>
      <c r="B2" s="108"/>
      <c r="C2" s="108"/>
      <c r="D2" s="108"/>
      <c r="E2" s="108"/>
      <c r="F2" s="108"/>
      <c r="G2" s="108"/>
      <c r="H2" s="108"/>
      <c r="I2" s="109"/>
    </row>
    <row r="3" spans="1:9" ht="18" customHeight="1" x14ac:dyDescent="0.25">
      <c r="A3" s="9"/>
      <c r="B3" s="9"/>
      <c r="C3" s="9"/>
      <c r="D3" s="9"/>
      <c r="E3" s="9"/>
      <c r="F3" s="9"/>
      <c r="G3" s="9"/>
      <c r="H3" s="9"/>
      <c r="I3" s="9"/>
    </row>
    <row r="4" spans="1:9" ht="18" customHeight="1" x14ac:dyDescent="0.25">
      <c r="A4" s="9"/>
      <c r="B4" s="9"/>
      <c r="C4" s="9"/>
      <c r="D4" s="9"/>
      <c r="E4" s="9"/>
      <c r="F4" s="9"/>
      <c r="G4" s="9"/>
      <c r="H4" s="9"/>
      <c r="I4" s="9"/>
    </row>
    <row r="5" spans="1:9" ht="18" customHeight="1" x14ac:dyDescent="0.25">
      <c r="A5" s="9"/>
      <c r="B5" s="9"/>
      <c r="C5" s="9"/>
      <c r="D5" s="9"/>
      <c r="E5" s="9"/>
      <c r="F5" s="9"/>
      <c r="G5" s="9"/>
      <c r="H5" s="9"/>
      <c r="I5" s="9"/>
    </row>
    <row r="6" spans="1:9" ht="21.75" customHeight="1" thickBot="1" x14ac:dyDescent="0.3">
      <c r="A6" s="12" t="s">
        <v>559</v>
      </c>
      <c r="B6" s="12" t="s">
        <v>560</v>
      </c>
      <c r="C6" s="12" t="s">
        <v>561</v>
      </c>
      <c r="D6" s="12" t="s">
        <v>137</v>
      </c>
      <c r="E6" s="3"/>
      <c r="F6" s="12" t="s">
        <v>562</v>
      </c>
      <c r="G6" s="3"/>
      <c r="H6" s="3"/>
      <c r="I6" s="47"/>
    </row>
    <row r="7" spans="1:9" ht="21.75" customHeight="1" thickBot="1" x14ac:dyDescent="0.3">
      <c r="A7" s="3"/>
      <c r="B7" s="12" t="s">
        <v>563</v>
      </c>
      <c r="C7" s="12">
        <f>'L4 Param CCT'!$B$5</f>
        <v>1651</v>
      </c>
      <c r="D7" s="3"/>
      <c r="E7" s="3"/>
      <c r="F7" s="12">
        <f>'L4 Param CCT'!$B$6</f>
        <v>1621</v>
      </c>
      <c r="G7" s="3"/>
      <c r="H7" s="3"/>
      <c r="I7" s="47"/>
    </row>
    <row r="8" spans="1:9" ht="25.5" customHeight="1" x14ac:dyDescent="0.25">
      <c r="A8" s="9"/>
      <c r="B8" s="38" t="s">
        <v>564</v>
      </c>
      <c r="C8" s="83">
        <v>0</v>
      </c>
      <c r="D8" s="92"/>
      <c r="E8" s="9"/>
      <c r="F8" s="9"/>
      <c r="G8" s="9"/>
      <c r="H8" s="9"/>
      <c r="I8" s="9"/>
    </row>
    <row r="9" spans="1:9" ht="15" customHeight="1" thickBot="1" x14ac:dyDescent="0.3">
      <c r="A9" s="9"/>
      <c r="B9" s="23" t="s">
        <v>565</v>
      </c>
      <c r="C9" s="83">
        <v>0</v>
      </c>
      <c r="D9" s="96">
        <v>0</v>
      </c>
      <c r="E9" s="9"/>
      <c r="F9" s="9"/>
      <c r="G9" s="9"/>
      <c r="H9" s="9"/>
      <c r="I9" s="9"/>
    </row>
    <row r="10" spans="1:9" ht="21.75" customHeight="1" thickBot="1" x14ac:dyDescent="0.3">
      <c r="A10" s="3"/>
      <c r="B10" s="12" t="s">
        <v>566</v>
      </c>
      <c r="C10" s="12">
        <f>IFERROR(D10*F7,0)</f>
        <v>0</v>
      </c>
      <c r="D10" s="2">
        <v>0</v>
      </c>
      <c r="E10" s="3"/>
      <c r="F10" s="3"/>
      <c r="G10" s="3"/>
      <c r="H10" s="3"/>
      <c r="I10" s="3"/>
    </row>
    <row r="11" spans="1:9" ht="18" customHeight="1" x14ac:dyDescent="0.25">
      <c r="A11" s="9"/>
      <c r="B11" s="23" t="s">
        <v>141</v>
      </c>
      <c r="C11" s="83">
        <v>0</v>
      </c>
      <c r="D11" s="96">
        <v>0</v>
      </c>
      <c r="E11" s="9"/>
      <c r="F11" s="9"/>
      <c r="G11" s="9"/>
      <c r="H11" s="9"/>
      <c r="I11" s="9"/>
    </row>
    <row r="12" spans="1:9" ht="18" customHeight="1" x14ac:dyDescent="0.25">
      <c r="A12" s="9"/>
      <c r="B12" s="23" t="s">
        <v>567</v>
      </c>
      <c r="C12" s="83">
        <v>0</v>
      </c>
      <c r="D12" s="96">
        <v>0</v>
      </c>
      <c r="E12" s="9"/>
      <c r="F12" s="9"/>
      <c r="G12" s="9"/>
      <c r="H12" s="9"/>
      <c r="I12" s="9"/>
    </row>
    <row r="13" spans="1:9" ht="18" customHeight="1" x14ac:dyDescent="0.25">
      <c r="A13" s="9"/>
      <c r="B13" s="23" t="s">
        <v>568</v>
      </c>
      <c r="C13" s="83">
        <v>0</v>
      </c>
      <c r="D13" s="96">
        <v>0</v>
      </c>
      <c r="E13" s="9"/>
      <c r="F13" s="9"/>
      <c r="G13" s="9"/>
      <c r="H13" s="9"/>
      <c r="I13" s="9"/>
    </row>
    <row r="14" spans="1:9" ht="18" customHeight="1" x14ac:dyDescent="0.25">
      <c r="A14" s="9"/>
      <c r="B14" s="23" t="s">
        <v>569</v>
      </c>
      <c r="C14" s="83">
        <v>0</v>
      </c>
      <c r="D14" s="96">
        <v>0</v>
      </c>
      <c r="E14" s="9"/>
      <c r="F14" s="9"/>
      <c r="G14" s="9"/>
      <c r="H14" s="9"/>
      <c r="I14" s="9"/>
    </row>
    <row r="15" spans="1:9" ht="39" customHeight="1" thickBot="1" x14ac:dyDescent="0.3">
      <c r="A15" s="9"/>
      <c r="B15" s="63" t="s">
        <v>1136</v>
      </c>
      <c r="C15" s="83">
        <v>381.6</v>
      </c>
      <c r="D15" s="96">
        <v>0</v>
      </c>
      <c r="E15" s="9"/>
      <c r="F15" s="9"/>
      <c r="G15" s="9"/>
      <c r="H15" s="9"/>
      <c r="I15" s="9"/>
    </row>
    <row r="16" spans="1:9" ht="21.75" customHeight="1" thickBot="1" x14ac:dyDescent="0.3">
      <c r="A16" s="3"/>
      <c r="B16" s="6" t="s">
        <v>571</v>
      </c>
      <c r="C16" s="68">
        <f>IFERROR(SUM(C7:C15),0)</f>
        <v>2032.6</v>
      </c>
      <c r="D16" s="3"/>
      <c r="E16" s="3"/>
      <c r="F16" s="3"/>
      <c r="G16" s="3"/>
      <c r="H16" s="3"/>
      <c r="I16" s="3"/>
    </row>
    <row r="17" spans="1:9" ht="18" customHeight="1" x14ac:dyDescent="0.25">
      <c r="A17" s="9"/>
      <c r="B17" s="9"/>
      <c r="C17" s="9"/>
      <c r="D17" s="9"/>
      <c r="E17" s="9"/>
      <c r="F17" s="9"/>
      <c r="G17" s="9"/>
      <c r="H17" s="9"/>
      <c r="I17" s="9"/>
    </row>
    <row r="18" spans="1:9" ht="18" customHeight="1" x14ac:dyDescent="0.25">
      <c r="A18" s="9"/>
      <c r="B18" s="9"/>
      <c r="C18" s="9"/>
      <c r="D18" s="9"/>
      <c r="E18" s="9"/>
      <c r="F18" s="9"/>
      <c r="G18" s="9"/>
      <c r="H18" s="9"/>
      <c r="I18" s="9"/>
    </row>
    <row r="19" spans="1:9" ht="18" customHeight="1" x14ac:dyDescent="0.25">
      <c r="A19" s="114" t="s">
        <v>572</v>
      </c>
      <c r="B19" s="108"/>
      <c r="C19" s="109"/>
      <c r="D19" s="8"/>
      <c r="E19" s="8"/>
      <c r="F19" s="8"/>
      <c r="G19" s="8"/>
      <c r="H19" s="8"/>
      <c r="I19" s="8"/>
    </row>
    <row r="20" spans="1:9" ht="18" customHeight="1" x14ac:dyDescent="0.25">
      <c r="A20" s="9"/>
      <c r="B20" s="9"/>
      <c r="C20" s="9"/>
      <c r="D20" s="9"/>
      <c r="E20" s="9"/>
      <c r="F20" s="9"/>
      <c r="G20" s="9"/>
      <c r="H20" s="9"/>
      <c r="I20" s="9"/>
    </row>
    <row r="21" spans="1:9" ht="21.75" customHeight="1" x14ac:dyDescent="0.25">
      <c r="A21" s="12" t="s">
        <v>573</v>
      </c>
      <c r="B21" s="12" t="s">
        <v>574</v>
      </c>
      <c r="C21" s="12" t="s">
        <v>561</v>
      </c>
      <c r="D21" s="3"/>
      <c r="E21" s="2" t="s">
        <v>137</v>
      </c>
      <c r="F21" s="12" t="s">
        <v>575</v>
      </c>
      <c r="G21" s="3"/>
      <c r="H21" s="3"/>
      <c r="I21" s="3"/>
    </row>
    <row r="22" spans="1:9" ht="21.75" customHeight="1" x14ac:dyDescent="0.25">
      <c r="A22" s="3"/>
      <c r="B22" s="12" t="s">
        <v>576</v>
      </c>
      <c r="C22" s="12">
        <f>C16*E22</f>
        <v>169.38333333333327</v>
      </c>
      <c r="D22" s="3"/>
      <c r="E22" s="2">
        <v>8.3333333333333301E-2</v>
      </c>
      <c r="F22" s="12" t="s">
        <v>577</v>
      </c>
      <c r="G22" s="3"/>
      <c r="H22" s="3"/>
      <c r="I22" s="3"/>
    </row>
    <row r="23" spans="1:9" ht="21.75" customHeight="1" x14ac:dyDescent="0.25">
      <c r="A23" s="3"/>
      <c r="B23" s="12" t="s">
        <v>578</v>
      </c>
      <c r="C23" s="12">
        <f>C16*E23</f>
        <v>184.45845</v>
      </c>
      <c r="D23" s="3"/>
      <c r="E23" s="2">
        <v>9.0749999999999997E-2</v>
      </c>
      <c r="F23" s="12" t="s">
        <v>1188</v>
      </c>
      <c r="G23" s="3"/>
      <c r="H23" s="3"/>
      <c r="I23" s="3"/>
    </row>
    <row r="24" spans="1:9" ht="21.75" customHeight="1" thickBot="1" x14ac:dyDescent="0.3">
      <c r="A24" s="3"/>
      <c r="B24" s="12" t="s">
        <v>579</v>
      </c>
      <c r="C24" s="12">
        <f>C16*E24</f>
        <v>61.486149999999995</v>
      </c>
      <c r="D24" s="3"/>
      <c r="E24" s="2">
        <v>3.0249999999999999E-2</v>
      </c>
      <c r="F24" s="12" t="s">
        <v>1188</v>
      </c>
      <c r="G24" s="3"/>
      <c r="H24" s="3"/>
      <c r="I24" s="3"/>
    </row>
    <row r="25" spans="1:9" ht="21.75" customHeight="1" thickBot="1" x14ac:dyDescent="0.3">
      <c r="A25" s="3"/>
      <c r="B25" s="68" t="s">
        <v>580</v>
      </c>
      <c r="C25" s="68">
        <f>SUM(C22:C24)</f>
        <v>415.32793333333331</v>
      </c>
      <c r="D25" s="3"/>
      <c r="E25" s="3"/>
      <c r="F25" s="3"/>
      <c r="G25" s="3"/>
      <c r="H25" s="3"/>
      <c r="I25" s="3"/>
    </row>
    <row r="26" spans="1:9" ht="18" customHeight="1" thickBot="1" x14ac:dyDescent="0.3">
      <c r="A26" s="9"/>
      <c r="B26" s="9"/>
      <c r="C26" s="9"/>
      <c r="D26" s="9"/>
      <c r="E26" s="9"/>
      <c r="F26" s="9"/>
      <c r="G26" s="9"/>
      <c r="H26" s="9"/>
      <c r="I26" s="9"/>
    </row>
    <row r="27" spans="1:9" ht="21.75" customHeight="1" thickBot="1" x14ac:dyDescent="0.3">
      <c r="A27" s="12" t="s">
        <v>581</v>
      </c>
      <c r="B27" s="12" t="s">
        <v>582</v>
      </c>
      <c r="C27" s="12" t="s">
        <v>583</v>
      </c>
      <c r="D27" s="12" t="s">
        <v>561</v>
      </c>
      <c r="E27" s="3"/>
      <c r="F27" s="3"/>
      <c r="G27" s="3"/>
      <c r="H27" s="3"/>
      <c r="I27" s="3"/>
    </row>
    <row r="28" spans="1:9" ht="25.5" customHeight="1" thickBot="1" x14ac:dyDescent="0.3">
      <c r="A28" s="3"/>
      <c r="B28" s="80" t="s">
        <v>584</v>
      </c>
      <c r="C28" s="81">
        <v>0.2</v>
      </c>
      <c r="D28" s="80">
        <f>C28*(C16+C25)</f>
        <v>489.5855866666667</v>
      </c>
      <c r="E28" s="3"/>
      <c r="F28" s="12" t="s">
        <v>585</v>
      </c>
      <c r="G28" s="3"/>
      <c r="H28" s="3"/>
      <c r="I28" s="3"/>
    </row>
    <row r="29" spans="1:9" ht="21.75" customHeight="1" thickBot="1" x14ac:dyDescent="0.3">
      <c r="A29" s="3"/>
      <c r="B29" s="80" t="s">
        <v>586</v>
      </c>
      <c r="C29" s="81">
        <v>1.4999999999999999E-2</v>
      </c>
      <c r="D29" s="80">
        <f>C29*(C16+C25)</f>
        <v>36.718919</v>
      </c>
      <c r="E29" s="3"/>
      <c r="F29" s="47"/>
      <c r="G29" s="3"/>
      <c r="H29" s="3"/>
      <c r="I29" s="3"/>
    </row>
    <row r="30" spans="1:9" ht="21.75" customHeight="1" thickBot="1" x14ac:dyDescent="0.3">
      <c r="A30" s="3"/>
      <c r="B30" s="80" t="s">
        <v>587</v>
      </c>
      <c r="C30" s="81">
        <v>0.01</v>
      </c>
      <c r="D30" s="80">
        <f>C30*(C16+C25)</f>
        <v>24.479279333333334</v>
      </c>
      <c r="E30" s="3"/>
      <c r="F30" s="3"/>
      <c r="G30" s="3"/>
      <c r="H30" s="3"/>
      <c r="I30" s="3"/>
    </row>
    <row r="31" spans="1:9" ht="21.75" customHeight="1" thickBot="1" x14ac:dyDescent="0.3">
      <c r="A31" s="3"/>
      <c r="B31" s="80" t="s">
        <v>588</v>
      </c>
      <c r="C31" s="81">
        <v>2E-3</v>
      </c>
      <c r="D31" s="80">
        <f>C31*(C16+C25)</f>
        <v>4.8958558666666665</v>
      </c>
      <c r="E31" s="3"/>
      <c r="F31" s="12"/>
      <c r="G31" s="12"/>
      <c r="H31" s="3"/>
      <c r="I31" s="3"/>
    </row>
    <row r="32" spans="1:9" ht="21.75" customHeight="1" thickBot="1" x14ac:dyDescent="0.3">
      <c r="A32" s="3"/>
      <c r="B32" s="80" t="s">
        <v>589</v>
      </c>
      <c r="C32" s="81">
        <v>2.5000000000000001E-2</v>
      </c>
      <c r="D32" s="80">
        <f>C32*(C16+C25)</f>
        <v>61.198198333333337</v>
      </c>
      <c r="E32" s="3"/>
      <c r="F32" s="12"/>
      <c r="G32" s="12"/>
      <c r="H32" s="3"/>
      <c r="I32" s="3"/>
    </row>
    <row r="33" spans="1:9" ht="21.75" customHeight="1" thickBot="1" x14ac:dyDescent="0.3">
      <c r="A33" s="3"/>
      <c r="B33" s="80" t="s">
        <v>590</v>
      </c>
      <c r="C33" s="81">
        <v>0.08</v>
      </c>
      <c r="D33" s="80">
        <f>C33*(C16+C25)</f>
        <v>195.83423466666667</v>
      </c>
      <c r="E33" s="3"/>
      <c r="F33" s="3"/>
      <c r="G33" s="3"/>
      <c r="H33" s="3"/>
      <c r="I33" s="3"/>
    </row>
    <row r="34" spans="1:9" ht="25.5" customHeight="1" thickBot="1" x14ac:dyDescent="0.3">
      <c r="A34" s="3"/>
      <c r="B34" s="80" t="s">
        <v>591</v>
      </c>
      <c r="C34" s="81">
        <v>0.06</v>
      </c>
      <c r="D34" s="80">
        <f>C34*(C16+C25)</f>
        <v>146.875676</v>
      </c>
      <c r="E34" s="3"/>
      <c r="F34" s="3"/>
      <c r="G34" s="3"/>
      <c r="H34" s="3"/>
      <c r="I34" s="3"/>
    </row>
    <row r="35" spans="1:9" ht="21.75" customHeight="1" thickBot="1" x14ac:dyDescent="0.3">
      <c r="A35" s="3"/>
      <c r="B35" s="80" t="s">
        <v>592</v>
      </c>
      <c r="C35" s="81">
        <v>6.0000000000000001E-3</v>
      </c>
      <c r="D35" s="80">
        <f>C35*(C16+C25)</f>
        <v>14.687567600000001</v>
      </c>
      <c r="E35" s="3"/>
      <c r="F35" s="3"/>
      <c r="G35" s="3"/>
      <c r="H35" s="3"/>
      <c r="I35" s="3"/>
    </row>
    <row r="36" spans="1:9" ht="21.75" customHeight="1" thickBot="1" x14ac:dyDescent="0.3">
      <c r="A36" s="3"/>
      <c r="B36" s="101" t="s">
        <v>297</v>
      </c>
      <c r="C36" s="102">
        <f>SUM(C28:C35)</f>
        <v>0.39800000000000008</v>
      </c>
      <c r="D36" s="101">
        <f>SUM(D28:D35)</f>
        <v>974.27531746666682</v>
      </c>
      <c r="E36" s="3"/>
      <c r="F36" s="3"/>
      <c r="G36" s="3"/>
      <c r="H36" s="3"/>
      <c r="I36" s="3"/>
    </row>
    <row r="37" spans="1:9" ht="18" customHeight="1" thickBot="1" x14ac:dyDescent="0.3">
      <c r="A37" s="9"/>
      <c r="B37" s="9"/>
      <c r="C37" s="9"/>
      <c r="D37" s="9"/>
      <c r="E37" s="9"/>
      <c r="F37" s="9"/>
      <c r="G37" s="9"/>
      <c r="H37" s="9"/>
      <c r="I37" s="9"/>
    </row>
    <row r="38" spans="1:9" ht="18" customHeight="1" x14ac:dyDescent="0.25">
      <c r="A38" s="7" t="s">
        <v>593</v>
      </c>
      <c r="B38" s="7" t="s">
        <v>594</v>
      </c>
      <c r="C38" s="7" t="s">
        <v>561</v>
      </c>
      <c r="D38" s="8"/>
      <c r="E38" s="8"/>
      <c r="F38" s="113"/>
      <c r="G38" s="108"/>
      <c r="H38" s="108"/>
      <c r="I38" s="109"/>
    </row>
    <row r="39" spans="1:9" ht="21.75" customHeight="1" x14ac:dyDescent="0.25">
      <c r="A39" s="12" t="s">
        <v>595</v>
      </c>
      <c r="B39" s="12" t="s">
        <v>596</v>
      </c>
      <c r="C39" s="12">
        <f>IFERROR('L4 Param CCT'!$B$10*2*'L4 Param CCT'!$B$16-(C7*'L4 Param CCT'!$B$11),0)</f>
        <v>63.740000000000009</v>
      </c>
      <c r="D39" s="3"/>
      <c r="E39" s="3"/>
      <c r="F39" s="3"/>
      <c r="G39" s="3"/>
      <c r="H39" s="3"/>
      <c r="I39" s="3"/>
    </row>
    <row r="40" spans="1:9" ht="25.5" customHeight="1" x14ac:dyDescent="0.25">
      <c r="A40" s="12" t="s">
        <v>597</v>
      </c>
      <c r="B40" s="12" t="s">
        <v>598</v>
      </c>
      <c r="C40" s="12">
        <f>'L4 Param CCT'!$B$9</f>
        <v>400</v>
      </c>
      <c r="D40" s="3"/>
      <c r="E40" s="3"/>
      <c r="F40" s="3"/>
      <c r="G40" s="3"/>
      <c r="H40" s="3"/>
      <c r="I40" s="3"/>
    </row>
    <row r="41" spans="1:9" ht="15" customHeight="1" x14ac:dyDescent="0.25">
      <c r="A41" s="12" t="s">
        <v>599</v>
      </c>
      <c r="B41" s="12" t="s">
        <v>600</v>
      </c>
      <c r="C41" s="12">
        <v>0</v>
      </c>
      <c r="D41" s="3"/>
      <c r="E41" s="3"/>
      <c r="F41" s="3"/>
      <c r="G41" s="3"/>
      <c r="H41" s="3"/>
      <c r="I41" s="3"/>
    </row>
    <row r="42" spans="1:9" ht="25.5" customHeight="1" x14ac:dyDescent="0.25">
      <c r="A42" s="12" t="s">
        <v>601</v>
      </c>
      <c r="B42" s="12" t="s">
        <v>602</v>
      </c>
      <c r="C42" s="12">
        <f>'L4 Param CCT'!$B$13</f>
        <v>6.4</v>
      </c>
      <c r="D42" s="3"/>
      <c r="E42" s="3"/>
      <c r="F42" s="3"/>
      <c r="G42" s="3"/>
      <c r="H42" s="3"/>
      <c r="I42" s="3"/>
    </row>
    <row r="43" spans="1:9" ht="25.5" customHeight="1" x14ac:dyDescent="0.25">
      <c r="A43" s="12" t="s">
        <v>603</v>
      </c>
      <c r="B43" s="12" t="s">
        <v>564</v>
      </c>
      <c r="C43" s="12">
        <v>0</v>
      </c>
      <c r="D43" s="3"/>
      <c r="E43" s="3"/>
      <c r="F43" s="3"/>
      <c r="G43" s="3"/>
      <c r="H43" s="3"/>
      <c r="I43" s="3"/>
    </row>
    <row r="44" spans="1:9" ht="21.75" customHeight="1" x14ac:dyDescent="0.25">
      <c r="A44" s="12" t="s">
        <v>604</v>
      </c>
      <c r="B44" s="12" t="s">
        <v>605</v>
      </c>
      <c r="C44" s="12">
        <f>'L4 Param CCT'!$B$12</f>
        <v>14.66</v>
      </c>
      <c r="D44" s="3"/>
      <c r="E44" s="3"/>
      <c r="F44" s="3"/>
      <c r="G44" s="3"/>
      <c r="H44" s="3"/>
      <c r="I44" s="3"/>
    </row>
    <row r="45" spans="1:9" ht="21.75" customHeight="1" x14ac:dyDescent="0.25">
      <c r="A45" s="12" t="s">
        <v>606</v>
      </c>
      <c r="B45" s="12" t="s">
        <v>607</v>
      </c>
      <c r="C45" s="12">
        <f>'L4 Param CCT'!$B$14</f>
        <v>130</v>
      </c>
      <c r="D45" s="3"/>
      <c r="E45" s="3"/>
      <c r="F45" s="3"/>
      <c r="G45" s="3"/>
      <c r="H45" s="3"/>
      <c r="I45" s="3"/>
    </row>
    <row r="46" spans="1:9" ht="21.75" customHeight="1" x14ac:dyDescent="0.25">
      <c r="A46" s="12" t="s">
        <v>608</v>
      </c>
      <c r="B46" s="12" t="s">
        <v>609</v>
      </c>
      <c r="C46" s="12">
        <v>0</v>
      </c>
      <c r="D46" s="3"/>
      <c r="E46" s="3"/>
      <c r="F46" s="3"/>
      <c r="G46" s="3"/>
      <c r="H46" s="3"/>
      <c r="I46" s="3"/>
    </row>
    <row r="47" spans="1:9" ht="21.75" customHeight="1" thickBot="1" x14ac:dyDescent="0.3">
      <c r="A47" s="12" t="s">
        <v>610</v>
      </c>
      <c r="B47" s="12" t="s">
        <v>570</v>
      </c>
      <c r="C47" s="12">
        <v>0</v>
      </c>
      <c r="D47" s="3"/>
      <c r="E47" s="3"/>
      <c r="F47" s="3"/>
      <c r="G47" s="3"/>
      <c r="H47" s="3"/>
      <c r="I47" s="3"/>
    </row>
    <row r="48" spans="1:9" ht="21.75" customHeight="1" thickBot="1" x14ac:dyDescent="0.3">
      <c r="A48" s="6" t="s">
        <v>611</v>
      </c>
      <c r="B48" s="6" t="s">
        <v>612</v>
      </c>
      <c r="C48" s="68">
        <f>IFERROR(SUM(C39:C47),0)</f>
        <v>614.79999999999995</v>
      </c>
      <c r="D48" s="3"/>
      <c r="E48" s="3"/>
      <c r="F48" s="3"/>
      <c r="G48" s="3"/>
      <c r="H48" s="3"/>
      <c r="I48" s="3"/>
    </row>
    <row r="49" spans="1:9" ht="18" customHeight="1" thickBot="1" x14ac:dyDescent="0.3">
      <c r="A49" s="9"/>
      <c r="B49" s="9"/>
      <c r="C49" s="9"/>
      <c r="D49" s="9"/>
      <c r="E49" s="9"/>
      <c r="F49" s="9"/>
      <c r="G49" s="9"/>
      <c r="H49" s="9"/>
      <c r="I49" s="9"/>
    </row>
    <row r="50" spans="1:9" ht="18" customHeight="1" x14ac:dyDescent="0.25">
      <c r="A50" s="114" t="s">
        <v>572</v>
      </c>
      <c r="B50" s="108"/>
      <c r="C50" s="109"/>
      <c r="D50" s="8"/>
      <c r="E50" s="8"/>
      <c r="F50" s="8"/>
      <c r="G50" s="8"/>
      <c r="H50" s="8"/>
      <c r="I50" s="8"/>
    </row>
    <row r="51" spans="1:9" ht="21.75" customHeight="1" x14ac:dyDescent="0.25">
      <c r="A51" s="3"/>
      <c r="B51" s="12" t="s">
        <v>573</v>
      </c>
      <c r="C51" s="12">
        <f>C25</f>
        <v>415.32793333333331</v>
      </c>
      <c r="D51" s="3"/>
      <c r="E51" s="3"/>
      <c r="F51" s="3"/>
      <c r="G51" s="3"/>
      <c r="H51" s="3"/>
      <c r="I51" s="3"/>
    </row>
    <row r="52" spans="1:9" ht="21.75" customHeight="1" x14ac:dyDescent="0.25">
      <c r="A52" s="3"/>
      <c r="B52" s="12" t="s">
        <v>581</v>
      </c>
      <c r="C52" s="12">
        <f>D36</f>
        <v>974.27531746666682</v>
      </c>
      <c r="D52" s="3"/>
      <c r="E52" s="3"/>
      <c r="F52" s="3"/>
      <c r="G52" s="3"/>
      <c r="H52" s="3"/>
      <c r="I52" s="3"/>
    </row>
    <row r="53" spans="1:9" ht="21.75" customHeight="1" thickBot="1" x14ac:dyDescent="0.3">
      <c r="A53" s="3"/>
      <c r="B53" s="12" t="s">
        <v>593</v>
      </c>
      <c r="C53" s="12">
        <f>C48</f>
        <v>614.79999999999995</v>
      </c>
      <c r="D53" s="3"/>
      <c r="E53" s="3"/>
      <c r="F53" s="3"/>
      <c r="G53" s="3"/>
      <c r="H53" s="3"/>
      <c r="I53" s="3"/>
    </row>
    <row r="54" spans="1:9" ht="18" customHeight="1" thickBot="1" x14ac:dyDescent="0.3">
      <c r="A54" s="24"/>
      <c r="B54" s="68" t="s">
        <v>297</v>
      </c>
      <c r="C54" s="68">
        <f>IFERROR(SUM(C51:C53),0)</f>
        <v>2004.4032508</v>
      </c>
      <c r="D54" s="24"/>
      <c r="E54" s="24"/>
      <c r="F54" s="24"/>
      <c r="G54" s="24"/>
      <c r="H54" s="24"/>
      <c r="I54" s="24"/>
    </row>
    <row r="55" spans="1:9" ht="18" customHeight="1" thickBot="1" x14ac:dyDescent="0.3">
      <c r="A55" s="9"/>
      <c r="B55" s="9"/>
      <c r="C55" s="9"/>
      <c r="D55" s="9"/>
      <c r="E55" s="9"/>
      <c r="F55" s="9"/>
      <c r="G55" s="9"/>
      <c r="H55" s="9"/>
      <c r="I55" s="9"/>
    </row>
    <row r="56" spans="1:9" ht="18" customHeight="1" thickBot="1" x14ac:dyDescent="0.3">
      <c r="A56" s="114" t="s">
        <v>613</v>
      </c>
      <c r="B56" s="108"/>
      <c r="C56" s="109"/>
      <c r="D56" s="8"/>
      <c r="E56" s="8"/>
      <c r="F56" s="8"/>
      <c r="G56" s="8"/>
      <c r="H56" s="8"/>
      <c r="I56" s="8"/>
    </row>
    <row r="57" spans="1:9" ht="18" customHeight="1" thickBot="1" x14ac:dyDescent="0.3">
      <c r="A57" s="3" t="s">
        <v>614</v>
      </c>
      <c r="B57" s="12" t="s">
        <v>615</v>
      </c>
      <c r="C57" s="3" t="s">
        <v>561</v>
      </c>
      <c r="D57" s="12" t="s">
        <v>137</v>
      </c>
      <c r="E57" s="3"/>
      <c r="F57" s="3"/>
      <c r="G57" s="3"/>
      <c r="H57" s="3"/>
      <c r="I57" s="3"/>
    </row>
    <row r="58" spans="1:9" ht="15.75" customHeight="1" thickBot="1" x14ac:dyDescent="0.3">
      <c r="A58" s="3" t="s">
        <v>595</v>
      </c>
      <c r="B58" s="12" t="s">
        <v>616</v>
      </c>
      <c r="C58" s="70">
        <f>C16*D58</f>
        <v>8.4691666666666663</v>
      </c>
      <c r="D58" s="2">
        <f>((1/12)*0.05)</f>
        <v>4.1666666666666666E-3</v>
      </c>
      <c r="E58" s="3"/>
      <c r="F58" s="3"/>
      <c r="G58" s="3"/>
      <c r="H58" s="3"/>
      <c r="I58" s="3"/>
    </row>
    <row r="59" spans="1:9" ht="26.25" customHeight="1" thickBot="1" x14ac:dyDescent="0.3">
      <c r="A59" s="3" t="s">
        <v>597</v>
      </c>
      <c r="B59" s="12" t="s">
        <v>617</v>
      </c>
      <c r="C59" s="70">
        <f>C16*D59</f>
        <v>0.67753333333333332</v>
      </c>
      <c r="D59" s="2">
        <f>D58*8%</f>
        <v>3.3333333333333332E-4</v>
      </c>
      <c r="E59" s="3"/>
      <c r="F59" s="3"/>
      <c r="G59" s="3"/>
      <c r="H59" s="3"/>
      <c r="I59" s="3"/>
    </row>
    <row r="60" spans="1:9" ht="26.25" customHeight="1" thickBot="1" x14ac:dyDescent="0.3">
      <c r="A60" s="3" t="s">
        <v>599</v>
      </c>
      <c r="B60" s="12" t="s">
        <v>618</v>
      </c>
      <c r="C60" s="70">
        <f>C16*D60</f>
        <v>69.92143999999999</v>
      </c>
      <c r="D60" s="2">
        <f>0.08*0.4*0.9*(1+1/12+1/12+(1/3*1/12))</f>
        <v>3.4399999999999993E-2</v>
      </c>
      <c r="E60" s="12" t="s">
        <v>1188</v>
      </c>
      <c r="F60" s="3"/>
      <c r="G60" s="3"/>
      <c r="H60" s="3"/>
      <c r="I60" s="3"/>
    </row>
    <row r="61" spans="1:9" ht="15.75" customHeight="1" thickBot="1" x14ac:dyDescent="0.3">
      <c r="A61" s="3" t="s">
        <v>601</v>
      </c>
      <c r="B61" s="12" t="s">
        <v>619</v>
      </c>
      <c r="C61" s="70">
        <f>C16*D61</f>
        <v>39.43244</v>
      </c>
      <c r="D61" s="2">
        <v>1.9400000000000001E-2</v>
      </c>
      <c r="E61" s="3"/>
      <c r="F61" s="3"/>
      <c r="G61" s="3"/>
      <c r="H61" s="3"/>
      <c r="I61" s="3"/>
    </row>
    <row r="62" spans="1:9" ht="25.5" customHeight="1" x14ac:dyDescent="0.25">
      <c r="A62" s="3" t="s">
        <v>603</v>
      </c>
      <c r="B62" s="12" t="s">
        <v>620</v>
      </c>
      <c r="C62" s="70">
        <f>C16*D62</f>
        <v>15.694111120000002</v>
      </c>
      <c r="D62" s="2">
        <f>C36*D61</f>
        <v>7.7212000000000018E-3</v>
      </c>
      <c r="E62" s="3"/>
      <c r="F62" s="3"/>
      <c r="G62" s="3"/>
      <c r="H62" s="3"/>
      <c r="I62" s="3"/>
    </row>
    <row r="63" spans="1:9" ht="25.5" customHeight="1" thickBot="1" x14ac:dyDescent="0.3">
      <c r="A63" s="3" t="s">
        <v>604</v>
      </c>
      <c r="B63" s="12" t="s">
        <v>621</v>
      </c>
      <c r="C63" s="70">
        <f>C16*D63</f>
        <v>1.2602119999999999</v>
      </c>
      <c r="D63" s="2">
        <v>6.2E-4</v>
      </c>
      <c r="E63" s="3"/>
      <c r="F63" s="3"/>
      <c r="G63" s="3"/>
      <c r="H63" s="3"/>
      <c r="I63" s="3"/>
    </row>
    <row r="64" spans="1:9" ht="21.75" customHeight="1" thickBot="1" x14ac:dyDescent="0.3">
      <c r="A64" s="3"/>
      <c r="B64" s="68" t="s">
        <v>297</v>
      </c>
      <c r="C64" s="68">
        <f>SUM(C58:C63)</f>
        <v>135.45490311999998</v>
      </c>
      <c r="D64" s="106">
        <f>SUM(D58:D63)</f>
        <v>6.6641199999999984E-2</v>
      </c>
      <c r="E64" s="3"/>
      <c r="F64" s="3"/>
      <c r="G64" s="3"/>
      <c r="H64" s="3"/>
      <c r="I64" s="3"/>
    </row>
    <row r="65" spans="1:9" ht="18" customHeight="1" x14ac:dyDescent="0.25">
      <c r="A65" s="9"/>
      <c r="B65" s="9"/>
      <c r="C65" s="9"/>
      <c r="D65" s="9"/>
      <c r="E65" s="9"/>
      <c r="F65" s="9"/>
      <c r="G65" s="9"/>
      <c r="H65" s="9"/>
      <c r="I65" s="9"/>
    </row>
    <row r="66" spans="1:9" ht="18" customHeight="1" thickBot="1" x14ac:dyDescent="0.3">
      <c r="A66" s="9"/>
      <c r="B66" s="9"/>
      <c r="C66" s="9"/>
      <c r="D66" s="9"/>
      <c r="E66" s="9"/>
      <c r="F66" s="9"/>
      <c r="G66" s="9"/>
      <c r="H66" s="9"/>
      <c r="I66" s="9"/>
    </row>
    <row r="67" spans="1:9" ht="18" customHeight="1" thickBot="1" x14ac:dyDescent="0.3">
      <c r="A67" s="114" t="s">
        <v>622</v>
      </c>
      <c r="B67" s="108"/>
      <c r="C67" s="109"/>
      <c r="D67" s="8"/>
      <c r="E67" s="8"/>
      <c r="F67" s="8"/>
      <c r="G67" s="8"/>
      <c r="H67" s="8"/>
      <c r="I67" s="8"/>
    </row>
    <row r="68" spans="1:9" ht="21.75" customHeight="1" thickBot="1" x14ac:dyDescent="0.3">
      <c r="A68" s="127" t="s">
        <v>623</v>
      </c>
      <c r="B68" s="108"/>
      <c r="C68" s="71" t="s">
        <v>561</v>
      </c>
      <c r="D68" s="72" t="s">
        <v>137</v>
      </c>
      <c r="E68" s="3"/>
      <c r="F68" s="3"/>
      <c r="G68" s="3"/>
      <c r="H68" s="3"/>
      <c r="I68" s="3"/>
    </row>
    <row r="69" spans="1:9" ht="25.5" customHeight="1" thickBot="1" x14ac:dyDescent="0.3">
      <c r="A69" s="3" t="s">
        <v>595</v>
      </c>
      <c r="B69" s="12" t="s">
        <v>624</v>
      </c>
      <c r="C69" s="12">
        <f>D69*C16</f>
        <v>34.610661111111106</v>
      </c>
      <c r="D69" s="2">
        <f>SUM(E22:E24)/12</f>
        <v>1.7027777777777777E-2</v>
      </c>
      <c r="E69" s="3"/>
      <c r="F69" s="3"/>
      <c r="G69" s="3"/>
      <c r="H69" s="3"/>
      <c r="I69" s="3"/>
    </row>
    <row r="70" spans="1:9" ht="26.25" customHeight="1" thickBot="1" x14ac:dyDescent="0.3">
      <c r="A70" s="3" t="s">
        <v>597</v>
      </c>
      <c r="B70" s="12" t="s">
        <v>625</v>
      </c>
      <c r="C70" s="12">
        <f>D70*C16</f>
        <v>16.66732</v>
      </c>
      <c r="D70" s="2">
        <v>8.2000000000000007E-3</v>
      </c>
      <c r="E70" s="3"/>
      <c r="F70" s="3"/>
      <c r="G70" s="3"/>
      <c r="H70" s="3"/>
      <c r="I70" s="3"/>
    </row>
    <row r="71" spans="1:9" ht="26.25" customHeight="1" thickBot="1" x14ac:dyDescent="0.3">
      <c r="A71" s="3" t="s">
        <v>599</v>
      </c>
      <c r="B71" s="12" t="s">
        <v>626</v>
      </c>
      <c r="C71" s="12">
        <f>D71*C16</f>
        <v>0.40651999999999999</v>
      </c>
      <c r="D71" s="2">
        <v>2.0000000000000001E-4</v>
      </c>
      <c r="E71" s="3"/>
      <c r="F71" s="3"/>
      <c r="G71" s="3"/>
      <c r="H71" s="3"/>
      <c r="I71" s="3"/>
    </row>
    <row r="72" spans="1:9" ht="26.25" customHeight="1" thickBot="1" x14ac:dyDescent="0.3">
      <c r="A72" s="3" t="s">
        <v>601</v>
      </c>
      <c r="B72" s="12" t="s">
        <v>627</v>
      </c>
      <c r="C72" s="12">
        <f>D72*C16</f>
        <v>1.42282</v>
      </c>
      <c r="D72" s="2">
        <v>6.9999999999999999E-4</v>
      </c>
      <c r="E72" s="3"/>
      <c r="F72" s="3"/>
      <c r="G72" s="3"/>
      <c r="H72" s="3"/>
      <c r="I72" s="3"/>
    </row>
    <row r="73" spans="1:9" ht="26.25" customHeight="1" thickBot="1" x14ac:dyDescent="0.3">
      <c r="A73" s="3" t="s">
        <v>603</v>
      </c>
      <c r="B73" s="12" t="s">
        <v>628</v>
      </c>
      <c r="C73" s="12">
        <f>D73*C16</f>
        <v>4.0651999999999999</v>
      </c>
      <c r="D73" s="2">
        <v>2E-3</v>
      </c>
      <c r="E73" s="3"/>
      <c r="F73" s="3"/>
      <c r="G73" s="3"/>
      <c r="H73" s="3"/>
      <c r="I73" s="3"/>
    </row>
    <row r="74" spans="1:9" ht="26.25" customHeight="1" thickBot="1" x14ac:dyDescent="0.3">
      <c r="A74" s="3" t="s">
        <v>604</v>
      </c>
      <c r="B74" s="12" t="s">
        <v>629</v>
      </c>
      <c r="C74" s="12">
        <f>D74*C16</f>
        <v>0</v>
      </c>
      <c r="D74" s="2">
        <v>0</v>
      </c>
      <c r="E74" s="3"/>
      <c r="F74" s="3"/>
      <c r="G74" s="3"/>
      <c r="H74" s="3"/>
      <c r="I74" s="3"/>
    </row>
    <row r="75" spans="1:9" ht="26.25" customHeight="1" thickBot="1" x14ac:dyDescent="0.3">
      <c r="A75" s="3"/>
      <c r="B75" s="12" t="s">
        <v>1185</v>
      </c>
      <c r="C75" s="75">
        <f>SUM(C69:C74)</f>
        <v>57.172521111111102</v>
      </c>
      <c r="D75" s="76"/>
      <c r="E75" s="3"/>
      <c r="F75" s="3"/>
      <c r="G75" s="3"/>
      <c r="H75" s="3"/>
      <c r="I75" s="3"/>
    </row>
    <row r="76" spans="1:9" ht="26.25" customHeight="1" thickBot="1" x14ac:dyDescent="0.3">
      <c r="A76" s="3"/>
      <c r="B76" s="12" t="s">
        <v>1186</v>
      </c>
      <c r="C76" s="75">
        <f>D76*C16</f>
        <v>57.172521111111109</v>
      </c>
      <c r="D76" s="76">
        <f>SUM(D69:D75)</f>
        <v>2.8127777777777779E-2</v>
      </c>
      <c r="E76" s="3"/>
      <c r="F76" s="3"/>
      <c r="G76" s="3"/>
      <c r="H76" s="3"/>
      <c r="I76" s="3"/>
    </row>
    <row r="77" spans="1:9" ht="18" customHeight="1" thickBot="1" x14ac:dyDescent="0.3">
      <c r="A77" s="127" t="s">
        <v>630</v>
      </c>
      <c r="B77" s="108"/>
      <c r="C77" s="73" t="s">
        <v>561</v>
      </c>
      <c r="D77" s="71"/>
      <c r="E77" s="3"/>
      <c r="F77" s="3"/>
      <c r="G77" s="3"/>
      <c r="H77" s="3"/>
      <c r="I77" s="3"/>
    </row>
    <row r="78" spans="1:9" ht="26.25" customHeight="1" thickBot="1" x14ac:dyDescent="0.3">
      <c r="A78" s="3" t="s">
        <v>595</v>
      </c>
      <c r="B78" s="12" t="s">
        <v>631</v>
      </c>
      <c r="C78" s="12">
        <f>(C15/220)*C13*15</f>
        <v>0</v>
      </c>
      <c r="D78" s="2"/>
      <c r="E78" s="3"/>
      <c r="F78" s="3"/>
      <c r="G78" s="3"/>
      <c r="H78" s="3"/>
      <c r="I78" s="3"/>
    </row>
    <row r="79" spans="1:9" ht="21.75" customHeight="1" thickBot="1" x14ac:dyDescent="0.3">
      <c r="A79" s="3"/>
      <c r="B79" s="12" t="s">
        <v>632</v>
      </c>
      <c r="C79" s="12">
        <f>SUM(C75:C76)</f>
        <v>114.34504222222222</v>
      </c>
      <c r="D79" s="3"/>
      <c r="E79" s="3"/>
      <c r="F79" s="3"/>
      <c r="G79" s="3"/>
      <c r="H79" s="3"/>
      <c r="I79" s="3"/>
    </row>
    <row r="80" spans="1:9" ht="18" customHeight="1" x14ac:dyDescent="0.25">
      <c r="A80" s="9"/>
      <c r="B80" s="9"/>
      <c r="C80" s="9"/>
      <c r="D80" s="9"/>
      <c r="E80" s="9"/>
      <c r="F80" s="9"/>
      <c r="G80" s="9"/>
      <c r="H80" s="9"/>
      <c r="I80" s="9"/>
    </row>
    <row r="81" spans="1:9" ht="18" customHeight="1" x14ac:dyDescent="0.25">
      <c r="A81" s="9"/>
      <c r="B81" s="9"/>
      <c r="C81" s="9"/>
      <c r="D81" s="9"/>
      <c r="E81" s="9"/>
      <c r="F81" s="9"/>
      <c r="G81" s="9"/>
      <c r="H81" s="9"/>
      <c r="I81" s="9"/>
    </row>
    <row r="82" spans="1:9" ht="18" customHeight="1" thickBot="1" x14ac:dyDescent="0.3">
      <c r="A82" s="114" t="s">
        <v>633</v>
      </c>
      <c r="B82" s="108"/>
      <c r="C82" s="109"/>
      <c r="D82" s="8"/>
      <c r="E82" s="8"/>
      <c r="F82" s="8"/>
      <c r="G82" s="8"/>
      <c r="H82" s="8"/>
      <c r="I82" s="8"/>
    </row>
    <row r="83" spans="1:9" ht="21.75" customHeight="1" thickBot="1" x14ac:dyDescent="0.3">
      <c r="A83" s="12" t="s">
        <v>634</v>
      </c>
      <c r="B83" s="12" t="s">
        <v>635</v>
      </c>
      <c r="C83" s="12" t="s">
        <v>561</v>
      </c>
      <c r="D83" s="3"/>
      <c r="E83" s="3"/>
      <c r="F83" s="3"/>
      <c r="G83" s="3"/>
      <c r="H83" s="3"/>
      <c r="I83" s="3"/>
    </row>
    <row r="84" spans="1:9" ht="18" customHeight="1" x14ac:dyDescent="0.25">
      <c r="A84" s="9"/>
      <c r="B84" s="85" t="s">
        <v>636</v>
      </c>
      <c r="C84" s="83">
        <v>94.54</v>
      </c>
      <c r="D84" s="9"/>
      <c r="E84" s="9"/>
      <c r="F84" s="9"/>
      <c r="G84" s="9"/>
      <c r="H84" s="9"/>
      <c r="I84" s="9"/>
    </row>
    <row r="85" spans="1:9" ht="18" customHeight="1" thickBot="1" x14ac:dyDescent="0.3">
      <c r="A85" s="9"/>
      <c r="B85" s="83" t="s">
        <v>637</v>
      </c>
      <c r="C85" s="83">
        <v>0</v>
      </c>
      <c r="D85" s="9"/>
      <c r="E85" s="9"/>
      <c r="F85" s="9"/>
      <c r="G85" s="9"/>
      <c r="H85" s="9"/>
      <c r="I85" s="9"/>
    </row>
    <row r="86" spans="1:9" ht="21.75" customHeight="1" thickBot="1" x14ac:dyDescent="0.3">
      <c r="A86" s="3"/>
      <c r="B86" s="68" t="s">
        <v>297</v>
      </c>
      <c r="C86" s="68">
        <f>C84+(C84*C85)</f>
        <v>94.54</v>
      </c>
      <c r="D86" s="3"/>
      <c r="E86" s="3"/>
      <c r="F86" s="3"/>
      <c r="G86" s="3"/>
      <c r="H86" s="3"/>
      <c r="I86" s="3"/>
    </row>
    <row r="87" spans="1:9" ht="18" customHeight="1" thickBot="1" x14ac:dyDescent="0.3">
      <c r="A87" s="9"/>
      <c r="B87" s="9"/>
      <c r="C87" s="9"/>
      <c r="D87" s="9"/>
      <c r="E87" s="9"/>
      <c r="F87" s="9"/>
      <c r="G87" s="9"/>
      <c r="H87" s="9"/>
      <c r="I87" s="9"/>
    </row>
    <row r="88" spans="1:9" ht="21.75" customHeight="1" thickBot="1" x14ac:dyDescent="0.3">
      <c r="A88" s="12" t="s">
        <v>638</v>
      </c>
      <c r="B88" s="12" t="s">
        <v>639</v>
      </c>
      <c r="C88" s="12" t="s">
        <v>561</v>
      </c>
      <c r="D88" s="3"/>
      <c r="E88" s="3"/>
      <c r="F88" s="3"/>
      <c r="G88" s="3"/>
      <c r="H88" s="3"/>
      <c r="I88" s="3"/>
    </row>
    <row r="89" spans="1:9" ht="18" customHeight="1" x14ac:dyDescent="0.25">
      <c r="A89" s="9"/>
      <c r="B89" s="85" t="s">
        <v>636</v>
      </c>
      <c r="C89" s="83">
        <v>346.73</v>
      </c>
      <c r="D89" s="9"/>
      <c r="E89" s="9"/>
      <c r="F89" s="9"/>
      <c r="G89" s="9"/>
      <c r="H89" s="9"/>
      <c r="I89" s="9"/>
    </row>
    <row r="90" spans="1:9" ht="18" customHeight="1" thickBot="1" x14ac:dyDescent="0.3">
      <c r="A90" s="9"/>
      <c r="B90" s="83" t="s">
        <v>637</v>
      </c>
      <c r="C90" s="83">
        <v>0</v>
      </c>
      <c r="D90" s="9"/>
      <c r="E90" s="9"/>
      <c r="F90" s="9"/>
      <c r="G90" s="9"/>
      <c r="H90" s="9"/>
      <c r="I90" s="9"/>
    </row>
    <row r="91" spans="1:9" ht="38.25" customHeight="1" thickBot="1" x14ac:dyDescent="0.3">
      <c r="A91" s="3"/>
      <c r="B91" s="12" t="s">
        <v>640</v>
      </c>
      <c r="C91" s="12">
        <f>(C89+(C89*C90))*3.2%</f>
        <v>11.095360000000001</v>
      </c>
      <c r="D91" s="3"/>
      <c r="E91" s="3"/>
      <c r="F91" s="3"/>
      <c r="G91" s="3"/>
      <c r="H91" s="3"/>
      <c r="I91" s="3"/>
    </row>
    <row r="92" spans="1:9" ht="15" customHeight="1" thickBot="1" x14ac:dyDescent="0.3">
      <c r="A92" s="3"/>
      <c r="B92" s="12" t="s">
        <v>641</v>
      </c>
      <c r="C92" s="12">
        <f>(C89+(C89*C90))-C91</f>
        <v>335.63463999999999</v>
      </c>
      <c r="D92" s="3"/>
      <c r="E92" s="3"/>
      <c r="F92" s="3"/>
      <c r="G92" s="3"/>
      <c r="H92" s="3"/>
      <c r="I92" s="3"/>
    </row>
    <row r="93" spans="1:9" ht="18" customHeight="1" x14ac:dyDescent="0.25">
      <c r="A93" s="9"/>
      <c r="B93" s="9"/>
      <c r="C93" s="9"/>
      <c r="D93" s="9"/>
      <c r="E93" s="9"/>
      <c r="F93" s="9"/>
      <c r="G93" s="9"/>
      <c r="H93" s="9"/>
      <c r="I93" s="9"/>
    </row>
    <row r="94" spans="1:9" ht="18" customHeight="1" x14ac:dyDescent="0.25">
      <c r="A94" s="114" t="s">
        <v>633</v>
      </c>
      <c r="B94" s="108"/>
      <c r="C94" s="109"/>
      <c r="D94" s="8"/>
      <c r="E94" s="8"/>
      <c r="F94" s="8"/>
      <c r="G94" s="8"/>
      <c r="H94" s="8"/>
      <c r="I94" s="8"/>
    </row>
    <row r="95" spans="1:9" ht="21.75" customHeight="1" x14ac:dyDescent="0.25">
      <c r="A95" s="3"/>
      <c r="B95" s="12" t="s">
        <v>634</v>
      </c>
      <c r="C95" s="12">
        <f>C86</f>
        <v>94.54</v>
      </c>
      <c r="D95" s="3"/>
      <c r="E95" s="3"/>
      <c r="F95" s="3"/>
      <c r="G95" s="3"/>
      <c r="H95" s="3"/>
      <c r="I95" s="3"/>
    </row>
    <row r="96" spans="1:9" ht="21.75" customHeight="1" thickBot="1" x14ac:dyDescent="0.3">
      <c r="A96" s="3"/>
      <c r="B96" s="12" t="s">
        <v>638</v>
      </c>
      <c r="C96" s="12">
        <f>C92</f>
        <v>335.63463999999999</v>
      </c>
      <c r="D96" s="3"/>
      <c r="E96" s="3"/>
      <c r="F96" s="3"/>
      <c r="G96" s="3"/>
      <c r="H96" s="3"/>
      <c r="I96" s="3"/>
    </row>
    <row r="97" spans="1:9" ht="21.75" customHeight="1" thickBot="1" x14ac:dyDescent="0.3">
      <c r="A97" s="3"/>
      <c r="B97" s="68" t="s">
        <v>297</v>
      </c>
      <c r="C97" s="68">
        <f>IFERROR(C95+C96,0)</f>
        <v>430.17464000000001</v>
      </c>
      <c r="D97" s="3"/>
      <c r="E97" s="3"/>
      <c r="F97" s="3"/>
      <c r="G97" s="3"/>
      <c r="H97" s="3"/>
      <c r="I97" s="3"/>
    </row>
    <row r="98" spans="1:9" ht="18" customHeight="1" x14ac:dyDescent="0.25">
      <c r="A98" s="9"/>
      <c r="B98" s="9"/>
      <c r="C98" s="9"/>
      <c r="D98" s="9"/>
      <c r="E98" s="9"/>
      <c r="F98" s="9"/>
      <c r="G98" s="9"/>
      <c r="H98" s="9"/>
      <c r="I98" s="9"/>
    </row>
    <row r="99" spans="1:9" ht="18" customHeight="1" x14ac:dyDescent="0.25">
      <c r="A99" s="9"/>
      <c r="B99" s="9"/>
      <c r="C99" s="9"/>
      <c r="D99" s="9"/>
      <c r="E99" s="9"/>
      <c r="F99" s="9"/>
      <c r="G99" s="9"/>
      <c r="H99" s="9"/>
      <c r="I99" s="9"/>
    </row>
    <row r="100" spans="1:9" ht="18" customHeight="1" x14ac:dyDescent="0.25">
      <c r="A100" s="114" t="s">
        <v>642</v>
      </c>
      <c r="B100" s="108"/>
      <c r="C100" s="109"/>
      <c r="D100" s="8"/>
      <c r="E100" s="8"/>
      <c r="F100" s="8"/>
      <c r="G100" s="8"/>
      <c r="H100" s="8"/>
      <c r="I100" s="8"/>
    </row>
    <row r="101" spans="1:9" ht="25.5" customHeight="1" x14ac:dyDescent="0.25">
      <c r="A101" s="3"/>
      <c r="B101" s="12" t="s">
        <v>643</v>
      </c>
      <c r="C101" s="12">
        <f>IFERROR(C16+C54+C64+C79+C97,0)</f>
        <v>4716.9778361422223</v>
      </c>
      <c r="D101" s="3"/>
      <c r="E101" s="125" t="s">
        <v>644</v>
      </c>
      <c r="F101" s="12" t="s">
        <v>645</v>
      </c>
      <c r="G101" s="129">
        <f>-1</f>
        <v>-1</v>
      </c>
      <c r="H101" s="3"/>
      <c r="I101" s="3"/>
    </row>
    <row r="102" spans="1:9" ht="21.75" customHeight="1" thickBot="1" x14ac:dyDescent="0.3">
      <c r="A102" s="3"/>
      <c r="B102" s="12" t="s">
        <v>646</v>
      </c>
      <c r="C102" s="2">
        <f>(1+F114)/(1-F109-F115)-100%</f>
        <v>0.30445795339412363</v>
      </c>
      <c r="D102" s="3"/>
      <c r="E102" s="126"/>
      <c r="F102" s="12" t="s">
        <v>647</v>
      </c>
      <c r="G102" s="126"/>
      <c r="H102" s="3"/>
      <c r="I102" s="3"/>
    </row>
    <row r="103" spans="1:9" ht="21.75" customHeight="1" thickBot="1" x14ac:dyDescent="0.3">
      <c r="A103" s="3"/>
      <c r="B103" s="6" t="s">
        <v>648</v>
      </c>
      <c r="C103" s="68">
        <f>IFERROR(C101*C102,0)</f>
        <v>1436.1214181973028</v>
      </c>
      <c r="D103" s="3"/>
      <c r="E103" s="3"/>
      <c r="F103" s="3"/>
      <c r="G103" s="3"/>
      <c r="H103" s="3"/>
      <c r="I103" s="3"/>
    </row>
    <row r="104" spans="1:9" ht="18" customHeight="1" x14ac:dyDescent="0.25">
      <c r="A104" s="9"/>
      <c r="B104" s="9"/>
      <c r="C104" s="9"/>
      <c r="D104" s="9"/>
      <c r="E104" s="9"/>
      <c r="F104" s="9"/>
      <c r="G104" s="9"/>
      <c r="H104" s="9"/>
      <c r="I104" s="9"/>
    </row>
    <row r="105" spans="1:9" ht="18" customHeight="1" x14ac:dyDescent="0.25">
      <c r="A105" s="9"/>
      <c r="B105" s="9"/>
      <c r="C105" s="9"/>
      <c r="D105" s="43"/>
      <c r="E105" s="1"/>
      <c r="F105" s="19"/>
      <c r="G105" s="139"/>
      <c r="H105" s="9"/>
      <c r="I105" s="9"/>
    </row>
    <row r="106" spans="1:9" ht="21.75" customHeight="1" x14ac:dyDescent="0.25">
      <c r="A106" s="115" t="s">
        <v>649</v>
      </c>
      <c r="B106" s="109"/>
      <c r="C106" s="3"/>
      <c r="D106" s="13"/>
      <c r="E106" s="44"/>
      <c r="F106" s="13"/>
      <c r="G106" s="140"/>
      <c r="H106" s="3"/>
      <c r="I106" s="2"/>
    </row>
    <row r="107" spans="1:9" ht="18" customHeight="1" x14ac:dyDescent="0.25">
      <c r="A107" s="9"/>
      <c r="B107" s="9"/>
      <c r="C107" s="9"/>
      <c r="D107" s="9"/>
      <c r="E107" s="9"/>
      <c r="F107" s="9"/>
      <c r="G107" s="9"/>
      <c r="H107" s="9"/>
      <c r="I107" s="35"/>
    </row>
    <row r="108" spans="1:9" ht="21.75" customHeight="1" x14ac:dyDescent="0.25">
      <c r="A108" s="12" t="s">
        <v>650</v>
      </c>
      <c r="B108" s="12" t="s">
        <v>1137</v>
      </c>
      <c r="C108" s="3"/>
      <c r="D108" s="3"/>
      <c r="E108" s="3"/>
      <c r="F108" s="3"/>
      <c r="G108" s="3"/>
      <c r="H108" s="3"/>
      <c r="I108" s="3"/>
    </row>
    <row r="109" spans="1:9" ht="21.75" customHeight="1" x14ac:dyDescent="0.25">
      <c r="A109" s="12" t="s">
        <v>652</v>
      </c>
      <c r="B109" s="12">
        <f>IFERROR(C16,0)</f>
        <v>2032.6</v>
      </c>
      <c r="C109" s="3"/>
      <c r="D109" s="3"/>
      <c r="E109" s="80" t="s">
        <v>653</v>
      </c>
      <c r="F109" s="81">
        <f>SUM(F110:F112)</f>
        <v>0.14250000000000002</v>
      </c>
      <c r="G109" s="100" t="s">
        <v>561</v>
      </c>
      <c r="H109" s="3"/>
      <c r="I109" s="3"/>
    </row>
    <row r="110" spans="1:9" ht="21.75" customHeight="1" x14ac:dyDescent="0.25">
      <c r="A110" s="12" t="s">
        <v>654</v>
      </c>
      <c r="B110" s="12">
        <f>IFERROR(C54,0)</f>
        <v>2004.4032508</v>
      </c>
      <c r="C110" s="3"/>
      <c r="D110" s="3"/>
      <c r="E110" s="80" t="s">
        <v>655</v>
      </c>
      <c r="F110" s="81">
        <v>0.05</v>
      </c>
      <c r="G110" s="103">
        <f>F110*C101</f>
        <v>235.84889180711113</v>
      </c>
      <c r="H110" s="3"/>
      <c r="I110" s="3"/>
    </row>
    <row r="111" spans="1:9" ht="21.75" customHeight="1" x14ac:dyDescent="0.25">
      <c r="A111" s="12" t="s">
        <v>656</v>
      </c>
      <c r="B111" s="12">
        <f>IFERROR(C64,0)</f>
        <v>135.45490311999998</v>
      </c>
      <c r="C111" s="3"/>
      <c r="D111" s="3"/>
      <c r="E111" s="80" t="s">
        <v>657</v>
      </c>
      <c r="F111" s="81">
        <v>7.5999999999999998E-2</v>
      </c>
      <c r="G111" s="103">
        <f>F111*C101</f>
        <v>358.49031554680886</v>
      </c>
      <c r="H111" s="3"/>
      <c r="I111" s="3"/>
    </row>
    <row r="112" spans="1:9" ht="21.75" customHeight="1" x14ac:dyDescent="0.25">
      <c r="A112" s="12" t="s">
        <v>658</v>
      </c>
      <c r="B112" s="12">
        <f>IFERROR(C79,0)</f>
        <v>114.34504222222222</v>
      </c>
      <c r="C112" s="3"/>
      <c r="D112" s="3"/>
      <c r="E112" s="80" t="s">
        <v>659</v>
      </c>
      <c r="F112" s="81">
        <v>1.6500000000000001E-2</v>
      </c>
      <c r="G112" s="103">
        <f>F112*C101</f>
        <v>77.830134296346671</v>
      </c>
      <c r="H112" s="3"/>
      <c r="I112" s="3"/>
    </row>
    <row r="113" spans="1:9" ht="21.75" customHeight="1" x14ac:dyDescent="0.25">
      <c r="A113" s="12" t="s">
        <v>660</v>
      </c>
      <c r="B113" s="12">
        <f>IFERROR(C97,0)</f>
        <v>430.17464000000001</v>
      </c>
      <c r="C113" s="3"/>
      <c r="D113" s="3"/>
      <c r="E113" s="100"/>
      <c r="F113" s="81"/>
      <c r="G113" s="103"/>
      <c r="H113" s="3"/>
      <c r="I113" s="3"/>
    </row>
    <row r="114" spans="1:9" ht="21.75" customHeight="1" thickBot="1" x14ac:dyDescent="0.3">
      <c r="A114" s="12" t="s">
        <v>661</v>
      </c>
      <c r="B114" s="12">
        <f>IFERROR(C103,0)</f>
        <v>1436.1214181973028</v>
      </c>
      <c r="C114" s="3"/>
      <c r="D114" s="3"/>
      <c r="E114" s="80" t="s">
        <v>662</v>
      </c>
      <c r="F114" s="81">
        <v>0.03</v>
      </c>
      <c r="G114" s="103">
        <f>F114*C101</f>
        <v>141.50933508426667</v>
      </c>
      <c r="H114" s="3"/>
      <c r="I114" s="3"/>
    </row>
    <row r="115" spans="1:9" ht="18" customHeight="1" thickBot="1" x14ac:dyDescent="0.3">
      <c r="A115" s="68" t="s">
        <v>663</v>
      </c>
      <c r="B115" s="68">
        <f>IFERROR(SUM(B109:B114),0)</f>
        <v>6153.099254339525</v>
      </c>
      <c r="C115" s="24"/>
      <c r="D115" s="24"/>
      <c r="E115" s="101" t="s">
        <v>664</v>
      </c>
      <c r="F115" s="102">
        <v>6.7900000000000002E-2</v>
      </c>
      <c r="G115" s="103">
        <f>F115*C101</f>
        <v>320.28279507405688</v>
      </c>
      <c r="H115" s="24"/>
      <c r="I115" s="24"/>
    </row>
    <row r="116" spans="1:9" ht="13.5" customHeight="1" x14ac:dyDescent="0.25">
      <c r="G116" s="31"/>
    </row>
  </sheetData>
  <autoFilter ref="A6:I115" xr:uid="{00000000-0009-0000-0000-000022000000}"/>
  <mergeCells count="15">
    <mergeCell ref="A100:C100"/>
    <mergeCell ref="A19:C19"/>
    <mergeCell ref="A2:I2"/>
    <mergeCell ref="A106:B106"/>
    <mergeCell ref="A82:C82"/>
    <mergeCell ref="G105:G106"/>
    <mergeCell ref="A68:B68"/>
    <mergeCell ref="G101:G102"/>
    <mergeCell ref="E101:E102"/>
    <mergeCell ref="A77:B77"/>
    <mergeCell ref="A56:C56"/>
    <mergeCell ref="A67:C67"/>
    <mergeCell ref="F38:I38"/>
    <mergeCell ref="A94:C94"/>
    <mergeCell ref="A50:C50"/>
  </mergeCells>
  <printOptions horizontalCentered="1"/>
  <pageMargins left="0.35" right="0.35" top="0.55000000000000004" bottom="0.55000000000000004" header="0.511811023622047" footer="0.511811023622047"/>
  <pageSetup paperSize="9" scale="73" fitToHeight="0" pageOrder="overThenDown" orientation="landscape" useFirstPageNumber="1" horizontalDpi="300" verticalDpi="300"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pageSetUpPr fitToPage="1"/>
  </sheetPr>
  <dimension ref="B1:U1048576"/>
  <sheetViews>
    <sheetView showGridLines="0" zoomScaleNormal="100" workbookViewId="0">
      <selection activeCell="I15" sqref="I15"/>
    </sheetView>
  </sheetViews>
  <sheetFormatPr defaultColWidth="8.5703125" defaultRowHeight="15" x14ac:dyDescent="0.25"/>
  <cols>
    <col min="1" max="1" width="5" customWidth="1"/>
    <col min="2" max="2" width="8" customWidth="1"/>
    <col min="3" max="3" width="34" customWidth="1"/>
    <col min="4" max="4" width="15" style="94" customWidth="1"/>
    <col min="5" max="5" width="13" style="94" customWidth="1"/>
    <col min="6" max="6" width="23" style="94" customWidth="1"/>
    <col min="7" max="7" width="13" style="94" customWidth="1"/>
    <col min="8" max="8" width="30.28515625" style="94" customWidth="1"/>
    <col min="9" max="9" width="18" style="94" customWidth="1"/>
    <col min="10" max="10" width="29.85546875" style="94" customWidth="1"/>
    <col min="11" max="11" width="15" style="94" customWidth="1"/>
    <col min="12" max="12" width="8" style="94" customWidth="1"/>
    <col min="13" max="13" width="20" style="94" customWidth="1"/>
    <col min="14" max="14" width="19" style="94" customWidth="1"/>
    <col min="15" max="15" width="17.7109375" customWidth="1"/>
    <col min="16" max="16" width="6.140625" customWidth="1"/>
    <col min="17" max="17" width="37.5703125" customWidth="1"/>
    <col min="18" max="18" width="8.42578125" customWidth="1"/>
    <col min="19" max="19" width="10.5703125" customWidth="1"/>
    <col min="20" max="20" width="15" customWidth="1"/>
    <col min="21" max="21" width="18.42578125" customWidth="1"/>
  </cols>
  <sheetData>
    <row r="1" spans="2:21" ht="13.5" customHeight="1" x14ac:dyDescent="0.25"/>
    <row r="2" spans="2:21" ht="13.5" customHeight="1" x14ac:dyDescent="0.25"/>
    <row r="3" spans="2:21" ht="13.5" customHeight="1" x14ac:dyDescent="0.25"/>
    <row r="4" spans="2:21" ht="13.5" customHeight="1" x14ac:dyDescent="0.25"/>
    <row r="5" spans="2:21" ht="18" customHeight="1" x14ac:dyDescent="0.25">
      <c r="B5" s="141" t="s">
        <v>1138</v>
      </c>
      <c r="C5" s="119"/>
      <c r="D5" s="119"/>
      <c r="E5" s="119"/>
      <c r="F5" s="119"/>
      <c r="G5" s="119"/>
      <c r="H5" s="119"/>
      <c r="I5" s="119"/>
      <c r="J5" s="119"/>
      <c r="K5" s="119"/>
      <c r="L5" s="119"/>
      <c r="M5" s="119"/>
      <c r="N5" s="138"/>
    </row>
    <row r="6" spans="2:21" ht="21.75" customHeight="1" x14ac:dyDescent="0.25">
      <c r="B6" s="3"/>
      <c r="C6" s="6" t="s">
        <v>650</v>
      </c>
      <c r="D6" s="68" t="s">
        <v>678</v>
      </c>
      <c r="E6" s="68" t="s">
        <v>652</v>
      </c>
      <c r="F6" s="68" t="s">
        <v>654</v>
      </c>
      <c r="G6" s="68" t="s">
        <v>656</v>
      </c>
      <c r="H6" s="33" t="s">
        <v>658</v>
      </c>
      <c r="I6" s="33" t="s">
        <v>660</v>
      </c>
      <c r="J6" s="68" t="s">
        <v>661</v>
      </c>
      <c r="K6" s="68" t="s">
        <v>679</v>
      </c>
      <c r="L6" s="33" t="s">
        <v>680</v>
      </c>
      <c r="M6" s="68" t="s">
        <v>681</v>
      </c>
      <c r="N6" s="68" t="s">
        <v>682</v>
      </c>
      <c r="P6" s="50"/>
      <c r="Q6" s="50"/>
      <c r="R6" s="50"/>
      <c r="S6" s="50"/>
      <c r="T6" s="50"/>
      <c r="U6" s="50"/>
    </row>
    <row r="7" spans="2:21" ht="21.75" customHeight="1" x14ac:dyDescent="0.25">
      <c r="B7" s="3" t="s">
        <v>332</v>
      </c>
      <c r="C7" s="12" t="s">
        <v>1139</v>
      </c>
      <c r="D7" s="2">
        <v>0</v>
      </c>
      <c r="E7" s="12">
        <f>IFERROR('L4 Calc Rocada'!C16,0)</f>
        <v>2032.6</v>
      </c>
      <c r="F7" s="12">
        <f>IFERROR('L4 Calc Rocada'!C54,0)</f>
        <v>2004.4032508</v>
      </c>
      <c r="G7" s="12">
        <f>IFERROR('L4 Calc Rocada'!C64,0)</f>
        <v>135.45490311999998</v>
      </c>
      <c r="H7" s="22">
        <f>IFERROR('L4 Calc Rocada'!C79,0)</f>
        <v>114.34504222222222</v>
      </c>
      <c r="I7" s="22">
        <f>IFERROR('L4 Calc Rocada'!C97,0)</f>
        <v>430.17464000000001</v>
      </c>
      <c r="J7" s="12">
        <f>IFERROR('L4 Calc Rocada'!C103,0)</f>
        <v>1436.1214181973028</v>
      </c>
      <c r="K7" s="12">
        <f>IFERROR('L4 Calc Rocada'!B115,0)</f>
        <v>6153.099254339525</v>
      </c>
      <c r="L7" s="22">
        <f>IFERROR('L4 Dim ETP'!$M$6,0)</f>
        <v>2</v>
      </c>
      <c r="M7" s="12">
        <f>IFERROR(K7*L7,0)</f>
        <v>12306.19850867905</v>
      </c>
      <c r="N7" s="12">
        <f>IFERROR(M7*12,0)</f>
        <v>147674.38210414859</v>
      </c>
    </row>
    <row r="8" spans="2:21" ht="18" customHeight="1" x14ac:dyDescent="0.25">
      <c r="B8" s="9"/>
      <c r="C8" s="9"/>
      <c r="D8" s="92"/>
      <c r="E8" s="92"/>
      <c r="F8" s="92"/>
      <c r="G8" s="92"/>
      <c r="H8" s="92"/>
      <c r="I8" s="92"/>
      <c r="J8" s="92"/>
      <c r="K8" s="92"/>
      <c r="L8" s="92"/>
      <c r="M8" s="92"/>
      <c r="N8" s="92"/>
    </row>
    <row r="9" spans="2:21" ht="21.75" customHeight="1" x14ac:dyDescent="0.25">
      <c r="B9" s="3"/>
      <c r="C9" s="12" t="s">
        <v>1139</v>
      </c>
      <c r="D9" s="3">
        <f>IFERROR(L7,0)</f>
        <v>2</v>
      </c>
      <c r="E9" s="12">
        <f>IFERROR(K7,0)</f>
        <v>6153.099254339525</v>
      </c>
      <c r="F9" s="12">
        <f>IFERROR(D9*E9,0)</f>
        <v>12306.19850867905</v>
      </c>
      <c r="G9" s="12">
        <f>IFERROR(F9*12,0)</f>
        <v>147674.38210414859</v>
      </c>
      <c r="H9" s="3"/>
      <c r="I9" s="3"/>
      <c r="J9" s="3"/>
      <c r="K9" s="3"/>
      <c r="L9" s="3"/>
      <c r="M9" s="3"/>
      <c r="N9" s="3"/>
    </row>
    <row r="10" spans="2:21" ht="18" customHeight="1" x14ac:dyDescent="0.25">
      <c r="B10" s="24"/>
      <c r="C10" s="6" t="s">
        <v>297</v>
      </c>
      <c r="D10" s="3">
        <v>2</v>
      </c>
      <c r="E10" s="68">
        <f>IFERROR(SUM(E9:E9),0)</f>
        <v>6153.099254339525</v>
      </c>
      <c r="F10" s="68">
        <f>IFERROR(SUM(F9:F9),0)</f>
        <v>12306.19850867905</v>
      </c>
      <c r="G10" s="68">
        <f>IFERROR(SUM(G9:G9),0)</f>
        <v>147674.38210414859</v>
      </c>
      <c r="H10" s="105"/>
      <c r="I10" s="105"/>
      <c r="J10" s="105"/>
      <c r="K10" s="105"/>
      <c r="L10" s="105"/>
      <c r="M10" s="105"/>
      <c r="N10" s="105"/>
    </row>
    <row r="1048543" ht="12.75" customHeight="1" x14ac:dyDescent="0.25"/>
    <row r="1048544" ht="12.75" customHeight="1" x14ac:dyDescent="0.25"/>
    <row r="1048545" ht="12.75" customHeight="1" x14ac:dyDescent="0.25"/>
    <row r="1048546" ht="12.75" customHeight="1" x14ac:dyDescent="0.25"/>
    <row r="1048547" ht="12.75" customHeight="1" x14ac:dyDescent="0.25"/>
    <row r="1048548" ht="12.75" customHeight="1" x14ac:dyDescent="0.25"/>
    <row r="1048549" ht="12.75" customHeight="1" x14ac:dyDescent="0.25"/>
    <row r="1048550" ht="12.75" customHeight="1" x14ac:dyDescent="0.25"/>
    <row r="1048551" ht="12.75" customHeight="1" x14ac:dyDescent="0.25"/>
    <row r="1048552" ht="12.75" customHeight="1" x14ac:dyDescent="0.25"/>
    <row r="1048553" ht="12.75" customHeight="1" x14ac:dyDescent="0.25"/>
    <row r="1048554" ht="12.75" customHeight="1" x14ac:dyDescent="0.25"/>
    <row r="1048555" ht="12.75" customHeight="1" x14ac:dyDescent="0.25"/>
    <row r="1048556" ht="12.75" customHeight="1" x14ac:dyDescent="0.25"/>
    <row r="1048557" ht="12.75" customHeight="1" x14ac:dyDescent="0.25"/>
    <row r="1048558" ht="12.75" customHeight="1" x14ac:dyDescent="0.25"/>
    <row r="1048559" ht="12.75" customHeight="1" x14ac:dyDescent="0.25"/>
    <row r="1048560" ht="12.75" customHeight="1" x14ac:dyDescent="0.25"/>
    <row r="1048561" ht="12.75" customHeight="1" x14ac:dyDescent="0.25"/>
    <row r="1048562" ht="12.75" customHeight="1" x14ac:dyDescent="0.25"/>
    <row r="1048563" ht="12.75" customHeight="1" x14ac:dyDescent="0.25"/>
    <row r="1048564" ht="12.75" customHeight="1" x14ac:dyDescent="0.25"/>
    <row r="1048565" ht="12.75" customHeight="1" x14ac:dyDescent="0.25"/>
    <row r="1048566" ht="12.75" customHeight="1" x14ac:dyDescent="0.25"/>
    <row r="1048567" ht="12.75" customHeight="1" x14ac:dyDescent="0.25"/>
    <row r="1048568" ht="12.75" customHeight="1" x14ac:dyDescent="0.25"/>
    <row r="1048569" ht="12.75" customHeight="1" x14ac:dyDescent="0.25"/>
    <row r="1048570" ht="12.75" customHeight="1" x14ac:dyDescent="0.25"/>
    <row r="1048571" ht="12.75" customHeight="1" x14ac:dyDescent="0.25"/>
    <row r="1048572" ht="12.75" customHeight="1" x14ac:dyDescent="0.25"/>
    <row r="1048573" ht="12.75" customHeight="1" x14ac:dyDescent="0.25"/>
    <row r="1048574" ht="12.75" customHeight="1" x14ac:dyDescent="0.25"/>
    <row r="1048575" ht="12.75" customHeight="1" x14ac:dyDescent="0.25"/>
    <row r="1048576" ht="12.75" customHeight="1" x14ac:dyDescent="0.25"/>
  </sheetData>
  <autoFilter ref="B6:N10" xr:uid="{00000000-0009-0000-0000-000023000000}"/>
  <mergeCells count="1">
    <mergeCell ref="B5:N5"/>
  </mergeCells>
  <printOptions horizontalCentered="1"/>
  <pageMargins left="0.35" right="0.35" top="0.55000000000000004" bottom="0.55000000000000004" header="0.511811023622047" footer="0.511811023622047"/>
  <pageSetup paperSize="9" scale="56" fitToHeight="0" pageOrder="overThenDown" orientation="landscape" useFirstPageNumber="1" horizontalDpi="300" verticalDpi="300"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pageSetUpPr fitToPage="1"/>
  </sheetPr>
  <dimension ref="A1:N53"/>
  <sheetViews>
    <sheetView showGridLines="0" zoomScaleNormal="100" workbookViewId="0">
      <pane ySplit="4" topLeftCell="A5" activePane="bottomLeft" state="frozen"/>
      <selection pane="bottomLeft"/>
    </sheetView>
  </sheetViews>
  <sheetFormatPr defaultColWidth="8.5703125" defaultRowHeight="15" x14ac:dyDescent="0.25"/>
  <cols>
    <col min="1" max="3" width="34" customWidth="1"/>
    <col min="4" max="4" width="11" customWidth="1"/>
    <col min="5" max="5" width="13" customWidth="1"/>
    <col min="6" max="6" width="14" customWidth="1"/>
    <col min="7" max="7" width="34" customWidth="1"/>
    <col min="8" max="8" width="11" customWidth="1"/>
    <col min="9" max="9" width="14" customWidth="1"/>
    <col min="10" max="10" width="25" customWidth="1"/>
    <col min="11" max="11" width="8" customWidth="1"/>
    <col min="12" max="12" width="32" customWidth="1"/>
    <col min="13" max="13" width="34" customWidth="1"/>
    <col min="14" max="14" width="8" customWidth="1"/>
  </cols>
  <sheetData>
    <row r="1" spans="1:14" ht="24" customHeight="1" x14ac:dyDescent="0.25">
      <c r="A1" s="121" t="s">
        <v>1140</v>
      </c>
      <c r="B1" s="108"/>
      <c r="C1" s="108"/>
      <c r="D1" s="108"/>
      <c r="E1" s="108"/>
      <c r="F1" s="108"/>
      <c r="G1" s="108"/>
      <c r="H1" s="108"/>
      <c r="I1" s="108"/>
      <c r="J1" s="109"/>
      <c r="K1" s="11"/>
      <c r="L1" s="121" t="s">
        <v>963</v>
      </c>
      <c r="M1" s="108"/>
      <c r="N1" s="109"/>
    </row>
    <row r="2" spans="1:14" ht="24" customHeight="1" x14ac:dyDescent="0.25">
      <c r="A2" s="115" t="s">
        <v>1141</v>
      </c>
      <c r="B2" s="108"/>
      <c r="C2" s="108"/>
      <c r="D2" s="108"/>
      <c r="E2" s="108"/>
      <c r="F2" s="108"/>
      <c r="G2" s="108"/>
      <c r="H2" s="108"/>
      <c r="I2" s="108"/>
      <c r="J2" s="109"/>
      <c r="K2" s="11"/>
      <c r="L2" s="11"/>
      <c r="M2" s="11"/>
      <c r="N2" s="11"/>
    </row>
    <row r="3" spans="1:14" ht="24" customHeight="1" x14ac:dyDescent="0.25">
      <c r="A3" s="121" t="s">
        <v>1142</v>
      </c>
      <c r="B3" s="108"/>
      <c r="C3" s="108"/>
      <c r="D3" s="108"/>
      <c r="E3" s="108"/>
      <c r="F3" s="108"/>
      <c r="G3" s="108"/>
      <c r="H3" s="108"/>
      <c r="I3" s="108"/>
      <c r="J3" s="109"/>
      <c r="K3" s="11"/>
      <c r="L3" s="5" t="s">
        <v>6</v>
      </c>
      <c r="M3" s="4" t="s">
        <v>1038</v>
      </c>
      <c r="N3" s="11"/>
    </row>
    <row r="4" spans="1:14" ht="21.75" customHeight="1" x14ac:dyDescent="0.25">
      <c r="A4" s="3"/>
      <c r="B4" s="3"/>
      <c r="C4" s="3"/>
      <c r="D4" s="3"/>
      <c r="E4" s="3"/>
      <c r="F4" s="3"/>
      <c r="G4" s="3"/>
      <c r="H4" s="3"/>
      <c r="I4" s="3"/>
      <c r="J4" s="3"/>
      <c r="K4" s="3"/>
      <c r="L4" s="12" t="s">
        <v>7</v>
      </c>
      <c r="M4" s="2" t="s">
        <v>1139</v>
      </c>
      <c r="N4" s="3"/>
    </row>
    <row r="5" spans="1:14" ht="18" customHeight="1" x14ac:dyDescent="0.25">
      <c r="A5" s="114" t="s">
        <v>1143</v>
      </c>
      <c r="B5" s="108"/>
      <c r="C5" s="108"/>
      <c r="D5" s="108"/>
      <c r="E5" s="108"/>
      <c r="F5" s="108"/>
      <c r="G5" s="108"/>
      <c r="H5" s="108"/>
      <c r="I5" s="108"/>
      <c r="J5" s="109"/>
      <c r="K5" s="8"/>
      <c r="L5" s="7" t="s">
        <v>968</v>
      </c>
      <c r="M5" s="32">
        <f>IFERROR('L4 Dim ETP'!F52,0)</f>
        <v>1.53</v>
      </c>
      <c r="N5" s="8"/>
    </row>
    <row r="6" spans="1:14" ht="21.75" customHeight="1" x14ac:dyDescent="0.25">
      <c r="A6" s="12" t="s">
        <v>702</v>
      </c>
      <c r="B6" s="3" t="s">
        <v>123</v>
      </c>
      <c r="C6" s="3" t="s">
        <v>1144</v>
      </c>
      <c r="D6" s="3" t="s">
        <v>1145</v>
      </c>
      <c r="E6" s="3" t="s">
        <v>1146</v>
      </c>
      <c r="F6" s="3" t="s">
        <v>1147</v>
      </c>
      <c r="G6" s="3" t="s">
        <v>1088</v>
      </c>
      <c r="H6" s="58" t="s">
        <v>1148</v>
      </c>
      <c r="I6" s="58" t="s">
        <v>1149</v>
      </c>
      <c r="J6" s="3" t="s">
        <v>4</v>
      </c>
      <c r="K6" s="3"/>
      <c r="L6" s="12" t="s">
        <v>976</v>
      </c>
      <c r="M6" s="2">
        <f>IFERROR('L4 Dim ETP'!F53,0)</f>
        <v>2</v>
      </c>
      <c r="N6" s="3"/>
    </row>
    <row r="7" spans="1:14" ht="21.75" customHeight="1" x14ac:dyDescent="0.25">
      <c r="A7" s="12">
        <v>1</v>
      </c>
      <c r="B7" s="3" t="s">
        <v>733</v>
      </c>
      <c r="C7" s="3">
        <v>250.8</v>
      </c>
      <c r="D7" s="3" t="s">
        <v>393</v>
      </c>
      <c r="E7" s="3" t="s">
        <v>736</v>
      </c>
      <c r="F7" s="3" t="s">
        <v>393</v>
      </c>
      <c r="G7" s="3" t="s">
        <v>736</v>
      </c>
      <c r="H7" s="58">
        <v>2</v>
      </c>
      <c r="I7" s="58">
        <v>501.6</v>
      </c>
      <c r="J7" s="3" t="s">
        <v>1150</v>
      </c>
      <c r="K7" s="3"/>
      <c r="L7" s="12" t="s">
        <v>978</v>
      </c>
      <c r="M7" s="2" t="s">
        <v>1092</v>
      </c>
      <c r="N7" s="3"/>
    </row>
    <row r="8" spans="1:14" ht="21.75" customHeight="1" x14ac:dyDescent="0.25">
      <c r="A8" s="12">
        <v>2</v>
      </c>
      <c r="B8" s="3" t="s">
        <v>739</v>
      </c>
      <c r="C8" s="3">
        <v>225.79</v>
      </c>
      <c r="D8" s="3" t="s">
        <v>393</v>
      </c>
      <c r="E8" s="3" t="s">
        <v>736</v>
      </c>
      <c r="F8" s="3" t="s">
        <v>393</v>
      </c>
      <c r="G8" s="3" t="s">
        <v>736</v>
      </c>
      <c r="H8" s="58">
        <v>2</v>
      </c>
      <c r="I8" s="58">
        <v>451.58</v>
      </c>
      <c r="J8" s="3" t="s">
        <v>1150</v>
      </c>
      <c r="K8" s="3"/>
      <c r="L8" s="3"/>
      <c r="M8" s="3"/>
      <c r="N8" s="3"/>
    </row>
    <row r="9" spans="1:14" ht="21.75" customHeight="1" x14ac:dyDescent="0.25">
      <c r="A9" s="12">
        <v>3</v>
      </c>
      <c r="B9" s="3" t="s">
        <v>506</v>
      </c>
      <c r="C9" s="3">
        <v>215.45</v>
      </c>
      <c r="D9" s="3" t="s">
        <v>393</v>
      </c>
      <c r="E9" s="3" t="s">
        <v>393</v>
      </c>
      <c r="F9" s="3" t="s">
        <v>393</v>
      </c>
      <c r="G9" s="3" t="s">
        <v>393</v>
      </c>
      <c r="H9" s="58">
        <v>2</v>
      </c>
      <c r="I9" s="58">
        <v>430.9</v>
      </c>
      <c r="J9" s="3" t="s">
        <v>1151</v>
      </c>
      <c r="K9" s="3"/>
      <c r="L9" s="3"/>
      <c r="M9" s="3"/>
      <c r="N9" s="3"/>
    </row>
    <row r="10" spans="1:14" ht="21.75" customHeight="1" x14ac:dyDescent="0.25">
      <c r="A10" s="12">
        <v>4</v>
      </c>
      <c r="B10" s="3" t="s">
        <v>398</v>
      </c>
      <c r="C10" s="3">
        <v>928.79</v>
      </c>
      <c r="D10" s="3" t="s">
        <v>393</v>
      </c>
      <c r="E10" s="3" t="s">
        <v>393</v>
      </c>
      <c r="F10" s="3" t="s">
        <v>736</v>
      </c>
      <c r="G10" s="3" t="s">
        <v>393</v>
      </c>
      <c r="H10" s="58">
        <v>2</v>
      </c>
      <c r="I10" s="58">
        <v>1857.58</v>
      </c>
      <c r="J10" s="3" t="s">
        <v>1152</v>
      </c>
      <c r="K10" s="3"/>
      <c r="L10" s="3"/>
      <c r="M10" s="3"/>
      <c r="N10" s="3"/>
    </row>
    <row r="11" spans="1:14" ht="21.75" customHeight="1" x14ac:dyDescent="0.25">
      <c r="A11" s="12">
        <v>5</v>
      </c>
      <c r="B11" s="3" t="s">
        <v>744</v>
      </c>
      <c r="C11" s="3">
        <v>42</v>
      </c>
      <c r="D11" s="3" t="s">
        <v>393</v>
      </c>
      <c r="E11" s="3" t="s">
        <v>736</v>
      </c>
      <c r="F11" s="3" t="s">
        <v>736</v>
      </c>
      <c r="G11" s="3" t="s">
        <v>736</v>
      </c>
      <c r="H11" s="58">
        <v>2</v>
      </c>
      <c r="I11" s="58">
        <v>84</v>
      </c>
      <c r="J11" s="3" t="s">
        <v>1153</v>
      </c>
      <c r="K11" s="3"/>
      <c r="L11" s="3"/>
      <c r="M11" s="3"/>
      <c r="N11" s="3"/>
    </row>
    <row r="12" spans="1:14" ht="21.75" customHeight="1" x14ac:dyDescent="0.25">
      <c r="A12" s="12">
        <v>6</v>
      </c>
      <c r="B12" s="3" t="s">
        <v>541</v>
      </c>
      <c r="C12" s="3">
        <v>482.49</v>
      </c>
      <c r="D12" s="3" t="s">
        <v>393</v>
      </c>
      <c r="E12" s="3" t="s">
        <v>393</v>
      </c>
      <c r="F12" s="3" t="s">
        <v>393</v>
      </c>
      <c r="G12" s="3" t="s">
        <v>393</v>
      </c>
      <c r="H12" s="58">
        <v>2</v>
      </c>
      <c r="I12" s="58">
        <v>964.98</v>
      </c>
      <c r="J12" s="3" t="s">
        <v>1154</v>
      </c>
      <c r="K12" s="3"/>
      <c r="L12" s="3"/>
      <c r="M12" s="3"/>
      <c r="N12" s="3"/>
    </row>
    <row r="13" spans="1:14" ht="21.75" customHeight="1" x14ac:dyDescent="0.25">
      <c r="A13" s="12">
        <v>7</v>
      </c>
      <c r="B13" s="3" t="s">
        <v>751</v>
      </c>
      <c r="C13" s="3">
        <v>160.96</v>
      </c>
      <c r="D13" s="3" t="s">
        <v>393</v>
      </c>
      <c r="E13" s="3" t="s">
        <v>736</v>
      </c>
      <c r="F13" s="3" t="s">
        <v>393</v>
      </c>
      <c r="G13" s="3" t="s">
        <v>736</v>
      </c>
      <c r="H13" s="58">
        <v>2</v>
      </c>
      <c r="I13" s="58">
        <v>321.92</v>
      </c>
      <c r="J13" s="3" t="s">
        <v>1155</v>
      </c>
      <c r="K13" s="3"/>
      <c r="L13" s="3"/>
      <c r="M13" s="3"/>
      <c r="N13" s="3"/>
    </row>
    <row r="14" spans="1:14" ht="21.75" customHeight="1" x14ac:dyDescent="0.25">
      <c r="A14" s="12">
        <v>8</v>
      </c>
      <c r="B14" s="3" t="s">
        <v>753</v>
      </c>
      <c r="C14" s="3">
        <v>228.56</v>
      </c>
      <c r="D14" s="3" t="s">
        <v>393</v>
      </c>
      <c r="E14" s="3" t="s">
        <v>393</v>
      </c>
      <c r="F14" s="3" t="s">
        <v>393</v>
      </c>
      <c r="G14" s="3" t="s">
        <v>393</v>
      </c>
      <c r="H14" s="58">
        <v>2</v>
      </c>
      <c r="I14" s="58">
        <v>457.12</v>
      </c>
      <c r="J14" s="3" t="s">
        <v>1156</v>
      </c>
      <c r="K14" s="3"/>
      <c r="L14" s="3"/>
      <c r="M14" s="3"/>
      <c r="N14" s="3"/>
    </row>
    <row r="15" spans="1:14" ht="21.75" customHeight="1" x14ac:dyDescent="0.25">
      <c r="A15" s="12">
        <v>9</v>
      </c>
      <c r="B15" s="3" t="s">
        <v>755</v>
      </c>
      <c r="C15" s="3">
        <v>5700.79</v>
      </c>
      <c r="D15" s="3" t="s">
        <v>393</v>
      </c>
      <c r="E15" s="3" t="s">
        <v>393</v>
      </c>
      <c r="F15" s="3" t="s">
        <v>393</v>
      </c>
      <c r="G15" s="3" t="s">
        <v>393</v>
      </c>
      <c r="H15" s="58">
        <v>2</v>
      </c>
      <c r="I15" s="58">
        <v>11401.58</v>
      </c>
      <c r="J15" s="3" t="s">
        <v>1157</v>
      </c>
      <c r="K15" s="3"/>
      <c r="L15" s="3"/>
      <c r="M15" s="3"/>
      <c r="N15" s="3"/>
    </row>
    <row r="16" spans="1:14" ht="21.75" customHeight="1" x14ac:dyDescent="0.25">
      <c r="A16" s="12">
        <v>10</v>
      </c>
      <c r="B16" s="3" t="s">
        <v>757</v>
      </c>
      <c r="C16" s="3">
        <v>280.11</v>
      </c>
      <c r="D16" s="3" t="s">
        <v>393</v>
      </c>
      <c r="E16" s="3" t="s">
        <v>736</v>
      </c>
      <c r="F16" s="3" t="s">
        <v>393</v>
      </c>
      <c r="G16" s="3" t="s">
        <v>393</v>
      </c>
      <c r="H16" s="58">
        <v>2</v>
      </c>
      <c r="I16" s="58">
        <v>560.22</v>
      </c>
      <c r="J16" s="3" t="s">
        <v>1158</v>
      </c>
      <c r="K16" s="3"/>
      <c r="L16" s="3"/>
      <c r="M16" s="3"/>
      <c r="N16" s="3"/>
    </row>
    <row r="17" spans="1:14" ht="21.75" customHeight="1" x14ac:dyDescent="0.25">
      <c r="A17" s="12">
        <v>11</v>
      </c>
      <c r="B17" s="3" t="s">
        <v>759</v>
      </c>
      <c r="C17" s="3">
        <v>250</v>
      </c>
      <c r="D17" s="3" t="s">
        <v>393</v>
      </c>
      <c r="E17" s="3" t="s">
        <v>736</v>
      </c>
      <c r="F17" s="3" t="s">
        <v>393</v>
      </c>
      <c r="G17" s="3" t="s">
        <v>736</v>
      </c>
      <c r="H17" s="58">
        <v>2</v>
      </c>
      <c r="I17" s="58">
        <v>500</v>
      </c>
      <c r="J17" s="3" t="s">
        <v>1155</v>
      </c>
      <c r="K17" s="3"/>
      <c r="L17" s="3"/>
      <c r="M17" s="3"/>
      <c r="N17" s="3"/>
    </row>
    <row r="18" spans="1:14" ht="21.75" customHeight="1" x14ac:dyDescent="0.25">
      <c r="A18" s="12">
        <v>12</v>
      </c>
      <c r="B18" s="3" t="s">
        <v>761</v>
      </c>
      <c r="C18" s="3">
        <v>65.38</v>
      </c>
      <c r="D18" s="3" t="s">
        <v>393</v>
      </c>
      <c r="E18" s="3" t="s">
        <v>736</v>
      </c>
      <c r="F18" s="3" t="s">
        <v>393</v>
      </c>
      <c r="G18" s="3" t="s">
        <v>736</v>
      </c>
      <c r="H18" s="58">
        <v>2</v>
      </c>
      <c r="I18" s="58">
        <v>130.76</v>
      </c>
      <c r="J18" s="3" t="s">
        <v>1155</v>
      </c>
      <c r="K18" s="3"/>
      <c r="L18" s="3"/>
      <c r="M18" s="3"/>
      <c r="N18" s="3"/>
    </row>
    <row r="19" spans="1:14" ht="21.75" customHeight="1" x14ac:dyDescent="0.25">
      <c r="A19" s="12">
        <v>13</v>
      </c>
      <c r="B19" s="3" t="s">
        <v>765</v>
      </c>
      <c r="C19" s="3">
        <v>181.61</v>
      </c>
      <c r="D19" s="3" t="s">
        <v>393</v>
      </c>
      <c r="E19" s="3" t="s">
        <v>393</v>
      </c>
      <c r="F19" s="3" t="s">
        <v>393</v>
      </c>
      <c r="G19" s="3" t="s">
        <v>393</v>
      </c>
      <c r="H19" s="58">
        <v>2</v>
      </c>
      <c r="I19" s="58">
        <v>363.22</v>
      </c>
      <c r="J19" s="3" t="s">
        <v>989</v>
      </c>
      <c r="K19" s="3"/>
      <c r="L19" s="3"/>
      <c r="M19" s="3"/>
      <c r="N19" s="3"/>
    </row>
    <row r="20" spans="1:14" ht="21.75" customHeight="1" x14ac:dyDescent="0.25">
      <c r="A20" s="12">
        <v>14</v>
      </c>
      <c r="B20" s="3" t="s">
        <v>767</v>
      </c>
      <c r="C20" s="3">
        <v>505.76</v>
      </c>
      <c r="D20" s="3" t="s">
        <v>393</v>
      </c>
      <c r="E20" s="3" t="s">
        <v>393</v>
      </c>
      <c r="F20" s="3" t="s">
        <v>393</v>
      </c>
      <c r="G20" s="3" t="s">
        <v>393</v>
      </c>
      <c r="H20" s="58">
        <v>2</v>
      </c>
      <c r="I20" s="58">
        <v>1011.52</v>
      </c>
      <c r="J20" s="3" t="s">
        <v>1159</v>
      </c>
      <c r="K20" s="3"/>
      <c r="L20" s="3"/>
      <c r="M20" s="3"/>
      <c r="N20" s="3"/>
    </row>
    <row r="21" spans="1:14" ht="21.75" customHeight="1" x14ac:dyDescent="0.25">
      <c r="A21" s="12">
        <v>15</v>
      </c>
      <c r="B21" s="3" t="s">
        <v>771</v>
      </c>
      <c r="C21" s="3">
        <v>117</v>
      </c>
      <c r="D21" s="3" t="s">
        <v>393</v>
      </c>
      <c r="E21" s="3" t="s">
        <v>736</v>
      </c>
      <c r="F21" s="3" t="s">
        <v>393</v>
      </c>
      <c r="G21" s="3" t="s">
        <v>736</v>
      </c>
      <c r="H21" s="58">
        <v>2</v>
      </c>
      <c r="I21" s="58">
        <v>234</v>
      </c>
      <c r="J21" s="3" t="s">
        <v>1155</v>
      </c>
      <c r="K21" s="3"/>
      <c r="L21" s="3"/>
      <c r="M21" s="3"/>
      <c r="N21" s="3"/>
    </row>
    <row r="22" spans="1:14" ht="21.75" customHeight="1" x14ac:dyDescent="0.25">
      <c r="A22" s="12">
        <v>16</v>
      </c>
      <c r="B22" s="3" t="s">
        <v>773</v>
      </c>
      <c r="C22" s="3">
        <v>276</v>
      </c>
      <c r="D22" s="3" t="s">
        <v>393</v>
      </c>
      <c r="E22" s="3" t="s">
        <v>393</v>
      </c>
      <c r="F22" s="3" t="s">
        <v>393</v>
      </c>
      <c r="G22" s="3" t="s">
        <v>736</v>
      </c>
      <c r="H22" s="58">
        <v>2</v>
      </c>
      <c r="I22" s="58">
        <v>552</v>
      </c>
      <c r="J22" s="3" t="s">
        <v>1160</v>
      </c>
      <c r="K22" s="3"/>
      <c r="L22" s="3"/>
      <c r="M22" s="3"/>
      <c r="N22" s="3"/>
    </row>
    <row r="23" spans="1:14" ht="21.75" customHeight="1" x14ac:dyDescent="0.25">
      <c r="A23" s="12">
        <v>17</v>
      </c>
      <c r="B23" s="3" t="s">
        <v>781</v>
      </c>
      <c r="C23" s="3">
        <v>200.19</v>
      </c>
      <c r="D23" s="3" t="s">
        <v>393</v>
      </c>
      <c r="E23" s="3" t="s">
        <v>393</v>
      </c>
      <c r="F23" s="3" t="s">
        <v>736</v>
      </c>
      <c r="G23" s="3" t="s">
        <v>393</v>
      </c>
      <c r="H23" s="58">
        <v>2</v>
      </c>
      <c r="I23" s="58">
        <v>400.38</v>
      </c>
      <c r="J23" s="3" t="s">
        <v>1161</v>
      </c>
      <c r="K23" s="3"/>
      <c r="L23" s="3"/>
      <c r="M23" s="3"/>
      <c r="N23" s="3"/>
    </row>
    <row r="24" spans="1:14" ht="21.75" customHeight="1" x14ac:dyDescent="0.25">
      <c r="A24" s="12">
        <v>18</v>
      </c>
      <c r="B24" s="3" t="s">
        <v>783</v>
      </c>
      <c r="C24" s="3">
        <v>274.99</v>
      </c>
      <c r="D24" s="3" t="s">
        <v>393</v>
      </c>
      <c r="E24" s="3" t="s">
        <v>393</v>
      </c>
      <c r="F24" s="3" t="s">
        <v>393</v>
      </c>
      <c r="G24" s="3" t="s">
        <v>393</v>
      </c>
      <c r="H24" s="58">
        <v>2</v>
      </c>
      <c r="I24" s="58">
        <v>549.98</v>
      </c>
      <c r="J24" s="3" t="s">
        <v>1162</v>
      </c>
      <c r="K24" s="3"/>
      <c r="L24" s="3"/>
      <c r="M24" s="3"/>
      <c r="N24" s="3"/>
    </row>
    <row r="25" spans="1:14" ht="21.75" customHeight="1" x14ac:dyDescent="0.25">
      <c r="A25" s="12">
        <v>19</v>
      </c>
      <c r="B25" s="3" t="s">
        <v>785</v>
      </c>
      <c r="C25" s="3">
        <v>200</v>
      </c>
      <c r="D25" s="3" t="s">
        <v>393</v>
      </c>
      <c r="E25" s="3" t="s">
        <v>393</v>
      </c>
      <c r="F25" s="3" t="s">
        <v>393</v>
      </c>
      <c r="G25" s="3" t="s">
        <v>393</v>
      </c>
      <c r="H25" s="58">
        <v>2</v>
      </c>
      <c r="I25" s="58">
        <v>400</v>
      </c>
      <c r="J25" s="3" t="s">
        <v>1112</v>
      </c>
      <c r="K25" s="3"/>
      <c r="L25" s="3"/>
      <c r="M25" s="3"/>
      <c r="N25" s="3"/>
    </row>
    <row r="26" spans="1:14" ht="21.75" customHeight="1" x14ac:dyDescent="0.25">
      <c r="A26" s="12">
        <v>20</v>
      </c>
      <c r="B26" s="3" t="s">
        <v>787</v>
      </c>
      <c r="C26" s="3">
        <v>204.32</v>
      </c>
      <c r="D26" s="3" t="s">
        <v>393</v>
      </c>
      <c r="E26" s="3" t="s">
        <v>393</v>
      </c>
      <c r="F26" s="3" t="s">
        <v>393</v>
      </c>
      <c r="G26" s="3" t="s">
        <v>393</v>
      </c>
      <c r="H26" s="58">
        <v>2</v>
      </c>
      <c r="I26" s="58">
        <v>408.64</v>
      </c>
      <c r="J26" s="3" t="s">
        <v>1112</v>
      </c>
      <c r="K26" s="3"/>
      <c r="L26" s="3"/>
      <c r="M26" s="3"/>
      <c r="N26" s="3"/>
    </row>
    <row r="27" spans="1:14" ht="21.75" customHeight="1" x14ac:dyDescent="0.25">
      <c r="A27" s="12">
        <v>21</v>
      </c>
      <c r="B27" s="3" t="s">
        <v>789</v>
      </c>
      <c r="C27" s="3">
        <v>41.24</v>
      </c>
      <c r="D27" s="3" t="s">
        <v>393</v>
      </c>
      <c r="E27" s="3" t="s">
        <v>736</v>
      </c>
      <c r="F27" s="3" t="s">
        <v>393</v>
      </c>
      <c r="G27" s="3" t="s">
        <v>736</v>
      </c>
      <c r="H27" s="58">
        <v>2</v>
      </c>
      <c r="I27" s="58">
        <v>82.48</v>
      </c>
      <c r="J27" s="3" t="s">
        <v>1155</v>
      </c>
      <c r="K27" s="3"/>
      <c r="L27" s="3"/>
      <c r="M27" s="3"/>
      <c r="N27" s="3"/>
    </row>
    <row r="28" spans="1:14" ht="21.75" customHeight="1" x14ac:dyDescent="0.25">
      <c r="A28" s="12">
        <v>22</v>
      </c>
      <c r="B28" s="3" t="s">
        <v>490</v>
      </c>
      <c r="C28" s="3">
        <v>200</v>
      </c>
      <c r="D28" s="3" t="s">
        <v>393</v>
      </c>
      <c r="E28" s="3" t="s">
        <v>736</v>
      </c>
      <c r="F28" s="3" t="s">
        <v>393</v>
      </c>
      <c r="G28" s="3" t="s">
        <v>736</v>
      </c>
      <c r="H28" s="58">
        <v>2</v>
      </c>
      <c r="I28" s="58">
        <v>400</v>
      </c>
      <c r="J28" s="3" t="s">
        <v>1155</v>
      </c>
      <c r="K28" s="3"/>
      <c r="L28" s="3"/>
      <c r="M28" s="3"/>
      <c r="N28" s="3"/>
    </row>
    <row r="29" spans="1:14" ht="21.75" customHeight="1" x14ac:dyDescent="0.25">
      <c r="A29" s="12">
        <v>23</v>
      </c>
      <c r="B29" s="3" t="s">
        <v>792</v>
      </c>
      <c r="C29" s="3">
        <v>42</v>
      </c>
      <c r="D29" s="3" t="s">
        <v>393</v>
      </c>
      <c r="E29" s="3" t="s">
        <v>736</v>
      </c>
      <c r="F29" s="3" t="s">
        <v>736</v>
      </c>
      <c r="G29" s="3" t="s">
        <v>736</v>
      </c>
      <c r="H29" s="58">
        <v>2</v>
      </c>
      <c r="I29" s="58">
        <v>84</v>
      </c>
      <c r="J29" s="3" t="s">
        <v>1153</v>
      </c>
      <c r="K29" s="3"/>
      <c r="L29" s="3"/>
      <c r="M29" s="3"/>
      <c r="N29" s="3"/>
    </row>
    <row r="30" spans="1:14" ht="21.75" customHeight="1" x14ac:dyDescent="0.25">
      <c r="A30" s="12">
        <v>24</v>
      </c>
      <c r="B30" s="3" t="s">
        <v>793</v>
      </c>
      <c r="C30" s="3">
        <v>35.33</v>
      </c>
      <c r="D30" s="3" t="s">
        <v>393</v>
      </c>
      <c r="E30" s="3" t="s">
        <v>736</v>
      </c>
      <c r="F30" s="3" t="s">
        <v>393</v>
      </c>
      <c r="G30" s="3" t="s">
        <v>736</v>
      </c>
      <c r="H30" s="58">
        <v>2</v>
      </c>
      <c r="I30" s="58">
        <v>70.66</v>
      </c>
      <c r="J30" s="3" t="s">
        <v>1163</v>
      </c>
      <c r="K30" s="3"/>
      <c r="L30" s="3"/>
      <c r="M30" s="3"/>
      <c r="N30" s="3"/>
    </row>
    <row r="31" spans="1:14" ht="21.75" customHeight="1" x14ac:dyDescent="0.25">
      <c r="A31" s="12">
        <v>25</v>
      </c>
      <c r="B31" s="3" t="s">
        <v>547</v>
      </c>
      <c r="C31" s="3">
        <v>76.5</v>
      </c>
      <c r="D31" s="3" t="s">
        <v>393</v>
      </c>
      <c r="E31" s="3" t="s">
        <v>736</v>
      </c>
      <c r="F31" s="3" t="s">
        <v>393</v>
      </c>
      <c r="G31" s="3" t="s">
        <v>393</v>
      </c>
      <c r="H31" s="58">
        <v>2</v>
      </c>
      <c r="I31" s="58">
        <v>153</v>
      </c>
      <c r="J31" s="3" t="s">
        <v>1158</v>
      </c>
      <c r="K31" s="3"/>
      <c r="L31" s="3"/>
      <c r="M31" s="3"/>
      <c r="N31" s="3"/>
    </row>
    <row r="32" spans="1:14" ht="21.75" customHeight="1" x14ac:dyDescent="0.25">
      <c r="A32" s="12">
        <v>26</v>
      </c>
      <c r="B32" s="3" t="s">
        <v>797</v>
      </c>
      <c r="C32" s="3">
        <v>180.1</v>
      </c>
      <c r="D32" s="3" t="s">
        <v>393</v>
      </c>
      <c r="E32" s="3" t="s">
        <v>393</v>
      </c>
      <c r="F32" s="3" t="s">
        <v>393</v>
      </c>
      <c r="G32" s="3" t="s">
        <v>393</v>
      </c>
      <c r="H32" s="58">
        <v>2</v>
      </c>
      <c r="I32" s="58">
        <v>360.2</v>
      </c>
      <c r="J32" s="3" t="s">
        <v>1160</v>
      </c>
      <c r="K32" s="3"/>
      <c r="L32" s="3"/>
      <c r="M32" s="3"/>
      <c r="N32" s="3"/>
    </row>
    <row r="33" spans="1:14" ht="21.75" customHeight="1" x14ac:dyDescent="0.25">
      <c r="A33" s="12">
        <v>27</v>
      </c>
      <c r="B33" s="3" t="s">
        <v>799</v>
      </c>
      <c r="C33" s="3">
        <v>105.71</v>
      </c>
      <c r="D33" s="3" t="s">
        <v>393</v>
      </c>
      <c r="E33" s="3" t="s">
        <v>736</v>
      </c>
      <c r="F33" s="3" t="s">
        <v>393</v>
      </c>
      <c r="G33" s="3" t="s">
        <v>393</v>
      </c>
      <c r="H33" s="58">
        <v>2</v>
      </c>
      <c r="I33" s="58">
        <v>211.42</v>
      </c>
      <c r="J33" s="3" t="s">
        <v>1158</v>
      </c>
      <c r="K33" s="3"/>
      <c r="L33" s="3"/>
      <c r="M33" s="3"/>
      <c r="N33" s="3"/>
    </row>
    <row r="34" spans="1:14" ht="21.75" customHeight="1" x14ac:dyDescent="0.25">
      <c r="A34" s="12">
        <v>28</v>
      </c>
      <c r="B34" s="3" t="s">
        <v>801</v>
      </c>
      <c r="C34" s="3">
        <v>167.83</v>
      </c>
      <c r="D34" s="3" t="s">
        <v>393</v>
      </c>
      <c r="E34" s="3" t="s">
        <v>736</v>
      </c>
      <c r="F34" s="3" t="s">
        <v>393</v>
      </c>
      <c r="G34" s="3" t="s">
        <v>736</v>
      </c>
      <c r="H34" s="58">
        <v>2</v>
      </c>
      <c r="I34" s="58">
        <v>335.66</v>
      </c>
      <c r="J34" s="3" t="s">
        <v>1155</v>
      </c>
      <c r="K34" s="3"/>
      <c r="L34" s="3"/>
      <c r="M34" s="3"/>
      <c r="N34" s="3"/>
    </row>
    <row r="35" spans="1:14" ht="21.75" customHeight="1" x14ac:dyDescent="0.25">
      <c r="A35" s="12">
        <v>29</v>
      </c>
      <c r="B35" s="3" t="s">
        <v>526</v>
      </c>
      <c r="C35" s="3">
        <v>742.76</v>
      </c>
      <c r="D35" s="3" t="s">
        <v>393</v>
      </c>
      <c r="E35" s="3" t="s">
        <v>393</v>
      </c>
      <c r="F35" s="3" t="s">
        <v>393</v>
      </c>
      <c r="G35" s="3" t="s">
        <v>393</v>
      </c>
      <c r="H35" s="58">
        <v>2</v>
      </c>
      <c r="I35" s="58">
        <v>1485.52</v>
      </c>
      <c r="J35" s="3" t="s">
        <v>1164</v>
      </c>
      <c r="K35" s="3"/>
      <c r="L35" s="3"/>
      <c r="M35" s="3"/>
      <c r="N35" s="3"/>
    </row>
    <row r="36" spans="1:14" ht="21.75" customHeight="1" x14ac:dyDescent="0.25">
      <c r="A36" s="12">
        <v>30</v>
      </c>
      <c r="B36" s="3" t="s">
        <v>804</v>
      </c>
      <c r="C36" s="3">
        <v>255.62</v>
      </c>
      <c r="D36" s="3" t="s">
        <v>393</v>
      </c>
      <c r="E36" s="3" t="s">
        <v>736</v>
      </c>
      <c r="F36" s="3" t="s">
        <v>393</v>
      </c>
      <c r="G36" s="3" t="s">
        <v>736</v>
      </c>
      <c r="H36" s="58">
        <v>2</v>
      </c>
      <c r="I36" s="58">
        <v>511.24</v>
      </c>
      <c r="J36" s="3" t="s">
        <v>1155</v>
      </c>
      <c r="K36" s="3"/>
      <c r="L36" s="3"/>
      <c r="M36" s="3"/>
      <c r="N36" s="3"/>
    </row>
    <row r="37" spans="1:14" ht="21.75" customHeight="1" x14ac:dyDescent="0.25">
      <c r="A37" s="12">
        <v>31</v>
      </c>
      <c r="B37" s="3" t="s">
        <v>806</v>
      </c>
      <c r="C37" s="3">
        <v>199</v>
      </c>
      <c r="D37" s="3" t="s">
        <v>393</v>
      </c>
      <c r="E37" s="3" t="s">
        <v>393</v>
      </c>
      <c r="F37" s="3" t="s">
        <v>393</v>
      </c>
      <c r="G37" s="3" t="s">
        <v>393</v>
      </c>
      <c r="H37" s="58">
        <v>2</v>
      </c>
      <c r="I37" s="58">
        <v>398</v>
      </c>
      <c r="J37" s="3" t="s">
        <v>1154</v>
      </c>
      <c r="K37" s="3"/>
      <c r="L37" s="3"/>
      <c r="M37" s="3"/>
      <c r="N37" s="3"/>
    </row>
    <row r="38" spans="1:14" ht="21.75" customHeight="1" x14ac:dyDescent="0.25">
      <c r="A38" s="12">
        <v>32</v>
      </c>
      <c r="B38" s="3" t="s">
        <v>808</v>
      </c>
      <c r="C38" s="3">
        <v>378.9</v>
      </c>
      <c r="D38" s="3" t="s">
        <v>393</v>
      </c>
      <c r="E38" s="3" t="s">
        <v>393</v>
      </c>
      <c r="F38" s="3" t="s">
        <v>393</v>
      </c>
      <c r="G38" s="3" t="s">
        <v>393</v>
      </c>
      <c r="H38" s="58">
        <v>2</v>
      </c>
      <c r="I38" s="58">
        <v>757.8</v>
      </c>
      <c r="J38" s="3" t="s">
        <v>1159</v>
      </c>
      <c r="K38" s="3"/>
      <c r="L38" s="3"/>
      <c r="M38" s="3"/>
      <c r="N38" s="3"/>
    </row>
    <row r="39" spans="1:14" ht="21.75" customHeight="1" x14ac:dyDescent="0.25">
      <c r="A39" s="12">
        <v>33</v>
      </c>
      <c r="B39" s="3" t="s">
        <v>810</v>
      </c>
      <c r="C39" s="3">
        <v>128.79</v>
      </c>
      <c r="D39" s="3" t="s">
        <v>393</v>
      </c>
      <c r="E39" s="3" t="s">
        <v>736</v>
      </c>
      <c r="F39" s="3" t="s">
        <v>393</v>
      </c>
      <c r="G39" s="3" t="s">
        <v>736</v>
      </c>
      <c r="H39" s="58">
        <v>2</v>
      </c>
      <c r="I39" s="58">
        <v>257.58</v>
      </c>
      <c r="J39" s="3" t="s">
        <v>1155</v>
      </c>
      <c r="K39" s="3"/>
      <c r="L39" s="3"/>
      <c r="M39" s="3"/>
      <c r="N39" s="3"/>
    </row>
    <row r="40" spans="1:14" ht="21.75" customHeight="1" x14ac:dyDescent="0.25">
      <c r="A40" s="12">
        <v>34</v>
      </c>
      <c r="B40" s="3" t="s">
        <v>812</v>
      </c>
      <c r="C40" s="3">
        <v>1331</v>
      </c>
      <c r="D40" s="3" t="s">
        <v>393</v>
      </c>
      <c r="E40" s="3" t="s">
        <v>393</v>
      </c>
      <c r="F40" s="3" t="s">
        <v>393</v>
      </c>
      <c r="G40" s="3" t="s">
        <v>393</v>
      </c>
      <c r="H40" s="58">
        <v>2</v>
      </c>
      <c r="I40" s="58">
        <v>2662</v>
      </c>
      <c r="J40" s="3" t="s">
        <v>1165</v>
      </c>
      <c r="K40" s="3"/>
      <c r="L40" s="3"/>
      <c r="M40" s="3"/>
      <c r="N40" s="3"/>
    </row>
    <row r="41" spans="1:14" ht="21.75" customHeight="1" x14ac:dyDescent="0.25">
      <c r="A41" s="12">
        <v>35</v>
      </c>
      <c r="B41" s="3" t="s">
        <v>814</v>
      </c>
      <c r="C41" s="3">
        <v>9.2799999999999994</v>
      </c>
      <c r="D41" s="3" t="s">
        <v>393</v>
      </c>
      <c r="E41" s="3" t="s">
        <v>736</v>
      </c>
      <c r="F41" s="3" t="s">
        <v>736</v>
      </c>
      <c r="G41" s="3" t="s">
        <v>736</v>
      </c>
      <c r="H41" s="58">
        <v>2</v>
      </c>
      <c r="I41" s="58">
        <v>18.559999999999999</v>
      </c>
      <c r="J41" s="3" t="s">
        <v>1153</v>
      </c>
      <c r="K41" s="3"/>
      <c r="L41" s="3"/>
      <c r="M41" s="3"/>
      <c r="N41" s="3"/>
    </row>
    <row r="42" spans="1:14" ht="21.75" customHeight="1" x14ac:dyDescent="0.25">
      <c r="A42" s="12">
        <v>36</v>
      </c>
      <c r="B42" s="3" t="s">
        <v>820</v>
      </c>
      <c r="C42" s="3">
        <v>3610.71</v>
      </c>
      <c r="D42" s="3" t="s">
        <v>393</v>
      </c>
      <c r="E42" s="3" t="s">
        <v>393</v>
      </c>
      <c r="F42" s="3" t="s">
        <v>393</v>
      </c>
      <c r="G42" s="3" t="s">
        <v>393</v>
      </c>
      <c r="H42" s="58">
        <v>2</v>
      </c>
      <c r="I42" s="58">
        <v>7221.42</v>
      </c>
      <c r="J42" s="3" t="s">
        <v>1166</v>
      </c>
      <c r="K42" s="3"/>
      <c r="L42" s="3"/>
      <c r="M42" s="3"/>
      <c r="N42" s="3"/>
    </row>
    <row r="43" spans="1:14" ht="21.75" customHeight="1" x14ac:dyDescent="0.25">
      <c r="A43" s="12">
        <v>37</v>
      </c>
      <c r="B43" s="3" t="s">
        <v>406</v>
      </c>
      <c r="C43" s="3">
        <v>496.81</v>
      </c>
      <c r="D43" s="3" t="s">
        <v>393</v>
      </c>
      <c r="E43" s="3" t="s">
        <v>393</v>
      </c>
      <c r="F43" s="3" t="s">
        <v>393</v>
      </c>
      <c r="G43" s="3" t="s">
        <v>393</v>
      </c>
      <c r="H43" s="58">
        <v>2</v>
      </c>
      <c r="I43" s="58">
        <v>993.62</v>
      </c>
      <c r="J43" s="3" t="s">
        <v>1167</v>
      </c>
      <c r="K43" s="3"/>
      <c r="L43" s="3"/>
      <c r="M43" s="3"/>
      <c r="N43" s="3"/>
    </row>
    <row r="44" spans="1:14" ht="21.75" customHeight="1" x14ac:dyDescent="0.25">
      <c r="A44" s="3"/>
      <c r="B44" s="10" t="s">
        <v>1168</v>
      </c>
      <c r="C44" s="14">
        <v>18792.57</v>
      </c>
      <c r="D44" s="3"/>
      <c r="E44" s="3"/>
      <c r="F44" s="3"/>
      <c r="G44" s="3"/>
      <c r="H44" s="3"/>
      <c r="I44" s="59">
        <v>37585.14</v>
      </c>
      <c r="J44" s="3"/>
      <c r="K44" s="3"/>
      <c r="L44" s="3"/>
      <c r="M44" s="3"/>
      <c r="N44" s="3"/>
    </row>
    <row r="45" spans="1:14" ht="18" customHeight="1" x14ac:dyDescent="0.25">
      <c r="A45" s="52"/>
      <c r="B45" s="52"/>
      <c r="C45" s="52"/>
      <c r="D45" s="52"/>
      <c r="E45" s="52"/>
      <c r="F45" s="52"/>
      <c r="G45" s="52"/>
      <c r="H45" s="52"/>
      <c r="I45" s="52"/>
      <c r="J45" s="52"/>
      <c r="K45" s="9"/>
      <c r="L45" s="9"/>
      <c r="M45" s="9"/>
      <c r="N45" s="9"/>
    </row>
    <row r="46" spans="1:14" ht="18" customHeight="1" x14ac:dyDescent="0.25">
      <c r="A46" s="114" t="s">
        <v>999</v>
      </c>
      <c r="B46" s="108"/>
      <c r="C46" s="108"/>
      <c r="D46" s="108"/>
      <c r="E46" s="108"/>
      <c r="F46" s="108"/>
      <c r="G46" s="108"/>
      <c r="H46" s="108"/>
      <c r="I46" s="108"/>
      <c r="J46" s="109"/>
      <c r="K46" s="8"/>
      <c r="L46" s="8"/>
      <c r="M46" s="8"/>
      <c r="N46" s="8"/>
    </row>
    <row r="47" spans="1:14" ht="21.75" customHeight="1" x14ac:dyDescent="0.25">
      <c r="A47" s="12" t="s">
        <v>702</v>
      </c>
      <c r="B47" s="3" t="s">
        <v>121</v>
      </c>
      <c r="C47" s="3" t="s">
        <v>1001</v>
      </c>
      <c r="D47" s="3" t="s">
        <v>1169</v>
      </c>
      <c r="E47" s="3" t="s">
        <v>1170</v>
      </c>
      <c r="F47" s="3" t="s">
        <v>1004</v>
      </c>
      <c r="G47" s="3" t="s">
        <v>4</v>
      </c>
      <c r="H47" s="3"/>
      <c r="I47" s="3"/>
      <c r="J47" s="3"/>
      <c r="K47" s="3"/>
      <c r="L47" s="3"/>
      <c r="M47" s="3"/>
      <c r="N47" s="3"/>
    </row>
    <row r="48" spans="1:14" ht="18" customHeight="1" x14ac:dyDescent="0.25">
      <c r="A48" s="19">
        <v>1</v>
      </c>
      <c r="B48" s="20" t="s">
        <v>1171</v>
      </c>
      <c r="C48" s="20" t="s">
        <v>1172</v>
      </c>
      <c r="D48" s="28">
        <v>18792.57</v>
      </c>
      <c r="E48" s="28">
        <v>5000</v>
      </c>
      <c r="F48" s="28">
        <v>0.34</v>
      </c>
      <c r="G48" s="20" t="s">
        <v>1173</v>
      </c>
      <c r="H48" s="52"/>
      <c r="I48" s="52"/>
      <c r="J48" s="52"/>
      <c r="K48" s="9"/>
      <c r="L48" s="9"/>
      <c r="M48" s="9"/>
      <c r="N48" s="9"/>
    </row>
    <row r="49" spans="1:14" ht="18" customHeight="1" x14ac:dyDescent="0.25">
      <c r="A49" s="13">
        <v>2</v>
      </c>
      <c r="B49" s="10" t="s">
        <v>1174</v>
      </c>
      <c r="C49" s="10" t="s">
        <v>1175</v>
      </c>
      <c r="D49" s="14">
        <v>3758.51</v>
      </c>
      <c r="E49" s="14">
        <v>200</v>
      </c>
      <c r="F49" s="14">
        <v>0.85</v>
      </c>
      <c r="G49" s="10" t="s">
        <v>1176</v>
      </c>
      <c r="H49" s="24"/>
      <c r="I49" s="24"/>
      <c r="J49" s="24"/>
      <c r="K49" s="24"/>
      <c r="L49" s="24"/>
      <c r="M49" s="24"/>
      <c r="N49" s="24"/>
    </row>
    <row r="50" spans="1:14" ht="18" customHeight="1" x14ac:dyDescent="0.25">
      <c r="A50" s="19">
        <v>3</v>
      </c>
      <c r="B50" s="20" t="s">
        <v>1177</v>
      </c>
      <c r="C50" s="20" t="s">
        <v>1178</v>
      </c>
      <c r="D50" s="28">
        <v>37</v>
      </c>
      <c r="E50" s="28">
        <v>3</v>
      </c>
      <c r="F50" s="28">
        <v>0.18</v>
      </c>
      <c r="G50" s="20" t="s">
        <v>1179</v>
      </c>
      <c r="H50" s="52"/>
      <c r="I50" s="52"/>
      <c r="J50" s="52"/>
      <c r="K50" s="9"/>
      <c r="L50" s="9"/>
      <c r="M50" s="9"/>
      <c r="N50" s="9"/>
    </row>
    <row r="51" spans="1:14" ht="21.75" customHeight="1" x14ac:dyDescent="0.25">
      <c r="A51" s="13">
        <v>4</v>
      </c>
      <c r="B51" s="10" t="s">
        <v>1180</v>
      </c>
      <c r="C51" s="10" t="s">
        <v>1181</v>
      </c>
      <c r="D51" s="10" t="s">
        <v>736</v>
      </c>
      <c r="E51" s="10" t="s">
        <v>736</v>
      </c>
      <c r="F51" s="14">
        <v>0.15</v>
      </c>
      <c r="G51" s="10" t="s">
        <v>1182</v>
      </c>
      <c r="H51" s="3"/>
      <c r="I51" s="3"/>
      <c r="J51" s="3"/>
      <c r="K51" s="3"/>
      <c r="L51" s="3"/>
      <c r="M51" s="3"/>
      <c r="N51" s="3"/>
    </row>
    <row r="52" spans="1:14" ht="18" customHeight="1" x14ac:dyDescent="0.25">
      <c r="A52" s="8"/>
      <c r="B52" s="8" t="s">
        <v>1020</v>
      </c>
      <c r="C52" s="8"/>
      <c r="D52" s="8"/>
      <c r="E52" s="8"/>
      <c r="F52" s="8">
        <v>1.53</v>
      </c>
      <c r="G52" s="8"/>
      <c r="H52" s="8"/>
      <c r="I52" s="8"/>
      <c r="J52" s="8"/>
      <c r="K52" s="8"/>
      <c r="L52" s="8"/>
      <c r="M52" s="8"/>
      <c r="N52" s="8"/>
    </row>
    <row r="53" spans="1:14" ht="30" customHeight="1" x14ac:dyDescent="0.25">
      <c r="A53" s="115" t="s">
        <v>1183</v>
      </c>
      <c r="B53" s="108"/>
      <c r="C53" s="108"/>
      <c r="D53" s="108"/>
      <c r="E53" s="109"/>
      <c r="F53" s="145">
        <v>2</v>
      </c>
      <c r="G53" s="109"/>
      <c r="H53" s="33"/>
      <c r="I53" s="33"/>
      <c r="J53" s="33"/>
      <c r="K53" s="33"/>
      <c r="L53" s="33"/>
      <c r="M53" s="33"/>
      <c r="N53" s="33"/>
    </row>
  </sheetData>
  <autoFilter ref="A4:N53" xr:uid="{00000000-0009-0000-0000-000024000000}"/>
  <mergeCells count="8">
    <mergeCell ref="A53:E53"/>
    <mergeCell ref="A1:J1"/>
    <mergeCell ref="L1:N1"/>
    <mergeCell ref="A46:J46"/>
    <mergeCell ref="A5:J5"/>
    <mergeCell ref="A3:J3"/>
    <mergeCell ref="A2:J2"/>
    <mergeCell ref="F53:G53"/>
  </mergeCells>
  <printOptions horizontalCentered="1"/>
  <pageMargins left="0.35" right="0.35" top="0.55000000000000004" bottom="0.55000000000000004" header="0.511811023622047" footer="0.511811023622047"/>
  <pageSetup paperSize="9" fitToHeight="0" orientation="landscape" horizontalDpi="300" verticalDpi="30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pageSetUpPr fitToPage="1"/>
  </sheetPr>
  <dimension ref="A1:H10"/>
  <sheetViews>
    <sheetView showGridLines="0" zoomScaleNormal="100" workbookViewId="0">
      <pane ySplit="4" topLeftCell="A5" activePane="bottomLeft" state="frozen"/>
      <selection pane="bottomLeft"/>
    </sheetView>
  </sheetViews>
  <sheetFormatPr defaultColWidth="8.5703125" defaultRowHeight="15" x14ac:dyDescent="0.25"/>
  <cols>
    <col min="1" max="2" width="34" customWidth="1"/>
    <col min="3" max="3" width="10" customWidth="1"/>
    <col min="4" max="4" width="34" customWidth="1"/>
    <col min="5" max="5" width="23" customWidth="1"/>
    <col min="6" max="6" width="20" customWidth="1"/>
    <col min="7" max="7" width="17" customWidth="1"/>
    <col min="8" max="8" width="34" customWidth="1"/>
  </cols>
  <sheetData>
    <row r="1" spans="1:8" ht="24" customHeight="1" x14ac:dyDescent="0.25">
      <c r="A1" s="11" t="s">
        <v>1022</v>
      </c>
      <c r="B1" s="11"/>
      <c r="C1" s="11"/>
      <c r="D1" s="11"/>
      <c r="E1" s="11"/>
      <c r="F1" s="11"/>
      <c r="G1" s="11"/>
      <c r="H1" s="11"/>
    </row>
    <row r="2" spans="1:8" ht="24" customHeight="1" x14ac:dyDescent="0.25">
      <c r="A2" s="11" t="s">
        <v>1023</v>
      </c>
      <c r="B2" s="11"/>
      <c r="C2" s="11"/>
      <c r="D2" s="11"/>
      <c r="E2" s="11"/>
      <c r="F2" s="11"/>
      <c r="G2" s="11"/>
      <c r="H2" s="11"/>
    </row>
    <row r="3" spans="1:8" ht="18" customHeight="1" x14ac:dyDescent="0.25">
      <c r="A3" s="52"/>
      <c r="B3" s="52"/>
      <c r="C3" s="52"/>
      <c r="D3" s="52"/>
      <c r="E3" s="52"/>
      <c r="F3" s="52"/>
      <c r="G3" s="52"/>
      <c r="H3" s="52"/>
    </row>
    <row r="4" spans="1:8" ht="21.75" customHeight="1" x14ac:dyDescent="0.25">
      <c r="A4" s="3" t="s">
        <v>6</v>
      </c>
      <c r="B4" s="3" t="s">
        <v>7</v>
      </c>
      <c r="C4" s="3" t="s">
        <v>1024</v>
      </c>
      <c r="D4" s="58" t="s">
        <v>1025</v>
      </c>
      <c r="E4" s="12" t="s">
        <v>1026</v>
      </c>
      <c r="F4" s="3" t="s">
        <v>1027</v>
      </c>
      <c r="G4" s="3" t="s">
        <v>726</v>
      </c>
      <c r="H4" s="12" t="s">
        <v>1028</v>
      </c>
    </row>
    <row r="5" spans="1:8" ht="21.75" customHeight="1" x14ac:dyDescent="0.25">
      <c r="A5" s="3" t="s">
        <v>966</v>
      </c>
      <c r="B5" s="3" t="s">
        <v>1029</v>
      </c>
      <c r="C5" s="3">
        <v>46</v>
      </c>
      <c r="D5" s="58" t="s">
        <v>1030</v>
      </c>
      <c r="E5" s="12" t="s">
        <v>1031</v>
      </c>
      <c r="F5" s="3">
        <v>1.05</v>
      </c>
      <c r="G5" s="3">
        <v>2</v>
      </c>
      <c r="H5" s="12" t="s">
        <v>1032</v>
      </c>
    </row>
    <row r="6" spans="1:8" ht="21.75" customHeight="1" x14ac:dyDescent="0.25">
      <c r="A6" s="3" t="s">
        <v>1033</v>
      </c>
      <c r="B6" s="3" t="s">
        <v>1034</v>
      </c>
      <c r="C6" s="3">
        <v>46</v>
      </c>
      <c r="D6" s="58" t="s">
        <v>1035</v>
      </c>
      <c r="E6" s="12" t="s">
        <v>1036</v>
      </c>
      <c r="F6" s="3">
        <v>0.47</v>
      </c>
      <c r="G6" s="3">
        <v>2</v>
      </c>
      <c r="H6" s="12" t="s">
        <v>1037</v>
      </c>
    </row>
    <row r="7" spans="1:8" ht="21.75" customHeight="1" x14ac:dyDescent="0.25">
      <c r="A7" s="10" t="s">
        <v>1038</v>
      </c>
      <c r="B7" s="10" t="s">
        <v>1039</v>
      </c>
      <c r="C7" s="14">
        <v>37</v>
      </c>
      <c r="D7" s="53" t="s">
        <v>1040</v>
      </c>
      <c r="E7" s="6" t="s">
        <v>1041</v>
      </c>
      <c r="F7" s="14">
        <v>1.53</v>
      </c>
      <c r="G7" s="14">
        <v>2</v>
      </c>
      <c r="H7" s="6" t="s">
        <v>1042</v>
      </c>
    </row>
    <row r="8" spans="1:8" ht="18" customHeight="1" x14ac:dyDescent="0.25">
      <c r="A8" s="24"/>
      <c r="B8" s="10" t="s">
        <v>1043</v>
      </c>
      <c r="C8" s="24"/>
      <c r="D8" s="24"/>
      <c r="E8" s="24"/>
      <c r="F8" s="24"/>
      <c r="G8" s="14">
        <v>6</v>
      </c>
      <c r="H8" s="24"/>
    </row>
    <row r="9" spans="1:8" ht="18" customHeight="1" x14ac:dyDescent="0.25">
      <c r="A9" s="52"/>
      <c r="B9" s="52"/>
      <c r="C9" s="52"/>
      <c r="D9" s="52"/>
      <c r="E9" s="52"/>
      <c r="F9" s="52"/>
      <c r="G9" s="52"/>
      <c r="H9" s="52"/>
    </row>
    <row r="10" spans="1:8" ht="30" customHeight="1" x14ac:dyDescent="0.25">
      <c r="A10" s="20" t="s">
        <v>1044</v>
      </c>
      <c r="B10" s="52"/>
      <c r="C10" s="52"/>
      <c r="D10" s="52"/>
      <c r="E10" s="52"/>
      <c r="F10" s="52"/>
      <c r="G10" s="52"/>
      <c r="H10" s="52"/>
    </row>
  </sheetData>
  <autoFilter ref="A4:H10" xr:uid="{00000000-0009-0000-0000-000025000000}"/>
  <printOptions horizontalCentered="1"/>
  <pageMargins left="0.35" right="0.35" top="0.55000000000000004" bottom="0.55000000000000004" header="0.511811023622047" footer="0.511811023622047"/>
  <pageSetup paperSize="9" fitToHeight="0" orientation="portrait" horizontalDpi="300" verticalDpi="30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pageSetUpPr fitToPage="1"/>
  </sheetPr>
  <dimension ref="A1:F8"/>
  <sheetViews>
    <sheetView showGridLines="0" zoomScaleNormal="100" workbookViewId="0">
      <pane ySplit="3" topLeftCell="A4" activePane="bottomLeft" state="frozen"/>
      <selection pane="bottomLeft" activeCell="F33" sqref="F33"/>
    </sheetView>
  </sheetViews>
  <sheetFormatPr defaultColWidth="8.5703125" defaultRowHeight="15" x14ac:dyDescent="0.25"/>
  <cols>
    <col min="1" max="1" width="34" customWidth="1"/>
    <col min="2" max="2" width="33" customWidth="1"/>
    <col min="3" max="3" width="23" customWidth="1"/>
    <col min="4" max="6" width="34" customWidth="1"/>
  </cols>
  <sheetData>
    <row r="1" spans="1:6" ht="24" customHeight="1" x14ac:dyDescent="0.25">
      <c r="A1" s="107" t="s">
        <v>1045</v>
      </c>
      <c r="B1" s="108"/>
      <c r="C1" s="108"/>
      <c r="D1" s="108"/>
      <c r="E1" s="108"/>
      <c r="F1" s="109"/>
    </row>
    <row r="2" spans="1:6" ht="18" customHeight="1" x14ac:dyDescent="0.25">
      <c r="A2" s="9"/>
      <c r="B2" s="9"/>
      <c r="C2" s="9"/>
      <c r="D2" s="9"/>
      <c r="E2" s="9"/>
      <c r="F2" s="9"/>
    </row>
    <row r="3" spans="1:6" ht="21.75" customHeight="1" x14ac:dyDescent="0.25">
      <c r="A3" s="3" t="s">
        <v>91</v>
      </c>
      <c r="B3" s="3" t="s">
        <v>1046</v>
      </c>
      <c r="C3" s="3" t="s">
        <v>1047</v>
      </c>
      <c r="D3" s="12" t="s">
        <v>1048</v>
      </c>
      <c r="E3" s="3" t="s">
        <v>1049</v>
      </c>
      <c r="F3" s="12" t="s">
        <v>1050</v>
      </c>
    </row>
    <row r="4" spans="1:6" ht="21.75" customHeight="1" x14ac:dyDescent="0.25">
      <c r="A4" s="3">
        <v>1</v>
      </c>
      <c r="B4" s="3" t="s">
        <v>36</v>
      </c>
      <c r="C4" s="3" t="s">
        <v>1051</v>
      </c>
      <c r="D4" s="12" t="s">
        <v>1052</v>
      </c>
      <c r="E4" s="3" t="s">
        <v>1053</v>
      </c>
      <c r="F4" s="12" t="s">
        <v>1054</v>
      </c>
    </row>
    <row r="5" spans="1:6" ht="21.75" customHeight="1" x14ac:dyDescent="0.25">
      <c r="A5" s="3">
        <v>2</v>
      </c>
      <c r="B5" s="3" t="s">
        <v>75</v>
      </c>
      <c r="C5" s="3" t="s">
        <v>1055</v>
      </c>
      <c r="D5" s="12" t="s">
        <v>1056</v>
      </c>
      <c r="E5" s="3" t="s">
        <v>1057</v>
      </c>
      <c r="F5" s="12" t="s">
        <v>1058</v>
      </c>
    </row>
    <row r="6" spans="1:6" ht="21.75" customHeight="1" x14ac:dyDescent="0.25">
      <c r="A6" s="3">
        <v>3</v>
      </c>
      <c r="B6" s="3" t="s">
        <v>67</v>
      </c>
      <c r="C6" s="3" t="s">
        <v>1059</v>
      </c>
      <c r="D6" s="12" t="s">
        <v>1060</v>
      </c>
      <c r="E6" s="3" t="s">
        <v>1061</v>
      </c>
      <c r="F6" s="12" t="s">
        <v>1184</v>
      </c>
    </row>
    <row r="7" spans="1:6" ht="21.75" customHeight="1" x14ac:dyDescent="0.25">
      <c r="A7" s="3">
        <v>4</v>
      </c>
      <c r="B7" s="3" t="s">
        <v>54</v>
      </c>
      <c r="C7" s="3" t="s">
        <v>1063</v>
      </c>
      <c r="D7" s="12" t="s">
        <v>1064</v>
      </c>
      <c r="E7" s="3" t="s">
        <v>1065</v>
      </c>
      <c r="F7" s="12" t="s">
        <v>1066</v>
      </c>
    </row>
    <row r="8" spans="1:6" ht="18" customHeight="1" x14ac:dyDescent="0.25">
      <c r="A8" s="28">
        <v>5</v>
      </c>
      <c r="B8" s="17" t="s">
        <v>61</v>
      </c>
      <c r="C8" s="17" t="s">
        <v>1067</v>
      </c>
      <c r="D8" s="38" t="s">
        <v>1068</v>
      </c>
      <c r="E8" s="20" t="s">
        <v>1069</v>
      </c>
      <c r="F8" s="38" t="s">
        <v>1070</v>
      </c>
    </row>
  </sheetData>
  <autoFilter ref="A3:F8" xr:uid="{00000000-0009-0000-0000-000026000000}"/>
  <mergeCells count="1">
    <mergeCell ref="A1:F1"/>
  </mergeCells>
  <printOptions horizontalCentered="1"/>
  <pageMargins left="0.35" right="0.35" top="0.55000000000000004" bottom="0.55000000000000004" header="0.511811023622047" footer="0.511811023622047"/>
  <pageSetup paperSize="9" fitToHeight="0"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39</vt:i4>
      </vt:variant>
      <vt:variant>
        <vt:lpstr>Intervalos Nomeados</vt:lpstr>
      </vt:variant>
      <vt:variant>
        <vt:i4>76</vt:i4>
      </vt:variant>
    </vt:vector>
  </HeadingPairs>
  <TitlesOfParts>
    <vt:vector size="115" baseType="lpstr">
      <vt:lpstr>Resumo Geral</vt:lpstr>
      <vt:lpstr>Aud Uniformes EPI</vt:lpstr>
      <vt:lpstr>L1 Param CCT</vt:lpstr>
      <vt:lpstr>L1 Interface</vt:lpstr>
      <vt:lpstr>L1 Uniforme</vt:lpstr>
      <vt:lpstr>L1 Material</vt:lpstr>
      <vt:lpstr>L1 Und Saude</vt:lpstr>
      <vt:lpstr>L1 Serv 44h 40</vt:lpstr>
      <vt:lpstr>L1 Serv 6h 40</vt:lpstr>
      <vt:lpstr>L1 Serv 12x36 40</vt:lpstr>
      <vt:lpstr>L5 Supervisor</vt:lpstr>
      <vt:lpstr>L1 Quadro Resumo</vt:lpstr>
      <vt:lpstr>L1 Dim Revisado</vt:lpstr>
      <vt:lpstr>L1 Auditoria</vt:lpstr>
      <vt:lpstr>L1 Memoria Rev</vt:lpstr>
      <vt:lpstr>L2 Painel</vt:lpstr>
      <vt:lpstr>L2 Param CCT</vt:lpstr>
      <vt:lpstr>L2 Uniforme</vt:lpstr>
      <vt:lpstr>L2 Calc Dedetizacao</vt:lpstr>
      <vt:lpstr>L2 Quadro Resumo</vt:lpstr>
      <vt:lpstr>L2 Dim ETP</vt:lpstr>
      <vt:lpstr>L2 Resumo ETP</vt:lpstr>
      <vt:lpstr>L2 Auditoria</vt:lpstr>
      <vt:lpstr>L3 Painel</vt:lpstr>
      <vt:lpstr>L3 Param CCT</vt:lpstr>
      <vt:lpstr>L3 Uniforme</vt:lpstr>
      <vt:lpstr>L3 Calc Reservatorios</vt:lpstr>
      <vt:lpstr>L3 Quadro Resumo</vt:lpstr>
      <vt:lpstr>L3 Dim ETP</vt:lpstr>
      <vt:lpstr>L3 Resumo ETP</vt:lpstr>
      <vt:lpstr>L3 Auditoria</vt:lpstr>
      <vt:lpstr>L4 Painel</vt:lpstr>
      <vt:lpstr>L4 Param CCT</vt:lpstr>
      <vt:lpstr>L4 Uniforme</vt:lpstr>
      <vt:lpstr>L4 Calc Rocada</vt:lpstr>
      <vt:lpstr>L4 Quadro Resumo</vt:lpstr>
      <vt:lpstr>L4 Dim ETP</vt:lpstr>
      <vt:lpstr>L4 Resumo ETP</vt:lpstr>
      <vt:lpstr>L4 Auditoria</vt:lpstr>
      <vt:lpstr>'Aud Uniformes EPI'!Area_de_impressao</vt:lpstr>
      <vt:lpstr>'L1 Auditoria'!Area_de_impressao</vt:lpstr>
      <vt:lpstr>'L1 Dim Revisado'!Area_de_impressao</vt:lpstr>
      <vt:lpstr>'L1 Interface'!Area_de_impressao</vt:lpstr>
      <vt:lpstr>'L1 Memoria Rev'!Area_de_impressao</vt:lpstr>
      <vt:lpstr>'L1 Param CCT'!Area_de_impressao</vt:lpstr>
      <vt:lpstr>'L1 Quadro Resumo'!Area_de_impressao</vt:lpstr>
      <vt:lpstr>'L1 Serv 12x36 40'!Area_de_impressao</vt:lpstr>
      <vt:lpstr>'L1 Serv 44h 40'!Area_de_impressao</vt:lpstr>
      <vt:lpstr>'L1 Serv 6h 40'!Area_de_impressao</vt:lpstr>
      <vt:lpstr>'L1 Und Saude'!Area_de_impressao</vt:lpstr>
      <vt:lpstr>'L1 Uniforme'!Area_de_impressao</vt:lpstr>
      <vt:lpstr>'L2 Auditoria'!Area_de_impressao</vt:lpstr>
      <vt:lpstr>'L2 Calc Dedetizacao'!Area_de_impressao</vt:lpstr>
      <vt:lpstr>'L2 Dim ETP'!Area_de_impressao</vt:lpstr>
      <vt:lpstr>'L2 Painel'!Area_de_impressao</vt:lpstr>
      <vt:lpstr>'L2 Param CCT'!Area_de_impressao</vt:lpstr>
      <vt:lpstr>'L2 Quadro Resumo'!Area_de_impressao</vt:lpstr>
      <vt:lpstr>'L2 Resumo ETP'!Area_de_impressao</vt:lpstr>
      <vt:lpstr>'L2 Uniforme'!Area_de_impressao</vt:lpstr>
      <vt:lpstr>'L3 Auditoria'!Area_de_impressao</vt:lpstr>
      <vt:lpstr>'L3 Calc Reservatorios'!Area_de_impressao</vt:lpstr>
      <vt:lpstr>'L3 Dim ETP'!Area_de_impressao</vt:lpstr>
      <vt:lpstr>'L3 Painel'!Area_de_impressao</vt:lpstr>
      <vt:lpstr>'L3 Param CCT'!Area_de_impressao</vt:lpstr>
      <vt:lpstr>'L3 Quadro Resumo'!Area_de_impressao</vt:lpstr>
      <vt:lpstr>'L3 Resumo ETP'!Area_de_impressao</vt:lpstr>
      <vt:lpstr>'L3 Uniforme'!Area_de_impressao</vt:lpstr>
      <vt:lpstr>'L4 Auditoria'!Area_de_impressao</vt:lpstr>
      <vt:lpstr>'L4 Calc Rocada'!Area_de_impressao</vt:lpstr>
      <vt:lpstr>'L4 Dim ETP'!Area_de_impressao</vt:lpstr>
      <vt:lpstr>'L4 Painel'!Area_de_impressao</vt:lpstr>
      <vt:lpstr>'L4 Param CCT'!Area_de_impressao</vt:lpstr>
      <vt:lpstr>'L4 Quadro Resumo'!Area_de_impressao</vt:lpstr>
      <vt:lpstr>'L4 Resumo ETP'!Area_de_impressao</vt:lpstr>
      <vt:lpstr>'L4 Uniforme'!Area_de_impressao</vt:lpstr>
      <vt:lpstr>'L5 Supervisor'!Area_de_impressao</vt:lpstr>
      <vt:lpstr>'Resumo Geral'!Area_de_impressao</vt:lpstr>
      <vt:lpstr>'Aud Uniformes EPI'!Titulos_de_impressao</vt:lpstr>
      <vt:lpstr>'L1 Auditoria'!Titulos_de_impressao</vt:lpstr>
      <vt:lpstr>'L1 Dim Revisado'!Titulos_de_impressao</vt:lpstr>
      <vt:lpstr>'L1 Interface'!Titulos_de_impressao</vt:lpstr>
      <vt:lpstr>'L1 Memoria Rev'!Titulos_de_impressao</vt:lpstr>
      <vt:lpstr>'L1 Param CCT'!Titulos_de_impressao</vt:lpstr>
      <vt:lpstr>'L1 Quadro Resumo'!Titulos_de_impressao</vt:lpstr>
      <vt:lpstr>'L1 Serv 12x36 40'!Titulos_de_impressao</vt:lpstr>
      <vt:lpstr>'L1 Serv 44h 40'!Titulos_de_impressao</vt:lpstr>
      <vt:lpstr>'L1 Serv 6h 40'!Titulos_de_impressao</vt:lpstr>
      <vt:lpstr>'L1 Und Saude'!Titulos_de_impressao</vt:lpstr>
      <vt:lpstr>'L1 Uniforme'!Titulos_de_impressao</vt:lpstr>
      <vt:lpstr>'L2 Auditoria'!Titulos_de_impressao</vt:lpstr>
      <vt:lpstr>'L2 Calc Dedetizacao'!Titulos_de_impressao</vt:lpstr>
      <vt:lpstr>'L2 Dim ETP'!Titulos_de_impressao</vt:lpstr>
      <vt:lpstr>'L2 Painel'!Titulos_de_impressao</vt:lpstr>
      <vt:lpstr>'L2 Param CCT'!Titulos_de_impressao</vt:lpstr>
      <vt:lpstr>'L2 Quadro Resumo'!Titulos_de_impressao</vt:lpstr>
      <vt:lpstr>'L2 Resumo ETP'!Titulos_de_impressao</vt:lpstr>
      <vt:lpstr>'L2 Uniforme'!Titulos_de_impressao</vt:lpstr>
      <vt:lpstr>'L3 Auditoria'!Titulos_de_impressao</vt:lpstr>
      <vt:lpstr>'L3 Calc Reservatorios'!Titulos_de_impressao</vt:lpstr>
      <vt:lpstr>'L3 Dim ETP'!Titulos_de_impressao</vt:lpstr>
      <vt:lpstr>'L3 Painel'!Titulos_de_impressao</vt:lpstr>
      <vt:lpstr>'L3 Param CCT'!Titulos_de_impressao</vt:lpstr>
      <vt:lpstr>'L3 Quadro Resumo'!Titulos_de_impressao</vt:lpstr>
      <vt:lpstr>'L3 Resumo ETP'!Titulos_de_impressao</vt:lpstr>
      <vt:lpstr>'L3 Uniforme'!Titulos_de_impressao</vt:lpstr>
      <vt:lpstr>'L4 Auditoria'!Titulos_de_impressao</vt:lpstr>
      <vt:lpstr>'L4 Calc Rocada'!Titulos_de_impressao</vt:lpstr>
      <vt:lpstr>'L4 Dim ETP'!Titulos_de_impressao</vt:lpstr>
      <vt:lpstr>'L4 Painel'!Titulos_de_impressao</vt:lpstr>
      <vt:lpstr>'L4 Param CCT'!Titulos_de_impressao</vt:lpstr>
      <vt:lpstr>'L4 Quadro Resumo'!Titulos_de_impressao</vt:lpstr>
      <vt:lpstr>'L4 Resumo ETP'!Titulos_de_impressao</vt:lpstr>
      <vt:lpstr>'L4 Uniforme'!Titulos_de_impressao</vt:lpstr>
      <vt:lpstr>'L5 Supervisor'!Titulos_de_impressao</vt:lpstr>
      <vt:lpstr>'Resumo Geral'!Titulos_de_impressao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André Luiz Vieira Pereira</dc:creator>
  <cp:lastModifiedBy>Claudia Marinho Vinagre</cp:lastModifiedBy>
  <cp:revision>0</cp:revision>
  <cp:lastPrinted>2026-07-14T13:16:18Z</cp:lastPrinted>
  <dcterms:created xsi:type="dcterms:W3CDTF">2026-05-18T15:17:02Z</dcterms:created>
  <dcterms:modified xsi:type="dcterms:W3CDTF">2026-07-23T17:03:06Z</dcterms:modified>
  <dc:language>en-US</dc:language>
</cp:coreProperties>
</file>